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vedrecs" sheetId="1" r:id="rId4"/>
  </sheets>
  <definedNames/>
  <calcPr/>
  <extLst>
    <ext uri="GoogleSheetsCustomDataVersion2">
      <go:sheetsCustomData xmlns:go="http://customooxmlschemas.google.com/" r:id="rId5" roundtripDataChecksum="Xvq9U7WzaHYv7Fupe78zRWsv3PMfptyu0PrZ2+TEtYU="/>
    </ext>
  </extLst>
</workbook>
</file>

<file path=xl/sharedStrings.xml><?xml version="1.0" encoding="utf-8"?>
<sst xmlns="http://schemas.openxmlformats.org/spreadsheetml/2006/main" count="15857" uniqueCount="9375">
  <si>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</si>
  <si>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</si>
  <si>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</si>
  <si>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</si>
  <si>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</si>
  <si>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</si>
  <si>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</si>
  <si>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</si>
  <si>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</si>
  <si>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</si>
  <si>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</si>
  <si>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</si>
  <si>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</si>
  <si>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</si>
  <si>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</si>
  <si>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</si>
  <si>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</si>
  <si>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</si>
  <si>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</si>
  <si>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</si>
  <si>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</si>
  <si>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</si>
  <si>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</si>
  <si>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</si>
  <si>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</si>
  <si>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</si>
  <si>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</si>
  <si>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</si>
  <si>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</si>
  <si>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</si>
  <si>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</si>
  <si>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</si>
  <si>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</si>
  <si>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</si>
  <si>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</si>
  <si>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</si>
  <si>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</si>
  <si>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</si>
  <si>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</si>
  <si>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</si>
  <si>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</si>
  <si>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</si>
  <si>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</si>
  <si>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</si>
  <si>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</si>
  <si>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</si>
  <si>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</si>
  <si>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</si>
  <si>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</si>
  <si>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</si>
  <si>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</si>
  <si>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</si>
  <si>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</si>
  <si>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</si>
  <si>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</si>
  <si>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</si>
  <si>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</si>
  <si>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</si>
  <si>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</si>
  <si>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</si>
  <si>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</si>
  <si>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</si>
  <si>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</si>
  <si>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</si>
  <si>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</si>
  <si>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</si>
  <si>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</si>
  <si>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</si>
  <si>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</si>
  <si>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</si>
  <si>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</si>
  <si>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</si>
  <si>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</si>
  <si>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De Toni, KR; Fonseca, AL; Cremer, MJ</t>
  </si>
  <si>
    <t>De Toni, Kamila Regina; Fonseca, Alessandra Larissa; Cremer, Marta Jussara</t>
  </si>
  <si>
    <t>The semantics of Ocean Literacy: several definitions in only one ocean</t>
  </si>
  <si>
    <t>DESENVOLVIMENTO E MEIO AMBIENTE</t>
  </si>
  <si>
    <t>Portuguese</t>
  </si>
  <si>
    <t>Article</t>
  </si>
  <si>
    <t>ocean literacy; formal education; scientific education</t>
  </si>
  <si>
    <t>ENVIRONMENTAL-EDUCATION</t>
  </si>
  <si>
    <t>Despite its potential, formal education still hardly addresses topics referring to the marine and ocean environment in teaching-learning practices. Work in this area is being done in the context of Coastal and Marine Environmental Education (CMEE) and, more recently through the inclusion of the Ocean Culture (OC), resulting from Ocean Literacy (OL) guidelines. This article provides a bibliographic review of the different translations of the term Literacy, as the terms literacy and culture have different meanings and semantic applications in Brazil, even in the science education context. The paper also contributes a bibliographical review of how CMEE and OC have been developed in the formal areas of basic education in Brazil. The results show that using the term Ocean Culture to translate Ocean Literacy has the greatest semantic relevance for the inclusion of topics related to the ocean in the formal teaching scope. As for the survey of papers carried out in these approaches, CMEE and CO during the period stipulated, it was verified that despite the diversity of topic contemplated in the studies, few are associated with the formal curriculum and the school context.</t>
  </si>
  <si>
    <t>[De Toni, Kamila Regina; Cremer, Marta Jussara] Univ Regiao Joinville UNIVILLE, Joinville, SC, Brazil; [Fonseca, Alessandra Larissa] Univ Fed Santa Catarina UFSC, Florianopolis, SC, Brazil</t>
  </si>
  <si>
    <t>Universidade da Regiao de Joinville; Universidade Federal de Santa Catarina (UFSC)</t>
  </si>
  <si>
    <t>De Toni, KR (corresponding author), Univ Regiao Joinville UNIVILLE, Joinville, SC, Brazil.</t>
  </si>
  <si>
    <t>kamiladetoni@hotmail.com</t>
  </si>
  <si>
    <t>Alves M. R., 2021, Fortaleza, Monografia (Graduacao em Oceanografia); Amorim J, 2014, Sequencia didatica como proposta pedagogica para estudo dos ambientes costeiros do norte do Espirito Santo; Araujo L. F. P. de, 2016, Dissertacao (Mestrado Profissional em Ensino de Ciencias e Matematica); Araujo S. M. S., 2004, Reuniao anual da associacao nacional de pos-graduacao e pesquisa em educacao, V27; Arruda E. A., 2020, Dissertacao (Mestrado em Geografia); Ballantyne R., 2004, GEO J, V60, P159, DOI [https://doi.org/10.1023/B:GEJO.0000033579.19277.ff, DOI 10.1023/B:GEJO.0000033579.19277.FF]; Barata G., 2021, Ciencia e Cultura, V73, P16, DOI [10.21800/2317-66602021000200005, DOI 10.21800/2317-66602021000200005]; Barradas J. I., 2020, Revista de Ensino de Ciencias e Matematica, V11, P24, DOI [10.26843/rencima.v11i2.2717, DOI 10.26843/RENCIMA.V11I2.2717]; Biondo FG, 2021, REMEA-REV ELETRONICA, V38, P115, DOI 10.14295/remea.v38i2.12539; Brasil. Instituto Nacional de Estudos e Pesquisas Educacionais Anisio Teixeira, 2021, Resumo Tecnico: Censo Escolar da Educacao Basica; Brasil. Ministerio da Educacao SEF, 2017, Base Nacional Comum Curricular-BNCC; Brito L. G. A. S. De., 2020, Ecossistemas marinho, manguezal e recifal: analise dos conteudos de livros didaticos de ciencias e biologia publicados no periodo de 2012-2016; Carreiro J. H. W., 2014, Monografia (Graduacao em Ciencias Biologicas); CAVA F., 2005, Conteudo cientifico e padroes para a alfabetizacao oceanica: um relatorio sobre a alfabetizacao oceanica, P28; CEMBRA, 2019, O Brasil e o mar no seculo XXI: relatorio aos tomadores de decisao do pais; Ciliato F. L. G., 2015, Revista Monografias Ambientais, V14, P65; Cordeiro H. F., 2022, Servicos ecossistemicos culturais do ambiente marinho-costeiro e a inspiracao artistica musical; Correia J. F., 2019, Dissertacao (Mestrado em Ecologia Marinha; Correia M. D., 2016, Revista Brasileira de Oceanografia, V64, P137, DOI [10.1590/S1679-875920160932064sp2, DOI 10.1590/S1679-875920160932064SP2]; Costa D. D. A., 2022, Educacao Ambiental Aplicada e Comunicacao, V21, P120, DOI [10.1080/1533015X.2021, DOI 10.1080/1533015X.2021]; Costa D. de A., 2020, Tese (Doutorado em Desenvolvimento e Meio Ambiente); Costa S., 2018, Politica marinha, V87, P149, DOI [10.1016/j.marpol.2017.10.022, DOI 10.1016/J.MARPOL.2017.10.022]; Cuche D., 2002, A nocao de cultura nas ciencias sociais; Cunha Junior G. A da, 2022, Dissertacao (Mestrado em Oceanografia; CUNHA RODRIGO BASTOS, 2017, Rev. Bras. Educ., V22, P169; da Silva AF, 2009, ATELIE GEOGR, V3, P142, DOI 10.5216/ag.v3i1.6259; Da Silva I. T., 2020, REMEA-Revista Eletronica do Mestrado em Educacao Ambiental, V37, P278, DOI [10.14295/remea.v37i1.11032, DOI 10.14295/REMEA.V37I1.11032]; Damasceno T. M., 2015, Tese (Doutorado em Artes Cenicas); Dangelis I. A. B, 2022, Tese (Doutorado em Ecologia Humana; De Araujo F. V., 2014, Interagir: Pensando a extensao, V81, P17, DOI [10.12957/interag.2014.13570, DOI 10.12957/INTERAG.2014.13570]; De Pontes S. R. S., 2021, Cultura Oceanica longe do mar. Revista Difusao, V1, P24; Dos Santos Gomes R., 2021, ACTIO: Docencia em Ciencias, V6, P1, DOI [10.3895/actio.v6n2.14191, DOI 10.3895/ACTIO.V6N2.14191]; Dos Santos M. E. V. M., 1999, Desafios Pedagogicos para o Seculo XXI: suas raizes em forcas de mudanca de natureza cientifica, tecnologica e social; Eagleton T., 2005, A IDEIA DE CULTURA; Fauville G, 2017, INT J SCI EDUC, V39, P2151, DOI 10.1080/09500693.2017.1365184; Fernandes I. G., 2017, Revista Brasileira de Educacao Ambiental (RevBEA), V12, P177, DOI [10.34024/revbea.2017.v12.2374, DOI 10.34024/REVBEA.2017.V12.2374]; Fonseca A. L. D., 2010, Extensao, Florianopolis, V7, P1; Fonseca A. L. O., 2022, A mudanca climatica em pauta e os ciclos de 30 anos, P9; Fortner R. W., 2009, Atividades Cientificas, V46, P4; Freire P., 1996, Pedagogia da autonomia: saberes necessarios a pratica educativa, V166; Freitas R. F., 2020, Revista Exitus, V10, DOI [10.24065/2237-9460, DOI 10.24065/2237-9460]; Friedrichsen M. A, 2020, Florianopolis, Monografia (Graduacao em Oceanografia); Galvao A. M. O., 2016, Revista Brasileira de Historia da Educacao, V16, P207; Ghilardi-Lopes N. P., 2019, Educacao Ambiental Costeira e Marinha, P3; Ghilardi-Lopes NP, 2015, MAR POLICY, V57, P85, DOI 10.1016/j.marpol.2015.03.005; Gil A.C., 2002, S O PAULO; Gil A.C., 2008, M TODOS T CNICAS PES, V6a, P200; Godoy Elenilton Vieira, 2014, Educ. rev., V30, P15; Goncalves P. R, 2021, Caderno Enap, V77, P194; Guest H, 2015, MAR POLICY, V58, P98, DOI 10.1016/j.marpol.2015.04.007; Kleiman A., 1995, Mercado de Letras; Lacerda G., 1997, Educacao Sociedade, V18, P91; Lima G. D. C. A., 2021, Revista Multidisciplinar de Educacao e Meio Ambiente, V2, P51, DOI [10.51189/rema/1732, DOI 10.51189/REMA/1732]; Lima M. C. S., 2021, Dissertacao (Mestrado em Oceanografia Biologica), DOI [10.11606/D.21.2021.tde-16032022, DOI 10.11606/D.21.2021.TDE-16032022]; Maciel C. N. dos S., 2019, Monografia (Graduacao em Ciencias Biologicas); MacNeil S., 2021, Revista Canadense de Educacao Ambiental (CJEE), P233; Mamede M., 2005, Ensenanza de las Ciencias, P1; McKinley E, 2023, MAR POLLUT BULL, V186, DOI 10.1016/j.marpolbul.2022.114467; MCT-Ministerio da Ciencia e Tecnologia e Inovacoes, 2019, Ciencia no Mar; Menck E. V. S., 2020, Dissertacao (Mestrado em Analise Ambiental Integrada; Moore W. J., 2015, Anthropocene or capitalocene?; Motokane M. T., 2021, Revista de Educacion en Biologia, V3, P114; Nussbaumer G. M., 2007, Teorias e politicas da cultura: visoes multidisciplinares; Pacheco J., 2018, Um compromisso etico com a educacao; Pazoto C. E., 2021, Revista de Ciencia Elementar, V9, P1, DOI [10.24927/rce2021.045, DOI 10.24927/RCE2021.045]; Pazoto C, 2023, J ENVIRON EDUC, V54, P99, DOI 10.1080/00958964.2022.2161979; Pazoto CE, 2022, OCEAN COAST MANAGE, V219, DOI 10.1016/j.ocecoaman.2022.106047; Pazoto CE, 2021, OCEAN COAST RES, V69, DOI 10.1590/2675-2824069.21008cep; Pedrini A. de G., 2009, Ambiente &amp; Educacao, V11, P63; Pedrini A.G., 2010, Revista Brasileira de Ecoturismo, V3, P428; Pedrini A. G., 2013, Pesquisa em Educacao Ambiental, V8, P59, DOI [10.18675/2177-580X. vol8.n2.p59-75, DOI 10.18675/2177-580X.VOL8.N2.P59-75]; Pedrini A. G, 2019, Coastal and marine environmental education, P19; Pedrini A. G., 2019, Educacao ambiental costeira e marinha, P87; Pedrini A. G., 2010, Educacao ambiental marinha e costeira no Brasil; Pfuetzenreuter A., 2021, Dissertacao (Mestrado em Oceanografia); Campos CRP, 2020, REMEA-REV ELETRONICA, V37, P283, DOI 10.14295/remea.v37i3.11343; Plankis B.J., 2010, INT ELECT J ENV ED, V1, P21; Portner H. -O., 2022, Contribuicao do Grupo de Trabalho II para o Sexto Relatorio de Avaliacao do Painel Intergovernamental sobre Mudancas Climaticas; PROMAR-Infocirm, 2013, Despertando o interesse de jovens brasileiros pelas carreiras marinhas: a adaptacao do con- teudo sobre os oceanos aos curriculos escolares; Rodrigues J. T. B, 2018, Monografia (Pos-graduacao em Ciencia e Tecnologia); Rosa C, 2020, Dissertacao (Pos-Graduacao Stricto Sensu em Clima e Ambiente; Rua M. B., 2015, REV BIOCIENC, V21, P27; Santoro F., 2017, Alfabetizacao oceanica para todos: um kit de ferramentas, V80; Santoro F., 2020, Cultura Oceanica para todos-Kit Pedagogico; Santos CR, 2018, OCEAN COAST MANAGE, V164, P147, DOI 10.1016/j.ocecoaman.2017.08.011; Santos E. C. S., 1998, Cadernos de Linguagem e Sociedade, V6, P171; Santos W.L. P., 2001, Ciencia e Educacao, V7, P95; Santos Wildson Luiz Pereira dos, 2007, Rev. Bras. Educ., V12, P474; Sasseron L. H., 2008, Tese (Doutorado-Programa de Pos- -Graduacao em Educacao. Area de Concentracao: Ensino de Ciencias e Matematica; SASSERON L. H., 2011, Investigacoes em Ensino de Ciencias, V16, P59; Sasseron Lúcia Helena, 2015, Ens. Pesqui. Educ. Ciênc. (Belo Horizonte), V17, P49, DOI 10.1590/1983-2117201517s04; Schoedinger S, 2005, OCEANS-IEEE, P736; Severino AJ., 2007, Metodologia do trabalho cientifico, V23; Silva A. S. S. da, 2016, Tese (Doutorado em Educacao); Silva H. J. H., 2019, Ambiente &amp; Educacao, V24, P183, DOI [10.14295/ambeduc.v24i2.9646, DOI 10.14295/AMBEDUC.V24I2.9646]; Soares M, 2018, Alfabetizacao e letramento; Soares M., 2009, Alfabetizacao e letramento na Educacao Infantil; Soares M., 1998, Letramento: um tema em tres generos, P61; Stefanelli-Silva G, 2019, FRONT MAR SCI, V6, DOI 10.3389/fmars.2019.00389; Strang C, 2007, Actual: The Journal of Marine Education, V23, P7; Teixeira Francimar Martins, 2013, Ciênc. educ. (Bauru), V19, P795, DOI 10.1590/S1516-73132013000400002; Towata N., 2013, Dissertacao (Instituto de Biociencias); Turra A., 2021, Nocoes de Oceanografia, V36, P831; UNESCO, 2019, Lancamento do programa Cultura Oceanica no Brasil; Uyarra M. C., 2016, Boletim de Poluicao Marinha, V1, P1, DOI [10.1016/j.marpolbul.2016.02.060, DOI 10.1016/J.MARPOLBUL.2016.02.060]; Veiga-Neto Alfredo., 2003, Revista Brasileira de Educacao, n, P5; Vogt C, 2021, Ciencia e cultura, Sao Paulo, V73; VOGT Carlos., 2006, Cultura Cientifica: desafios; Worm B., 2021, Ethics in Science and Environmental Politics, V21, P1, DOI DOI 10.3354/ESEP00196; Zappes C. A., 2021, Revista Brasileira de Desenvolvimento, V7, P66513, DOI [10.34117/bjdv7n7-092, DOI 10.34117/BJDV7N7-092]</t>
  </si>
  <si>
    <t>UNIV FEDERAL PARANA, EDITORA</t>
  </si>
  <si>
    <t>PARANA</t>
  </si>
  <si>
    <t>RUA JOAO NEGRAO 280, CURITIBA, PARANA, 80060-200, BRAZIL</t>
  </si>
  <si>
    <t>1518-952X</t>
  </si>
  <si>
    <t>2176-9109</t>
  </si>
  <si>
    <t>DESENVOLV MEIO AMBIE</t>
  </si>
  <si>
    <t>Desenvolv. Meio Ambient.</t>
  </si>
  <si>
    <t>JAN-JUN</t>
  </si>
  <si>
    <t>Environmental Studies</t>
  </si>
  <si>
    <t>Emerging Sources Citation Index (ESCI)</t>
  </si>
  <si>
    <t>Environmental Sciences &amp; Ecology</t>
  </si>
  <si>
    <t>LU1D5</t>
  </si>
  <si>
    <t>2024-07-24</t>
  </si>
  <si>
    <t>WOS:001189213800007</t>
  </si>
  <si>
    <t>Despite its potential, formal education still hardly addresses topics referring to the marine and ocean environment in teaching -learning practices. Work in this area is being done in the context of Coastal and Marine Environmental Education (CMEE) and, more recently through the inclusion of the Ocean Culture (OC), resulting from Ocean Literacy (OL) guidelines. This article provides a bibliographic review of the different translations of the term Literacy, as the terms literacy and culture have different meanings and semantic applications in Brazil, even in the science education context. The paper also contributes a bibliographical review of how CMEE and OC have been developed in the formal areas of basic education in Brazil. The results show that using the term Ocean Culture to translate Ocean Literacy has the greatest semantic relevance for the inclusion of topics related to the ocean in the formal teaching scope. As for the survey of papers carried out in these approaches, CMEE and CO during the period stipulated, it was verified that despite the diversity of topic contemplated in the studies, few are associated with the formal curriculum and the school context.</t>
  </si>
  <si>
    <t>[De Toni, Kamila Regina; Cremer, Marta Jussara] Univ Joinville Reg UNIVILLE, Joinville, SC, Brazil; [Fonseca, Alessandra Larissa] Fed Univ Santa Catarina UFSC, Florianopolis, SC, Brazil</t>
  </si>
  <si>
    <t>De Toni, KR (corresponding author), Univ Joinville Reg UNIVILLE, Joinville, SC, Brazil.</t>
  </si>
  <si>
    <t>PICPG university scholarship program - UNIVILLE; Santa Catarina University Scholarship Program, UNIEDU [1,423/SED/2019]</t>
  </si>
  <si>
    <t>PICPG university scholarship program - UNIVILLE; Santa Catarina University Scholarship Program, UNIEDU</t>
  </si>
  <si>
    <t>To the PICPG university scholarship program granted by UNIVILLE during 2019 and to the Santa Catarina University Scholarship Program, UNIEDU, PUBLIC CALL No. 1,423/SED/2019, for financially supporting this research.</t>
  </si>
  <si>
    <t>Alves M. R., 2021, Fortaleza, Monografia (Graduacao em Oceanografia); Amorim J, 2014, Sequencia didatica como proposta pedagogica para estudo dos ambientes costeiros do norte do Espirito Santo; [Anonymous], 2013, PROMAR-Infocirm-Despertando o interesse de jovens brasileiros pelas carreiras marinhas: a adaptacao do conteudo sobre os oceanos aos curriculos escolares.; Araujo L. F. P. de, 2016, Maceio, Dissertacao (Mestrado Profissional em Ensino de Ciencias e Matematica; Araujo S. M. S., 2004, Reuniao anual da associacao nacional de pos-graduacao e pesquisa em educacao, V27; Arruda E. A., 2020, Dissertacao (Mestrado em Geografia); Ballantyne R., 2004, GEO J, V60, P159, DOI [https://doi.org/10.1023/B:GEJO.0000033579.19277.ff, DOI 10.1023/B:GEJO.0000033579.19277.FF]; Barata G., 2021, Ciencia e Cultura, V73, P16, DOI [10.21800/2317-66602021000200005, DOI 10.21800/2317-66602021000200005]; Barradas J. I., 2020, Revista de Ensino de Ciencias e Matematica, V11, P24, DOI [10.26843/rencima.v11i2.2717, DOI 10.26843/RENCIMA.V11I2.2717]; Biondo FG, 2021, REMEA-REV ELETRONICA, V38, P115, DOI 10.14295/remea.v38i2.12539; Brazil. Instituto Nacional de Estudos e Pesquisas Educacionais Anisio Teixeira, 2021, Resumo Tecnico: Censo Escolar da Educacao Basica; Brazil. Ministerio da Educacao SEF, 2017, Base Nacional Comum Curricular-BNCC; Brito L. G. A. S. De., 2020, Ecossistemas marinho, manguezal e recifal: analise dos conteudos de livros didaticos de ciencias e biologia publicados no periodo de 2012-2016; Carreiro J. H. W., 2014, Monografia (Graduacao em Ciencias Biologicas); CAVA F., 2005, Conteudo cientifico e padroes para a alfabetizacao oceanica: um relatorio sobre a alfabetizacao oceanica, P28; CEMBRA, 2019, O Brasil e o mar no seculo XXI: relatorio aos tomadores de decisao do pais; Ciliato F. L. G., 2015, Revista Monografias Ambientais, V14, P65; Cordeiro H. F., 2022, Servicos ecossistemicos culturais do ambiente marinho-costeiro e a inspiracao artistica musical; Correia J. F., 2019, Dissertacao (Mestrado em Ecologia Marinha; Correia M. D., 2016, Revista Brasileira de Oceanografia, V64, P137, DOI [10.1590/S1679-875920160932064sp2, DOI 10.1590/S1679-875920160932064SP2]; Costa D. D. A., 2022, Educacao Ambiental Aplicada e Comunicacao, V21, P120, DOI [10.1080/1533015X.2021, DOI 10.1080/1533015X.2021]; Costa D. de A., 2020, Tese (Doutorado em Desenvolvimento e Meio Ambiente); Costa S., 2018, Politica marinha, V87, P149, DOI [10.1016/j.marpol.2017.10.022, DOI 10.1016/J.MARPOL.2017.10.022]; Cuche D., 2002, A nocao de cultura nas ciencias sociais; Cunha Junior G. A da, 2022, Dissertacao (Mestrado em Oceanografia; CUNHA RODRIGO BASTOS, 2017, Rev. Bras. Educ., V22, P169; da Silva AF, 2009, ATELIE GEOGR, V3, P142, DOI 10.5216/ag.v3i1.6259; Da Silva I. T., 2020, REMEA-Revista Eletronica do Mestrado em Educacao Ambiental, V37, P278, DOI [10.14295/remea.v37i1.11032, DOI 10.14295/REMEA.V37I1.11032]; Damasceno T. M., 2015, Tese (Doutorado em Artes Cenicas); Dangelis I. A. B, 2022, Tese (Doutorado em Ecologia Humana; De Araujo F. V., 2014, Interagir: Pensando a extensao, V81, P17, DOI [10.12957/interag.2014.13570, DOI 10.12957/INTERAG.2014.13570]; De Pontes S. R. S., 2021, Cultura Oceanica longe do mar. Revista Difusao, V1, P24; Dos Santos Gomes R., 2021, ACTIO: Docencia em Ciencias, V6, P1, DOI [10.3895/actio.v6n2.14191, DOI 10.3895/ACTIO.V6N2.14191]; Dos Santos M. E. V. M., 1999, Desafios Pedagogicos para o Seculo XXI: suas raizes em forcas de mudanca de natureza cientifica, tecnologica e social; Eagleton T., 2005, A IDEIA DE CULTURA; Fauville G, 2017, INT J SCI EDUC, V39, P2151, DOI 10.1080/09500693.2017.1365184; Fernandes I. G., 2017, Revista Brasileira de Educacao Ambiental (RevBEA), V12, P177, DOI [10.34024/revbea.2017.v12.2374, DOI 10.34024/REVBEA.2017.V12.2374]; Fonseca A. L. D., 2010, Extensao, Florianopolis, V7, P1; Fonseca A. L. O., 2022, A mudanca climatica em pauta e os ciclos de 30 anos, P9; Fortner R. W., 2009, Atividades Cientificas, V46, P4; Freire P., 1996, Pedagogia da autonomia: saberes necessarios a pratica educativa, V166; Freitas R. F., 2020, Revista Exitus, V10, DOI [10.24065/2237-9460, DOI 10.24065/2237-9460]; Friedrichsen M. A, 2020, Florianopolis, Monografia (Graduacao em Oceanografia); Galvao A. M. O., 2016, Revista Brasileira de Historia da Educacao, V16, P207; Ghilardi-Lopes N.P., 2015, Brasil. Politica Marinha, V57, P85, DOI [10.1016/j.marpol.2015.03.005, DOI 10.1016/J.MARPOL.2015.03.005]; Ghilardi-Lopes N. P., 2019, Educacao Ambiental Costeira e Marinha, P3; Gil A.C., 2002, S O PAULO; Gil A.C., 2008, M TODOS T CNICAS PES, V6a, P200; Godoy Elenilton Vieira, 2014, Educ. rev., V30, P15; Goncalves P. R, 2021, Caderno Enap, V77, P194; Guest H, 2015, MAR POLICY, V58, P98, DOI 10.1016/j.marpol.2015.04.007; Kleiman Angela., 1995, Os significados do letramento; Lacerda G., 1997, Educacao Sociedade, V18, P91; Lima G. D. C. A., 2021, Revista Multidisciplinar de Educacao e Meio Ambiente, V2, P51, DOI [10.51189/rema/1732, DOI 10.51189/REMA/1732]; Lima M. C. S., 2021, Dissertacao (Mestrado em Oceanografia Biologica, DOI [10.11606/D.21.2021.tde-16032022-102737, DOI 10.11606/D.21.2021.TDE-16032022-102737]; Maciel C. N. dos S., 2019, Monografia (Graduacao em Ciencias Biologicas); MacNeil S., 2005, Ensenanza de las Ciencias, P1; McKinley E, 2023, MAR POLLUT BULL, V186, DOI 10.1016/j.marpolbul.2022.114467; MCT-Ministerio da Ciencia e Tecnologia e Inovacoes-Ciencia no Mar. Disponivel em, 2019, ABOUT US; Menck E. V. S, 2020, Diadema, Dissertacao (Mestrado em Analise Ambiental Integrada; Moore W. J., 2015, Anthropocene or capitalocene?; Motokane M. T., 2021, Revista de Educacion en Biologia, V3, P114; Nussbaumer G. M., 2007, Teorias e politicas da cultura: visoes multidisciplinares; Pacheco J, 2018, Um compromisso etico com a educacao; Pazoto C. E., 2021, Revista de Ciencia Elementar, V9, P1, DOI [10.24927/rce2021.045, DOI 10.24927/RCE2021.045]; Pazoto C, 2023, J ENVIRON EDUC, V54, P99, DOI 10.1080/00958964.2022.2161979; Pazoto CE, 2022, OCEAN COAST MANAGE, V219, DOI 10.1016/j.ocecoaman.2022.106047; Pazoto CE, 2021, OCEAN COAST RES, V69, DOI 10.1590/2675-2824069.21008cep; Pedrini A. de G., 2009, Ambiente &amp; Educacao, V11, P63; Pedrini A.G., 2010, Revista Brasileira de Ecoturismo, V3, P428; Pedrini A. G., 2013, Pesquisa em Educacao Ambiental, V8, P59, DOI [10.18675/2177-580X. vol8.n2.p59-75, DOI 10.18675/2177-580X.VOL8.N2.P59-75]; Pedrini A. G, 2019, Coastal and marine environmental education, P19; Pedrini A. G., 2019, Educacao ambiental costeira e marinha, P87; Pedrini A. G., 2010, Educacao ambiental marinha e costeira no Brasil; Pfuetzenreuter A., 2021, Dissertacao (Mestrado em Oceanografia); Campos CRP, 2020, REMEA-REV ELETRONICA, V37, P283, DOI 10.14295/remea.v37i3.11343; Plankis B.J., 2010, INT ELECT J ENV ED, V1, P21; Portner H. -O., 2022, Contribuicao do Grupo de Trabalho II para o Sexto Relatorio de Avaliacao do Painel Intergovernamental sobre Mudancas Climaticas; Rodrigues J. T. B, 2018, Monografia (Pos-graduacao em Ciencia e Tecnologia); Rosa C, 2020, Dissertacao (Pos-Graduacao Stricto Sensu em Clima e Ambiente; Rua M. B., 2015, REV BIOCIENC, V21, P27; Santoro F., 2017, Alfabetizacao oceanica para todos: um kit de ferramentas, V80; Santoro F., 2020, Cultura Oceanica para todos-Kit Pedagogico; Santos CR, 2018, OCEAN COAST MANAGE, V164, P147, DOI 10.1016/j.ocecoaman.2017.08.011; Santos E. C. S., 1998, Cadernos de Linguagem e Sociedade, V6, P171; Santos W.L. P., 2001, Ciencia e Educacao, V7, P95; Santos Wildson Luiz Pereira dos, 2007, Rev. Bras. Educ., V12, P474; SASSERON L. H., 2011, Investigacoes em Ensino de Ciencias, V16, P59; Sasseron L. H, 2008, Tese (Doutorado; Sasseron Lúcia Helena, 2015, Ens. Pesqui. Educ. Ciênc. (Belo Horizonte), V17, P49, DOI 10.1590/1983-2117201517s04; Schoedinger S, 2005, OCEANS-IEEE, P736; Severino AJ., 2007, Metodologia do trabalho cientifico, V23; Silva A. S. S. da, 2016, Tese (Doutorado em Educacao); Silva H. J. H., 2019, Ambiente &amp; Educacao, V24, P183, DOI [10.14295/ambeduc.v24i2.9646, DOI 10.14295/AMBEDUC.V24I2.9646]; Soares M, 2018, Alfabetizacao e letramento; Soares M., 2009, Alfabetizacao e letramento na Educacao Infantil; Soares M., 1998, Letramento: um tema em tres generos, P61; Stefanelli-Silva G, 2019, FRONT MAR SCI, V6, DOI 10.3389/fmars.2019.00389; Strang C, 2007, Actual: The Journal of Marine Education, V23, P7; Teixeira Francimar Martins, 2013, Ciênc. educ. (Bauru), V19, P795, DOI 10.1590/S1516-73132013000400002; Towata N., 2013, Dissertacao; Turra A., 2021, Nocoes de Oceanografia, V36, P831; UNESCO, 2019, Lancamento do programa Cultura Oceanica no Brasil; Uyarra M. C., 2016, Boletim de Poluicao Marinha, V1, P1, DOI [10.1016/j.marpolbul.2016.02.060, DOI 10.1016/J.MARPOLBUL.2016.02.060]; Veiga-Neto Alfredo., 2003, Revista Brasileira de Educacao, n, P5; Vogt C, 2021, Ciencia e cultura, Sao Paulo, V73; VOGT Carlos., 2006, Cultura Cientifica: desafios; Worm B., 2021, Ethics in Science and Environmental Politics, V21, P1, DOI DOI 10.3354/ESEP00196; Zappes C. A., 2021, Revista Brasileira de Desenvolvimento, V7, P66513, DOI [10.34117/bjdv7n7-092, DOI 10.34117/BJDV7N7-092]</t>
  </si>
  <si>
    <t>10.5380/dma.v63i0.88097</t>
  </si>
  <si>
    <t>WOS:001189213800004</t>
  </si>
  <si>
    <t>C</t>
  </si>
  <si>
    <t>Schoedinger, S; Cava, F; Strang, C; Tuddenham, P</t>
  </si>
  <si>
    <t>Schoedinger, Sarah; Cava, Francesca; Strang, Craig; Tuddenham, Peter</t>
  </si>
  <si>
    <t>Ocean literacy through Science Standards</t>
  </si>
  <si>
    <t>OCEANS 2005, VOLS 1-3</t>
  </si>
  <si>
    <t>OCEANS-IEEE</t>
  </si>
  <si>
    <t>English</t>
  </si>
  <si>
    <t>Proceedings Paper</t>
  </si>
  <si>
    <t>Oceans 2005 Conference</t>
  </si>
  <si>
    <t>SEP 17-23, 2005</t>
  </si>
  <si>
    <t>Washington, DC</t>
  </si>
  <si>
    <t>NA</t>
  </si>
  <si>
    <t>Ocean sciences were idiosyncratically left out of the National Science Education Standards and most state standards, resulting in a decline in the public's attention to ocean issues. National Geographic Society, COSEE, NMEA, NOAA and the US Commission on Ocean Policy have all urgently called for the inclusion of the ocean in science standards as a means to increase ocean literacy nationwide. There has never been consensus, however, about what ocean literacy is and what concepts need to be included in standards to achieve it. Last fall, an on-line workshop on Ocean Literacy through Science Standards attempted to develop this consensus. This paper describes the resulting definition of ocean literacy; the essential principles; and fundamental concepts and their alignment to the National Science Education Standards.</t>
  </si>
  <si>
    <t>NOAA, Off Educ &amp; Sustainable Dev, Washington, DC 20230 USA</t>
  </si>
  <si>
    <t>National Oceanic Atmospheric Admin (NOAA) - USA</t>
  </si>
  <si>
    <t>Schoedinger, S (corresponding author), NOAA, Off Educ &amp; Sustainable Dev, Washington, DC 20230 USA.</t>
  </si>
  <si>
    <t>Tuddenham, Peter/AAI-2531-2021</t>
  </si>
  <si>
    <t>Tuddenham, Peter/0000-0001-8441-1111</t>
  </si>
  <si>
    <t>[Anonymous], 1996, NAT SCI ED STAND; *NAT GEOGR SOC, 2002, OC LIF SCOP SEQ GRAD; STEWART R, 2004, WHAT EV STUD OUGHT K; *US COMM OC POL, OC BLUEPR 21 CENT FI</t>
  </si>
  <si>
    <t>IEEE</t>
  </si>
  <si>
    <t>NEW YORK</t>
  </si>
  <si>
    <t>345 E 47TH ST, NEW YORK, NY 10017 USA</t>
  </si>
  <si>
    <t>0197-7385</t>
  </si>
  <si>
    <t>0-933957-34-3</t>
  </si>
  <si>
    <t>Engineering, Ocean; Oceanography</t>
  </si>
  <si>
    <t>Conference Proceedings Citation Index - Science (CPCI-S)</t>
  </si>
  <si>
    <t>Engineering; Oceanography</t>
  </si>
  <si>
    <t>BEQ88</t>
  </si>
  <si>
    <t>WOS:000238978700115</t>
  </si>
  <si>
    <t>McCauley, V; McHugh, P; Davison, K; Domegan, C</t>
  </si>
  <si>
    <t>McCauley, Veronica; McHugh, Patricia; Davison, Kevin; Domegan, Christine</t>
  </si>
  <si>
    <t>Collective intelligence for advancing ocean literacy</t>
  </si>
  <si>
    <t>ENVIRONMENTAL EDUCATION RESEARCH</t>
  </si>
  <si>
    <t>Ocean literacy; marine education; collective intelligence; argumentation; participatory research</t>
  </si>
  <si>
    <t>PRESERVICE TEACHERS KNOWLEDGE; HIGHER-EDUCATION; SUSTAINABILITY; ATTITUDES; BARRIERS; YOUTH; ESD</t>
  </si>
  <si>
    <t>Ocean literacy is an understanding of the ocean's influence on us and our influence on the ocean. A lack of ocean literacy presents a significant obstacle for citizens to engage in environmentally sustainable behaviour, and thus is acknowledged as a 'complex problem' that requires deliberative participation and joint-action by stakeholders across domains. The aim of the article is both to demonstrate the value of Collective Intelligence (CI) as a methodological tool to advance and enhance the promotion of environmental literacy, and to share outcomes from using the CI approach. The participatory context behind CI illustrates that working 'with' a range of stakeholders across marine education, outreach, regulation and policy, to debate how to better promote ocean literacy among young people, improves ocean literacy and broadens society's awareness of sustainable marine environments. Findings reveal a hierarchical barrier structure localised to each country, a valuable order of echelon toward environmental change.</t>
  </si>
  <si>
    <t>[McCauley, Veronica; Davison, Kevin] Natl Univ Ireland Galway, Coll Arts Social Sci &amp; Celt Studies, Sch Educ, Galway, Ireland; [McHugh, Patricia] Natl Univ Ireland Galway, Whitaker Inst, Galway, Ireland; [Domegan, Christine] Natl Univ Ireland Galway, JE Cairnes Sch Business &amp; Econ, Mkt Discipline, Galway, Ireland</t>
  </si>
  <si>
    <t>Ollscoil na Gaillimhe-University of Galway; Ollscoil na Gaillimhe-University of Galway</t>
  </si>
  <si>
    <t>McCauley, V (corresponding author), Natl Univ Ireland Galway, Coll Arts Social Sci &amp; Celt Studies, Sch Educ, Galway, Ireland.</t>
  </si>
  <si>
    <t>veronica.mccauley@nuigalway.ie</t>
  </si>
  <si>
    <t>Davison, Kevin G/K-2038-2016; McHugh, Patricia/AAH-1575-2020; Domegan, Christine T./E-1500-2018</t>
  </si>
  <si>
    <t>Davison, Kevin G/0000-0001-7419-6497; McCauley, Veronica/0000-0002-9754-3399; McHugh, Patricia/0000-0003-1888-8426; Domegan, Christine/0000-0001-7975-9041</t>
  </si>
  <si>
    <t>European Union [H2020-BG-2014-1, 652644]; H2020 Societal Challenges Programme [652644] Funding Source: H2020 Societal Challenges Programme</t>
  </si>
  <si>
    <t>European Union(European Union (EU)); H2020 Societal Challenges Programme(Horizon 2020European Union (EU)H2020 Societal Challenges Programme)</t>
  </si>
  <si>
    <t>The research leading to these results has received funding from the European Union's Horizon 2020 Framework Programme for Research and Innovation (H2020-BG-2014-1) under grant agreement No. 652644.</t>
  </si>
  <si>
    <t>[Anonymous], 22015 EEA; [Anonymous], CONT ISSUES SOCIAL M; Barbier EB, 2011, ECOL MONOGR, V81, P169, DOI 10.1890/10-1510.1; Bergold J, 2012, HIST SOC RES, V37, P191; Bolanos R., 2005, MANAGE DECIS, V43, P877, DOI [DOI 10.1108/00251740510603619, 10.1108/00251740510603619]; Bonabeau E, 2009, MIT SLOAN MANAGE REV, V50, P45; Boubonari T, 2013, J ENVIRON EDUC, V44, P232, DOI 10.1080/00958964.2013.785381; Broome B.J., 1989, MANAGE COMMUN Q, V3, P107, DOI [10.1177/0893318989003001007, DOI 10.1177/0893318989003001007]; BROOME BJ, 1992, SMALL GR RES, V23, P216, DOI 10.1177/1046496492232005; BROOME BJ, 1995, SMALL GR RES, V26, P25, DOI 10.1177/1046496495261002; Cava F., 2005, Science Content and Standards for Ocean Literacy: A Report on Ocean Literacy, P1; Chen CL, 2016, ENVIRON EDUC RES, V22, P958, DOI 10.1080/13504622.2015.1054266; CWest Churchman, 1967, Manag Sci, V14; Domegan C., 2010, IRISH J MANAGEMENT, V19, P89; Domegan C., 2018, SOCIAL MARKETING ACT; Domegan C, 2016, J MARKET MANAG-UK, V32, P1123, DOI 10.1080/0267257X.2016.1183697; Fauville G, 2019, ENVIRON EDUC RES, V25, P238, DOI 10.1080/13504622.2018.1440381; Fauville G, 2018, MAR POLICY, V91, P85, DOI 10.1016/j.marpol.2018.01.034; Fletcher S, 2007, COAST MANAGE, V35, P511, DOI 10.1080/08920750701525818; French V., 2015, Review of Ocean Literacy in European Maritime Policy; Guest H, 2015, MAR POLICY, V58, P98, DOI 10.1016/j.marpol.2015.04.007; Hamby A, 2011, SOC MARK Q, V17, P2, DOI 10.1080/15245004.2011.595538; Hastings G, 2014, SOCIAL MARKETING: FROM TUNES TO SYMPHONIES, 2ND EDITION, P300; Jones P. H., 2007, INCOSE INT S, V17, P717, DOI [10.1002/j.2334-5837.2007.tb02906.x, DOI 10.1002/J.2334-5837.2007.TB02906.X]; Layton RA, 2015, J MACROMARKETING, V35, P302, DOI 10.1177/0276146714550314; Li W, 2017, FRONT INFORM TECH EL, V18, P15, DOI 10.1631/FITEE.1601859; Lysgaard JA, 2016, ENVIRON EDUC RES, V22, P319, DOI 10.1080/13504622.2015.1108392; Markos A, 2017, ENVIRON EDUC RES, V23, P231, DOI 10.1080/13504622.2015.1126807; McHugh P., 2016, SEA CHANGE OUR EUROP; McHugh P., 2016, OUR IRISH OCEAN CONV; McKinley E, 2010, OCEAN COAST MANAGE, V53, P379, DOI 10.1016/j.ocecoaman.2010.04.012; MCLEROY KR, 1988, HEALTH EDUC QUART, V15, P351, DOI 10.1177/109019818801500401; Mogias A, 2015, J ENVIRON EDUC, V46, P251, DOI 10.1080/00958964.2015.1050955; Mora C, 2009, PLOS BIOL, V7, DOI 10.1371/journal.pbio.1000131; Sahney S, 2006, TOTAL QUAL MANAG BUS, V17, P265, DOI 10.1080/14783360500450376; Smith J., 1994, Collective Intelligence in computer-based collaboration; Sterling S, 2008, ENVIRON EDUC RES, V14, P386, DOI 10.1080/13504620802344001; Sterling S, 2008, ENVIRON EDUC RES, V14, P399, DOI 10.1080/13504620802340918; Sun JZ, 2016, SUSTAINABILITY-BASEL, V8, DOI 10.3390/su8121312; Van Poeck K, 2018, ENVIRON EDUC RES, V24, P1406, DOI 10.1080/13504622.2017.1306835; Van Poeck K, 2012, ENVIRON EDUC RES, V18, P541, DOI 10.1080/13504622.2011.633162; Warfield J.N., 1976, Societal systems: Planning, policy, and complexity; Warfield J.N., 1990, SCI GENERIC DESIGN M; Warfield J.N., 1994, Handbook of Interactive Management; Williams S, 2017, J ENVIRON EDUC, V48, P154, DOI 10.1080/00958964.2016.1256261</t>
  </si>
  <si>
    <t>ROUTLEDGE JOURNALS, TAYLOR &amp; FRANCIS LTD</t>
  </si>
  <si>
    <t>ABINGDON</t>
  </si>
  <si>
    <t>2-4 PARK SQUARE, MILTON PARK, ABINGDON OX14 4RN, OXON, ENGLAND</t>
  </si>
  <si>
    <t>1350-4622</t>
  </si>
  <si>
    <t>1469-5871</t>
  </si>
  <si>
    <t>ENVIRON EDUC RES</t>
  </si>
  <si>
    <t>Environ. Educ. Res.</t>
  </si>
  <si>
    <t>FEB 1</t>
  </si>
  <si>
    <t>10.1080/13504622.2018.1553234</t>
  </si>
  <si>
    <t>Education &amp; Educational Research; Environmental Studies</t>
  </si>
  <si>
    <t>Social Science Citation Index (SSCI)</t>
  </si>
  <si>
    <t>Education &amp; Educational Research; Environmental Sciences &amp; Ecology</t>
  </si>
  <si>
    <t>IB0VX</t>
  </si>
  <si>
    <t>Green Submitted</t>
  </si>
  <si>
    <t>WOS:000469981100008</t>
  </si>
  <si>
    <t>Tsai, LT; Sasaki, T; Wu, CK; Chang, CC</t>
  </si>
  <si>
    <t>Tsai, Liang-Ting; Sasaki, Tsuyoshi; Wu, Chin-Kuo; Chang, Cheng-Chieh</t>
  </si>
  <si>
    <t>Ocean literacy among Taiwanese and Japanese high school students</t>
  </si>
  <si>
    <t>MARINE POLICY</t>
  </si>
  <si>
    <t>Ocean literacy; Marine education policy; Taiwan; Japan</t>
  </si>
  <si>
    <t>ACHIEVEMENT; ATTITUDES</t>
  </si>
  <si>
    <t>The sea surrounds both Taiwan and Japan, but they have adopted different marine education policies. This study used the ocean literacy framework published by the National Oceanic and Atmospheric Administration to examine the ocean literacy of high school students in Taiwan and Japan. We also investigated the channels through which students acquired marine biology knowledge and whether parental education level and students' attitudes toward the ocean affected ocean literacy. Tests were administered in Japanese and Chinese to assess students' ocean literacy, attitude, and background. This study used descriptive statistics, the independent sample t-test, and multigroup structural equation modeling. Taiwanese students considerably outperformed Japanese students in ocean literacy, scoring significantly higher in five of the seven ocean literacy principles. In Taiwan, higher parental education level led to higher ocean literacy scores, but not in Japan. Access to information regarding marine biology also differed by country. These results provide a reference to high schools, teachers, and policymakers in Taiwan and Japan and can help improve curricula, learning environments, and marine education policies.</t>
  </si>
  <si>
    <t>[Tsai, Liang-Ting; Wu, Chin-Kuo; Chang, Cheng-Chieh] Natl Taiwan Ocean Univ, Inst Educ, 2 Beining Rd, Keelung City 202, Taiwan; [Tsai, Liang-Ting; Wu, Chin-Kuo; Chang, Cheng-Chieh] Natl Taiwan Ocean Univ, Ctr Teacher Educ, Taiwan Marine Educ Ctr, 2 Beining Rd, Keelung City 202, Taiwan; [Sasaki, Tsuyoshi] Tokyo Univ Marine Sci &amp; Technol, Fac Marine Sci, Dept Marine Policy &amp; Culture, Tokyo, Japan; [Tsai, Liang-Ting; Chang, Cheng-Chieh] Natl Taiwan Ocean Univ, 2 Beining Rd, Keelung City 202, Taiwan</t>
  </si>
  <si>
    <t>National Taiwan Ocean University; National Taiwan Ocean University; Tokyo University of Marine Science &amp; Technology; National Taiwan Ocean University</t>
  </si>
  <si>
    <t>Tsai, LT; Chang, CC (corresponding author), Natl Taiwan Ocean Univ, 2 Beining Rd, Keelung City 202, Taiwan.</t>
  </si>
  <si>
    <t>tsai5128@email.ntou.edu.tw; changjac@email.ntou.edu.tw</t>
  </si>
  <si>
    <t>Chang, Cheng-Chieh/ABC-9244-2020</t>
  </si>
  <si>
    <t>Chang, Cheng-Chieh/0000-0001-6371-6848</t>
  </si>
  <si>
    <t>Ministry of Science and Technology, Taiwan [MOST 108-2511-H-019-001-MY3, MOST 109-2511-H-320-004-MY3]</t>
  </si>
  <si>
    <t>Ministry of Science and Technology, Taiwan(Ministry of Science and Technology, Taiwan)</t>
  </si>
  <si>
    <t>Funding This work was supported by the Ministry of Science and Technology, Taiwan under Grants MOST 108-2511-H-019-001-MY3 and MOST 109-2511-H-320-004-MY3.</t>
  </si>
  <si>
    <t>[Anonymous], 2008, THESIS U S FLORIDA; Brennan C, 2019, FRONT MAR SCI, V6, DOI 10.3389/fmars.2019.00360; Browne MW, 1992, TESTING STRUCTURAL E, V154, P132, DOI [DOI 10.1177/0049124192021002005, 10.1167/iovs.04-1279]; Byrne BM, 2008, PSICOTHEMA, V20, P872; Caldas SJ, 1997, J EDUC RES, V90, P269, DOI 10.1080/00220671.1997.10544583; Campbell J.R., 2000, 1999 TRENDS ACAD PRO; Chang C. C., 2014, SCI ED MONTHLY, V371, P2; Chang C. C., 2016, CURRICULUM INSTRUCTI, V19, P53; Chang C.C., 2015, ED J, V43, P173; Cheung GW, 2002, STRUCT EQU MODELING, V9, P233, DOI 10.1207/S15328007SEM0902_5; European Commission, 2009, EUR ATT CLIM CHANG; Fauville G, 2019, ENVIRON EDUC RES, V25, P238, DOI 10.1080/13504622.2018.1440381; Fielding S, 2019, FRONT MAR SCI, V6, DOI 10.3389/fmars.2019.00340; FORTNER RW, 1983, OHIO J SCI, V83, P218; Kalender I, 2009, INT J SCI EDUC, V31, P1379, DOI 10.1080/09500690801992888; Kean W.F., 2004, Journal of Geoscience Education, V52, P433, DOI DOI 10.5408/1089-9995-52.5.433; Kline R. B., 2016, METHODOLOGY SOCIAL S; Kline R.B., 2015, Principles and Practice of Structural Equation Modeling; Lin YL, 2020, SUSTAINABILITY-BASEL, V12, DOI 10.3390/su12177115; Lwo LS, 2013, J RES EDUC SCI, V58, P51, DOI 10.6209/JORIES.2013.58(3).03; Markos A, 2017, ENVIRON EDUC RES, V23, P231, DOI 10.1080/13504622.2015.1126807; McKinley E, 2010, OCEAN COAST MANAGE, V53, P379, DOI 10.1016/j.ocecoaman.2010.04.012; Mohammadpour E, 2012, ASIA-PAC EDUC RES, V21, P507; Muthen L.K., 1998, THIN SOLID FILMS; Myrberg E, 2008, EDUC RES EVAL, V14, P507, DOI 10.1080/13803610802576742; National Marine Educators Association [NMEA], 2010, 3 NMEA; Nippon Foundation Ocean Policy Research Foundation, 2012, NAT SURV SIT MAR ED; Sasaki T., 2017, INT SYMP SYMB NUMERI, V817, P27; Sasaki Tsuyoshi, 2010, Journal of the Tokyo University of Marine Science and Technology, V6, P59; Schermelleh-Engel K., 2003, METHODS PSYCHOL RES, V8, P23, DOI DOI 10.1002/0470010940; Senler B, 2009, SPAN J PSYCHOL, V12, P106, DOI 10.1017/S1138741600001529; Steel BS, 2005, OCEAN COAST MANAGE, V48, P97, DOI 10.1016/j.ocecoaman.2005.01.002; Stefanelli-Silva G, 2019, FRONT MAR SCI, V6, DOI 10.3389/fmars.2019.00389; Tsai LT, 2021, ENVIRON EDUC RES, V27, P1329, DOI 10.1080/13504622.2021.1923664; Tsai LT, 2019, SUSTAINABILITY-BASEL, V11, DOI 10.3390/su11205810; Tsai LT, 2019, INT J ENV RES PUB HE, V16, DOI 10.3390/ijerph16193672; Tsai LT, 2019, ENVIRON EDUC RES, V25, P264, DOI 10.1080/13504622.2018.1542487; Tsai LT, 2015, ASIA-PAC EDUC RES, V24, P445, DOI 10.1007/s40299-014-0196-z; Wester M, 2011, ENVIRON MANAGE, V48, P70, DOI 10.1007/s00267-011-9676-6</t>
  </si>
  <si>
    <t>ELSEVIER SCI LTD</t>
  </si>
  <si>
    <t>OXFORD</t>
  </si>
  <si>
    <t>THE BOULEVARD, LANGFORD LANE, KIDLINGTON, OXFORD OX5 1GB, OXON, ENGLAND</t>
  </si>
  <si>
    <t>0308-597X</t>
  </si>
  <si>
    <t>1872-9460</t>
  </si>
  <si>
    <t>MAR POLICY</t>
  </si>
  <si>
    <t>Mar. Pol.</t>
  </si>
  <si>
    <t>APR</t>
  </si>
  <si>
    <t>10.1016/j.marpol.2023.105555</t>
  </si>
  <si>
    <t>MAR 2023</t>
  </si>
  <si>
    <t>Environmental Studies; International Relations</t>
  </si>
  <si>
    <t>Environmental Sciences &amp; Ecology; International Relations</t>
  </si>
  <si>
    <t>9W9NG</t>
  </si>
  <si>
    <t>hybrid</t>
  </si>
  <si>
    <t>WOS:000949403200001</t>
  </si>
  <si>
    <t>O'Brien, M; Freitas, C; Venzo, P; Francis, P</t>
  </si>
  <si>
    <t>O'Brien, Madi; Freitas, Catia; Venzo, Paul; Francis, Prue</t>
  </si>
  <si>
    <t>Fostering ocean literacy through informal marine education programs</t>
  </si>
  <si>
    <t>MARINE POLLUTION BULLETIN</t>
  </si>
  <si>
    <t>Ocean literacy; Informal education; Marine education; Ocean literacy principles; Great Southern Reef</t>
  </si>
  <si>
    <t>PRESERVICE TEACHERS KNOWLEDGE; ATTITUDES; STUDENTS; SCIENCE; SCHOOL; FOCUS</t>
  </si>
  <si>
    <t>Despite general interest in the concept, there is a lack of formal education systems that foster ocean literacy. Informal marine education programs may be filling this gap; where students undertake unique, immersive learning experiences connected to the marine environment. This paper consolidates information about marine education programs within Australia's temperate region - the Great Southern Reef - and evaluates the extent to which ocean literacy is being delivered through these programs under the banner of Australia's national curriculum. Using the mixed methods approach of a survey and semi-structured interviews, we found that participants are familiar with ocean literacy principles (89.4 %), and half of the informal providers (51 %) reported incorporating these principles into their education programs. We discuss the barriers to teaching and learning about ocean concepts reported by respondents, and argue that formal and informal education programs, working in tandem, can improve school curricula and promote greater ocean literacy.</t>
  </si>
  <si>
    <t>[O'Brien, Madi; Freitas, Catia; Francis, Prue] Deakin Univ, Queenscliff Marine Sci Ctr, Sch Life &amp; Environm Sci, Queenscliff, Australia; [Venzo, Paul] Deakin Univ, Sch Commun &amp; Creat Arts, Geelong Waurn Ponds Campus, Geelong, Australia; [Francis, Prue] 2A Bellarine Highway, Queenscliff, Vic 3225, Australia</t>
  </si>
  <si>
    <t>Deakin University; Deakin University</t>
  </si>
  <si>
    <t>Francis, P (corresponding author), 2A Bellarine Highway, Queenscliff, Vic 3225, Australia.</t>
  </si>
  <si>
    <t>prue.francis@deakin.edu.au</t>
  </si>
  <si>
    <t>Francis, Prudence/0000-0003-3354-0532; Freitas, Catia/0000-0002-9637-3113</t>
  </si>
  <si>
    <t>ACARA, 2019, AUSTR CURR ASS REP A; Aguayo C., 2017, Teachers and Curriculum, V17, P7, DOI [10.15663/tandc.v17i2.159, DOI 10.15663/TANDC.V17I2.159]; Ahn SJ, 2014, COMPUT HUM BEHAV, V39, P235, DOI 10.1016/j.chb.2014.07.025; Albuquerque M., 2021, CAN J ENVIRON EDUC, V24, P163; [Anonymous], 2009, LEARNING SCI INFORMA, DOI [10.17226/12190, DOI 10.17226/12190]; Bailey JO, 2015, ENVIRON BEHAV, V47, P570, DOI 10.1177/0013916514551604; Barracosa H, 2019, FRONT MAR SCI, V6, DOI 10.3389/fmars.2019.00626; Bennett S, 2016, MAR FRESHWATER RES, V67, P47, DOI 10.1071/MF15232; Berchez FAS, 2016, BRAZ J OCEANOGR, V64, DOI 10.1590/S1679-875920160932064sp2; Boubonari T, 2013, J ENVIRON EDUC, V44, P232, DOI 10.1080/00958964.2013.785381; Brennan C, 2019, FRONT MAR SCI, V6, DOI 10.3389/fmars.2019.00360; Brunner J.L., 2017, Representations of nature of science in school science textbooks: A global perspective, P135, DOI DOI 10.4324/9781315650524-7; Cahir F., 2018, Aboriginal Biocultural Knowledge in South-Eastern Australia; Carapuco MM, 2022, CONT SHELF RES, V244, DOI 10.1016/j.csr.2022.104805; Cava F., 2005, Science Content and Standards for Ocean Literacy: A Report on Ocean Literacy, P1; Costa R. L., 2021, Ocean Literacy: Understanding the Ocean, P241, DOI [10.1007/978-3-030-70155-0, DOI 10.1007/978-3-030-70155-0, https://doi.org/10.1007/978-3-030-70155-0]; Dawson V., 2011, TEACH SCI, V51, P1, DOI [10.3316/aeipt.186549, DOI 10.3316/AEIPT.186549]; Elliott JE, 2013, SCIENCE, V340, P556, DOI 10.1126/science.1235197; Etikan I., 2016, American Journal of Theoretical and Applied Statistics, V5, P1, DOI [DOI 10.11648/J.AJTAS.20160501.11, 10.11648/j.ajtas.20160501]; Fauville G., 2020, Technology and Health, P91, DOI DOI 10.1016/B978-0-12-816958-2.00005-8; Fauville G, 2021, ENVIRON EDUC RES, V27, P254, DOI 10.1080/13504622.2020.1803797; Fauville G, 2019, ENVIRON EDUC RES, V25, P238, DOI 10.1080/13504622.2018.1440381; Fitzsimons J.A., 2015, Australian Journal of Maritime &amp; Ocean Affairs, V7, P85, DOI [10.1080/18366503.2015.1014020, DOI 10.1080/18366503.2015.1014020]; Fonseca D., 2016, Proceedings of the 20th International Mindtrek Conference, P287, DOI [DOI 10.1145/2994310.2994334, 10.1145/2994310.2994334]; Ford DJ, 2006, J RES SCI TEACH, V43, P214, DOI 10.1002/tea.20095; Francis P.F., 2020, Journal of STEM Outreach, V3, P1; Francis PF, 2021, AUST J ENVIRON EDUC, V37, P167, DOI 10.1017/aee.2021.4; Freitas C, 2022, FRONT MAR SCI, V9, DOI 10.3389/fmars.2022.883524; Gardner K, 2019, FRONT EDUC, V4, DOI 10.3389/feduc.2019.00026; Gill P, 2008, BRIT DENT J, V204, P291, DOI 10.1038/bdj.2008.192; Glaser B., 2017, Discovery of Grounded Theory: Strategies for Qualitative Research, DOI DOI 10.4324/9780203793206; Gough A, 2017, MAR POLLUT BULL, V124, P633, DOI 10.1016/j.marpolbul.2017.06.069; Herrera F, 2018, PLOS ONE, V13, DOI 10.1371/journal.pone.0204494; Joyce J., 2019, MARINE I EXPLORERS E, V1st, DOI [10.1007/978-3-319-90778-9, DOI 10.1007/978-3-319-90778-9]; Kelly LB, 2018, J RES SCI TEACH, V55, P1188, DOI 10.1002/tea.21447; Lai C. S., 2021, Int J Soc Educ Sci, V3, P589, DOI [10.46328/ijonses.218, DOI 10.46328/IJONSES.218]; McKinley E, 2023, MAR POLLUT BULL, V186, DOI 10.1016/j.marpolbul.2022.114467; McMillan K, 2017, AQUAT CONSERV, V27, P162, DOI 10.1002/aqc.2820; McPherson K., 2018, Appl. Environ. Educ. Commun., V19, P129, DOI [10.1080/1533015X.2018.1533439, DOI 10.1080/1533015X.2018.1533439]; Mission Blue, 2019, GREAT SO REEF AUSTR; Mogias A, 2019, FRONT MAR SCI, V6, DOI 10.3389/fmars.2019.00396; Mogias A, 2015, J ENVIRON EDUC, V46, P251, DOI 10.1080/00958964.2015.1050955; Niedoszytko G., 2019, EXEMPLARY PRACTICES, P123; Ocean Literacy Framework, 2013, OC LIT ESS PRINC FUN; Ocean Literacy Network, 2013, OC LIT ESS PRINC FUN; OceanIQ, 2022, OCEANIQ OC LIT SURV; Pazoto CE, 2022, OCEAN COAST MANAGE, V219, DOI 10.1016/j.ocecoaman.2022.106047; Plankis B.J., 2010, INT ELECT J ENV ED, V1, P21; Rawson CH, 2014, SCHOOL SCI MATH, V114, P10, DOI 10.1111/ssm.12046; Sakurai R, 2019, ENVIRON EDUC RES, V25, P222, DOI 10.1080/13504622.2018.1436698; Santoro F., 2022, IOC Manuals and Guides, V90; Schoedinger S., 2010, NMEA Special Report, V3, P3; Sue V.M., 2007, CONDUCTING ONLINE SU; Thurstan RH, 2018, J APPL PHYCOL, V30, P1821, DOI 10.1007/s10811-017-1384-z; UNESCO, 2020, OC LIT DRAFT STRAT P; Visbeck M, 2018, NAT COMMUN, V9, DOI 10.1038/s41467-018-03158-3; Wen WC, 2013, ENVIRON EDUC RES, V19, P600, DOI 10.1080/13504622.2012.717219; Wright DS, 2022, FRONT EDUC, V7, DOI 10.3389/feduc.2022.910324; Wulff A., 2019, Exemplary Practices in Marine Science Education, P363, DOI [10.1007/978-3-319-90778-9_20, DOI 10.1007/978-3-319-90778-9_20]; Yan HF, 2021, SCI ADV, V7, DOI 10.1126/sciadv.abb6026</t>
  </si>
  <si>
    <t>PERGAMON-ELSEVIER SCIENCE LTD</t>
  </si>
  <si>
    <t>THE BOULEVARD, LANGFORD LANE, KIDLINGTON, OXFORD OX5 1GB, ENGLAND</t>
  </si>
  <si>
    <t>0025-326X</t>
  </si>
  <si>
    <t>1879-3363</t>
  </si>
  <si>
    <t>MAR POLLUT BULL</t>
  </si>
  <si>
    <t>Mar. Pollut. Bull.</t>
  </si>
  <si>
    <t>AUG</t>
  </si>
  <si>
    <t>10.1016/j.marpolbul.2023.115208</t>
  </si>
  <si>
    <t>JUN 2023</t>
  </si>
  <si>
    <t>Environmental Sciences; Marine &amp; Freshwater Biology</t>
  </si>
  <si>
    <t>Science Citation Index Expanded (SCI-EXPANDED)</t>
  </si>
  <si>
    <t>Environmental Sciences &amp; Ecology; Marine &amp; Freshwater Biology</t>
  </si>
  <si>
    <t>M7KR2</t>
  </si>
  <si>
    <t>WOS:001031973600001</t>
  </si>
  <si>
    <t>Cavas, B; Acik, S; Koc, S; Kolac, M</t>
  </si>
  <si>
    <t>Cavas, Bulent; Acik, Sermin; Koc, Simge; Kolac, Misra</t>
  </si>
  <si>
    <t>Research trends and content analysis of ocean literacy studies between 2017 and 2021</t>
  </si>
  <si>
    <t>FRONTIERS IN MARINE SCIENCE</t>
  </si>
  <si>
    <t>ocean literacy; research trends; content analysis; journal articles; web of science; scopus</t>
  </si>
  <si>
    <t>BIBLIOMETRIC ANALYSIS; INFORMATION-SYSTEMS; ECOSYSTEM SERVICES; SCIENCE-EDUCATION; MARINE; KNOWLEDGE; STUDENTS</t>
  </si>
  <si>
    <t>Ocean literacy (OL) refers to the ability of citizens to understand and explain the concepts and phenomena related to the oceans, and leads them to positive behavioral change for the protection and sustainability of the oceans. The study presents a bibliometric analysis of ocean literacy-based studies published between 2017 and 2021, in order to provide more meaningful information about (a) the academic journals that mostly publish ocean literacy studies, (b) the content analysis of the articles, (c) country rankings over the years (d) the keywords mostly used and (e) the funding source. The Web of Science (WoS) and Scopus databases were used to find ocean literacy-based articles. Seventy-nine articles from forty ocean literacy academic journals covered by WoS and Scopus were carefully selected using predefined criteria. The results revealed that most of ocean literacy-based articles were published in the Frontiers in Marine Science journal (n=23). The countries that published the most ocean literacy-based articles were UK, Italy, Canada, USA, and Portugal. Most of the studies were supported by governmental budgets (n=44). The most popular concepts in ocean literacy-based studies included Global OL Perspectives'', Sustainability, Citizen Science, Students' OL Improvement, Measuring and Evaluating Students and Teachers' OL, Stakeholders' Effects on OL, OL Based Books-iBooks-Textbooks and Individuals' Affective Domain on OL. By considering the large number of ocean literacy-based articles published in academic journals indexed in WoS and Scopus, this article can contribute significantly to ocean literacy studies and informed and responsible research, as well as to citizen input to policy development on ocean literacy.</t>
  </si>
  <si>
    <t>[Cavas, Bulent; Koc, Simge] Dokuz Eylul Univ, Buca Fac Educ, Izmir, Turkiye; [Acik, Sermin; Kolac, Misra] Dokuz Eylul Univ, Inst Marine Sci &amp; Technol, Izmir, Turkiye</t>
  </si>
  <si>
    <t>Dokuz Eylul University; Dokuz Eylul University</t>
  </si>
  <si>
    <t>Cavas, B (corresponding author), Dokuz Eylul Univ, Buca Fac Educ, Izmir, Turkiye.</t>
  </si>
  <si>
    <t>bulent.cavas@deu.edu.tr</t>
  </si>
  <si>
    <t>Koç, Simge/JZT-3596-2024</t>
  </si>
  <si>
    <t>This study was funded by Dokuz Eylul University Scientific Research Coordination Unit under grant agreement No SBA-2022-2691. [SBA-2022-2691]; Dokuz Eylul University Scientific Research Coordination Unit</t>
  </si>
  <si>
    <t>This study was funded by Dokuz Eylul University Scientific Research Coordination Unit under grant agreement No SBA-2022-2691.; Dokuz Eylul University Scientific Research Coordination Unit(Dokuz Eylul University)</t>
  </si>
  <si>
    <t>This study was funded by Dokuz Eylul University Scientific Research Coordination Unit under grant agreement No SBA-2022-2691.</t>
  </si>
  <si>
    <t>Albayrak T, 2021, TOURISM GEOGR, V23, P985, DOI 10.1080/14616688.2019.1696884; Amaratunga C., 2019, J. Ocean Technol, V14, P116; Andrews S, 2018, AUST J ENVIRON EDUC, V34, P33, DOI 10.1017/aee.2018.17; Barboza LGA, 2015, MAR POLLUT BULL, V97, P5, DOI 10.1016/j.marpolbul.2015.06.008; Apostoloumi C, 2021, MAR POLLUT BULL, V173, DOI 10.1016/j.marpolbul.2021.112936; Ashley M, 2019, FRONT MAR SCI, V6, DOI 10.3389/fmars.2019.00288; Aurélio L, 2021, FRONT MAR SCI, V8, DOI 10.3389/fmars.2021.699122; Barracosa H, 2019, FRONT MAR SCI, V6, DOI 10.3389/fmars.2019.00626; Baskerville RL, 2002, MIS QUART, V26, P1, DOI 10.2307/4132338; Boaventura D, 2021, FRONT MAR SCI, V8, DOI 10.3389/fmars.2021.675278; Brennan C, 2019, FRONT MAR SCI, V6, DOI 10.3389/fmars.2019.00360; Cappelletto M, 2021, OCEAN COAST RES, V69, DOI 10.1590/2675-2824069.21019mc; Carvalho SC, 2021, EDUC SCI, V11, DOI 10.3390/educsci11070337; Catalano AS, 2019, BIOL CONSERV, V238, DOI 10.1016/j.biocon.2019.108223; Cava F., 2005, Science Content and Standards for Ocean Literacy: A Report on Ocean Literacy, P1; Cavas B., 2015, Science Education International, V26, P573; Chambers R, 2019, FRONT MAR SCI, V6, DOI 10.3389/fmars.2019.00619; Chang CC, 2021, SUSTAINABILITY-BASEL, V13, DOI 10.3390/su13084314; Chang CC, 2019, SAGE OPEN, V9, DOI 10.1177/2158244019844085; Claudet J, 2020, ONE EARTH, V2, P34, DOI 10.1016/j.oneear.2019.10.012; Copejans E., 2012, VLIZ-Nota; Costa S, 2018, MAR POLICY, V87, P149, DOI 10.1016/j.marpol.2017.10.022; Costanza R, 1999, ECOL ECON, V31, P199, DOI 10.1016/S0921-8009(99)00079-8; Dalby O, 2021, FRONT MAR SCI, V8, DOI 10.3389/fmars.2021.610397; Darr KD, 2020, FRONT MAR SCI, V7, DOI 10.3389/fmars.2020.00159; Devenport E, 2021, MAR POLICY, V124, DOI 10.1016/j.marpol.2020.104312; Downe-Wamboldt B, 1992, Health Care Women Int, V13, P313; Drakou Evangelia G., 2017, International Journal of Biodiversity Science Ecosystem Services &amp; Management, V13, P51, DOI 10.1080/21513732.2017.1417330; Dumala H, 2021, FRONT MAR SCI, V8, DOI 10.3389/fmars.2021.626119; Dupont S, 2017, J MAR BIOL ASSOC UK, V97, P1211, DOI 10.1017/S0025315417000376; Evans K, 2021, FRONT ENV SCI-SWITZ, V9, DOI 10.3389/fenvs.2021.626532; Evans K, 2019, FRONT MAR SCI, V6, DOI 10.3389/fmars.2019.00298; Fauville G., 2019, Exemplary practices in marine science education, DOI [10.3389/fmars.2019.00006, DOI 10.3389/FMARS.2019.00006]; Fauville G, 2019, ENVIRON EDUC RES, V25, P238, DOI 10.1080/13504622.2018.1440381; Fauville G, 2018, MAR POLICY, V91, P85, DOI 10.1016/j.marpol.2018.01.034; Fauville G, 2017, INT J SCI EDUC, V39, P2151, DOI 10.1080/09500693.2017.1365184; Otero RMF, 2019, FRONT MAR SCI, V6, DOI 10.3389/fmars.2019.00646; Ferreira JC, 2021, J MAR SCI ENG, V9, DOI 10.3390/jmse9030306; Ferreira JC, 2021, EDUC SCI, V11, DOI 10.3390/educsci11020062; Fielding S, 2019, FRONT MAR SCI, V6, DOI 10.3389/fmars.2019.00340; Fox N, 2021, INT J ENV RES PUB HE, V18, DOI 10.3390/ijerph18115819; Francis PF, 2021, AUST J ENVIRON EDUC, V37, P167, DOI 10.1017/aee.2021.4; Garcia O, 2022, J SUSTAIN TOUR, V30, P2428, DOI 10.1080/09669582.2020.1850747; Heck N, 2018, SCI TOTAL ENVIRON, V639, P785, DOI 10.1016/j.scitotenv.2018.05.163; Jennex M.E., 2005, INT J KNOWL MANAG, V1, pi; Jose de Oliveira O., 2019, SCIENTOMETRICS RECEN, DOI [10.5772/intechopen.85856, DOI 10.5772/INTECHOPEN.85856]; Kasten P, 2021, FRONT MAR SCI, V8, DOI 10.3389/fmars.2021.681969; Katerattanakul P, 2006, COMMUN ACM, V49, P114, DOI 10.1145/1125944.1125950; Kelly R, 2022, REV FISH BIOL FISHER, V32, P123, DOI 10.1007/s11160-020-09625-9; Kelly R, 2019, ECOL SOC, V24, DOI 10.5751/ES-10704-240116; Kenterelidou C, 2021, SUSTAINABILITY-BASEL, V13, DOI 10.3390/su13031449; Koenigstein S, 2020, ICES J MAR SCI, V77, P1629, DOI 10.1093/icesjms/fsaa035; Kopke K, 2019, FRONT MAR SCI, V6, DOI 10.3389/fmars.2019.00060; Laffoley D, 2021, AQUAT CONSERV, V31, P1512, DOI 10.1002/aqc.3512; Lee MH, 2009, INT J SCI EDUC, V31, P1999, DOI 10.1080/09500690802314876; Lin YL, 2020, SUSTAINABILITY-BASEL, V12, DOI 10.3390/su12177115; Lucrezi S, 2019, MAR POLICY, V108, DOI 10.1016/j.marpol.2019.103645; Lucrezi S, 2018, J BIOL EDUC, V52, P391, DOI 10.1080/00219266.2017.1385509; Markos A, 2017, ENVIRON EDUC RES, V23, P231, DOI 10.1080/13504622.2015.1126807; Marrero ME, 2019, FRONT MAR SCI, V6, DOI 10.3389/fmars.2019.00325; Matabos M, 2017, METHODS ECOL EVOL, V8, P996, DOI 10.1111/2041-210X.12746; McCauley V, 2019, ENVIRON EDUC RES, V25, P280, DOI 10.1080/13504622.2018.1553234; McHugh M, 2020, TECHNOL PEDAGOG EDUC, V29, P89, DOI 10.1080/1475939X.2020.1715241; McKinley E, 2023, MAR POLLUT BULL, V186, DOI 10.1016/j.marpolbul.2022.114467; McPherson K., 2018, Appl. Environ. Educ. Commun., V19, P129, DOI [10.1080/1533015X.2018.1533439, DOI 10.1080/1533015X.2018.1533439]; McPherson K., 2018, Int. J. Learn. Teach. Educ. Res., V17, P1, DOI [10.26803/ijlter.17.11.1, DOI 10.26803/IJLTER.17.11.1]; Michalowska M, 2020, OCEANOLOGIA, V62, P565, DOI 10.1016/j.oceano.2020.03.003; Mogias A, 2021, INT RES GEOGR ENVIRO, V30, P314, DOI 10.1080/10382046.2021.1877953; Mogias A, 2019, FRONT MAR SCI, V6, DOI 10.3389/fmars.2019.00396; Mokos M, 2020, SUSTAINABILITY-BASEL, V12, DOI 10.3390/su122410647; Mokos M, 2020, MEDITERR MAR SCI, V21, P592, DOI 10.12681/mms.23400; National Marine Educators Association, 2010, Ocean Literacy Scope &amp; Sequence for Grades K-12; Network O. L., 2013, Ocean Literacy: The essential principles of ocean sciences for learners of all ages; Page MJ, 2021, J CLIN EPIDEMIOL, V134, P178, DOI 10.1016/j.jclinepi.2021.03.001; Pant E., 2019, International Information Library Review, V51, P247, DOI [10.1080/10572317.2019.1629067, DOI 10.1080/10572317.2019.1629067, https://doi.org/10.1080/10572317.2019.1629067]; Pantaleo S., 2021, Multimodal Commun, V10, P229, DOI [10.1515/mc-2020-0025, DOI 10.1515/MC-2020-0025]; Pantaleo S, 2021, LIT RES INSTR, V60, P332, DOI 10.1080/19388071.2020.1854906; Paredes-Coral E, 2021, FRONT MAR SCI, V8, DOI 10.3389/fmars.2021.648492; Payne DL, 2022, MEDITERR MAR SCI, V23, P270, DOI 10.12681/mms.27410; Pazoto CE, 2021, OCEAN COAST RES, V69, DOI 10.1590/2675-2824069.21008cep; Penca J, 2020, FRONT MAR SCI, V7, DOI 10.3389/fmars.2020.598682; Pörtner HO, 2014, CLIMATE CHANGE 2014: IMPACTS, ADAPTATION, AND VULNERABILITY, PT A: GLOBAL AND SECTORAL ASPECTS, P411; Realdon G, 2019, REND ONLINE SOC GEOL, V49, P107, DOI 10.3301/ROL.2019.59; Rölfer L, 2021, FRONT MAR SCI, V8, DOI 10.3389/fmars.2021.693373; Salazar J, 2019, FRONT MAR SCI, V6, DOI 10.3389/fmars.2019.00576; Santoro F., 2022, A new Blue Curriculum: a toolkit for policy-makers, DOI [10.25607/OBP-1882, DOI 10.25607/OBP-1882]; Schoedinger S., 2010, NMEA Special Report, V3, P3; Schoedinger S, 2005, OCEANS-IEEE, P736; Schuman C, 2021, INT J SCI EDUC PART, V11, P344, DOI 10.1080/21548455.2021.2000661; Sims RJ, 2021, INTEGR COMP BIOL, V61, P1078, DOI 10.1093/icb/icab104; Stewart A. E., 2019, J. Ocean Technol, V14, P112; Stoll-Kleemann S, 2019, FRONT MAR SCI, V6, DOI 10.3389/fmars.2019.00273; Sun JS, 2012, MAR POLLUT BULL, V64, P13, DOI 10.1016/j.marpolbul.2011.10.034; Titscher S., 2000, Methods of text and discourse analysis, DOI DOI 10.4135/9780857024480; Tranfield D, 2003, BRIT J MANAGE, V14, P207, DOI 10.1111/1467-8551.00375; Tsai CC, 2005, INT J SCI EDUC, V27, P3, DOI 10.1080/0950069042000243727; Tsai LT, 2019, SUSTAINABILITY-BASEL, V11, DOI 10.3390/su11205810; Tsai LT, 2019, INT J ENV RES PUB HE, V16, DOI 10.3390/ijerph16193672; Tsai LT, 2019, ENVIRON EDUC RES, V25, P264, DOI 10.1080/13504622.2018.1542487; Uehara T, 2020, ENVIRON DEV SUSTAIN, V22, P1599, DOI 10.1007/s10668-018-0226-8; UNESCO-IOC, 2022, State-of-the-Art of Ocean Literacy, P176; Veronica R, 2020, IEEE ACCESS, V8, P196931, DOI 10.1109/ACCESS.2020.3034438; Visbeck M, 2018, NAT COMMUN, V9, DOI 10.1038/s41467-018-03158-3; Winks L, 2020, ENVIRON EDUC RES, V26, P969, DOI 10.1080/13504622.2020.1758631; Worm B., 2021, Ethics in Science and Environmental Politics, V21, P1, DOI DOI 10.3354/ESEP00196; Zielinski T, 2021, FRONT MAR SCI, V8, DOI 10.3389/fmars.2021.619638; Zunino S, 2020, FRONT MAR SCI, V6, DOI 10.3389/fmars.2019.00823</t>
  </si>
  <si>
    <t>FRONTIERS MEDIA SA</t>
  </si>
  <si>
    <t>LAUSANNE</t>
  </si>
  <si>
    <t>AVENUE DU TRIBUNAL FEDERAL 34, LAUSANNE, CH-1015, SWITZERLAND</t>
  </si>
  <si>
    <t>2296-7745</t>
  </si>
  <si>
    <t>FRONT MAR SCI</t>
  </si>
  <si>
    <t>Front. Mar. Sci.</t>
  </si>
  <si>
    <t>OCT 2</t>
  </si>
  <si>
    <t>10.3389/fmars.2023.1200181</t>
  </si>
  <si>
    <t>U1LL4</t>
  </si>
  <si>
    <t>gold</t>
  </si>
  <si>
    <t>WOS:001082486600001</t>
  </si>
  <si>
    <t>Marrero, ME; Payne, DL; Breidahl, H</t>
  </si>
  <si>
    <t>Marrero, Meghan E.; Payne, Diana L.; Breidahl, Harry</t>
  </si>
  <si>
    <t>The Case for Collaboration to Foster Global Ocean Literacy</t>
  </si>
  <si>
    <t>ocean literacy; marine education; ocean education; marine science education; education networks</t>
  </si>
  <si>
    <t>The global ocean literacy movement began with a collaborative effort of like-minded individuals. This commentary highlights the role of marine education networks in the work of global ocean literacy, and discusses the importance of collaboration and action to promote a sustainable ocean future.</t>
  </si>
  <si>
    <t>[Marrero, Meghan E.] Mercy Coll, Ctr STEM Educ, Dobbs Ferry, NY 10522 USA; [Marrero, Meghan E.] Natl Marine Educators Assoc, College Pk, MD 20740 USA; [Payne, Diana L.] Univ Connecticut, Connecticut Sea Grant, Groton, CT USA; [Breidahl, Harry] Nautilus Educ, Rosebud, Vic, Australia</t>
  </si>
  <si>
    <t>Mercy College; University of Connecticut</t>
  </si>
  <si>
    <t>Marrero, ME (corresponding author), Mercy Coll, Ctr STEM Educ, Dobbs Ferry, NY 10522 USA.;Marrero, ME (corresponding author), Natl Marine Educators Assoc, College Pk, MD 20740 USA.</t>
  </si>
  <si>
    <t>mmarrero3@mercy.edu</t>
  </si>
  <si>
    <t>Breidahl, Harry/KIJ-2421-2024</t>
  </si>
  <si>
    <t>Payne, Diana/0000-0002-2402-8505</t>
  </si>
  <si>
    <t>[Anonymous], 2013, OCEAN LITERACY ESSEN; Cava F., 2005, Science Content and Standards for Ocean Literacy: A Report on Ocean Literacy, P1; European Commission, 2011, LESS OC LIT; Schoedinger S., 2010, NMEA Special Report, V3, P3</t>
  </si>
  <si>
    <t>JUN 21</t>
  </si>
  <si>
    <t>10.3389/fmars.2019.00325</t>
  </si>
  <si>
    <t>IE8JO</t>
  </si>
  <si>
    <t>gold, Green Published</t>
  </si>
  <si>
    <t>WOS:000472619900001</t>
  </si>
  <si>
    <t>Liu, SY; Zeng, W; Li, XY</t>
  </si>
  <si>
    <t>Liu, Shiyu; Zeng, Wei; Li, Xiyao</t>
  </si>
  <si>
    <t>Toward an integrated framework of ocean literacy: A Delphi-AHP approach</t>
  </si>
  <si>
    <t>Ocean literacy; Delphi-AHP methods; Framework</t>
  </si>
  <si>
    <t>SOCIAL-SCIENCE; MARINE; PRIORITIES; ATTITUDES; AWARENESS; STUDENTS</t>
  </si>
  <si>
    <t>A growing emphasis on ocean literacy has been mirrored in the global marine policy development. Many considerable investments have been made over the past decades by governments and non-governmental organizations to promote ocean literacy. While it is critical for policymakers to have timely feedback about the current status of the public's ocean literacy, existing literature shows a lack of assessment tools that can provide comprehensive evaluations. This study aims to construct an integrated framework of ocean literacy which can embrace both the scientific and socio-cultural components of ocean-related issues. Experts in ocean sciences and social sciences were invited to participate in two rounds of the Delphi expert consultation to establish assessment criteria. Using the Delphi-AHP methods, a two-tier framework was constructed, entailing seven Tier 1 criteria and twenty-nine Tier 2 criteria with detailed descriptors. Questionnaires were then distributed for experts to rate the importance of the criteria through pairwise comparisons. Importance weights were ranked for each of the criteria using the AHP method based on the experts' responses. The final framework can serve as a foundational reference to guide future endeavors in further incorporating ocean literacy into marine policies and regulations. It can inform policymakers, stakeholders, and marine educators to identify the relative importance when targeting the wide range of elements that ocean literacy comprises. By adopting the Delphi-AHP methods, this work makes an innovative contribution to research on ocean literacy assessment and marine policy making.</t>
  </si>
  <si>
    <t>[Liu, Shiyu; Zeng, Wei; Li, Xiyao] Ocean Univ China, Dept Educ, 238 Songling Rd, Qingdao 266100, Shandong, Peoples R China</t>
  </si>
  <si>
    <t>Ocean University of China</t>
  </si>
  <si>
    <t>Liu, SY (corresponding author), Ocean Univ China, Dept Educ, 238 Songling Rd, Qingdao 266100, Shandong, Peoples R China.</t>
  </si>
  <si>
    <t>shiyuliu@ouc.edu.cn</t>
  </si>
  <si>
    <t>liu, shiyu/JSL-3045-2023</t>
  </si>
  <si>
    <t>Liu, Shiyu/0000-0001-9331-548X</t>
  </si>
  <si>
    <t>National Social Science Fund of China [20CZX011]</t>
  </si>
  <si>
    <t>National Social Science Fund of China</t>
  </si>
  <si>
    <t>This work was supported by the National Social Science Fund of China (20CZX011) .</t>
  </si>
  <si>
    <t>Ahmad SZ, 2017, STUD HIGH EDUC, V42, P1324, DOI 10.1080/03075079.2015.1099622; American Association for the Advancement of Science, 1993, BENCHM SCI LIT; [Anonymous], 2003, Int. J. Bus.; [Anonymous], 2001, Meas Bus Excell, DOI [DOI 10.1108/EUM0000000005864, 10.1108/EUM0000000005864]; [Anonymous], 1996, National science education standards, DOI DOI 10.17226/4962; Ballantyne R., 2004, GEO J, V60, P159, DOI [https://doi.org/10.1023/B:GEJO.0000033579.19277.ff, DOI 10.1023/B:GEJO.0000033579.19277.FF]; BARNETTE JJ, 1978, EDUC RES QUART, V3, P67; Bennett NJ, 2019, COAST MANAGE, V47, P244, DOI 10.1080/08920753.2019.1564958; Bennett NJ, 2017, BIOL CONSERV, V205, P93, DOI 10.1016/j.biocon.2016.10.006; Brennan C, 2019, FRONT MAR SCI, V6, DOI 10.3389/fmars.2019.00360; Brody M.J., 1996, J ENVIRON EDUC, V27, P21; Cava F., 2005, Science Content and Standards for Ocean Literacy: A Report on Ocean Literacy, P1; Claudet J, 2021, CELL, V184, P1426, DOI 10.1016/j.cell.2021.01.055; Costa S, 2018, MAR POLICY, V87, P149, DOI 10.1016/j.marpol.2017.10.022; DALKEY N, 1969, FUTURES, V1, P408, DOI 10.1016/S0016-3287(69)80025-X; Delbecq A.L., 1975, GROUP TECHNIQUES PRO; Drake PR, 2013, SUPPLY CHAIN MANAG, V18, P3, DOI 10.1108/13598541311293140; Dupont S., 2017, Handbook on the Economics and Management of Sustainable Oceans, P519, DOI [10.4337/9781786430724, DOI 10.4337/9781786430724.00037]; Eddy TD, 2014, MAR POLICY, V46, P61, DOI 10.1016/j.marpol.2014.01.004; Fauville G, 2019, ENVIRON EDUC RES, V25, P238, DOI 10.1080/13504622.2018.1440381; Fortner R., 1991, Journal of Environmental Education, V23, P30, DOI [10.1080/00958964.1991.9943067, DOI 10.1080/00958964.1991.9943067]; Francis CE, 2016, J PHYS ACT HEALTH, V13, P214, DOI 10.1123/jpah.2014-0597; French V., 2015, Review of Ocean Literacy in European Maritime Policy; Gee K, 2017, OCEAN COAST MANAGE, V136, P139, DOI 10.1016/j.ocecoaman.2016.11.026; Gelcich S, 2014, P NATL ACAD SCI USA, V111, P15042, DOI 10.1073/pnas.1417344111; Greely T., 2008, Theses and Dissertations; Guest H, 2015, MAR POLICY, V58, P98, DOI 10.1016/j.marpol.2015.04.007; Jefferson R, 2021, FRONT MAR SCI, V8, DOI 10.3389/fmars.2021.711245; Kean W.F., 2004, Journal of Geoscience Education, V52, P433, DOI DOI 10.5408/1089-9995-52.5.433; Keeney S., 2011, The delphi technique in nursing and health research. Int J Nurs Stud, V38, P195; Kelly R, 2022, REV FISH BIOL FISHER, V32, P123, DOI 10.1007/s11160-020-09625-9; Kim M, 2013, J ENVIRON MANAGE, V128, P941, DOI 10.1016/j.jenvman.2013.06.049; Lin YL, 2020, SUSTAINABILITY-BASEL, V12, DOI 10.3390/su12177115; MacNeil S., 2021, Revista Canadense de Educacao Ambiental (CJEE), P233; Mallory TG, 2022, MAR POLICY, V144, DOI 10.1016/j.marpol.2022.105229; Markos A, 2017, ENVIRON EDUC RES, V23, P231, DOI 10.1080/13504622.2015.1126807; McKinley E, 2023, MAR POLLUT BULL, V186, DOI 10.1016/j.marpolbul.2022.114467; McKinley E., 2020, Understanding Ocean Literacy and Ocean Climate-Related Behaviour Change in the UK-Work Package 1: Evidence Synthesis; Mckinley E, 2024, GLOB CONST, V13, P25, DOI 10.1017/S204538172300014X; McKinley E, 2022, ISCIENCE, V25, DOI 10.1016/j.isci.2022.104735; McKinley E, 2019, MARITIME SPATIAL PLANNING: PAST, PRESENT, FUTURE, P151, DOI 10.1007/978-3-319-98696-8_7; Mokos M, 2022, MEDITERR MAR SCI, V23, P277, DOI 10.12681/mms.26989; Moon K, 2014, CONSERV BIOL, V28, P1167, DOI 10.1111/cobi.12326; Mukherjee N, 2015, METHODS ECOL EVOL, V6, P1097, DOI 10.1111/2041-210X.12387; National Marine Education Association (NMEA), 2020, Ocean literacy: the essential principles and fundamental concepts of ocean sciences for learners of all ages; National Research Council, 2000, PEOPLE LEARN BRAIN M; O'Halloran C, 2022, FRONT MAR SCI, V9, DOI 10.3389/fmars.2022.976006; Paredes-Coral E, 2021, FRONT MAR SCI, V8, DOI 10.3389/fmars.2021.648492; Pazoto CE, 2022, OCEAN COAST MANAGE, V219, DOI 10.1016/j.ocecoaman.2022.106047; Plankis B.J., 2010, INT ELECT J ENV ED, V1, P21; Plummer R, 2007, ECOL SOC, V12; Potts T, 2016, MAR POLICY, V72, P59, DOI 10.1016/j.marpol.2016.06.012; Ryabinin V, 2019, FRONT MAR SCI, V6, DOI 10.3389/fmars.2019.00470; Saaty T. L., 2008, INT J SERV SCI, V1, P83, DOI [10.1504/IJSSCI.2008.017590, DOI 10.1504/IJSSCI.2008.017590]; Saaty T.L., 2012, DECISION MAKING LEAD; Saaty T.L, 1990, The Analytic Hierarchy Process, V1; Saaty T.L., 1996, The Analytic Hierarchy Process; Salkind N.J., 2007, ENCY MEASUREMENT STA, V1-0, DOI [DOI 10.4135/9781412952644.N128, 10.4135/9781412952644]; Sandford BA, 2007, RES EVALUAT, V12, DOI DOI 10.7275/PDZ9-TH90; Schoedinger S., 2010, NMEA Special Report, V3, P3; Spradley J.P., 2016, PARTICIPANT OBSERVAT; Steel BS, 2015, ENVIRON MANAGE, V55, P634, DOI 10.1007/s00267-014-0419-3; Steel BS, 2005, OCEAN COAST MANAGE, V48, P97, DOI 10.1016/j.ocecoaman.2005.01.002; Sumsion T., 1998, British Journal of Occupational Therapy, V61, P153, DOI [10.1177/030802269806100403, DOI 10.1177/030802269806100403]; Teddlie C, 2007, J MIX METHOD RES, V1, P77, DOI 10.1177/2345678906292430; TERSINE RJ, 1976, BUS HORIZONS, V19, P51, DOI 10.1016/0007-6813(76)90081-1; Tsai LT, 2019, ENVIRON EDUC RES, V25, P264, DOI 10.1080/13504622.2018.1542487; Umuhire ML, 2016, MAR POLLUT BULL, V102, P289, DOI 10.1016/j.marpolbul.2015.07.067; UNESCO (United Nations of Education Scientific and Cultural Organisation), 1975, INT WORKSH ENV ED FI; Uyarra MC, 2016, MAR POLLUT BULL, V104, P1, DOI 10.1016/j.marpolbul.2016.02.060</t>
  </si>
  <si>
    <t>London</t>
  </si>
  <si>
    <t>125 London Wall, London, ENGLAND</t>
  </si>
  <si>
    <t>NOV</t>
  </si>
  <si>
    <t>10.1016/j.marpol.2023.105830</t>
  </si>
  <si>
    <t>SEP 2023</t>
  </si>
  <si>
    <t>T7CV7</t>
  </si>
  <si>
    <t>WOS:001079533300001</t>
  </si>
  <si>
    <t>Tsai, LT; Chang, CC</t>
  </si>
  <si>
    <t>Tsai, Liang-Ting; Chang, Cheng-Chieh</t>
  </si>
  <si>
    <t>Measuring ocean literacy of high school students: psychometric properties of a Chinese version of the ocean literacy scale</t>
  </si>
  <si>
    <t>Ocean literacy; item response theory; high school students</t>
  </si>
  <si>
    <t>FIT INDEXES</t>
  </si>
  <si>
    <t>This study established a Chinese scale for measuring high school students' ocean literacy. This included testing its reliability, validity, and differential item functioning (DIF) with the aim of compensating for the lack of DIF tests focusing on current scales. The construct validity and reliability were verified and tested by analyzing the established scale's items using the Rasch model, and a gender DIF test was conducted to ensure the test results' fairness when distinct groups were compared simultaneously. The results indicated that the scale established in this study is unidimensional and possesses favorable internal consistency and construct validity. The gender DIF test results indicated that several items were difficult for either female or male students to correctly answer; however, the experts and scholars discussed these items individually and suggested retaining them. The final Chinese version of the ocean literacy scale developed here comprises 48 items that can reflect high school students' understanding of ocean literacy-which helps students understand the topics of marine science encountered in real life.</t>
  </si>
  <si>
    <t>[Tsai, Liang-Ting] Natl Taiwan Ocean Univ, Taiwan Marine Educ Ctr, Keelung, Taiwan; [Chang, Cheng-Chieh] Natl Taiwan Ocean Univ, Inst Educ, Taiwan 2,Beining Rd, Keelung, Taiwan; [Chang, Cheng-Chieh] Natl Taiwan Ocean Univ, Ctr Teacher Educ, Taiwan 2,Beining Rd, Keelung, Taiwan</t>
  </si>
  <si>
    <t>National Taiwan Ocean University; National Taiwan Ocean University; National Taiwan Ocean University</t>
  </si>
  <si>
    <t>Chang, CC (corresponding author), Natl Taiwan Ocean Univ, Inst Educ, Taiwan 2,Beining Rd, Keelung, Taiwan.;Chang, CC (corresponding author), Natl Taiwan Ocean Univ, Ctr Teacher Educ, Taiwan 2,Beining Rd, Keelung, Taiwan.</t>
  </si>
  <si>
    <t>changjac@email.ntou.edu.tw</t>
  </si>
  <si>
    <t>Chang, Cheng-Chieh/0000-0001-6371-6848; Tsai, Liang-Ting/0000-0002-0806-5648</t>
  </si>
  <si>
    <t>AAAS (American Association for the Advancement of Science), 2004, AAAS SURV REP; [Anonymous], 1971, SCI EDUC, DOI DOI 10.1002/SCE.3730550105; [Anonymous], 2008, THESIS U S FLORIDA; [Anonymous], 1980, SCI CHILD; Bagozzi R.P., 1988, J ACAD MARKET SCI, V6, P74, DOI [DOI 10.1007/BF02723327, 10.1007/BF02723327]; Belden Russonello &amp; Stewart and American Viewpoint, 1999, COMM OC RES NAT SURV; Browne MW, 1992, TESTING STRUCTURAL E, V154, P132, DOI [DOI 10.1177/0049124192021002005, 10.1167/iovs.04-1279]; Chang C. C., 2014, SCI ED MONTHLY, V371, P2; Chang C. C., 2016, CURRICULUM INSTRUCTI, V19, P53; Fauville G, 2019, ENVIRON EDUC RES, V25, P238, DOI 10.1080/13504622.2018.1440381; FORNELL C, 1981, J MARKETING RES, V18, P39, DOI 10.2307/3151312; Fortner R.W., 1985, The Journal of Environmental Education, V16, P12; Guest H, 2015, MAR POLICY, V58, P98, DOI 10.1016/j.marpol.2015.04.007; Hu L., 1995, STRUCTURAL EQUATION, P76, DOI DOI 10.1080/10705519909540118; Hu LT, 1999, STRUCT EQU MODELING, V6, P1, DOI 10.1080/10705519909540118; Hu LT, 1998, PSYCHOL METHODS, V3, P424, DOI 10.1037/1082-989X.3.4.424; Jessica F. G, 2009, COMMON MISCONCEPTION; Kean W.F., 2004, Journal of Geoscience Education, V52, P433, DOI DOI 10.5408/1089-9995-52.5.433; Lwo LS, 2013, J RES EDUC SCI, V58, P51, DOI 10.6209/JORIES.2013.58(3).03; Markos A, 2017, ENVIRON EDUC RES, V23, P231, DOI 10.1080/13504622.2015.1126807; MCFADDEN DL, 1973, OCEANS, V6, P44; Ministry of Education, 2017, MAR ED POL WHIT PAP; Muthen B., 1997, Psychometrika; Muthen L. K., 1998, MPLUS USERS GUIDE; National Oceanic and Atmospheric Administration [NOAA], 2013, OC LIT ESS PRINC FUN; Plankis B.J., 2010, INT ELECT J ENV ED, V1, P21; Steel BS, 2005, OCEAN COAST MANAGE, V48, P97, DOI 10.1016/j.ocecoaman.2005.01.002; Tsai L. T., 2008, PSYCHOL TESTING, V55, P287; Wang WC, 2012, EDUC PSYCHOL MEAS, V72, P687, DOI 10.1177/0013164411426157</t>
  </si>
  <si>
    <t>10.1080/13504622.2018.1542487</t>
  </si>
  <si>
    <t>WOS:000469981100007</t>
  </si>
  <si>
    <t>Mogias, A; Boubonari, T; Kevrekidis, T</t>
  </si>
  <si>
    <t>Mogias, Athanasios; Boubonari, Theodora; Kevrekidis, Theodoros</t>
  </si>
  <si>
    <t>Examining the presence of ocean literacy principles in Greek primary school textbooks</t>
  </si>
  <si>
    <t>INTERNATIONAL RESEARCH IN GEOGRAPHICAL AND ENVIRONMENTAL EDUCATION</t>
  </si>
  <si>
    <t>Content analysis; ocean conservation; ocean literacy; primary education; science textbooks</t>
  </si>
  <si>
    <t>PRESERVICE TEACHERS KNOWLEDGE; ATTITUDES; SCIENCES</t>
  </si>
  <si>
    <t>This study aims to add to the mapping of the presence of ocean sciences issues in national curricula and textbooks worldwide, investigating the inclusion of ocean literacy principles and their fundamental concepts in Greek primary science textbooks according to the Ocean Literacy Framework. Content analysis was implemented in both textual and pictorial material. The textbook analysis revealed that although all Ocean Literacy Principles are presented to some extent in the textbooks under study, most of their supporting fundamental concepts are absent for most of the principles. Only principles 1 and 6 are well represented, while principles 4 and 7 show the weakest appearance. The alignment of the principles and concepts in the textbooks with the Scope and Sequence of the Ocean Literacy Framework showed an apparent inconsistency, revealing that they are partially represented and superficially introduced. The implications of this study add to this mapping and aim to help curriculum designers and marine educators worldwide to cooperate for the inclusion of ocean literacy topics into the curricula which will potentially lead to students' improved knowledge about the marine environment and the enhancement of their ocean literacy and responsible environmental behavior concerning ocean conservation.</t>
  </si>
  <si>
    <t>[Mogias, Athanasios; Boubonari, Theodora; Kevrekidis, Theodoros] Democritus Univ Thrace, Lab Environm Res &amp; Educ, Dept Primary Educ, Div Sci &amp; Math, GR-68131 Nea Chili, Alexandroupolis, Greece</t>
  </si>
  <si>
    <t>Democritus University of Thrace</t>
  </si>
  <si>
    <t>Mogias, A (corresponding author), Democritus Univ Thrace, Lab Environm Res &amp; Educ, Dept Primary Educ, Div Sci &amp; Math, GR-68131 Nea Chili, Alexandroupolis, Greece.</t>
  </si>
  <si>
    <t>amogias@eled.duth.gr</t>
  </si>
  <si>
    <t>Mogias, Athanasios/0000-0001-6673-7660</t>
  </si>
  <si>
    <t>[Anonymous], 2010, NMEA Special Report #3: The Ocean Literacy Campaign; [Anonymous], 2016, International Research in Geographical and Environmental Education, DOI DOI 10.1080/10382046.2016.1155321; [Anonymous], 2010, 3 NAT MAR ED ASS; Assaraf OBZ, 2005, J RES SCI TEACH, V42, P518, DOI 10.1002/tea.20061; Binns I.C., 2013, Critical Analysis of Science Textbooks, P239, DOI [10.1007/978-94-007-4168-3_12, DOI 10.1007/978-94-007-4168-3_12]; Boubonari T, 2013, J ENVIRON EDUC, V44, P232, DOI 10.1080/00958964.2013.785381; Tracana RB, 2008, INT RES GEOGR ENVIRO, V17, P199, DOI 10.1080/10382040802168289; Caravita S., 2013, CRITICAL ANAL SCI TX, P239; Caravita S., 2008, Science Education International, V19, P97; Cava F., 2005, Science Content and Standards for Ocean Literacy: A Report on Ocean Literacy, P1; Chang CH, 2019, INT RES GEOGR ENVIRO, V28, P1, DOI 10.1080/10382046.2019.1578526; Costanza R, 1999, ECOL ECON, V31, P199, DOI 10.1016/S0921-8009(99)00079-8; Downe-Wamboldt B, 1992, Health Care Women Int, V13, P313; Fauville G, 2019, ENVIRON EDUC RES, V25, P238, DOI 10.1080/13504622.2018.1440381; Fortner R., 1980, SCI EDUC, V64, P717; Gough A, 2017, MAR POLLUT BULL, V124, P633, DOI 10.1016/j.marpolbul.2017.06.069; Guest H, 2015, MAR POLICY, V58, P98, DOI 10.1016/j.marpol.2015.04.007; Hayes AF, 2007, COMMUN METHODS MEAS, V1, P77, DOI 10.1080/19312450709336664; Hoffman M., 2007, REVOLUTIONIZING EART; Institute of Educational Policy, 2014, STUDY ENV PHYS GEOGR, P2007; Kesidou S, 2002, J RES SCI TEACH, V39, P522, DOI 10.1002/tea.10035; Kim SY, 2011, INT J SCI EDUC, V33, P197, DOI 10.1080/09500690903563819; Krippendorff K., 2004, CONTENT ANAL INTRO I, DOI DOI 10.2307/2288384; Lal N., 2017, Pacific Journal of Education, V1, P47; Liu Y., 2013, Critical Analysis of Science Textbooks, P287, DOI DOI 10.1007/978-94-007-4168-3_14; Liu Y, 2016, EURASIA J MATH SCI T, V12, P1937, DOI 10.12973/eurasia.2016.1288a; Marrero M., 2010, CURRENT J MARINE ED, V26, P2; MCFADDEN DL, 1973, OCEANS, V6, P44; Mogias A, 2019, FRONT MAR SCI, V6, DOI 10.3389/fmars.2019.00396; Mogias A, 2015, J ENVIRON EDUC, V46, P251, DOI 10.1080/00958964.2015.1050955; Mora C, 2009, PLOS BIOL, V7, DOI 10.1371/journal.pbio.1000131; National Oceanic and Atmospheric Administration, 2013, 2 WEEK ON LINE WORKS; Papadimitriou F., 2000, International Research in Geographical and Environmental Education, V9, P296, DOI [https://doi.org/10.1080/10382040008667662, DOI 10.1080/10382040008667662]; Potter WJ, 1999, J APPL COMMUN RES, V27, P258, DOI 10.1080/00909889909365539; Prinou L., 2011, Evolution: Education and Outreach, V4, P275, DOI DOI 10.1007/S12052-011-0323-8; Schoedinger S., 2010, NMEA Special Report, V3, P3; Stamelos G, 2017, POLICY FUTURES EDUC, V15, P729, DOI 10.1177/1478210317721310; Stemler S., 2001, Practical Assessment, Research Evaluation, V17, DOI [10.7275/Z6FM-2E34, DOI 10.7275/Z6FM-2E34, 10.7275/z6fm-2-34, DOI 10.7275/Z6FM-2-34, 10.7275/z6fm-2e34]; Stoltman JosephP., 2002, INT RES GEOGR ENVIRO, V11, P292; Strang C., 2008, Current: The Journal of Marine Education, V24, P6; Strang C., 2007, CURRENT J MARINE ED, V23, P7, DOI DOI 10.5281/ZENODO.30563; Tyedmers P., 2018, INT J LEARNING TEACH, V17, P1; United Nations Educational Scientific and Cultural Organization (UNESCO), 2017, ED SUSTAINABLE DEV G; Weber P., 1990, BASIC CONTENT ANAL, V2nd</t>
  </si>
  <si>
    <t>1038-2046</t>
  </si>
  <si>
    <t>1747-7611</t>
  </si>
  <si>
    <t>INT RES GEOGR ENVIRO</t>
  </si>
  <si>
    <t>Int. Res. Geogr. Environ. Educ.</t>
  </si>
  <si>
    <t>SEP 29</t>
  </si>
  <si>
    <t>10.1080/10382046.2021.1877953</t>
  </si>
  <si>
    <t>JAN 2021</t>
  </si>
  <si>
    <t>Education &amp; Educational Research</t>
  </si>
  <si>
    <t>WB7KA</t>
  </si>
  <si>
    <t>WOS:000614888300001</t>
  </si>
  <si>
    <t>Kelly, R; Evans, K; Alexander, K; Bettiol, S; Corney, S; Cullen-Knox, C; Cvitanovic, C; de Salas, K; Emad, GR; Fullbrook, L; Garcia, C; Ison, S; Ling, S; Macleod, C; Meyer, A; Murray, L; Murunga, M; Nash, KL; Norris, K; Oellermann, M; Scott, J; Stark, JS; Wood, G; Pecl, GT</t>
  </si>
  <si>
    <t>Kelly, Rachel; Evans, Karen; Alexander, Karen; Bettiol, Silvana; Corney, Stuart; Cullen-Knox, Coco; Cvitanovic, Christopher; de Salas, Kristy; Emad, Gholam Reza; Fullbrook, Liam; Garcia, Carolina; Ison, Sierra; Ling, Scott; Macleod, Catriona; Meyer, Amelie; Murray, Linda; Murunga, Michael; Nash, Kirsty L.; Norris, Kimberley; Oellermann, Michael; Scott, Jennifer; Stark, Jonathan S.; Wood, Graham; Pecl, Gretta T.</t>
  </si>
  <si>
    <t>Connecting to the oceans: supporting ocean literacy and public engagement</t>
  </si>
  <si>
    <t>REVIEWS IN FISH BIOLOGY AND FISHERIES</t>
  </si>
  <si>
    <t>Communication; Education; Future seas; Interdisciplinary; Ocean literacy; Sustainable 2030</t>
  </si>
  <si>
    <t>CITIZEN SCIENCE; CLIMATE-CHANGE; MARINE CONSERVATION; PLACE ATTACHMENT; POLICY-MAKERS; KNOWLEDGE; EDUCATION; GOVERNANCE; IMPACT; PARTICIPATION</t>
  </si>
  <si>
    <t>Improved public understanding of the ocean and the importance of sustainable ocean use, or ocean literacy, is essential for achieving global commitments to sustainable development by 2030 and beyond. However, growing human populations (particularly in mega-cities), urbanisation and socio-economic disparity threaten opportunities for people to engage and connect directly with ocean environments. Thus, a major challenge in engaging the whole of society in achieving ocean sustainability by 2030 is to develop strategies to improve societal connections to the ocean. The concept of ocean literacy reflects public understanding of the ocean, but is also an indication of connections to, and attitudes and behaviours towards, the ocean. Improving and progressing global ocean literacy has potential to catalyse the behaviour changes necessary for achieving a sustainable future. As part of the Future Seas project (https://futureseas2030.org/), this paper aims to synthesise knowledge and perspectives on ocean literacy from a range of disciplines, including but not exclusive to marine biology, socio-ecology, philosophy, technology, psychology, oceanography and human health. Using examples from the literature, we outline the potential for positive change towards a sustainable future based on knowledge that already exists. We focus on four drivers that can influence and improve ocean literacy and societal connections to the ocean: (1) education, (2) cultural connections, (3) technological developments, and (4) knowledge exchange and science-policy interconnections. We explore how each driver plays a role in improving perceptions of the ocean to engender more widespread societal support for effective ocean management and conservation. In doing so, we develop an ocean literacy toolkit, a practical resource for enhancing ocean connections across a broad range of contexts worldwide.</t>
  </si>
  <si>
    <t>[Kelly, Rachel; Alexander, Karen; Corney, Stuart; Cullen-Knox, Coco; Cvitanovic, Christopher; Fullbrook, Liam; Ison, Sierra; Macleod, Catriona; Murunga, Michael; Nash, Kirsty L.; Pecl, Gretta T.] Univ Tasmania, Ctr Marine Socioecol, Hobart, Tas 7005, Australia; [Evans, Karen; Ison, Sierra] CSIRO Oceans &amp; Atmosphere, Hobart, Tas 7001, Australia; [Alexander, Karen; Corney, Stuart; Ling, Scott; Macleod, Catriona; Meyer, Amelie; Murunga, Michael; Nash, Kirsty L.; Oellermann, Michael; Pecl, Gretta T.] Inst Marine &amp; Antarctic Studies, Hobart, Tas 7001, Australia; [Bettiol, Silvana] Univ Tasmania, Coll Hlth &amp; Med, Hobart, Tas 7005, Australia; [Cullen-Knox, Coco] Univ Tasmania, Media Sch, Salamanca Sq, Battery Point, Tas 7004, Australia; [Cvitanovic, Christopher] Australian Natl Univ, Australian Natl Ctr Publ Awareness Sci, Canberra, ACT 0200, Australia; [de Salas, Kristy; Garcia, Carolina] Univ Tasmania, Sch Technol Environm &amp; Design, Hobart, Tas 7005, Australia; [Emad, Gholam Reza] Univ Tasmania Newnham, Australian Maritime Coll, Hobart, Tas 7248, Australia; [Fullbrook, Liam] Univ Tasmania, Sch Social Sci, Hobart, Tas 7005, Australia; [Murray, Linda] Massey Univ, Coll Hlth, Wellington, New Zealand; [Norris, Kimberley; Scott, Jennifer] Univ Tasmania, Sch Psychol Sci, Hobart, Tas 7005, Australia; [Oellermann, Michael] Tech Univ Munich, Aquat Syst Biol Unit, Freising Weihenstephan, Germany; [Stark, Jonathan S.] Australian Antarctic Div, Kingston, Tas 7050, Australia; [Wood, Graham] Univ Tasmania, Sch Humanities, Launceston, Tas 7250, Australia</t>
  </si>
  <si>
    <t>University of Tasmania; Commonwealth Scientific &amp; Industrial Research Organisation (CSIRO); CSIRO Oceans &amp; Atmosphere; University of Tasmania; University of Tasmania; University of Tasmania; Australian National University; University of Tasmania; University of Tasmania; University of Tasmania; Massey University; University of Tasmania; Technical University of Munich; Australian Antarctic Division; University of Tasmania</t>
  </si>
  <si>
    <t>Kelly, R (corresponding author), Univ Tasmania, Ctr Marine Socioecol, Hobart, Tas 7005, Australia.</t>
  </si>
  <si>
    <t>r.kelly@utas.edu.au</t>
  </si>
  <si>
    <t>Nash, Kirsty L/B-5456-2015; MacLeod, Catriona K/J-7176-2014; Emad, Gholam Reza/HKM-5586-2023; Fullbrook, Liam/JWP-3857-2024; Norris, Kimberley/J-7260-2014; Pecl, Gretta/D-7267-2011; bettiol, silvana/J-7606-2014; Alexander, Karen/O-7042-2017; Oellermann, Michael/G-7073-2011</t>
  </si>
  <si>
    <t>Nash, Kirsty L/0000-0003-0976-3197; Emad, Gholam Reza/0000-0001-9784-5103; Pecl, Gretta/0000-0003-0192-4339; bettiol, silvana/0000-0002-4355-4498; Alexander, Karen/0000-0001-8801-413X; Kelly, Rachel/0000-0002-8364-1836; de Salas, Kristy/0000-0002-2552-5108; Murunga, Michael/0000-0002-4163-4224; Meyer, Amelie/0000-0003-0447-795X; Oellermann, Michael/0000-0001-5392-6737</t>
  </si>
  <si>
    <t>Centre for Marine Socioecology; IMAS; CSIRO; MENZIES; College of Arts, Law and Education; College of Science and Engineering at UTAS; Snowchange from Finland; DVCR Office at UTAS; ARC Centre of Excellence for Climate Extremes [CE170100023]; Australian Research Council</t>
  </si>
  <si>
    <t>Centre for Marine Socioecology; IMAS; CSIRO(Commonwealth Scientific &amp; Industrial Research Organisation (CSIRO)); MENZIES; College of Arts, Law and Education; College of Science and Engineering at UTAS; Snowchange from Finland; DVCR Office at UTAS; ARC Centre of Excellence for Climate Extremes(Australian Research CouncilUniversity of QueenslandAustralian National UniversityUniversity of Sydney); Australian Research Council(Australian Research Council)</t>
  </si>
  <si>
    <t>This paper is part of the Future Seas project (futureseas2030.org), hosted by the Centre for Marine Socioecology at the University of Tasmania. This initiative delivers a series of journal articles addressing key challenges for the UN Decade of Ocean Science for Sustainable Development 2021-2030. The general concepts and methods applied in many of these papers were developed in large collaborative workshops involving more participants than listed as co-authors here, who we thank for their collective input. We acknowledge and pay respect to the traditional owners and custodians of sea country all around the world and recognise their collective wisdom and knowledge of our oceans and coasts. Funding for Future Seas was provided by the Centre for Marine Socioecology, IMAS, CSIRO, MENZIES and the College of Arts, Law and Education, and the College of Science and Engineering at UTAS, and Snowchange from Finland. We acknowledge support from a Research Enhancement Program grant from the DVCR Office at UTAS. A.M. acknowledges support from the ARC Centre of Excellence for Climate Extremes (CE170100023). GP was supported by An Australian Research Council Future Fellowship.</t>
  </si>
  <si>
    <t>Aburto JA, 2015, OCEAN COAST MANAGE, V116, P108, DOI 10.1016/j.ocecoaman.2015.07.008; Ainsworth GB, 2019, ECOSYST SERV, V39, DOI 10.1016/j.ecoser.2019.100992; Anderson L. W., 2001, TAXONOMY LEARNING TE; [Anonymous], 2006, Literacy for life: EFA Global monitoring report - 2006; [Anonymous], 2018, Learning Through Citizen Science: Enhancing Opportunities by Design; [Anonymous], 2017, Media, technology and everyday life in Europe: From information to communication; [Anonymous], 2019, SPECIAL REPORT OCEAN; Ashley M, 2019, FRONT MAR SCI, V6, DOI 10.3389/fmars.2019.00288; Bamberg S, 2007, J ENVIRON PSYCHOL, V27, P14, DOI 10.1016/j.jenvp.2006.12.002; Bangay C, 2010, INT J EDUC DEV, V30, P359, DOI 10.1016/j.ijedudev.2009.11.011; Barnosky AD., 2016, Elementa: Science of the Anthropocene, V4; Barton CC, 2019, POLICY FUTURES EDUC, V17, P1024, DOI 10.1177/1478210319831569; Basile S., 2016, COOL AIR CONDITIONIN; Bayliss-Brown, 2016, GEOPHYS RES ABSTRACT; Beaumont NJ, 2019, MAR POLLUT BULL, V142, P189, DOI 10.1016/j.marpolbul.2019.03.022; Bennett NJ, 2014, MAR POLICY, V50, P96, DOI 10.1016/j.marpol.2014.05.005; Benway HM, 2019, FRONT MAR SCI, V6, DOI 10.3389/fmars.2019.00393; Berchez, 2019, COASTAL MARINE ENV E; Blum N, 2013, ENVIRON EDUC RES, V19, P206, DOI 10.1080/13504622.2013.780588; Bonney R, 2016, PUBLIC UNDERST SCI, V25, P2, DOI 10.1177/0963662515607406; Borja A, 2020, FRONT MAR SCI, V6, DOI 10.3389/fmars.2019.00837; Botchwey ND, 2019, J AM PLANN ASSOC, V85, P255, DOI 10.1080/01944363.2019.1616319; Bratman GN, 2019, SCI ADV, V5, DOI 10.1126/sciadv.aax0903; Brennan C, 2019, FRONT MAR SCI, V6, DOI 10.3389/fmars.2019.00360; Brennan RE, 2018, OCEAN COAST MANAGE, V162, P110, DOI 10.1016/j.ocecoaman.2018.01.036; Brossard D, 2005, INT J SCI EDUC, V27, P1099, DOI 10.1080/09500690500069483; Brown G, 2007, APPL GEOGR, V27, P89, DOI 10.1016/j.apgeog.2006.11.002; Cash DW, 2003, P NATL ACAD SCI USA, V100, P8086, DOI 10.1073/pnas.1231332100; Catalano AS, 2019, BIOL CONSERV, V238, DOI 10.1016/j.biocon.2019.108223; Cava, 2005, NATL MARINE EDUCTORS; Cigliano JA, 2015, OCEAN COAST MANAGE, V115, P77, DOI 10.1016/j.ocecoaman.2015.06.012; Clarke B, 2013, OCEAN COAST MANAGE, V86, P88, DOI 10.1016/j.ocecoaman.2013.02.009; Clarke J, 2020, J ENVIRON POL PLAN, V22, P170, DOI 10.1080/1523908X.2019.1680276; Costa S, 2018, MAR POLICY, V87, P149, DOI 10.1016/j.marpol.2017.10.022; Cox DTC, 2017, LANDSCAPE URBAN PLAN, V160, P79, DOI 10.1016/j.landurbplan.2016.12.006; Crall AW, 2013, PUBLIC UNDERST SCI, V22, P745, DOI 10.1177/0963662511434894; Crouch F., 2019, MARINE ED COOPERATIO; Cvitanovic C, 2015, OCEAN COAST MANAGE, V112, P25, DOI 10.1016/j.ocecoaman.2015.05.002; Cvitanovic C, 2018, NAT COMMUN, V9, DOI 10.1038/s41467-018-05977-w; Danielsen F, 2014, CONSERV LETT, V7, P12, DOI 10.1111/conl.12024; David-Chavez DM, 2018, ENVIRON RES LETT, V13, DOI 10.1088/1748-9326/aaf300; Day JC, 2017, COAST MANAGE, V45, P470, DOI 10.1080/08920753.2017.1373452; Dierking LD, 2003, J RES SCI TEACH, V40, P108, DOI 10.1002/tea.10066; Duarte CM, 2020, NATURE, V580, P39, DOI 10.1038/s41586-020-2146-7; Dubickas K, 2017, OCEANOGRAPHY, V30, P10, DOI 10.5670/oceanog.2017.403; Eagle L, 2016, MAR POLLUT BULL, V107, P324, DOI 10.1016/j.marpolbul.2016.03.040; Ellwood ER, 2017, BIOL CONSERV, V208, P1, DOI 10.1016/j.biocon.2016.10.014; Evans MC, 2018, PALGR COMMUN, V4, DOI 10.1057/s41599-018-0144-2; Evans MC, 2017, NAT ECOL EVOL, V1, P1588, DOI 10.1038/s41559-017-0345-x; Fauville G.D., 2018, EXEMPLARY PRACTICES; Fauville G, 2019, ENVIRON EDUC RES, V25, P238, DOI 10.1080/13504622.2018.1440381; Otero RMF, 2019, FRONT MAR SCI, V6, DOI 10.3389/fmars.2019.00646; Fielding S, 2019, FRONT MAR SCI, V6, DOI 10.3389/fmars.2019.00340; Fletcher S, 2009, MAR POLICY, V33, P370, DOI 10.1016/j.marpol.2008.08.004; Ford JD, 2016, NAT CLIM CHANGE, V6, P349, DOI 10.1038/NCLIMATE2954; Ford JD, 2016, WIRES CLIM CHANGE, V7, P175, DOI 10.1002/wcc.376; Forrester TD, 2017, BIOL CONSERV, V208, P98, DOI 10.1016/j.biocon.2016.06.025; Friedlander AM, 2018, MAR POLLUT BULL, V135, P139, DOI 10.1016/j.marpolbul.2018.05.064; Fulton EA, 2011, FISH FISH, V12, P2, DOI 10.1111/j.1467-2979.2010.00371.x; Gal T, 2017, CHILD YOUTH SERV REV, V79, P57, DOI 10.1016/j.childyouth.2017.05.029; Garrett JK, 2019, HEALTH PLACE, V55, P100, DOI 10.1016/j.healthplace.2018.11.003; Gascon M, 2017, INT J HYG ENVIR HEAL, V220, P1207, DOI 10.1016/j.ijheh.2017.08.004; Gelcich S, 2014, P NATL ACAD SCI USA, V111, P15042, DOI 10.1073/pnas.1417344111; Gibbs SE, 2019, MAR BIODIVERS, V49, P2021, DOI 10.1007/s12526-019-00952-0; Gough A, 2017, MAR POLLUT BULL, V124, P633, DOI 10.1016/j.marpolbul.2017.06.069; Green, 2006, CSIRO MAR ATMOS RES, V011, P14; GSMA, 2018, MOBILE EC 2018; Guess A, 2019, SCI ADV, V5, DOI 10.1126/sciadv.aau4586; Gurney GG, 2017, P NATL ACAD SCI USA, V114, P10077, DOI 10.1073/pnas.1712125114; Hartley BL, 2015, MAR POLLUT BULL, V90, P209, DOI 10.1016/j.marpolbul.2014.10.049; Hecker S, 2018, CITIZEN SCIENCE, P445; Hobart, 2019, J T AM STUD, V10, P1; Hoegh-Guldberg O, 2010, SCIENCE, V328, P1523, DOI 10.1126/science.1189930; Hornsey MJ, 2016, GLOBAL ENVIRON CHANG, V39, P26, DOI 10.1016/j.gloenvcha.2016.04.003; Hyder K, 2015, MAR POLICY, V59, P112, DOI 10.1016/j.marpol.2015.04.022; Illingworth S., 2017, SEMINARS CELL DEV BI; Jansson, 1994, BIODIVERSITY CONSERV; Johnson MF, 2014, GLOBAL ENVIRON CHANG, V29, P235, DOI 10.1016/j.gloenvcha.2014.10.006; Jose S, 2017, INT J SCI EDUC PART, V7, P269, DOI 10.1080/21548455.2016.1272144; Jouffray JB, 2020, ONE EARTH, V2, P43, DOI 10.1016/j.oneear.2019.12.016; Kelly R, 2020, PHILOS T R SOC B, V375, DOI 10.1098/rstb.2019.0461; Kelly R, 2019, ECOL SOC, V24, DOI 10.5751/ES-10704-240116; Kelly R, 2018, FRONT MAR SCI, V5, DOI 10.3389/fmars.2018.00414; Kikiloi K, 2017, COAST MANAGE, V45, P436, DOI 10.1080/08920753.2017.1373450; Komugabe-Dixson AF, 2019, ECOSYST SERV, V39, DOI 10.1016/j.ecoser.2019.100973; Koomen MH, 2018, SCI EDUC, V102, P593, DOI 10.1002/sce.21335; Kopke K, 2019, FRONT MAR SCI, V6, DOI 10.3389/fmars.2019.00060; Kothari A., 2008, Parks, V17, P23; Krathwohl, 1956, HDB CONGNITIVE DOMAI; Lahoz-Monfort JJ, 2019, BIOSCIENCE, V69, P823, DOI 10.1093/biosci/biz090; Laranjo, 2015, MHEALTH TECHNOLOGIES; Lavers JL, 2017, P NATL ACAD SCI USA, V114, P6052, DOI 10.1073/pnas.1619818114; Lazarow N., 2008, Tourism in Marine Environments, V5, P145, DOI DOI 10.3727/154427308787716749; Lee, 2019, CULT GEOGR, V1; Lee JJ, 2013, SIMULAT GAMING, V44, P349, DOI 10.1177/1046878112470539; Leicht A., 2018, ISSUES TRENDS ED SUS; Lewandowsky S, 2017, J APPL RES MEM COGN, V6, P353, DOI 10.1016/j.jarmac.2017.07.008; Li WC, 2016, SCI TOTAL ENVIRON, V566, P333, DOI 10.1016/j.scitotenv.2016.05.084; Locock KES, 2017, RECYCLED PLASTICS MA; Martin L, 2020, J ENVIRON PSYCHOL, V68, DOI 10.1016/j.jenvp.2020.101389; Martin VY, 2016, BIOSCIENCE, V66, P683, DOI 10.1093/biosci/biw070; McAfee D, 2019, BIOSCIENCE, V69, P274, DOI 10.1093/biosci/biz019; McCauley V, 2019, ENVIRON EDUC RES, V25, P280, DOI 10.1080/13504622.2018.1553234; McKinley E, 2019, MARITIME SPATIAL PLANNING: PAST, PRESENT, FUTURE, P151, DOI 10.1007/978-3-319-98696-8_7; McKinley E, 2012, MAR POLICY, V36, P839, DOI 10.1016/j.marpol.2011.11.001; McKinley E, 2010, OCEAN COAST MANAGE, V53, P379, DOI 10.1016/j.ocecoaman.2010.04.012; McPherson KL., 2018, INT J LEARN TEACH ED, V17, P11; Meadow AM, 2015, WEATHER CLIM SOC, V7, P179, DOI 10.1175/WCAS-D-14-00050.1; Medema W, 2019, WATER-SUI, V11, DOI 10.3390/w11122562; Mihailidis P, 2017, AM BEHAV SCI, V61, P441, DOI 10.1177/0002764217701217; Mogias A, 2019, FRONT MAR SCI, V6, DOI 10.3389/fmars.2019.00396; Moltmann T, 2019, FRONT MAR SCI, V6, DOI 10.3389/fmars.2019.00291; Moreton SG, 2019, J ENVIRON PSYCHOL, V65, DOI 10.1016/j.jenvp.2019.101332; Mustonen, 2019, J OCEAN TECHNOL, V14, P126; NASH KL, 2021, REV FISH BIOL FISHER; Nichols W.J., 2014, BLUE MIND SURPRISING; NOAA, 2019, PAPAHANAUMOKUAKEA MA; Norstrom AV, 2020, NAT SUSTAIN, V3, P182, DOI 10.1038/s41893-019-0448-2; Nursey-Bray M, 2018, OCEAN COAST MANAGE, V151, P1, DOI 10.1016/j.ocecoaman.2017.10.031; Owens KA, 2018, MAR POLLUT BULL, V127, P804, DOI 10.1016/j.marpolbul.2017.10.004; Pahl S, 2017, NAT HUM BEHAV, V1, P697, DOI 10.1038/s41562-017-0204-4; Parsons ECM, 2016, FRONT MAR SCI, V3, DOI 10.3389/fmars.2016.00229; Pecl GT, 2019, FRONT MAR SCI, V6, DOI 10.3389/fmars.2019.00349; Pecl GT, 2017, SCIENCE, V355, DOI 10.1126/science.aai9214; Pendleton L, 2020, P NATL ACAD SCI USA, V117, P9652, DOI 10.1073/pnas.2005485117; Pergams ORW, 2008, P NATL ACAD SCI USA, V105, P2295, DOI 10.1073/pnas.0709893105; PewOceansCommission, 2003, AMERICAS LIVING OCEA; Pittman SJ, 2019, MAR POLICY, V103, P160, DOI 10.1016/j.marpol.2019.02.012; Poloczanska ES, 2016, FRONT MAR SCI, V3, DOI 10.3389/fmars.2016.00062; Poushter J., 2016, Pew Research Center: Global Attitudes Trends; Riviere F., 2009, Investing in Cultural Diversity and Intercultural Dialogue, V2; Robinson LD., 2012 FINAL REPORT BE; Roos, 2013, IFLA 2013 SHAR WISD; Rousseau, 2019, P NATL ACAD SCI; Roy M, 2018, LANDSCAPE URBAN PLAN, V180, P282, DOI 10.1016/j.landurbplan.2017.11.011; Sampang, 2005, ETHNOICTHYOLOGY CONS; Santoro F., 2017, IOC MANUALS GUIDES, V80; Scheufele DA, 2019, P NATL ACAD SCI USA, V116, P7662, DOI 10.1073/pnas.1805871115; Schmidt KM., 2017, Science Educator, V25, P126; Schoedinger S., 2010, 3 NMEA; Schoedinger S, 2005, OCEANS-IEEE, P736; Schubel J. R., 2008, OCEANS; Schuldt JP, 2016, PHILOS T R SOC B, V371, DOI 10.1098/rstb.2015.0214; Serra-Gonçalves C, 2019, ENVIRON SCI TECHNOL, V53, P12158, DOI 10.1021/acs.est.9b01424; Shirk J., 2015, INFORM FRAMEWORK CIT; Sloan J, 2016, MAR POLICY, V72, P76, DOI 10.1016/j.marpol.2016.06.019; Soares M., 1998, OCEAN OUR FUTURE; Song ZN, 2019, J BUS RES, V105, P168, DOI 10.1016/j.jbusres.2019.08.001; Stafford R, 2019, MAR POLICY, V103, P187, DOI 10.1016/j.marpol.2019.02.003; Stewart BD, 2020, FRONT MAR SCI, V7, DOI 10.3389/fmars.2020.00076; Stoll-Kleemann S, 2019, FRONT MAR SCI, V6, DOI 10.3389/fmars.2019.00273; Thornton TF, 2012, ECOL SOC, V17, DOI 10.5751/ES-04714-170308; Truong MXA, 2020, BIOL CONSERV, V244, DOI 10.1016/j.biocon.2020.108532; UN, 2019, DIGITAL EC REPORT 20; UN, 2018, THE WORLDS CITIES 20; UN, 2018, IOC EXECUTIVE COUNCI; van der Mheen M, 2019, J GEOPHYS RES-OCEANS, V124, P2571, DOI 10.1029/2018JC014806; van der Molen F, 2015, OCEAN COAST MANAGE, V106, P49, DOI 10.1016/j.ocecoaman.2015.01.012; van Putten IE, 2018, ECOL SOC, V23, DOI 10.5751/ES-10504-230404; Villarrubia-Gómez P, 2018, MAR POLICY, V96, P213, DOI 10.1016/j.marpol.2017.11.035; Vince J, 2018, FRONT MAR SCI, V5, DOI 10.3389/fmars.2018.00214; Vince J, 2017, RESTOR ECOL, V25, P123, DOI 10.1111/rec.12388; Vromen A, 2010, YOUNG, V18, P97, DOI 10.1177/110330880901800107; Walsh JC, 2019, J ENVIRON MANAGE, V250, DOI 10.1016/j.jenvman.2019.109481; Wiener C.S., 2015, Journal of Environmental Studies and Sciences, P1, DOI [10.1007/s13412-015-0272-6, DOI 10.1007/S13412-015-0272-6]; Wirthmann, 2011, DIGITAL DIVIDE COMPU; Wu JS, 2015, NAT CLIM CHANGE, V5, P413, DOI 10.1038/NCLIMATE2566; Wulff A., 2019, BRING THE OCEAN TO T; Young JC, 2013, BIOL CONSERV, V158, P359, DOI 10.1016/j.biocon.2012.08.018; ZARDO P, 2018, PLOS ONE, V13; Zurba M, 2014, LOCAL ENVIRON, V19, P821, DOI 10.1080/13549839.2013.792051</t>
  </si>
  <si>
    <t>SPRINGER</t>
  </si>
  <si>
    <t>DORDRECHT</t>
  </si>
  <si>
    <t>VAN GODEWIJCKSTRAAT 30, 3311 GZ DORDRECHT, NETHERLANDS</t>
  </si>
  <si>
    <t>0960-3166</t>
  </si>
  <si>
    <t>1573-5184</t>
  </si>
  <si>
    <t>REV FISH BIOL FISHER</t>
  </si>
  <si>
    <t>Rev. Fish. Biol. Fish.</t>
  </si>
  <si>
    <t>MAR</t>
  </si>
  <si>
    <t>SI</t>
  </si>
  <si>
    <t>10.1007/s11160-020-09625-9</t>
  </si>
  <si>
    <t>FEB 2021</t>
  </si>
  <si>
    <t>Fisheries; Marine &amp; Freshwater Biology</t>
  </si>
  <si>
    <t>Science Citation Index Expanded (SCI-EXPANDED); Social Science Citation Index (SSCI)</t>
  </si>
  <si>
    <t>ZU7BD</t>
  </si>
  <si>
    <t>Green Published, Bronze</t>
  </si>
  <si>
    <t>WOS:000616874100001</t>
  </si>
  <si>
    <t>Tsai, LT</t>
  </si>
  <si>
    <t>Tsai, Liang-Ting</t>
  </si>
  <si>
    <t>Multilevel Effects of Student and School Factors on Senior High School Students' Ocean Literacy</t>
  </si>
  <si>
    <t>SUSTAINABILITY</t>
  </si>
  <si>
    <t>ocean literacy; environmental education; hierarchical linear model; attitude toward ocean; senior high school</t>
  </si>
  <si>
    <t>ACHIEVEMENT; MODELS</t>
  </si>
  <si>
    <t>This study explored the variance in ocean literacy accounted for by student and school levels and examined the influence of these two predictors on senior high school students' ocean literacy using a hierarchical linear model. Data were collected from 1944 students from 99 schools and used to construct the two-level hierarchical linear model. The results indicated that the variance in ocean literacy accounted for by students was larger than that accounted for by schools; approximately a quarter of the total variance in ocean literacy was accounted for by schools. At the student level, attitude toward the ocean and frequency of reading ocean-themed books or magazines were predictors of ocean literacy, whereas at the school level, school region and location were significant influential factors. This study's results have significance for policy-making regarding ocean literacy improvement.</t>
  </si>
  <si>
    <t>[Tsai, Liang-Ting] Natl Taiwan Ocean Univ, Taiwan Marine Educ Ctr, Keelung 20224, Taiwan</t>
  </si>
  <si>
    <t>National Taiwan Ocean University</t>
  </si>
  <si>
    <t>Tsai, LT (corresponding author), Natl Taiwan Ocean Univ, Taiwan Marine Educ Ctr, Keelung 20224, Taiwan.</t>
  </si>
  <si>
    <t>liangting.tsai@gmail.com</t>
  </si>
  <si>
    <t>Tsai, Liang-Ting/0000-0002-0806-5648</t>
  </si>
  <si>
    <t>Ministry of Science Technology [MOST-107-2515-H-019-002-MY2, MOST-105-2511-S-019-001]</t>
  </si>
  <si>
    <t>Ministry of Science Technology</t>
  </si>
  <si>
    <t>This research was funded by [Ministry of Science Technology] grant number [MOST-107-2515-H-019-002-MY2] and [MOST-105-2511-S-019-001].</t>
  </si>
  <si>
    <t>[Anonymous], 2008, THESIS U S FLORIDA; Bagozzi R.P., 1988, J ACAD MARKET SCI, V6, P74, DOI [DOI 10.1007/BF02723327, 10.1007/BF02723327]; Beck F. D., 2005, Journal of Research in Rural Education, V20, P1; Browne MW, 1992, TESTING STRUCTURAL E, V154, P132, DOI [DOI 10.1177/0049124192021002005, 10.1167/iovs.04-1279]; Campbell J., NAEP 1999 TRENDS ACA; Chang C. C., 2014, SCI ED MONTHLY, V371, P2; Chang C.C., 2015, ED J, V43, P173; Chen H.- L., 2007, Bulletin of Educational Research, V53, P1, DOI [10.6910/BER.200709_(53-3).0001, DOI 10.6910/BER.200709_(53-3).0001]; Collste D, 2017, SUSTAIN SCI, V12, P921, DOI 10.1007/s11625-017-0457-x; FORNELL C, 1981, J MARKETING RES, V18, P39, DOI 10.2307/3151312; FORTNER RW, 1983, OHIO J SCI, V83, P218; Fu Y.C., 2018, TAIWAN SOCIAL CHANGE; Hox Joop J., 2017, MULTILEVEL ANAL TECH; Hu LT, 1999, STRUCT EQU MODELING, V6, P1, DOI 10.1080/10705519909540118; Huang MH., 2015, B ED RES, V61, P33; Jabor M.K., 2011, P 2011 INT C SOC SCI; Kalender I, 2009, INT J SCI EDUC, V31, P1379, DOI 10.1080/09500690801992888; Kean W.F., 2004, Journal of Geoscience Education, V52, P433, DOI DOI 10.5408/1089-9995-52.5.433; Kyei K A., 2014, Journal of Emerging Trends in Educational Research and Policy Studies, V5, P83; Lamb S., 2001, CLASSROOM SCH FACTOR; Lwo LS, 2013, J RES EDUC SCI, V58, P51, DOI 10.6209/JORIES.2013.58(3).03; Mullis I.V.S., 2012, CREATING INTERPRETIN; National Marine Educators Association, 2010, Ocean Literacy Scope &amp; Sequence for Grades K-12; Nippon Foundation Ocean Policy Research Foundation, 2012, NAT SURV SIT MAR ED; Senler B, 2009, SPAN J PSYCHOL, V12, P106, DOI 10.1017/S1138741600001529; Steel BS, 2005, OCEAN COAST MANAGE, V48, P97, DOI 10.1016/j.ocecoaman.2005.01.002; Tsai L.T., 2018, P 2018 JAP GEOSC UN; Tsai LT, 2019, ENVIRON EDUC RES, V25, P264, DOI 10.1080/13504622.2018.1542487; Tsai LT, 2015, INT J SCI EDUC, V37, P1166, DOI 10.1080/09500693.2015.1022625; Waltner EM, 2019, SUSTAINABILITY-BASEL, V11, DOI 10.3390/su11061717; Zelezny LC, 2000, J SOC ISSUES, V56, P443, DOI 10.1111/0022-4537.00177</t>
  </si>
  <si>
    <t>MDPI</t>
  </si>
  <si>
    <t>BASEL</t>
  </si>
  <si>
    <t>ST ALBAN-ANLAGE 66, CH-4052 BASEL, SWITZERLAND</t>
  </si>
  <si>
    <t>2071-1050</t>
  </si>
  <si>
    <t>SUSTAINABILITY-BASEL</t>
  </si>
  <si>
    <t>Sustainability</t>
  </si>
  <si>
    <t>10.3390/su11205810</t>
  </si>
  <si>
    <t>Green &amp; Sustainable Science &amp; Technology; Environmental Sciences; Environmental Studies</t>
  </si>
  <si>
    <t>Science &amp; Technology - Other Topics; Environmental Sciences &amp; Ecology</t>
  </si>
  <si>
    <t>JP6US</t>
  </si>
  <si>
    <t>WOS:000498398900266</t>
  </si>
  <si>
    <t>Markos, A; Boubonari, T; Mogias, A; Kevrekidis, T</t>
  </si>
  <si>
    <t>Markos, Angelos; Boubonari, Theodora; Mogias, Athanasios; Kevrekidis, Theodoros</t>
  </si>
  <si>
    <t>Measuring ocean literacy in pre-service teachers: psychometric properties of the Greek version of the Survey of Ocean Literacy and Experience (SOLE)</t>
  </si>
  <si>
    <t>ocean literacy; SOLE; Rasch analysis</t>
  </si>
  <si>
    <t>SCIENCE-EDUCATION; MARINE; ATTITUDES; CONDENSATION; EVAPORATION; GUIDELINES; CLASSROOM; KNOWLEDGE</t>
  </si>
  <si>
    <t>The aim of the present study was to respond to the increasing demand for comprehensive tools for the measurement of ocean literacy, by investigating the psychometric characteristics of a Greek version of the Survey of Ocean Literacy and Experience (SOLE), an instrument that assesses conceptual understanding of general ocean sciences content, focusing on the knowledge component. Four hundred twenty-one pre-service primary school teachers participated in a cross-sectional study. The dichotomous Rasch model was used to examine the measurement properties of the SOLE, namely, person-item targeting and separation, reliability, dimensionality and differential item functioning (DIF). Steps were taken to improve the instrument, where any of these attributes were outside acceptable ranges. Results suggested that a modified SOLE showed an adequate fit to the Rasch model, is unidimensional, free of DIF, and is particularly well-suited to the population under study. Our findings suggest that the SOLE constitutes a valuable tool which can be applied to a different cultural context and population. The proposed use of the instrument could contribute to the assessment of the quality of marine education in school-based and non-formal education contexts and to the cross-cultural comparison of ocean literacy, which are prerequisites for the improvement of ocean literacy.</t>
  </si>
  <si>
    <t>[Markos, Angelos] Democritus Univ Thrace, Dept Primary Educ, Data Anal, Alexandroupolis, Greece; [Boubonari, Theodora] Democritus Univ Thrace, Dept Primary Educ, Alexandroupolis, Greece; [Mogias, Athanasios] Democritus Univ Thrace, Dept Primary Educ, Environm Educ, Alexandroupolis, Greece; [Kevrekidis, Theodoros] Democritus Univ Thrace, Dept Primary Educ, Marine Biol, Alexandroupolis, Greece</t>
  </si>
  <si>
    <t>Democritus University of Thrace; Democritus University of Thrace; Democritus University of Thrace; Democritus University of Thrace</t>
  </si>
  <si>
    <t>Markos, A (corresponding author), Democritus Univ Thrace, Dept Primary Educ, Data Anal, Alexandroupolis, Greece.</t>
  </si>
  <si>
    <t>amarkos@eled.duth.gr</t>
  </si>
  <si>
    <t>Markos, Angelos/N-9310-2013; Pimentel, Priscilla/AAG-6402-2019; Napierala, Joanna/AAU-1256-2020</t>
  </si>
  <si>
    <t>Markos, Angelos/0000-0002-4204-3573;</t>
  </si>
  <si>
    <t>[Anonymous], 2008, THESIS U S FLORIDA; [Anonymous], 2014, Ph.D. thesis), Ph.D. thesis; [Anonymous], 2001, Marine Pollution; [Anonymous], 1980, SCI CHILD; [Anonymous], 1991, FUNDAMENTALS ITEM RE; Baghaei P., 2008, Rasch Measurement Transactions, V22, P1145; Ballantyne R., 2004, GeoJournal, V60, P159, DOI [DOI 10.1023/B:GEJO.0000033579.19277.FF, https://doi.org/10.1023/B:GEJO.0000033579.19277.ff]; Ben-zvi-Assarf O., 2005, J GEOSCIENCE ED, V53, P366, DOI [10.5408/1089-9995-53.4.366, DOI 10.5408/1089-9995-53.4.366]; Bond T. G., 2007, Applying the Rasch Model: fundamental measurement in the human sciences, V2nd; Boone W.J., 2014, RASCH ANAL HUMAN SCI, V1st, DOI DOI 10.1007/978-94-007-6857-4; Boone WJ, 2011, SCI EDUC, V95, P258, DOI 10.1002/sce.20413; Boone WJ, 2006, SCI EDUC, V90, P253, DOI 10.1002/sce.20106; Boubonari T, 2013, J ENVIRON EDUC, V44, P232, DOI 10.1080/00958964.2013.785381; Boyes, 1994, INT J ENVIRON STUD, V45, P245, DOI [10.1080/00207239408710900, DOI 10.1080/00207239408710900]; Brody M.J., 1996, J ENVIRON EDUC, V27, P21; Cava F., 2005, SCI CONT STAND OC LI; Chang JY, 1999, SCI EDUC, V83, P511, DOI 10.1002/(SICI)1098-237X(199909)83:5&lt;511::AID-SCE1&gt;3.3.CO;2-5; Charlier P. S., 1971, SCI ED, V55, P15, DOI 10.1002/; Cheng C, 2015, SPRINGER THESES-RECO, P1, DOI 10.1007/978-3-662-47268-2; Cummins S., 2000, Canadian Journal of Environmental Education, V5, P305; Fletcher S, 2009, MAR POLICY, V33, P370, DOI 10.1016/j.marpol.2008.08.004; Fortner R.W., 1985, The Journal of Environmental Education, V16, P12; FORTNER RW, 1980, J ENVIRON EDUC, V11, P11, DOI 10.1080/00958964.1980.9941385; FORTNER RW, 1989, SCI EDUC, V73, P135, DOI 10.1002/sce.3730730203; FORTNER RW, 1985, J RES SCI TEACH, V22, P115, DOI 10.1002/tea.3660220203; GESAMP, 2007, GESAMP REP STUD; Glynn SM, 2012, J RES SCI TEACH, V49, P1321, DOI 10.1002/tea.21059; Gopal H, 2004, INT J SCI EDUC, V26, P1597, DOI 10.1080/09500690410001673829; Grossman P.L., 1995, INT ENCY TEACHING TE, P20; Guest H, 2015, MAR POLICY, V58, P98, DOI 10.1016/j.marpol.2015.04.007; Haladyna TM, 2002, APPL MEAS EDUC, V15, P309, DOI 10.1207/S15324818AME1503_5; Hoffman M., 2007, REVOLUTIONIZING EART; Howick T. S., 1991, THESIS; Hynes S, 2014, MAR POLICY, V47, P57, DOI 10.1016/j.marpol.2014.02.002; Lambert J., 2005, Journal of Geoscience Education, V53, P531, DOI DOI 10.5408/1089-9995-53.5.531; Libarkin J.C., 2005, J GEOSCIENCE ED, V53, P17, DOI DOI 10.5408/1089-9995-53.1.17; Linacre J.M., 2011, Winsteps Rasch Measurement Version 3.73; Linacre J.M., 2002, RASCH MEASUREMENT T; Marques L., 1997, Research in Science and Technological Education, V15, P195; Marrero M. H., 2009, THESIS; MCFADDEN DL, 1973, OCEANS, V6, P44; Munn C.B., 2011, Marine microbiology: Ecology and applications; National Oceanic and Atmospheric Administration [NOAA], 2013, OC LIT ESS PRINC FUN; NRC, 2003, OIL SEA, DOI DOI 10.17226/10388; Payne DL, 2010, ASTE SER SCI EDUC, P81, DOI 10.1007/978-90-481-9222-9_6; Plankis B.J., 2010, INT ELECT J ENV ED, V1, P21; Popham W.J., 2006, Assessment for educational leaders; Rasch G., 1980, PROBABILISTIC MODELS; Reckase M.D., 1979, J EDUC STAT, V4, P207, DOI [DOI 10.3102/10769986004003207, 10.2307/1164671, DOI 10.2307/1164671]; Rodriguez MC, 2011, HANDBOOK OF ACCESSIBLE ACHIEVEMENT TESTS FOR ALL STUDENTS: BRIDGING THE GAPS BETWEEN RESEARCH, PRACTICE, AND POLICY, P201, DOI 10.1007/978-1-4419-9356-4_11; Simmons D., 2001, Essential Readings in Environmental Education, P65; Smith E V Jr, 2001, J Appl Meas, V2, P281; Steel BS, 2005, OCEAN COAST MANAGE, V48, P97, DOI 10.1016/j.ocecoaman.2005.01.002; Trombulak SC, 2004, CONSERV BIOL, V18, P1180, DOI 10.1111/j.1523-1739.2004.01851.x; Watson K, 2005, ASIA PAC EDUC REV, V6, P59, DOI 10.1007/BF03024968; Wilson M., 2004, Constructing Measures: An Item Response Modeling Approach: An Item Response Modeling Approach, DOI 10.4324/9781410611697; Wright B.D., 1996, RASCH MEASUREMENT T, V9, P472</t>
  </si>
  <si>
    <t>10.1080/13504622.2015.1126807</t>
  </si>
  <si>
    <t>EJ4TI</t>
  </si>
  <si>
    <t>WOS:000393209400005</t>
  </si>
  <si>
    <t>Milér, T; Sládek, P</t>
  </si>
  <si>
    <t>Bekirogullari, Z</t>
  </si>
  <si>
    <t>Miler, Tomas; Sladek, Petr</t>
  </si>
  <si>
    <t>The climate literacy challenge</t>
  </si>
  <si>
    <t>INTERNATIONAL CONFERENCE ON EDUCATION AND EDUCATIONAL PSYCHOLOGY 2010</t>
  </si>
  <si>
    <t>Procedia Social and Behavioral Sciences</t>
  </si>
  <si>
    <t>International Conference on Education and Educational Psychology (ICEEPSY)</t>
  </si>
  <si>
    <t>DEC 02-05, 2010</t>
  </si>
  <si>
    <t>CYPRUS</t>
  </si>
  <si>
    <t>climate literacy; education; curriculum; lesson plans; science communication</t>
  </si>
  <si>
    <t>Climate literacy is crucial for future low-carbon living. A key question is: who should be educated in the basis of climate science and what level of knowledge is appropriate for different ages of pupils? We designed a three years course for upper primary school in order to improve the climate literacy of the population. We have performed a three year testing of the improved curriculum at the pilot upper primary school. The curriculum was designed for grades 7 to 9 of the Czech educational system and can be modified for other countries. (C) 2009 Published by Elsevier Ltd. Selection and/or peer-review under responsibility of Dr. Zafer Bekirogullari of Y.B.</t>
  </si>
  <si>
    <t>[Miler, Tomas; Sladek, Petr] Masaryk Univ, Fac Educ, Dept Phys, Brno 60300, Czech Republic</t>
  </si>
  <si>
    <t>Masaryk University Brno</t>
  </si>
  <si>
    <t>sladek@ped.muni.cz</t>
  </si>
  <si>
    <t>Sládek, Petr/M-5496-2013</t>
  </si>
  <si>
    <t>Sládek, Petr/0000-0003-4369-5992</t>
  </si>
  <si>
    <t>Eurobarometer, 2008, EUR ATT CLIM CHANG S; Futerra, 1996, SELL SIZZL NEW CLIM; Hansen J., 2008, Open Atmosphere Science Journal, V2, P217, DOI 10.2174/1874282300802010217; Leiserowitz A, 2010, Americans' knowledge of climate change; Meinshausen M, 2009, NATURE, V458, P1158, DOI 10.1038/nature08017; NOAA, 2008, CLIM LIT ESS PRINC F; Nordhouse D.N., 2007, WINTER REV ENV EC PO, V1, P26; Rockström J, 2009, NATURE, V461, P472, DOI 10.1038/461472a; Stott PA, 2004, NATURE, V432, P610, DOI 10.1038/nature03089; UNESCO Climate Change Initiative, 2010, CLIM CHANG ED SUST D</t>
  </si>
  <si>
    <t>ELSEVIER SCIENCE BV</t>
  </si>
  <si>
    <t>AMSTERDAM</t>
  </si>
  <si>
    <t>SARA BURGERHARTSTRAAT 25, PO BOX 211, 1000 AE AMSTERDAM, NETHERLANDS</t>
  </si>
  <si>
    <t>1877-0428</t>
  </si>
  <si>
    <t>PROCD SOC BEHV</t>
  </si>
  <si>
    <t>10.1016/j.sbspro.2011.02.021</t>
  </si>
  <si>
    <t>Education &amp; Educational Research; Psychology, Educational</t>
  </si>
  <si>
    <t>Conference Proceedings Citation Index - Social Science &amp; Humanities (CPCI-SSH)</t>
  </si>
  <si>
    <t>Education &amp; Educational Research; Psychology</t>
  </si>
  <si>
    <t>BYG31</t>
  </si>
  <si>
    <t>WOS:000298559900019</t>
  </si>
  <si>
    <t>McKinley, E; Burdon, D; Shellock, RJ</t>
  </si>
  <si>
    <t>McKinley, E.; Burdon, D.; Shellock, R. J.</t>
  </si>
  <si>
    <t>The evolution of ocean literacy: A new framework for the United Nations Ocean Decade and beyond</t>
  </si>
  <si>
    <t>Ocean literacy; Marine citizenship; Human -ocean relationships; UN Ocean Decade</t>
  </si>
  <si>
    <t>ADAPTIVE CAPACITY; PUBLIC-PARTICIPATION; CITIZEN SCIENCE; SOCIAL-SCIENCE; CLIMATE-CHANGE; MARINE; COASTAL; PERCEPTIONS; HEALTH; STAKEHOLDERS</t>
  </si>
  <si>
    <t>First introduced in the early 2000s, the concept of ocean literacy has evolved in recent years, not least since its inclusion as a mechanism for change within the United Nations Ocean Decade's goals. Building on early definitions of ocean literacy, there has been increasing recognition of a range of additional dimensions which contribute to an individual or collective sense of 'ocean literacy'. Drawing on existing research, and parallel and supporting concepts, e.g., marine citizenship, ocean connectedness, and public perceptions research, this paper proposes ten dimensions of ocean literacy: knowledge, communication, behaviour, awareness, attitudes, activism, emotional connection, access and experience, adaptive capacity and trust and transparency, and recommends expanding previously recognised dimensions, in a bid to ensure that ocean literacy encompasses diverse knowledges, values and experiences. The paper provides a useful framework for ongoing ocean literacy research, and highlights aspects of ocean literacy which have received limited focus to date.</t>
  </si>
  <si>
    <t>[McKinley, E.] Cardiff Univ, Sch Earth &amp; Environm Sci, Cardiff, Wales; [Burdon, D.] Daryl Burdon Ltd, Marine Res Teaching &amp; Consultancy, Willerby HU10 6LL, England; [Shellock, R. J.] Australian Natl Univ, Australian Natl Ctr Publ Awareness Sci, Canberra, Australia</t>
  </si>
  <si>
    <t>Cardiff University; Australian National University</t>
  </si>
  <si>
    <t>McKinley, E (corresponding author), Cardiff Univ, Sch Earth &amp; Environm Sci, Cardiff, Wales.</t>
  </si>
  <si>
    <t>McKinleyE1@cardiff.ac.uk</t>
  </si>
  <si>
    <t>Shellock, Rebecca/0000-0002-0434-3516; Burdon, Daryl/0000-0003-0825-0664</t>
  </si>
  <si>
    <t>Department of Environment, Food and Rural Affairs (Defra); Ocean Conservation Trust; UKRI Sustainable Management of the UK Marine Resources programme through the Integrating Diverse Values into Marine Management project; Centre for the Public Awareness of Science (CPAS); ANU Futures scheme; SPF [NE/V017497/1] Funding Source: UKRI</t>
  </si>
  <si>
    <t>Department of Environment, Food and Rural Affairs (Defra)(Department for Environment, Food &amp; Rural Affairs (DEFRA)); Ocean Conservation Trust; UKRI Sustainable Management of the UK Marine Resources programme through the Integrating Diverse Values into Marine Management project; Centre for the Public Awareness of Science (CPAS); ANU Futures scheme; SPF(UK Research &amp; Innovation (UKRI))</t>
  </si>
  <si>
    <t>The authors would like to thank the Department of Environment, Food and Rural Affairs (Defra) and the Ocean Conservation Trust for funding the initial review from which this paper developed. EMCK would also like to acknowledge funding from the UKRI Sustainable Management of the UK Marine Resources programme through the Integrating Diverse Values into Marine Management project. RS is supported by the Centre for the Public Awareness of Science (CPAS) and the ANU Futures scheme.</t>
  </si>
  <si>
    <t>[Anonymous], 2021, the guardian; [Anonymous], 1987, J. Environ. Edu., DOI DOI 10.1080/00958964.1987.9943482; Archibald DW, 2021, MAR POLICY, V132, DOI 10.1016/j.marpol.2021.104690; Aruta JJBR, 2022, J CLIM CHANGE HEALTH, V6, DOI 10.1016/j.joclim.2022.100138; Ashley M, 2019, FRONT MAR SCI, V6, DOI 10.3389/fmars.2019.00288; Azevedo J, 2017, INT J GLOBAL WARM, V12, P414, DOI 10.1504/IJGW.2017.10005893; Ban NC, 2019, NAT SUSTAIN, V2, P524, DOI 10.1038/s41893-019-0306-2; Barreiro-Gen M, 2019, SUSTAINABILITY-BASEL, V11, DOI 10.3390/su11082230; Bearzi G., 2020, ETHICS SCI ENV POLIT, V20, P1, DOI [DOI 10.3354/ESEP00189, 10.3354/esep00189]; Bennett NJ, 2021, FRONT MAR SCI, V8, DOI 10.3389/fmars.2021.711538; Bennett NJ, 2019, NAT SUSTAIN, V2, P991, DOI 10.1038/s41893-019-0404-1; Bennett NJ, 2019, COAST MANAGE, V47, P244, DOI 10.1080/08920753.2019.1564958; Bennett NJ, 2018, MAR POLICY, V97, P139, DOI 10.1016/j.marpol.2018.06.001; Bennett NJ, 2018, MAR POLICY, V87, P186, DOI 10.1016/j.marpol.2017.10.023; Bennett NJ, 2017, BIOL CONSERV, V205, P93, DOI 10.1016/j.biocon.2016.10.006; Bishop T., 2015, EU SEA CHANGE PROJEC; Blasiak R, 2019, MAR POLICY, V107, DOI 10.1016/j.marpol.2019.04.012; Borja A, 2022, FRONT MAR SCI, V9, DOI 10.3389/fmars.2022.886027; Brennan C, 2019, FRONT MAR SCI, V6, DOI 10.3389/fmars.2019.00360; Britton E, 2021, MAR POLICY, V124, DOI 10.1016/j.marpol.2020.104333; Burdon D, 2022, ENVIRON SCI POLICY, V134, P85, DOI 10.1016/j.envsci.2022.04.003; Capstick SB, 2016, NAT CLIM CHANGE, V6, P763, DOI [10.1038/NCLIMATE3005, 10.1038/nclimate3005]; Carpenter A, 2018, MAR POLICY, V97, P294, DOI 10.1016/j.marpol.2018.07.001; Cava F., 2005, Science Content and Standards for Ocean Literacy: A Report on Ocean Literacy, P1; Chambers R, 2019, FRONT MAR SCI, V6, DOI 10.3389/fmars.2019.00619; Chung S.K., 2018, Art Education, V71, P52, DOI [DOI 10.1080/00043125.2018, 10.1080/00043125.2018.1414543, https://doi.org/10.1080/00043125.2018.1414543, DOI 10.1080/00043125.2018.1414543]; Cinner JE, 2018, NAT CLIM CHANGE, V8, P117, DOI 10.1038/s41558-017-0065-x; Cinner JE, 2015, NAT CLIM CHANGE, V5, P872, DOI 10.1038/NCLIMATE2690; Clarke L., 2020, CURR J MAR ED, V34; Claudet J, 2021, CELL, V184, P1426, DOI 10.1016/j.cell.2021.01.055; Clayton S, 2017, Mental health and our changing climate: Impacts, implications, and guidance; Climate Visuals, 2022, OC VIS ACC HER OC VI; Coffey Y, 2021, J CLIM CHANGE HEALTH, V3, DOI 10.1016/j.joclim.2021.100047; Cunsolo A, 2020, LANCET PLANET HEALTH, V4, pE261, DOI 10.1016/S2542-5196(20)30144-3; Cvitanovic C, 2018, NAT COMMUN, V9, DOI 10.1038/s41467-018-05977-w; Dean AJ, 2021, CONSERV LETT, V14, DOI 10.1111/conl.12765; Dean AJ, 2018, J ENVIRON MANAGE, V213, P409, DOI 10.1016/j.jenvman.2018.02.080; Donert K., 2015, EU SEA CHANGE PROJEC; Dupont S, 2017, J MAR BIOL ASSOC UK, V97, P1211, DOI 10.1017/S0025315417000376; EMSEA, 2021, OC LIT HIST; Engle NL, 2011, GLOBAL ENVIRON CHANG, V21, P647, DOI 10.1016/j.gloenvcha.2011.01.019; Fauville G, 2019, ENVIRON EDUC RES, V25, P238, DOI 10.1080/13504622.2018.1440381; Fleming LE, 2014, MAR ENVIRON RES, V99, P16, DOI 10.1016/j.marenvres.2014.05.010; Fletcher S, 2007, COAST MANAGE, V35, P511, DOI 10.1080/08920750701525818; Gee K, 2017, OCEAN COAST MANAGE, V136, P139, DOI 10.1016/j.ocecoaman.2016.11.026; Gelcich S., 2014, Proceedings of the National Academy of Sciences, V111, P15042; Germond-Duret C, 2023, GEOGR J, V189, P193, DOI 10.1111/geoj.12433; Gibson-Wood H, 2013, ANTIPODE, V45, P641, DOI 10.1111/j.1467-8330.2012.01019.x; Glithero L.D., 2021, CANADIAN J ENV ED CJ, V24, P216; Griffis RB, 1996, ECOL APPL, V6, P708, DOI 10.2307/2269467; Guest H, 2015, MAR POLICY, V58, P98, DOI 10.1016/j.marpol.2015.04.007; Haas B, 2022, REV FISH BIOL FISHER, V32, P253, DOI 10.1007/s11160-020-09631-x; Halstead F, 2021, AREA, V53, P708, DOI 10.1111/area.12745; Hawthorne M, 1999, GLOBAL ENVIRON CHANG, V9, P25, DOI 10.1016/S0959-3780(98)00022-3; Heimlich JE, 2008, ENVIRON EDUC RES, V14, P215, DOI 10.1080/13504620802148881; Hofman K, 2020, J SUSTAIN TOUR, V28, P1460, DOI 10.1080/09669582.2020.1741597; Costa BHE, 2022, MAR POLICY, V143, DOI 10.1016/j.marpol.2022.105197; Howell AJ, 2011, PERS INDIV DIFFER, V51, P166, DOI 10.1016/j.paid.2011.03.037; Hungerford H.R., 1990, J ENVIRON EDUC, V21, P8, DOI [DOI 10.1080/00958964.1990.10753743, 10.1080/00958964.1990.10753743]; Insinga ML, 2022, OCEAN COAST MANAGE, V221, DOI 10.1016/j.ocecoaman.2022.106104; IOC-UNESCO, 2022, OC LIT FIN SECT WEB; Jacobs M. H., 2012, Human Dimensions of Wildlife, V17, P4, DOI [10.1080/10871209.2012.653674, 10.1080/10871209.2012.645123]; Jarvis RM, 2015, MAR POLICY, V57, P21, DOI 10.1016/j.marpol.2015.03.011; Jefferson R, 2021, FRONT MAR SCI, V8, DOI 10.3389/fmars.2021.711245; Jefferson R, 2015, OCEAN COAST MANAGE, V115, P61, DOI 10.1016/j.ocecoaman.2015.06.014; Kals E, 1999, ENVIRON BEHAV, V31, P178, DOI 10.1177/00139169921972056; Kearns R, 2012, SOC CULT GEOGR, V13, P937, DOI 10.1080/14649365.2012.730150; Kelly R, 2022, ONE EARTH, V5, P861, DOI 10.1016/j.oneear.2022.07.007; Kelly R, 2022, REV FISH BIOL FISHER, V32, P123, DOI 10.1007/s11160-020-09625-9; Kolandai-Matchett K, 2021, AQUAT CONSERV, V31, P870, DOI 10.1002/aqc.3484; Kollmuss A., 2002, ENVIRON EDUC RES, V8, P239, DOI [10.1080/13504620220145401, DOI 10.1080/13504620220145401]; Kopke K, 2019, FRONT MAR SCI, V6, DOI 10.3389/fmars.2019.00060; Larson LR, 2015, J ENVIRON PSYCHOL, V43, P112, DOI 10.1016/j.jenvp.2015.06.004; Leakey C., 2022, CONNECTING HEAD HEAR; Lotze H. K., 2020, Ethics in Science and Environmental Politics, V20, P33, DOI [https://doi.org/10.3354/esep00193, DOI 10.3354/ESEP00193]; Lubchenco J, 2019, SCIENCE, V364, P911, DOI 10.1126/science.aay2241; Lyon TP, 2013, J BUS ETHICS, V118, P747, DOI 10.1007/s10551-013-1958-x; MacNeil S., 2021, Revista Canadense de Educacao Ambiental (CJEE), P233; Marlon JR, 2019, FRONT COMMUN, V4, DOI 10.3389/fcomm.2019.00020; Martin CL, 2016, MAR POLICY, V74, P25, DOI 10.1016/j.marpol.2016.09.004; Martin L, 2020, J ENVIRON PSYCHOL, V68, DOI 10.1016/j.jenvp.2020.101389; Mascia MB, 2010, CONSERV BIOL, V24, P1424, DOI 10.1111/j.1523-1739.2010.01523.x; McBride BB, 2013, ECOSPHERE, V4, DOI 10.1890/ES13-00075.1; McKinley E., 2020, Understanding Ocean Literacy and Ocean Climate-Related Behaviour Change in the UK-Work Package 1: Evidence Synthesis; McKinley E, 2022, ISCIENCE, V25, DOI 10.1016/j.isci.2022.104735; McKinley E, 2020, ENVIRON SCI POLICY, V108, P85, DOI 10.1016/j.envsci.2020.03.015; McKinley E, 2019, MARITIME SPATIAL PLANNING: PAST, PRESENT, FUTURE, P151, DOI 10.1007/978-3-319-98696-8_7; McKinley E, 2012, MAR POLICY, V36, P839, DOI 10.1016/j.marpol.2011.11.001; McKinley E, 2010, OCEAN COAST MANAGE, V53, P379, DOI 10.1016/j.ocecoaman.2010.04.012; Mostafa M.M., 2007, INT J CONSUM STUD, V31, P220, DOI [10.1111/j.1470-6431.2006.00523.x, DOI 10.1111/J.1470-6431.2006.00523.X]; NAAEE, 2004, EXC ENV ED GUID LEAR; National Marine Education Association (NMEA), 2020, Ocean literacy: the essential principles and fundamental concepts of ocean sciences for learners of all ages; Newell R, 2018, HELIYON, V4, DOI 10.1016/j.heliyon.2018.e00547; Newell R, 2017, OCEAN COAST MANAGE, V141, P29, DOI 10.1016/j.ocecoaman.2017.03.002; Nuojua S, 2022, J ENVIRON PSYCHOL, V81, DOI 10.1016/j.jenvp.2022.101814; Ocean Wise, 2021, INT LGBTQIA2S STEM D; Paredes-Coral E, 2021, FRONT MAR SCI, V8, DOI 10.3389/fmars.2021.648492; Parsons M, 2021, SUSTAINABILITY-BASEL, V13, DOI 10.3390/su13084217; Polonsky MJ, 2012, J MARKET MANAG-UK, V28, P238, DOI 10.1080/0267257X.2012.659279; Pomeroy R, 2008, MAR POLICY, V32, P816, DOI 10.1016/j.marpol.2008.03.017; Potts T, 2016, MAR POLICY, V72, P59, DOI 10.1016/j.marpol.2016.06.012; Russell S., 2019, EXEMPLARY PRACTICES, DOI [10.1007/978-3-319-90778-9_24, DOI 10.1007/978-3-319-90778-9_24]; Santoro F., 2017, Ocean Literacy for All - A toolkit, IOC/UNESCO UNESCO Venice Office; Santos BS, 2022, CONSERV SCI PRACT, V4, DOI 10.1111/csp2.12650; Savoie G, 2022, JCOM-J SCI COMMUN, V21, DOI 10.22323/2.21020401; Schoedinger S, 2005, OCEANS-IEEE, P736; Schuldt JP, 2016, PHILOS T R SOC B, V371, DOI 10.1098/rstb.2015.0214; Shellock RJ, 2022, ONE EARTH, V5, P687, DOI 10.1016/j.oneear.2022.05.006; Steel BS, 2005, OCEAN COAST MANAGE, V48, P97, DOI 10.1016/j.ocecoaman.2005.01.002; Stefanoudis PV, 2021, CURR BIOL, V31, pR184, DOI [10.1016/j.cub.2020.12.025.#mm6z, 10.1016/j.cub.2021.01.029]; Steffen W, 2011, AMBIO, V40, P739, DOI 10.1007/s13280-011-0185-x; Stern PC, 2000, J SOC ISSUES, V56, P407, DOI 10.1111/0022-4537.00175; Stoll-Kleemann S, 2019, FRONT MAR SCI, V6, DOI 10.3389/fmars.2019.00273; Tabuenca B, 2019, SUSTAINABILITY-BASEL, V11, DOI 10.3390/su11102860; Taylor DorcetaE., 2016, The Rise of the American Conservation Movement: Power, Privilege, and Environmental Protection, DOI 10.1515/9780822373971; Tiller R, 2018, MAR POLICY, V95, P227, DOI 10.1016/j.marpol.2018.04.001; U.S. Global change Research Program, 2009, Climate literacy: the essential principles of climate science; UNESCO, 2020, OC LIT UN DEC OC SCI; UNESCO, 2018, OC LIT PORT; von der Porten S, 2016, MAR POLICY, V74, P68, DOI 10.1016/j.marpol.2016.09.007; Wehi PM, 2021, NAT ECOL EVOL, V5, P1055, DOI 10.1038/s41559-021-01466-4; Wheaton B., 2007, Leisure Studies, V26, P279, DOI 10.1080/02614360601053533; White MP, 2013, HEALTH PLACE, V23, P97, DOI 10.1016/j.healthplace.2013.05.006; White MP, 2018, NEUROPSYCH DIS TREAT, V14, P3001, DOI 10.2147/NDT.S179038; Whitney CK, 2017, ECOL SOC, V22, DOI 10.5751/ES-09325-220222; Worm B., 2021, Ethics in Science and Environmental Politics, V21, P1, DOI DOI 10.3354/ESEP00196; Zielinski T, 2022, SUSTAINABILITY-BASEL, V14, DOI 10.3390/su14020926</t>
  </si>
  <si>
    <t>JAN</t>
  </si>
  <si>
    <t>10.1016/j.marpolbul.2022.114467</t>
  </si>
  <si>
    <t>DEC 2022</t>
  </si>
  <si>
    <t>7E1WQ</t>
  </si>
  <si>
    <t>hybrid, Green Accepted</t>
  </si>
  <si>
    <t>WOS:000900967800002</t>
  </si>
  <si>
    <t>Chang, CC</t>
  </si>
  <si>
    <t>Chang, Cheng-Chieh</t>
  </si>
  <si>
    <t>Development of Ocean Literacy Inventory for 16- to 18-Year-Old Students</t>
  </si>
  <si>
    <t>SAGE OPEN</t>
  </si>
  <si>
    <t>ocean literacy; marine education; science education; reliability; validity; SEM</t>
  </si>
  <si>
    <t>Ocean literacy is of particular importance to an island nation like Taiwan. In this study, a Chinese version testing tool for ocean literacy was developed specifically for senior high students in Taiwan. The ocean literacy inventory can be administered using a group test format and consists of the following seven subscales: features of ocean, ocean and its life shape earth, weather and climate, earth habitable, diversity of life and ecosystems, ocean and humans are interconnected, and ocean largely unexplored. In this study, a valid sample consisting of 1,027 participants was collected and various psychometric assessments including Cronbach's alpha, the multitrait-multimethod matrix (MTMM), confirmatory factor analysis (CFA), Multiple Indicators Multiple Causes (MIMIC), and multiple-group CFA were performed to test the reliability and validity of the tests. The results of the various analyses confirmed that the ocean literacy inventory met the requirements for standardized tests. A conversion table that listed the raw scores, standardized Z scores, and cumulative percentages for the various subscales and the full test was also compiled, so as to provide a quick reference for future users who will be using the inventory to assess ocean literacy ability.</t>
  </si>
  <si>
    <t>[Chang, Cheng-Chieh] Natl Taiwan Ocean Univ, Keelung, Taiwan</t>
  </si>
  <si>
    <t>Chang, CC (corresponding author), Natl Taiwan Ocean Univ, Taiwan Marine Educ Ctr, Inst Educ, 2 Beining Rd, Keelung 20224, Taiwan.;Chang, CC (corresponding author), Natl Taiwan Ocean Univ, Ctr Teacher Educ, 2 Beining Rd, Keelung 20224, Taiwan.</t>
  </si>
  <si>
    <t>[Anonymous], 1971, SCI EDUC, DOI DOI 10.1002/SCE.3730550105; [Anonymous], 2008, THESIS U S FLORIDA; [Anonymous], OC LIT ESS PRINC FUN; [Anonymous], 1980, SCI CHILD; Browne MW, 1992, TESTING STRUCTURAL E, V154, P132, DOI [DOI 10.1177/0049124192021002005, 10.1167/iovs.04-1279]; Chang C. C., 2014, SCI ED MONTHLY, V371, P2; Chang C. C., 2016, CURRICULUM INSTRUCTI, V19, P53; Coley R.J., 2001, DIFFERENCES GENDER G; Ding C.S., 2007, Educational Studies, V40, P279, DOI DOI 10.1080/00131940701301952; Fauville G, 2019, ENVIRON EDUC RES, V25, P238, DOI 10.1080/13504622.2018.1440381; Fortner R.W., 1985, The Journal of Environmental Education, V16, P12; Guest H, 2015, MAR POLICY, V58, P98, DOI 10.1016/j.marpol.2015.04.007; Hair J.F., 2010, MULTIVARIATE DATA AN; Kean W.F., 2004, Journal of Geoscience Education, V52, P433, DOI DOI 10.5408/1089-9995-52.5.433; Lohman DF, 2009, BRIT J EDUC PSYCHOL, V79, P389, DOI 10.1348/000709908X354609; Lwo LS, 2013, J RES EDUC SCI, V58, P51, DOI 10.6209/JORIES.2013.58(3).03; Markos A., 2017, Environmental Education Research, V23, P231, DOI [10.1109/SIBCON.2015.7147139, 10.1080/13504622.2015.1126807, DOI 10.1080/13504622.2015.1126807]; MCFADDEN DL, 1973, OCEANS, V6, P44; Ministry of Education, 2017, MAR ED POL WHIT PAP; Muthen L. K., 1998, MPLUS USERS GUIDE; National Marine Educators Association [NMEA], 2010, 3 NMEA; Plankis B.J., 2010, INT ELECT J ENV ED, V1, P21; Steel BS, 2005, OCEAN COAST MANAGE, V48, P97, DOI 10.1016/j.ocecoaman.2005.01.002; Wang WC, 2012, EDUC PSYCHOL MEAS, V72, P687, DOI 10.1177/0013164411426157; Willingham W., 1997, RES GENDER DIFFERENC</t>
  </si>
  <si>
    <t>SAGE PUBLICATIONS INC</t>
  </si>
  <si>
    <t>THOUSAND OAKS</t>
  </si>
  <si>
    <t>2455 TELLER RD, THOUSAND OAKS, CA 91320 USA</t>
  </si>
  <si>
    <t>2158-2440</t>
  </si>
  <si>
    <t>SAGE Open</t>
  </si>
  <si>
    <t>APR 17</t>
  </si>
  <si>
    <t>10.1177/2158244019844085</t>
  </si>
  <si>
    <t>Social Sciences, Interdisciplinary</t>
  </si>
  <si>
    <t>Social Sciences - Other Topics</t>
  </si>
  <si>
    <t>HU0MC</t>
  </si>
  <si>
    <t>WOS:000464964000001</t>
  </si>
  <si>
    <t>Laranja, A; Morim, S; Correia, M; Almeida, CMR</t>
  </si>
  <si>
    <t>Laranja, Ana; Morim, Silvia; Correia, Marta; Almeida, C. Marisa R.</t>
  </si>
  <si>
    <t>Ocean Literacy: an ocean of unity</t>
  </si>
  <si>
    <t>REMEA-REVISTA ELETRONICA DO MESTRADO EM EDUCACAO AMBIENTAL</t>
  </si>
  <si>
    <t>Ocean Literacy; Environmental Education; Ocean; Science; Society</t>
  </si>
  <si>
    <t>The present study aimed to assess the importance of the Ocean for the Community of Portuguese Speaking Countries (CPLP), in order to understand which principles of Ocean Literacy are most important to this community and which areas of greatest interest should be more worked on and intervened. Data were collected through a questionnaire given to individuals within the CPLP community who voluntarily responded. The main results show that Principle 5 The ocean supports an immense diversity of life and ecosystems  and Principle 2 The ocean and marine life have a strong influence on the dynamics of the Earth  are the ones that reinforce the importance of the guidelines of the Ocean Literacy. And that the problem of plastic/microplastic pollution is the main problem that our respondents would like to see resolved in the short/medium term. This study contributes to the knowledge about scientific literacy within the CPLC community, promoting interest in scientific research developed in favor of the Ocean.</t>
  </si>
  <si>
    <t>[Laranja, Ana; Morim, Silvia; Correia, Marta; Almeida, C. Marisa R.] Ctr Interdisciplinar Invest Marinha &amp; Ambiental CI, Porto, Portugal; [Laranja, Ana; Morim, Silvia; Almeida, C. Marisa R.] Ctr Monitorizacao &amp; Interpretacao Ambiental CMIA V, Vila Do Conde, Portugal</t>
  </si>
  <si>
    <t>Laranja, A (corresponding author), Ctr Interdisciplinar Invest Marinha &amp; Ambiental CI, Porto, Portugal.</t>
  </si>
  <si>
    <t>cmia@cm-viladoconde.pt</t>
  </si>
  <si>
    <t>Almeida, C. Marisa/J-6375-2012</t>
  </si>
  <si>
    <t>Almeida, C. Marisa/0000-0002-6836-0331</t>
  </si>
  <si>
    <t>[Anonymous], 2021, Education 2030, P1; NOOA-Ocean Literacy Framework, 2021, OC LIT ESS PRINC FUN, P1</t>
  </si>
  <si>
    <t>FEDERAL UNIV RIO GRANDE, INST EDUCATION</t>
  </si>
  <si>
    <t>RIO GRANDE</t>
  </si>
  <si>
    <t>AV ITALY, S-N, KM 08 CAMPUS CARREIROS, CARREIROS, RIO GRANDE, RS 96201-900, BRAZIL</t>
  </si>
  <si>
    <t>2318-4884</t>
  </si>
  <si>
    <t>1517-1256</t>
  </si>
  <si>
    <t>REMEA-REV ELETRONICA</t>
  </si>
  <si>
    <t>REMEA-Rev. Eletronica Mestr. Educ. Ambient.</t>
  </si>
  <si>
    <t>MAY-AUG</t>
  </si>
  <si>
    <t>6A7CV</t>
  </si>
  <si>
    <t>WOS:000880810000022</t>
  </si>
  <si>
    <t>Winks, L; Ward, M; Zilch, J; Woodley, E</t>
  </si>
  <si>
    <t>Winks, Lewis; Ward, Mark; Zilch, Joseph; Woodley, Ewan</t>
  </si>
  <si>
    <t>Residential marine field-course impacts on ocean literacy</t>
  </si>
  <si>
    <t>Ocean literacy; fieldwork; residential learning; marine education; outdoor education</t>
  </si>
  <si>
    <t>GEOGRAPHY FIELDWORK; EDUCATION; EXPERIENCES; CITIZENSHIP; KNOWLEDGE; BENEFITS; BEHAVIOR</t>
  </si>
  <si>
    <t>Ocean Literacy is a growing global education movement aimed at deepening and contextualising the human relationship with the ocean. While ocean topics are largely missing from UK school curricula, Ocean Literacy principles offer an opportunity for environmental educators to infuse their programmes with broader perspectives on the ocean, creating openings for the development of learner knowledges, and increasing emotional connection with the marine environment. Field courses held at residential field study centres which focus on marine and coastal environments are uniquely positioned to explore principles of Ocean Literacy with their learners; through experiential, investigative modes of learning which encourage development of understanding, emotional engagement with the environment, and pro-environmental behaviours. This paper examines the learning outcomes of 16-18 year old school students taking part in residential programmes at three coastal field centres in the UK Field Studies Council network. Examining student responses against UK A-level, Scottish Highers, and International Baccalaureate specifications and curricula, we argue that while such programmes are largely determined by cognitive rather than behavioural or affective characteristics, they demonstrate a significant opportunity to further develop the emotional and behavioural foci of residential marine courses.</t>
  </si>
  <si>
    <t>[Winks, Lewis; Woodley, Ewan] Univ Exeter, Geog Dept, Exeter EX4 4QJ, Devon, England; [Ward, Mark] Somerset Wildlife Trust, Taunton, Somerset, England; [Zilch, Joseph] Univ East Anglia, Sch Biol Sci, Norwich, Norfolk, England</t>
  </si>
  <si>
    <t>University of Exeter; University of East Anglia</t>
  </si>
  <si>
    <t>Winks, L (corresponding author), Univ Exeter, Geog Dept, Exeter EX4 4QJ, Devon, England.</t>
  </si>
  <si>
    <t>Winks@exeter.ac.uk</t>
  </si>
  <si>
    <t>Winks, Lewis/0000-0001-7651-927X</t>
  </si>
  <si>
    <t>Amos R, 2012, INT J SCI EDUC, V34, P485, DOI 10.1080/09500693.2011.585476; [Anonymous], 2017, POSTSUSTAINABILITY E; Beard C., 2002, The power of experiential learning; Boler M., 1999, Feeling power: Emotions and education; Capaldi Colin A., 2015, International Journal of Wellbeing, V5, P1, DOI DOI 10.5502/IJW.V5I4.449; Carmi N, 2015, J ENVIRON EDUC, V46, P183, DOI 10.1080/00958964.2015.1028517; Castle Z, 2010, OCEAN YEARB, V24, P425, DOI 10.1163/22116001-90000066; Cava F., 2005, Science Content and Standards for Ocean Literacy: A Report on Ocean Literacy, P1; Conradson David., 2005, Emotional Geographies, P103; Dettman-Easler D., 1999, J ENVIRON EDUC, V31, P33, DOI DOI 10.1080/00958969909598630; Domegan C., 2019, SPRINGER TEXTS BUSIN, P393; Fauville G., 2019, Exemplary Practices in Marine Science Education: A Resource for Practitioners and Researchers, V9, P3, DOI DOI 10.1007/978-3-319-90778-9_1; Fletcher S, 2007, COAST MANAGE, V35, P511, DOI 10.1080/08920750701525818; Fletcher S, 2009, MAR POLICY, V33, P370, DOI 10.1016/j.marpol.2008.08.004; Fuller I, 2000, J GEOGR HIGHER EDUC, V24, P199, DOI 10.1080/713677388; Fuller I, 2006, J GEOGR HIGHER EDUC, V30, P89, DOI 10.1080/03098260500499667; Geoghegan-Quinn M, 2013, GALWAY STATEMENT ATL; Gilbert L, 2013, INT J EARLY YEARS ED, V21, P22, DOI 10.1080/09669760.2013.771320; Guest H, 2015, MAR POLICY, V58, P98, DOI 10.1016/j.marpol.2015.04.007; Hargreaves T, 2011, J CONSUM CULT, V11, P79, DOI 10.1177/1469540510390500; Heimlich JE, 2013, INTERNATIONAL HANDBOOK OF RESEARCH ON ENVIRONMENTAL EDUCATION, P262; Hoegh-Guldberg O, 2007, SCIENCE, V318, P1737, DOI 10.1126/science.1152509; Jambeck JR, 2015, SCIENCE, V347, P768, DOI 10.1126/science.1260352; Jefferson RL, 2014, MAR POLICY, V43, P327, DOI 10.1016/j.marpol.2013.07.004; Jickling B., 2017, Post-sustainability and environmental education: Remaking education for the future, P15, DOI [https://doi.org/10.1007/978-3-319-51322-5, DOI 10.1007/978-3-319-51322-5]; Judson Gillian., 2015, Sustainability frontiers: Critical and transformative voices from the borderlands of sustainability education, P205; Kaiser FG, 1999, J ENVIRON PSYCHOL, V19, P1, DOI 10.1006/jevp.1998.0107; Kendall S., 2015, LEARNING AWAY EXECUT; Kent M, 1997, J GEOGR HIGHER EDUC, V21, P313, DOI 10.1080/03098269708725439; LeitAo R., 2018, P INTED2018 C MARCH; Lumber R, 2017, PLOS ONE, V12, DOI 10.1371/journal.pone.0177186; McKenzie J., 2013, An introduction to community health; McKinley E, 2012, MAR POLICY, V36, P839, DOI 10.1016/j.marpol.2011.11.001; Mogias A, 2019, FRONT MAR SCI, V6, DOI 10.3389/fmars.2019.00396; Nelms SE, 2018, ENVIRON POLLUT, V238, P999, DOI 10.1016/j.envpol.2018.02.016; Nicol R, 2014, EDUC PHILOS THEORY, V46, P449, DOI 10.1111/j.1469-5812.2011.00840.x; Orams M. B., 1997, Progress in Tourism and Hospitality Research, V3, P295, DOI 10.1002/(SICI)1099-1603(199712)3:4&lt;295::AID-PTH85&gt;3.3.CO;2-4; Parr J., 2018, OCEAN LITERACY PRINC; Petty G., 2009, EVIDENCE BASED TEACH, VSecond; Pozniak H., 2018, GUARDIAN; Realdon G., 2019, GEOPH RES ABSTR, V21; Richardson M, 2019, SUSTAINABILITY-BASEL, V11, DOI 10.3390/su11123250; Russel C.L., 1996, WOMENS VOICES EXPERI, P172; Schoedinger S., 2010, NMEA Special Report, V3, P3; Selby D., 2015, SUSTAINABILITY FRONT, P21; Sharma S, 2017, ENVIRON SCI POLLUT R, V24, P21530, DOI 10.1007/s11356-017-9910-8; Smith GregoryA., 1999, ECOLOGICAL ED ACTION; Steel BS, 2005, OCEAN COAST MANAGE, V48, P97, DOI 10.1016/j.ocecoaman.2005.01.002; UN, 2016, 1 WORLD OC ASS; Visbeck M, 2018, NAT COMMUN, V9, DOI 10.1038/s41467-018-03158-3; Wals A.E. J., 2010, Message in a bottle: Learning out way out of unsustainability; Wals A.E.J., 2008, APPL ENV ED COMMUNIC, V7, P55, DOI [10.1080/15330150802473027, DOI 10.1080/15330150802473027]; Wals A.E. J., 2007, Social learning towards a sustainable world: Principles, perspectives, and praxis; Wals AEJ, 2010, ENVIRON EDUC RES, V16, P143, DOI 10.1080/13504620903504099; Ward M. A., 2019, Exemplary practices in marine science education, P289, DOI [10.1007/978-3-319-90778, DOI 10.1007/978-3-319-90778]; Winks L., 2015, ENVIGOGIKA, P10, DOI [10.14712/18023061.492, DOI 10.14712/18023061.492]; Winks L., 2018, RELATIONAL UNDERSTAN; Winks L, 2018, J ENVIRON EDUC, V49, P390, DOI 10.1080/00958964.2017.1417219; Wolsko C., 2013, Ecopsychology, V5, P80, DOI DOI 10.1089/ECO.2013.0008; Woodhouse J., 2001, Thresholds in Education, V27, P31; Zembylas M, 2007, TEACH TEACH EDUC, V23, P355, DOI 10.1016/j.tate.2006.12.002; Zembylas M, 2012, BRIT EDUC RES J, V38, P41, DOI 10.1080/01411926.2010.523779; Zeppel H, 2008, J ENVIRON EDUC, V39, P3, DOI 10.3200/JOEE.39.3.3-18</t>
  </si>
  <si>
    <t>JUL 2</t>
  </si>
  <si>
    <t>10.1080/13504622.2020.1758631</t>
  </si>
  <si>
    <t>APR 2020</t>
  </si>
  <si>
    <t>ME2JD</t>
  </si>
  <si>
    <t>WOS:000532010100001</t>
  </si>
  <si>
    <t>Lin, YL; Wu, LY; Tsai, LT; Chang, CC</t>
  </si>
  <si>
    <t>Lin, Yen-Ling; Wu, Liang-Yu; Tsai, Liang-Ting; Chang, Cheng-Chieh</t>
  </si>
  <si>
    <t>The Beginning of Marine Sustainability: Preliminary Results of Measuring Students' Marine Knowledge and Ocean Literacy</t>
  </si>
  <si>
    <t>marine education; ocean literacy; sustainable development goals; misconception; marine sustainability</t>
  </si>
  <si>
    <t>CONCEPTUAL CHANGE; EDUCATION; MISCONCEPTIONS; TOOL</t>
  </si>
  <si>
    <t>Ocean sustainability and resource use are emphasized globally. The primary goal of ocean preservation is to enhance citizens' ocean literacy. In this study, cluster sampling was conducted on students from seven public middle schools in Taiwan to investigate their use of ocean literacy concept words, propositional sentences, and knowledge sources. Qualitative analysis, descriptive statistics, and one-way analysis of variance were conducted on 496 valid questionnaires. The middle school students exhibited an accuracy rate of 63% for ocean literacy sentence-making, which indicated a basic level of performance. The students commonly used terms such as ocean, Atlantic Ocean, and tsunami. Students had common misconceptions when using the terms sea level rising, Kuroshio current, and tsunami. In addition, students who were female, in a higher grade, and who attended a coastal school had higher ocean literacy scores. The students' primary sources of ocean literacy knowledge were museums and television. Through an analysis students' use of ocean concept words and misconceptions, the aim of this study was to enhance the implementation efficiency of marine education to cultivate students' ocean literacy.</t>
  </si>
  <si>
    <t>[Lin, Yen-Ling] Natl Taiwan Ocean Univ, Taiwan Marine Educ Ctr, Keelung 20224, Taiwan; [Wu, Liang-Yu] Masai Elementary Sch, Yilan 27050, Taiwan; [Tsai, Liang-Ting] Tzu Chi Univ, Inst Educ, Hualien 97004, Taiwan; [Chang, Cheng-Chieh] Natl Taiwan Ocean Univ, Inst Educ, Keelung 20224, Taiwan; [Chang, Cheng-Chieh] Natl Taiwan Ocean Univ, Ctr Teacher Educ, Keelung 20224, Taiwan</t>
  </si>
  <si>
    <t>National Taiwan Ocean University; Tzu Chi University; National Taiwan Ocean University; National Taiwan Ocean University</t>
  </si>
  <si>
    <t>Tsai, LT (corresponding author), Tzu Chi Univ, Inst Educ, Hualien 97004, Taiwan.;Chang, CC (corresponding author), Natl Taiwan Ocean Univ, Inst Educ, Keelung 20224, Taiwan.;Chang, CC (corresponding author), Natl Taiwan Ocean Univ, Ctr Teacher Educ, Keelung 20224, Taiwan.</t>
  </si>
  <si>
    <t>linyenling0619@gmail.com; ewlyu@mail2000.com.tw; tsai5128@mail.tcu.edu.tw; changjac@email.ntou.edu.tw</t>
  </si>
  <si>
    <t>Chang, Cheng-Chieh/0000-0001-6371-6848; Lin, Yen-Ling/0000-0002-9913-0723</t>
  </si>
  <si>
    <t>Ministry of Science Technology, Taiwan [MOST-108-2511-H-019-001-MY3, MOST-107-2515-H-019 -002-MY2]</t>
  </si>
  <si>
    <t>Ministry of Science Technology, Taiwan</t>
  </si>
  <si>
    <t>This research was funded by Ministry of Science Technology, Taiwan, grant number MOST-108-2511-H-019-001-MY3 and MOST-107-2515-H-019 -002-MY2.</t>
  </si>
  <si>
    <t>American Association for the Advancement of Science, 2004, AAAS SURV REP; [Anonymous], 2011, GRAND DES OC ED 21 C; [Anonymous], 2005, UN DECADE ED SUSTAIN; [Anonymous], 2008, THESIS U S FLORIDA; [Anonymous], 1982, UN CONV LAW SEA; Ausubel, 1968, ED PSYCHOL COGNITIVE; Brody M., 1990, J ENVIRON EDUC, V21, P16; Chang C. C., 2014, SCI ED MONTHLY, V371, P2; Chang C.C., 2015, ED J, V43, P173; Chang CC, 2019, SAGE OPEN, V9, DOI 10.1177/2158244019844085; Chang T.C., 1998, P OC LOV INT OC YEAR, P62; Chung K.N., 2003, SUSTAINABLE MARINE D, V4, P205; Cudaback C., 2006, Eos, V87, P418; Executive Yuan (Taiwan), 2006, WHIT MAR POL; Fauville G, 2019, ENVIRON EDUC RES, V25, P238, DOI 10.1080/13504622.2018.1440381; Feller RJ, 2007, OCEANOGRAPHY, V20, P170, DOI 10.5670/oceanog.2007.22; Forehand M., 2010, Emerging Perspectives on Learning, Teaching, and Technology, V1st ed., P41; FORTNER RW, 1983, OHIO J SCI, V83, P218; GOLDSMITH TE, 1991, J EDUC PSYCHOL, V83, P88, DOI 10.1037/0022-0663.83.1.88; Goodale T.A., 2020, Journal of Education for Sustainable Development, V14, P5, DOI DOI 10.1177/0973408220934645; GOODWIN C, 1995, SOC STUD SCI, V25, P237, DOI 10.1177/030631295025002002; Greely T., 2009, P 2009 FALL M AM GEO; Harrison AG, 1999, J RES SCI TEACH, V36, P55, DOI 10.1002/(SICI)1098-2736(199901)36:1&lt;55::AID-TEA5&gt;3.0.CO;2-P; HEINZEFRY JA, 1984, AM BIOL TEACH, V46, P152; Kean W.F., 2004, Journal of Geoscience Education, V52, P433, DOI DOI 10.5408/1089-9995-52.5.433; Khataybeh AM, 2010, PROCD SOC BEHV, V5, P599, DOI 10.1016/j.sbspro.2010.07.149; Lambert J., 2005, Journal of Geoscience Education, V53, P531, DOI DOI 10.5408/1089-9995-53.5.531; Libarkin J.C., 2005, J GEOSCIENCE ED, V53, P17, DOI DOI 10.5408/1089-9995-53.1.17; Lwo LS, 2013, J RES EDUC SCI, V58, P51, DOI 10.6209/JORIES.2013.58(3).03; Markos A, 2017, ENVIRON EDUC RES, V23, P231, DOI 10.1080/13504622.2015.1126807; MASON CL, 1992, SCI EDUC, V76, P51, DOI 10.1002/sce.3730760105; Ministry of Education (Taiwan), 2007, WHIT MAR ED POL; Ministry of Education (Taiwan), 2008, GRAD 1 9 CURR GUID I; Ministry of Education (Taiwan), 2008, PROGR INF FUND CONC; Ministry of Education (Taiwan), 2017, WHIT MAR ED POL, V2nd; Mogias A, 2019, FRONT MAR SCI, V6, DOI 10.3389/fmars.2019.00396; Mukerji Chandra., 1989, A Fragile Power: Scientists and the State; National Academy Education Research (Taiwan), 2019, CURR GUID 12 YEAR BA, P52; National Marine Educators Association, 2010, OC LIT SCOP SEQ GRAD; NOVAK J.D., 1988, APRENDIENDO APRENDER; NOVICK S, 1981, SCI EDUC, V65, P187, DOI DOI 10.1002/SCE.3730650209; Osborne R.J., 1983, SCI EDUC, V67, P489, DOI [10.1002/sce.3730670406, DOI 10.1002/SCE.3730670406]; Piaget J., 1972, Science of education and the psychology of the child; Posner G.J., 1982, Sci. Educ, V66, P211; Schroedinger S., 2005, OCEAN LITERACY SCI S; Semken S., 2005, Journal of Geoscience Education, V53, P149, DOI DOI 10.5408/1089-9995-53.2.149; Sheu TJ, 2011, J RES EDUC SCI, V56, P61; Steel BS, 2005, OCEAN COAST MANAGE, V48, P97, DOI 10.1016/j.ocecoaman.2005.01.002; Stoddart T, 2000, INT J SCI EDUC, V22, P1221, DOI 10.1080/095006900750036235; Tsai LT, 2019, SUSTAINABILITY-BASEL, V11, DOI 10.3390/su11205810; Tsai LT, 2019, INT J ENV RES PUB HE, V16, DOI 10.3390/ijerph16193672; Tsai LT, 2019, ENVIRON EDUC RES, V25, P264, DOI 10.1080/13504622.2018.1542487; Tung Y.P., 2012, THESIS; Tyson LM, 1997, SCI EDUC, V81, P387, DOI 10.1002/(SICI)1098-237X(199707)81:4&lt;387::AID-SCE2&gt;3.0.CO;2-8; United Nations Educational Scientific and Cultural Organization, 1989, YEAR 2000 CHALL MAR; WALLACE JD, 1990, J RES SCI TEACH, V27, P1033, DOI 10.1002/tea.3660271010; Wandersee J.H., 1994, HDB RES SCI TEACHING, P177; WANDERSEE JH, 1990, J RES SCI TEACH, V27, P923, DOI 10.1002/tea.3660271002; Yu M.N., 1997, MEANING LEARNING INT</t>
  </si>
  <si>
    <t>SEP</t>
  </si>
  <si>
    <t>10.3390/su12177115</t>
  </si>
  <si>
    <t>NP7TH</t>
  </si>
  <si>
    <t>WOS:000570374800001</t>
  </si>
  <si>
    <t>Salazar-Sepúlveda, G; Vega-Muñoz, A; Contreras-Barraza, N; Castillo, D; Torres-Alcayaga, M; Cornejo-Orellana, C</t>
  </si>
  <si>
    <t>Salazar-Sepulveda, Guido; Vega-Munoz, Alejandro; Contreras-Barraza, Nicolas; Castillo, Dante; Torres-Alcayaga, Mario; Cornejo-Orellana, Carolina</t>
  </si>
  <si>
    <t>Bibliometric Analysis on Ocean Literacy Studies for Marine Conservation</t>
  </si>
  <si>
    <t>WATER</t>
  </si>
  <si>
    <t>ocean literacy; marine conservation; ocean biodiversity management; ocean education; coastal citizenship; pro-environmental behavior; environmental studies</t>
  </si>
  <si>
    <t>PRESERVICE TEACHERS KNOWLEDGE; PUBLIC PERCEPTIONS; ATTITUDES; PROTECTION; AWARENESS; IMPACTS</t>
  </si>
  <si>
    <t>The aim of this study is to present an overview of the current scientific literature pertaining to ocean literacy. We applied a bibliometric method to examine relational patterns among publications in a set of 192 papers indexed from 2004 to 2023 in Web of Science Core Collection, applying Price's, Lotka's, Bradford's, and Zipf's bibliometric laws to add more validation to VOSviewer and processing both data and metadata. The findings indicate a significant exponential growth in scientific output from 2004 to 2022 (R-2 = 86%), with a substantial amount of scientific research being focused on ocean literacy. The analysis shows the thematic trends of terminologies such as knowledge and citizen perception of climate change in relation to oceans; the benefits of biodiversity management and ocean conservation; and ocean education and its relation to behavior and attitudes towards and awareness of oceans. The research and its theoretical perspectives prompt an investigation of the impacts of ocean literacy outside of education, thanks to the contributions of authors from more than fifty countries dedicated to the study of these activities.</t>
  </si>
  <si>
    <t>[Salazar-Sepulveda, Guido] Univ Catolica Santisima Concepcion, Fac Ingn, Dept Ingn Ind, Concepcion 4090541, Chile; [Salazar-Sepulveda, Guido] Univ Amer, Fac Ingn &amp; Negocios, Concepcion 4090940, Chile; [Vega-Munoz, Alejandro] Univ Cent Chile, Fac Ciencias Salud, Inst Invest &amp; Postgrad, Santiago 8330507, Chile; [Vega-Munoz, Alejandro] Univ Autonoma Chile, Publ Policy Observ, Santiago 7500912, Chile; [Contreras-Barraza, Nicolas] Univ Andres Bello, Fac Econ &amp; Negocios, Vina Del Mar 2531015, Chile; [Castillo, Dante] Univ Santiago Chile, Ctr Estudios &amp; Invest Enzo Faletto, Santiago 9170022, Chile; [Castillo, Dante] Univ Lumiere Lyon 2, CNRS, Unite Mixte Rech 5191, Lab Interact,Corpus,Apprentissages,Repres, F-69342 Lyon, France; [Torres-Alcayaga, Mario] Univ Tecnol Metropolitana, Fac Humanidades &amp; Tecnol Comunicac Social, Dept Trabajo Social, Santiago 8330378, Chile; [Cornejo-Orellana, Carolina] Univ Gabriela Mistral, Escuela Negocios &amp; Tecnol, Santiago 7500533, Chile</t>
  </si>
  <si>
    <t>Universidad Catolica de la Santisima Concepcion; Universidad de Las Americas - Chile; Universidad Central de Chile; Universidad Autonoma de Chile; Universidad Andres Bello; Universidad de Santiago de Chile; Centre National de la Recherche Scientifique (CNRS); Universite Lyon 2; Universidad Tecnologica Metropolitana; Universidad Gabriela Mistral</t>
  </si>
  <si>
    <t>Vega-Muñoz, A (corresponding author), Univ Cent Chile, Fac Ciencias Salud, Inst Invest &amp; Postgrad, Santiago 8330507, Chile.;Vega-Muñoz, A (corresponding author), Univ Autonoma Chile, Publ Policy Observ, Santiago 7500912, Chile.;Contreras-Barraza, N (corresponding author), Univ Andres Bello, Fac Econ &amp; Negocios, Vina Del Mar 2531015, Chile.</t>
  </si>
  <si>
    <t>gsalazar@ucsc.cl; alejandro.vega@ucentral.cl; nicolas.contreras@unab.cl; dante.castillo@usach.cl; mtorres@utem.cl; carolina.cornejo@ugm.cl</t>
  </si>
  <si>
    <t>Vega-Muñoz, Alejandro/AAX-7468-2021; Contreras-Barraza, Nicolás/HTP-2328-2023</t>
  </si>
  <si>
    <t>Vega-Muñoz, Alejandro/0000-0002-9427-2044; Contreras-Barraza, Nicolás/0000-0001-6729-4398; Salazar, Guido/0000-0002-4979-6869; Castillo, Dante/0000-0002-5648-0627</t>
  </si>
  <si>
    <t>Universidad Tecnologica Metropolitana [APC2023, CC456001, CC21500]</t>
  </si>
  <si>
    <t>Universidad Tecnologica Metropolitana</t>
  </si>
  <si>
    <t>The Article Processing Charge was partially funded by Universidad Catolica de la Santisima Concepcion (code: APC2023). Additionally, the publication fee was partially financed through the Publication Incentive Fund, 2023, by Universidad Autonoma de Chile, (code: CC456001), Universidad Andres Bello (code: CC21500), Universidad de Las Americas (code: APC2023), Universidad Gabriela Mistral (code: APC2023), Universidad de Santiago de Chile (code: APC2023), and Universidad Tecnologica Metropolitana (code: APC2023).</t>
  </si>
  <si>
    <t>Ahmad-Kamil EI, 2022, SUSTAINABILITY-BASEL, V14, DOI 10.3390/su14074308; Albayrak T, 2021, TOURISM GEOGR, V23, P985, DOI 10.1080/14616688.2019.1696884; Ankamah-Yeboah I, 2020, FRONT MAR SCI, V7, DOI 10.3389/fmars.2020.00137; Bettencourt S, 2021, MAR POLLUT BULL, V168, DOI 10.1016/j.marpolbul.2021.112446; Boubonari T, 2013, J ENVIRON EDUC, V44, P232, DOI 10.1080/00958964.2013.785381; BULICK S, 1978, COLL RES LIBR, V39, P215, DOI 10.5860/crl_39_03_215; Chang CC, 2021, SUSTAINABILITY-BASEL, V13, DOI 10.3390/su13084314; Claudet J, 2020, ONE EARTH, V2, P34, DOI 10.1016/j.oneear.2019.10.012; Contreras-Barraza N, 2021, FRONT PSYCHOL, V12, DOI 10.3389/fpsyg.2021.641465; Costa MDD, 2022, WETLANDS, V42, DOI 10.1007/s13157-022-01628-5; Costa S, 2018, MAR POLICY, V87, P149, DOI 10.1016/j.marpol.2017.10.022; Crespo N, 2019, SOC SCI QUART, V100, P2495, DOI 10.1111/ssqu.12696; Devenport E, 2021, MAR POLICY, V124, DOI 10.1016/j.marpol.2020.104312; DOBROV GM, 1979, SCIENTOMETRICS, V1, P387, DOI 10.1007/BF02016658; Evans K, 2019, FRONT MAR SCI, V6, DOI 10.3389/fmars.2019.00298; Fauville G, 2015, COMPUT EDUC, V82, P60, DOI 10.1016/j.compedu.2014.11.003; Fauville G, 2019, ENVIRON EDUC RES, V25, P238, DOI 10.1080/13504622.2018.1440381; Ferreira JC, 2021, J MAR SCI ENG, V9, DOI 10.3390/jmse9030306; Fleming LE, 2014, MAR ENVIRON RES, V99, P16, DOI 10.1016/j.marenvres.2014.05.010; Fox HK, 2022, OCEAN COAST MANAGE, V225, DOI 10.1016/j.ocecoaman.2022.106241; Fox N, 2021, INT J ENV RES PUB HE, V18, DOI 10.3390/ijerph18115819; Gelcich S, 2014, P NATL ACAD SCI USA, V111, P15042, DOI 10.1073/pnas.1417344111; Guest H, 2015, MAR POLICY, V58, P98, DOI 10.1016/j.marpol.2015.04.007; Gutierrez A, 2014, SUSTAINABILITY-BASEL, V6, P8195, DOI 10.3390/su6118195; Hawkins JP, 2016, MAR POLLUT BULL, V111, P231, DOI 10.1016/j.marpolbul.2016.07.003; Heck N, 2018, SCI TOTAL ENVIRON, V639, P785, DOI 10.1016/j.scitotenv.2018.05.163; Hirsch JE, 2005, P NATL ACAD SCI USA, V102, P16569, DOI 10.1073/pnas.0507655102; Hynes S, 2014, MAR POLICY, V47, P57, DOI 10.1016/j.marpol.2014.02.002; Jefferson R, 2015, OCEAN COAST MANAGE, V115, P61, DOI 10.1016/j.ocecoaman.2015.06.014; Kasten P, 2021, FRONT MAR SCI, V8, DOI 10.3389/fmars.2021.681969; Kelly R, 2022, REV FISH BIOL FISHER, V32, P123, DOI 10.1007/s11160-020-09625-9; Kelly R, 2019, ECOL SOC, V24, DOI 10.5751/ES-10704-240116; Koenigstein S, 2020, ICES J MAR SCI, V77, P1629, DOI 10.1093/icesjms/fsaa035; Koulouri P, 2022, MEDITERR MAR SCI, V23, P289, DOI 10.12681/mms.26797; Kumar S, 2014, DESIDOC J LIB INF TE, V34, P223; Laffoley D, 2021, AQUAT CONSERV, V31, P1512, DOI 10.1002/aqc.3512; Leitao R, 2022, ENVIRON EDUC RES, V28, P276, DOI 10.1080/13504622.2021.1986469; Leitao R, 2022, EDUC INF TECHNOL, V27, P1081, DOI 10.1007/s10639-021-10651-8; Lin YL, 2020, SUSTAINABILITY-BASEL, V12, DOI 10.3390/su12177115; López-Medina T, 2022, SUSTAINABILITY-BASEL, V14, DOI 10.3390/su14010117; Lotka A. J., 1926, J WASHINGTON ACAD SC, V16, P317, DOI DOI 10.1002/ASI.4630280610; Lotze HK, 2018, OCEAN COAST MANAGE, V152, P14, DOI 10.1016/j.ocecoaman.2017.11.004; Lucrezi S, 2018, J BIOL EDUC, V52, P391, DOI 10.1080/00219266.2017.1385509; McAfee D, 2022, EARTH SYST GOV-NETH, V13, DOI 10.1016/j.esg.2022.100149; McHugh M, 2020, TECHNOL PEDAGOG EDUC, V29, P89, DOI 10.1080/1475939X.2020.1715241; McKinley E, 2023, MAR POLLUT BULL, V186, DOI 10.1016/j.marpolbul.2022.114467; McKinley E, 2022, ISCIENCE, V25, DOI 10.1016/j.isci.2022.104735; McKinley E, 2020, ENVIRON SCI POLICY, V108, P85, DOI 10.1016/j.envsci.2020.03.015; Mea M, 2016, FRONT MAR SCI, V3, DOI 10.3389/fmars.2016.00168; Mikhaylov A, 2020, J SCIENTOMETR RES, V9, P1, DOI 10.5530/jscires.9.1.1; Mioni E, 2022, MEDITERR MAR SCI, V23, P405, DOI 10.12681/mms.27152; Mogias A, 2019, FRONT MAR SCI, V6, DOI 10.3389/fmars.2019.00396; Mogias A, 2015, J ENVIRON EDUC, V46, P251, DOI 10.1080/00958964.2015.1050955; MORAVCSIK MJ, 1985, SCIENTOMETRICS, V7, P165, DOI 10.1007/BF02017144; MORSE PM, 1979, OPER RES, V27, P187, DOI 10.1287/opre.27.1.187; Paredes-Coral E, 2021, FRONT MAR SCI, V8, DOI 10.3389/fmars.2021.648492; Pazoto C, 2023, J ENVIRON EDUC, V54, P99, DOI 10.1080/00958964.2022.2161979; Pazoto CE, 2022, OCEAN COAST MANAGE, V219, DOI 10.1016/j.ocecoaman.2022.106047; Pazoto CE, 2021, OCEAN COAST RES, V69, DOI 10.1590/2675-2824069.21008cep; Perry EE, 2014, OCEAN COAST MANAGE, V95, P107, DOI 10.1016/j.ocecoaman.2014.04.011; Pon JPS, 2022, OCEAN COAST MANAGE, V220, DOI 10.1016/j.ocecoaman.2022.106070; PRICE DJD, 1976, J AM SOC INFORM SCI, V27, P292, DOI 10.1002/asi.4630270505; Realdon G, 2019, REND ONLINE SOC GEOL, V49, P107, DOI 10.3301/ROL.2019.59; Salazar J, 2019, FRONT MAR SCI, V6, DOI 10.3389/fmars.2019.00576; Sianes A, 2022, PLOS ONE, V17, DOI 10.1371/journal.pone.0265409; Steel BS, 2005, OCEAN COAST MANAGE, V48, P97, DOI 10.1016/j.ocecoaman.2005.01.002; Stoll-Kleemann S, 2019, FRONT MAR SCI, V6, DOI 10.3389/fmars.2019.00273; van Eck NJ, 2010, SCIENTOMETRICS, V84, P523, DOI 10.1007/s11192-009-0146-3; Vega-Muñoz A, 2022, J MAR SCI ENG, V10, DOI 10.3390/jmse10060751; Vega-Muñoz A, 2021, WATER-SUI, V13, DOI 10.3390/w13223234; Vega-Muñoz A, 2020, INT J HOSP MANAG, V85, DOI 10.1016/j.ijhm.2019.102353; Visbeck M, 2014, MAR POLICY, V48, P184, DOI 10.1016/j.marpol.2014.03.005; web, Aboiut us; Winks L, 2020, ENVIRON EDUC RES, V26, P969, DOI 10.1080/13504622.2020.1758631; Zhang D, 2020, J CLEAN PROD, V264, DOI 10.1016/j.jclepro.2020.121537; Zhang JJ, 2023, HEALTH INFO LIBR J, V40, P109, DOI 10.1111/hir.12481; Zipf G. K., 1932, SELECTED STUDIES PRI; Zunino S, 2020, FRONT MAR SCI, V6, DOI 10.3389/fmars.2019.00823</t>
  </si>
  <si>
    <t>2073-4441</t>
  </si>
  <si>
    <t>WATER-SUI</t>
  </si>
  <si>
    <t>Water</t>
  </si>
  <si>
    <t>JUN 1</t>
  </si>
  <si>
    <t>10.3390/w15112095</t>
  </si>
  <si>
    <t>Environmental Sciences; Water Resources</t>
  </si>
  <si>
    <t>Environmental Sciences &amp; Ecology; Water Resources</t>
  </si>
  <si>
    <t>I7RW2</t>
  </si>
  <si>
    <t>WOS:001004731800001</t>
  </si>
  <si>
    <t>Guest, H; Lotze, HK; Wallace, D</t>
  </si>
  <si>
    <t>Guest, Haley; Lotze, Heike K.; Wallace, Douglas</t>
  </si>
  <si>
    <t>Youth and the sea: Ocean literacy in Nova Scotia, Canada</t>
  </si>
  <si>
    <t>Science education; Ocean value; Marine citizenship; Experiential learning; Survey; Environmental education</t>
  </si>
  <si>
    <t>SCIENCE; CITIZENSHIP</t>
  </si>
  <si>
    <t>Improving public awareness about the ocean can benefit the environment, economy, and society. However, low levels of 'ocean literacy' have been identified in many countries and can be a barrier for citizens to engage in environmentally responsible behavior or consider ocean-related careers. This study assessed the level of ocean valuation, knowledge, interaction and interest of public school students grade 7-12 (ages 12-18) in Nova Scotia, Canada, a region with strong connections with the sea. A survey was used in 11 public schools, with a total of 723 students participating in a quiz and survey. Many quiz questions were aligned with the 'Ocean Literacy Principles' established by the Ocean Literacy Campaign in the United States. Although the average quiz score was below 50%, students reported a high valuation of the marine environment and diverse interest in the oceans, including jobs and careers. There was a distinct difference in knowledge of biology-related questions and abiotic-related questions, with students having more knowledge of and interest in topics concerning ocean life. A significant positive correlation between knowledge and value indicated that ocean-literate students might value the marine environment more strongly. Students reporting greater interaction with the ocean also demonstrated higher knowledge levels, and students with higher knowledge levels were more likely to be interested in ocean-related jobs and careers. Participants' high valuation of the marine environment and interest in ocean jobs and careers suggests important links between ocean literacy and environmental and economic benefit, respectively. Enhancing interactions with the ocean through experiential learning could be the most effective way of improving ocean literacy as well as marine citizen- and stewardship. (C) 2015 Elsevier Ltd. All rights reserved.</t>
  </si>
  <si>
    <t>[Guest, Haley; Lotze, Heike K.] Dalhousie Univ, Dept Biol, Halifax, NS B3H 4R2, Canada; [Guest, Haley; Wallace, Douglas] Dalhousie Univ, Dept Oceanog, Halifax, NS B3H 4R2, Canada</t>
  </si>
  <si>
    <t>Dalhousie University; Dalhousie University</t>
  </si>
  <si>
    <t>Guest, H (corresponding author), Dalhousie Univ, Dept Biol, 1355 Oxford St, Halifax, NS B3H 4R2, Canada.</t>
  </si>
  <si>
    <t>haley.guest@dal.ca</t>
  </si>
  <si>
    <t>Lotze, Heike/0000-0001-6258-1304</t>
  </si>
  <si>
    <t>Canada Excellence Research Chair (CERC) in Ocean Science and Technology</t>
  </si>
  <si>
    <t>We would like to thank J. Hanlon, B. Worm, and B. Davis for their support in initiating this project and their assistance with revisions. Thanks also to the Dalhousie Research Services Group for their aid in developing the research methods, and to L. Kay for assistance with data analysis. This paper is a contribution to the MEOPAR Network of Centres of Excellence (www.meopar.ca) and financial support for this project was provided by the Canada Excellence Research Chair (CERC) in Ocean Science and Technology. This project would not have been possible without the permission and participation of 5 Nova Scotian school boards, and many principals, teachers and students - thank you.</t>
  </si>
  <si>
    <t>Adams LG, 2009, OCEANOGRAPHY, V22, P12, DOI 10.5670/oceanog.2009.55; Ballantyne R., 2004, GEO J, V60, P159, DOI [https://doi.org/10.1023/B:GEJO.0000033579.19277.ff, DOI 10.1023/B:GEJO.0000033579.19277.FF]; Ballantyne R.R., 1996, J ENVIRON EDUC, V27, P25, DOI DOI 10.1080/00958964.1996.9941455; Belden N, 1999, COMMUNICATING OCEANS; Berkowitz A.R., 2005, ENV ED ADVOCACY CHAN, P227, DOI DOI 10.2980/1195-6860(2006)13[423:EEAACP]2.0.CO;2; Brody M, 1987, OCEANS 87 HAL NOV SC, P779, DOI [10.1109/OCEANS.1987.1160803, DOI 10.1109/OCEANS.1987.1160803]; Brody M., 1990, J ENVIRON EDUC, V21, P16; Cartwright Fernando., 2002, ED SKILLS LEARNING R; CBCL Limited &amp; Nova Scotia Department of Fisheries and Aquaculture, 2009, OUR COAST LIV WORK P; Ciencia Viva, 2014, CONH OC PRINC ESS CO; COSEE (Centers for Ocean Sciences Education Excellence), 2013, 2 WEEK ON LIN WORKSH; Costanza R, 1999, ECOL ECON, V31, P199, DOI 10.1016/S0921-8009(99)00079-8; Council of Ministers of Education Canada (CMEC), 2014, CAN RESP UNESCO QUES; Cudaback C., 2006, Eos, V87, P418; Cummins S., 2000, Canadian Journal of Environmental Education, V5, P305; Derraik JGB, 2002, MAR POLLUT BULL, V44, P842, DOI 10.1016/S0025-326X(02)00220-5; Eddy TD, 2014, MAR POLICY, V46, P61, DOI 10.1016/j.marpol.2014.01.004; Edge Research, 2002, PUBL ATT OC PROT RES; Falk JH, 2010, J RES SCI TEACH, V47, P194, DOI 10.1002/tea.20319; Fletcher S, 2007, COAST MANAGE, V35, P511, DOI 10.1080/08920750701525818; Fletcher S, 2009, MAR POLICY, V33, P370, DOI 10.1016/j.marpol.2008.08.004; Hawthorne M, 1999, GLOBAL ENVIRON CHANG, V9, P25, DOI 10.1016/S0959-3780(98)00022-3; Jefferson RL, 2014, MAR POLICY, V43, P327, DOI 10.1016/j.marpol.2013.07.004; Jenson B.B., 2002, ENVIRON EDUC RES, V8, P325, DOI [DOI 10.1080/13504620220145474, 10.1080/13504620220145474]; Lotze HK, 2006, SCIENCE, V312, P1806, DOI 10.1126/science.1128035; Marrero M., 2010, CURRENT J MARINE ED, V26, P2; McKinley E, 2012, MAR POLICY, V36, P839, DOI 10.1016/j.marpol.2011.11.001; McKinley E, 2010, OCEAN COAST MANAGE, V53, P379, DOI 10.1016/j.ocecoaman.2010.04.012; Mora C, 2009, PLOS BIOL, V7, DOI 10.1371/journal.pbio.1000131; Nosek BA, 2009, P NATL ACAD SCI USA, V106, P10593, DOI 10.1073/pnas.0809921106; NSCBNE (Nova Scotia Commission on Building our New Economy), 2014, NOW NEV URG CALL ACT; O'Grady K, 2013, REPORT PAN CANADIAN; Peterson C. H., 1997, Nature's services: societal dependence on natural ecosystems., P177; Province of Nova Scotia, 2011, DEF SEA NOV SCOT OC; Seys J, 2008, WHAT DO PEOPLE WANT; Spruill V.N., 1997, Oceanography, V10, P149, DOI DOI 10.5670/0CEAN0G.1997.13; Steel BS, 2005, OCEAN COAST MANAGE, V48, P97, DOI 10.1016/j.ocecoaman.2005.01.002; Wang JJ, 2001, J EDUC RES, V94, P312, DOI 10.1080/00220670109598767; Worm B, 2006, SCIENCE, V314, P787, DOI 10.1126/science.1132294</t>
  </si>
  <si>
    <t>10.1016/j.marpol.2015.04.007</t>
  </si>
  <si>
    <t>CL2AJ</t>
  </si>
  <si>
    <t>WOS:000356745700012</t>
  </si>
  <si>
    <t>Tsai, LT; Lin, YL; Chang, CC</t>
  </si>
  <si>
    <t>Tsai, Liang-Ting; Lin, Yen-Ling; Chang, Cheng-Chieh</t>
  </si>
  <si>
    <t>An Assessment of Factors Related to Ocean Literacy Based on Gender-Invariance Measurement</t>
  </si>
  <si>
    <t>INTERNATIONAL JOURNAL OF ENVIRONMENTAL RESEARCH AND PUBLIC HEALTH</t>
  </si>
  <si>
    <t>ocean literacy; environmental education; parental education level; attitude toward ocean; measurement invariance; multiple-group SEM</t>
  </si>
  <si>
    <t>FIT INDEXES; SCIENCE; ACHIEVEMENT; ATTITUDES; MODEL; SENSITIVITY; WALK</t>
  </si>
  <si>
    <t>This study sought to gain a more comprehensive understanding of how the factors of parental education level and student attitude toward the ocean influence the ocean literacy of students in Taiwan after establishing measurement invariance across genders. The analyzed data were collected from self-reported questionnaires filled out by students aged 16-18 years old. The students' ocean literacy was used as the outcome variable, while parental education level and student attitude toward the ocean were employed as the independent variables. The effects of parental education level and student attitude toward the ocean on ocean literacy were estimated with a multi-group structural equation model. Of the final total of 945 valid respondents in this study, 58.1% were male and 41.9% were female. The results from the multiple-group analysis supported measurement invariance across the genders. After establishing gender invariance, it was further found that higher degrees of parental education level and student attitude toward the ocean were positively related to ocean literacy. A considerable contribution was detected between parental education level and ocean literacy that was indirectly related through student attitude toward the ocean in the female student.</t>
  </si>
  <si>
    <t>[Tsai, Liang-Ting; Lin, Yen-Ling] Natl Taiwan Ocean Univ, Taiwan Marine Educ Ctr, Keelung 20224, Taiwan; [Chang, Cheng-Chieh] Natl Taiwan Ocean Univ, Inst Educ, Keelung 20224, Taiwan; [Chang, Cheng-Chieh] Natl Taiwan Ocean Univ, Ctr Teacher Educ, Keelung 20224, Taiwan</t>
  </si>
  <si>
    <t>Tsai, LT (corresponding author), Natl Taiwan Ocean Univ, Taiwan Marine Educ Ctr, Keelung 20224, Taiwan.;Chang, CC (corresponding author), Natl Taiwan Ocean Univ, Inst Educ, Keelung 20224, Taiwan.;Chang, CC (corresponding author), Natl Taiwan Ocean Univ, Ctr Teacher Educ, Keelung 20224, Taiwan.</t>
  </si>
  <si>
    <t>changjac@email.ntou.edu.tw; linyenling0619@gmail.com; changjac@email.ntou.edu.tw</t>
  </si>
  <si>
    <t>Ministry of Science Technology [MOST-108-2511-H-019-001-MY3, MOST-107-2515-H-019-002-MY2, MOST-106-2511-S-019-001]</t>
  </si>
  <si>
    <t>This research was funded by Ministry of Science Technology, grant number MOST-108-2511-H-019-001-MY3, MOST-107-2515-H-019-002-MY2, and MOST-106-2511-S-019-001.</t>
  </si>
  <si>
    <t>[Anonymous], 2008, THESIS U S FLORIDA; Beauducel A, 2005, STRUCT EQU MODELING, V12, P41, DOI 10.1207/s15328007sem1201_3; Byrne BM, 2008, PSICOTHEMA, V20, P872; Byrne BM, 2006, STRUCT EQU MODELING, V13, P287, DOI 10.1207/s15328007sem1302_7; Caldas SJ, 1997, J EDUC RES, V90, P269, DOI 10.1080/00220671.1997.10544583; Campbell J., NAEP 1999 TRENDS ACA; Chang C.C., 2015, ED J, V43, P173; Cheung GW, 2002, STRUCT EQU MODELING, V9, P233, DOI 10.1207/S15328007SEM0902_5; Cudaback C., 2006, Eos, V87, P418; European Commission, 2009, EUR ATT CLIM CHANG; Fan XT, 2005, STRUCT EQU MODELING, V12, P343, DOI 10.1207/s15328007sem1203_1; Fasasi RA, 2017, INT J SCI EDUC, V39, P548, DOI 10.1080/09500693.2017.1296599; FORNELL C, 1981, J MARKETING RES, V18, P39, DOI 10.2307/3151312; FORTNER RW, 1983, OHIO J SCI, V83, P218; George R, 1998, SCI EDUC, V82, P93, DOI 10.1002/(SICI)1098-237X(199801)82:1&lt;93::AID-SCE5&gt;3.0.CO;2-W; Hair J.F., 2010, MULTIVARIATE DATA AN; Hong ZR, 2010, INT J SCI EDUC, V32, P1971, DOI 10.1080/09500690903229304; Hu LT, 1999, STRUCT EQU MODELING, V6, P1, DOI 10.1080/10705519909540118; Jabor M.K., 2011, P 2011 INT C SOC SCI; Kalender I, 2009, INT J SCI EDUC, V31, P1379, DOI 10.1080/09500690801992888; Kline R.B., 2016, PRINCIPLES PRACTICE, DOI DOI 10.1126/SCITRANSLMED.3002085; Lwo LS, 2013, J RES EDUC SCI, V58, P51, DOI 10.6209/JORIES.2013.58(3).03; Meade AW, 2008, J APPL PSYCHOL, V93, P568, DOI 10.1037/0021-9010.93.3.568; Mohammadpour E, 2013, LEARN INDIVID DIFFER, V26, P212, DOI 10.1016/j.lindif.2012.12.005; Mullis I.V.S., 2012, CREATING INTERPRETIN; Muthen L. K., 1998, MPLUS USERS GUIDE; Myrberg E, 2008, EDUC RES EVAL, V14, P507, DOI 10.1080/13803610802576742; National Marine Educators Association [NMEA], 2010, 3 NMEA; Papadakis Stamatios, 2019, International Journal of Child-Computer Interaction, V22, DOI 10.1016/j.ijcci.2019.100144; Senler B, 2009, SPAN J PSYCHOL, V12, P106, DOI 10.1017/S1138741600001529; Simunovic M, 2018, INT J SCI EDUC, V40, P977, DOI 10.1080/09500693.2018.1460696; Steel BS, 2005, OCEAN COAST MANAGE, V48, P97, DOI 10.1016/j.ocecoaman.2005.01.002; Tsai LT, 2019, ENVIRON EDUC RES, V25, P264, DOI 10.1080/13504622.2018.1542487; Tsai LT, 2015, ASIA-PAC EDUC RES, V24, P445, DOI 10.1007/s40299-014-0196-z; Wester M, 2011, ENVIRON MANAGE, V48, P70, DOI 10.1007/s00267-011-9676-6</t>
  </si>
  <si>
    <t>1660-4601</t>
  </si>
  <si>
    <t>INT J ENV RES PUB HE</t>
  </si>
  <si>
    <t>Int. J. Environ. Res. Public Health</t>
  </si>
  <si>
    <t>OCT</t>
  </si>
  <si>
    <t>10.3390/ijerph16193672</t>
  </si>
  <si>
    <t>Environmental Sciences; Public, Environmental &amp; Occupational Health</t>
  </si>
  <si>
    <t>Environmental Sciences &amp; Ecology; Public, Environmental &amp; Occupational Health</t>
  </si>
  <si>
    <t>JK3MF</t>
  </si>
  <si>
    <t>Green Published, gold</t>
  </si>
  <si>
    <t>WOS:000494748600168</t>
  </si>
  <si>
    <t>O'Halloran, C; Silver, M</t>
  </si>
  <si>
    <t>O'Halloran, Chris; Silver, Mary</t>
  </si>
  <si>
    <t>Awareness of ocean literacy principles and ocean conservation engagement among American adults</t>
  </si>
  <si>
    <t>ocean literacy (OL); sustainable development; conservation engagement; ocean conservation</t>
  </si>
  <si>
    <t>HUMAN HEALTH</t>
  </si>
  <si>
    <t>Ocean literacy influences ocean conservation and might have an impact on sustainable development practices. We investigated the knowledge American adults possess concerning ocean literacy principles and ocean conservation behaviors by asking participants (N=1226) to complete an online survey on ocean literacy principles, health and well-being benefits of time spent in or by the ocean, emotions that result in behavioral change for conservation, and conservation actions. We used a representative sample of the US population by age, gender, and location. The majority of participants were aware of the ocean literacy principle, that the ocean supports a great diversity of life and ecosystems (82%). Calmness, stress reduction, reduced depression, awe, connection with nature, greater life satisfaction, improved happiness, and a feeling of a spiritual connection or refuge were all associated with the ocean environment's emotional health benefits. Monthly beach trips were associated with the physical health benefits of spending time near the ocean. Engagement in ocean conservation action was associated with multiple factors, including awareness of ocean literacy principles (the ocean is largely unexplored, ocean health and human health are connected, and the ocean regulates our climate and weather), monthly visits to the ocean, emotions of sadness and awe, feeling a connection to nature, living 10 miles or less to the ocean, and viewing nature documentaries and Instagram. Findings from this study may provide ideas how to engage the American public in understanding, valuing, and caring for our shared life sustaining ocean.</t>
  </si>
  <si>
    <t>[O'Halloran, Chris; Silver, Mary] Hlth Oceans, Hlth People, Santa Cruz, CA 95064 USA; [Silver, Mary] Univ Calif, Santa Cruz, CA USA</t>
  </si>
  <si>
    <t>University of California System; University of California Santa Cruz</t>
  </si>
  <si>
    <t>O'Halloran, C (corresponding author), Hlth Oceans, Hlth People, Santa Cruz, CA 95064 USA.</t>
  </si>
  <si>
    <t>chris@healthyoceanshealthypeople.org</t>
  </si>
  <si>
    <t>Healthy Oceans, Healthy People</t>
  </si>
  <si>
    <t>The nonprofit organization, Healthy Oceans, Healthy People, funded the study through a grant from 1% for the Planet/The Surfers Journal and The AIP group which were not involved in any aspect of study design or research.</t>
  </si>
  <si>
    <t>[Anonymous], 2021, The United Nations Decade of Ocean Science for Sustainable Development (2021-2030): Implementation Plan; [Anonymous], 2017, Education for Sustainable Development Goals: Learning Objectives, DOI [10.0978/-92-3-100209-0, DOI 10.31142/IJTSRD5889]; Bennett NJ, 2019, COAST MANAGE, V47, P244, DOI 10.1080/08920753.2019.1564958; Blue Health, 2020, US; Brennan C, 2019, FRONT MAR SCI, V6, DOI 10.3389/fmars.2019.00360; Britton E, 2021, MAR POLICY, V124, DOI 10.1016/j.marpol.2020.104333; Britton E, 2020, HEALTH PROMOT INT, V35, P50, DOI 10.1093/heapro/day103; Buckley P.J., 2011, SEA CHANGE PUBLIC VI; Canadian Ocean Literacy Coalition, 2022, US; Castelloe M.S., 2018, Psychol. Today; Cava F., 2005, Science Content and Standards for Ocean Literacy: A Report on Ocean Literacy, P1; Depledge MH, 2009, MAR POLLUT BULL, V58, P947, DOI 10.1016/j.marpolbul.2009.04.019; Dupont S., 2017, Handbook on the Economics and Management of Sustainable Oceans, P519, DOI [10.4337/9781786430724, DOI 10.4337/9781786430724.00037]; European Commission, 2013, US; European Commission, 2022, About us; European Ocean Coalition, 2022, US; Fauville G, 2019, ENVIRON EDUC RES, V25, P238, DOI 10.1080/13504622.2018.1440381; Figgener C., 2015, SEA TURTLE STRAW ITS; Fleming L., 2015, Oxford Research Encyclopedia of Environmental Science, DOI DOI 10.1093/ACREFORE/9780199389414.013.12; Fleming LE, 2021, AM J PUBLIC HEALTH, V111, P808, DOI 10.2105/AJPH.2021.306229; Fleming LE, 2019, PEOPLE NAT, V1, P276, DOI 10.1002/pan3.10038; Fox N, 2021, INT J ENV RES PUB HE, V18, DOI 10.3390/ijerph18115819; Gascon M, 2017, INT J HYG ENVIR HEAL, V220, P1207, DOI 10.1016/j.ijheh.2017.08.004; Jefferson R, 2021, FRONT MAR SCI, V8, DOI 10.3389/fmars.2021.711245; Jefferson R, 2015, OCEAN COAST MANAGE, V115, P61, DOI 10.1016/j.ocecoaman.2015.06.014; Kollmuss A., 2002, ENVIRON EDUC RES, V8, P239, DOI [10.1080/13504620220145401, DOI 10.1080/13504620220145401]; National Ocean and Atmospheric Administration (NOAA), 2022, about us; O'Halloran C, 2021, FRONT MAR SCI, V8, DOI 10.3389/fmars.2021.714831; Plankis B.J., 2010, INT ELECT J ENV ED, V1, P21; ResponSEAble, 2022, US; Schnurr REJ, 2018, MAR POLLUT BULL, V137, P157, DOI 10.1016/j.marpolbul.2018.10.001; Sea Change Project, 2022, US; Steel BS, 2005, OCEAN COAST MANAGE, V48, P97, DOI 10.1016/j.ocecoaman.2005.01.002; Stoll-Kleemann S, 2019, FRONT MAR SCI, V6, DOI 10.3389/fmars.2019.00273; Survey Monkey, 2022, US; UN, 2015, General Assembly Resolution Adopted by the General Assembly on 25 September 2015-70/1 Transforming Our World: The 2030 Agenda for Sustainable Development; UNESCO, 2018, Ocean Literacy for all: A toolkit; White MP, 2020, ENVIRON RES, V191, DOI 10.1016/j.envres.2020.110169; White MP, 2013, HEALTH PLACE, V23, P97, DOI 10.1016/j.healthplace.2013.05.006; Wilson E.O., 1984, P1</t>
  </si>
  <si>
    <t>SEP 14</t>
  </si>
  <si>
    <t>10.3389/fmars.2022.976006</t>
  </si>
  <si>
    <t>4Y9VC</t>
  </si>
  <si>
    <t>WOS:000861868000001</t>
  </si>
  <si>
    <t>Eparkhina, D</t>
  </si>
  <si>
    <t>Eparkhina, Dina</t>
  </si>
  <si>
    <t>Scientists for Ocean Literacy: An Ocean Decade Project to Empower Scientists as Ocean Champions</t>
  </si>
  <si>
    <t>MARINE TECHNOLOGY SOCIETY JOURNAL</t>
  </si>
  <si>
    <t>The Ocean Decade project Scientists for Ocean Literacy is helping marine scientists become more actively involved in public engagement. Scientists have the power, knowledge, and passion to explain the importance of the ocean for the planet. But scientists cannot do this alone. Scientists for Ocean Literacy aims at expanding the horizon of science communication towards a multi-stakeholder dialogue. The project is building on the best practices from the European community of oceanographers and meteorologists, bringing in other science disciplines, culture, and the arts, and promoting inclusiveness, diversity, and accessibility in the public engagement activities. This article explains the raison d'etre for the Scientists for Ocean Literacy project, its objectives and actions, and gives recommendations on how to improve the ocean literacy offer in the publicly funded oceanographic and meteorological agencies and beyond.</t>
  </si>
  <si>
    <t>[Eparkhina, Dina] European Global Ocean Observing Syst, Brussels, Belgium</t>
  </si>
  <si>
    <t>Eparkhina, D (corresponding author), European Global Ocean Observing Syst, Brussels, Belgium.</t>
  </si>
  <si>
    <t>dina.eparkhina@eurogoos.eu</t>
  </si>
  <si>
    <t>Eparkhina, Dina/0000-0003-3993-0240</t>
  </si>
  <si>
    <t>MARINE TECHNOLOGY SOC INC</t>
  </si>
  <si>
    <t>COLUMBIA</t>
  </si>
  <si>
    <t>5565 STERRETT PLACE, STE 108, COLUMBIA, MD 21044 USA</t>
  </si>
  <si>
    <t>0025-3324</t>
  </si>
  <si>
    <t>1948-1209</t>
  </si>
  <si>
    <t>MAR TECHNOL SOC J</t>
  </si>
  <si>
    <t>Mar. Technol. Soc. J.</t>
  </si>
  <si>
    <t>MAY-JUN</t>
  </si>
  <si>
    <t>2D5OZ</t>
  </si>
  <si>
    <t>WOS:000811597500022</t>
  </si>
  <si>
    <t>Shwom, R; Isenhour, C; Jordan, RC; McCright, AM; Robinson, JM</t>
  </si>
  <si>
    <t>Shwom, Rachael; Isenhour, Cindy; Jordan, Rebecca C.; McCright, Aaron M.; Robinson, Jennifer Meta</t>
  </si>
  <si>
    <t>Integrating the social sciences to enhance climate literacy</t>
  </si>
  <si>
    <t>FRONTIERS IN ECOLOGY AND THE ENVIRONMENT</t>
  </si>
  <si>
    <t>Review</t>
  </si>
  <si>
    <t>POLICY; UNCERTAINTY; PERCEPTIONS; ADAPTATION; RESILIENCE; HUMANS</t>
  </si>
  <si>
    <t>The climate literacy movement aspires to help members of the general public understand the global climate system, locate and assess scientifically credible climatic information, communicate about climate change in an educated and objective manner, and make informed and responsible decisions in response to climate-change impacts. When these goals are not met, society will likely be further imperiled by the effects of a changing climate. Climate literacy programs have traditionally promoted education on the biophysical science of the climate system but have largely failed to integrate relevant knowledge from the social sciences. We argue that understanding human behavior and the social drivers of climate change are essential for the public to fully appreciate the climate system, and that this knowledge can inform decision making related to climate-change mitigation and adaptation. Teaching students to evaluate different forms of evidence will also improve climate literacy and lead them to ask how scientists know what they know. Finally, we suggest two new social science principles that could advance interdisciplinary climate literacy goals.</t>
  </si>
  <si>
    <t>[Shwom, Rachael; Jordan, Rebecca C.] Rutgers State Univ, Dept Human Ecol, Sch Environm &amp; Biol Sci, New Brunswick, NJ 08903 USA; [Isenhour, Cindy] Univ Maine, Dept Anthropol, Orono, ME USA; [McCright, Aaron M.] Lyman Briggs Coll, Dept Sociol, E Lansing, MI USA; [McCright, Aaron M.] Michigan State Univ, Environm Sci &amp; Policy Program, E Lansing, MI 48824 USA; [Robinson, Jennifer Meta] Indiana Univ, Dept Anthropol, Bloomington, IN 47405 USA</t>
  </si>
  <si>
    <t>Rutgers University System; Rutgers University New Brunswick; University of Maine System; University of Maine Orono; Michigan State University; Indiana University System; Indiana University Bloomington</t>
  </si>
  <si>
    <t>Shwom, R (corresponding author), Rutgers State Univ, Dept Human Ecol, Sch Environm &amp; Biol Sci, New Brunswick, NJ 08903 USA.</t>
  </si>
  <si>
    <t>shwomrac@sebs.rutgers.edu</t>
  </si>
  <si>
    <t>McCright, Aaron Matthew/Z-1967-2019</t>
  </si>
  <si>
    <t>Shwom, Rachael/0000-0002-9648-1659; Isenhour, Cindy/0000-0001-8413-1558</t>
  </si>
  <si>
    <t>National Socio-Environmental Synthesis Center (SESYNC)-NSF [DBI-1052875]; Div Of Biological Infrastructure; Direct For Biological Sciences [1052875] Funding Source: National Science Foundation</t>
  </si>
  <si>
    <t>National Socio-Environmental Synthesis Center (SESYNC)-NSF(National Science Foundation (NSF)NSF - Directorate for Biological Sciences (BIO)); Div Of Biological Infrastructure; Direct For Biological Sciences(National Science Foundation (NSF)NSF - Directorate for Biological Sciences (BIO))</t>
  </si>
  <si>
    <t>This work was supported by the National Socio-Environmental Synthesis Center (SESYNC)-NSF award DBI-1052875 under the specific grant title Integrated Learning Theme: Socio-Ecological Framework for Understanding Climate Change Mitigation and Adaptation.</t>
  </si>
  <si>
    <t>Adger WN, 2013, NAT CLIM CHANGE, V3, P112, DOI [10.1038/nclimate1666, 10.1038/NCLIMATE1666]; Adger WN, 2011, WIRES CLIM CHANGE, V2, P757, DOI 10.1002/wcc.133; Adger WN, 2005, GLOBAL ENVIRON CHANG, V15, P77, DOI [10.1016/j.gloenvcha.2005.03.001, 10.1016/j.gloenvcha.2004.12.005]; Anderson D.G., 2011, Climate change and cultural dynamics: a global perspective on mid-Holocene transitions; [Anonymous], 2012, NATURE ED KNOWLEDGE; [Anonymous], 2009, PSYCHOL GLOBAL CLIMA; [Anonymous], 2014, CHANGING ATMOSPHERE; [Anonymous], TROPICAL FORESTS PAT; [Anonymous], 2013, FUJIAN TRIBUNE THE H; [Anonymous], **DROPPED REF**; [Anonymous], 2009, Climate Literacy: The essential Principles of Climate Science; Aspinall R, 2010, ANN ASSOC AM GEOGR, V100, P715, DOI 10.1080/00045608.2010.502408; Ayers J, 2009, ENVIRONMENT, V51, P22, DOI 10.3200/ENV.51.4.22-31; Barnes J, 2013, NAT CLIM CHANGE, V3, P541, DOI [10.1038/nclimate1775, 10.1038/NCLIMATE1775]; Black R, 2011, GLOBAL ENVIRON CHANG, V21, pS3, DOI 10.1016/j.gloenvcha.2011.10.001; Bord RJ, 2000, PUBLIC UNDERST SCI, V9, P205, DOI 10.1088/0963-6625/9/3/301; Brechin SR, 2011, WIRES CLIM CHANGE, V2, P871, DOI 10.1002/wcc.146; Brewer G., 2005, DECISION MAKING ENV; Bryant J, 2007, POPUL DEV REV, V33, P101, DOI 10.1111/j.1728-4457.2007.00160.x; Brysse K, 2013, GLOBAL ENVIRON CHANG, V23, P327, DOI 10.1016/j.gloenvcha.2012.10.008; Budescu DV, 2009, PSYCHOL SCI, V20, P299, DOI 10.1111/j.1467-9280.2009.02284.x; Cook J, 2016, ENVIRON RES LETT, V11, DOI 10.1088/1748-9326/11/4/048002; Costanza R, 2007, AMBIO, V36, P522, DOI 10.1579/0044-7447(2007)36[522:SOCWCW]2.0.CO;2; Crumley C.L., 2002, New Directions in Anthropology and Environment: Intersections; DEMENOCAL PB, 1995, SCIENCE, V270, P53, DOI 10.1126/science.270.5233.53; Ding D, 2011, NAT CLIM CHANGE, V1, P462, DOI 10.1038/NCLIMATE1295; Druckman A, 2009, ECOL ECON, V68, P2066, DOI 10.1016/j.ecolecon.2009.01.013; Dunlap RE, 2015, Climate justice and inequality in climate change and society: Sociological perspectives; Ellis EC, 2011, PHILOS T R SOC A, V369, P1010, DOI 10.1098/rsta.2010.0331; Fagan Brian., 2004, LONG SUMMER CLIMATE; Füssel HM, 2006, CLIMATIC CHANGE, V75, P301, DOI 10.1007/s10584-006-0329-3; HART DM, 1993, SOC STUD SCI, V23, P643, DOI 10.1177/030631293023004002; Hulme M, 2011, NAT CLIM CHANGE, V1, P177, DOI 10.1038/nclimate1150; IPCC (Intergovernmental Panel on Climate Change), 2014, CLIM CHANG 2014 IMPL; Isenhour C, 2016, J CLEAN PROD, V134, P320, DOI 10.1016/j.jclepro.2014.12.037; Jorgenson A, 2016, SCI REP-UK, V6, DOI 10.1038/srep28661; Kandel A, 2008, ACEEE SUMMER STUDY E, P123; Kennett DJ, 2012, SCIENCE, V338, P788, DOI 10.1126/science.1226299; Kolk A., 2007, BUSINESS SOC, V46, P201; Kopp RE, 2016, EARTHS FUTURE, V4, P346, DOI 10.1002/2016EF000362; Lahsen M, 2005, SOC STUD SCI, V35, P895, DOI 10.1177/0306312705053049; Lloyd EA, 2012, STUD HIST PHILOS SCI, V43, P390, DOI 10.1016/j.shpsa.2012.02.001; Lorenzoni I, 2007, GLOBAL ENVIRON CHANG, V17, P445, DOI 10.1016/j.gloenvcha.2007.01.004; Lutsey N, 2008, ENERG POLICY, V36, P673, DOI 10.1016/j.enpol.2007.10.018; McCright AM, 2016, ENERGY RES SOC SCI, V21, P180, DOI 10.1016/j.erss.2016.08.003; McCright AM, 2013, NAT CLIM CHANGE, V3, P713, DOI [10.1038/NCLIMATE1844, 10.1038/nclimate1844]; Nelson DR, 2011, WIRES CLIM CHANGE, V2, P113, DOI 10.1002/wcc.91; Peterson TC, 2008, B AM METEOROL SOC, V89, P1325, DOI 10.1175/2008BAMS2370.1; Rabe BG., 2004, Statehouse and Greenhouse: The Emerging Politics of American Climate Change Policy; Reynolds TW, 2010, RISK ANAL, V30, P1520, DOI 10.1111/j.1539-6924.2010.01448.x; Rosa EA, 2012, NAT CLIM CHANGE, V2, P581, DOI 10.1038/NCLIMATE1506; Roser-Renouf C, 2014, CLIMATIC CHANGE, V125, P163, DOI 10.1007/s10584-014-1173-5; Ruddiman WF, 2005, SCI AM, V292, P46, DOI 10.1038/scientificamerican0305-46; Scarborough VL, 2012, P NATL ACAD SCI USA, V109, P12408, DOI 10.1073/pnas.1202881109; Shwom R, 2012, WIRES CLIM CHANGE, V3, P379, DOI 10.1002/wcc.182; Shwom RL, 2015, CLIMATE CHANGE SOC S; Sterman JD, 2007, CLIMATIC CHANGE, V80, P213, DOI 10.1007/s10584-006-9107-5; van der Leeuw SE, 2008, AMBIO, P476, DOI 10.1579/0044-7447-37.sp14.476; Victor DG, 2015, NATURE, V520, P27, DOI 10.1038/520027a; Zehr SC, 2000, PUBLIC UNDERST SCI, V9, P85, DOI 10.1088/0963-6625/9/2/301</t>
  </si>
  <si>
    <t>WILEY</t>
  </si>
  <si>
    <t>HOBOKEN</t>
  </si>
  <si>
    <t>111 RIVER ST, HOBOKEN 07030-5774, NJ USA</t>
  </si>
  <si>
    <t>1540-9295</t>
  </si>
  <si>
    <t>1540-9309</t>
  </si>
  <si>
    <t>FRONT ECOL ENVIRON</t>
  </si>
  <si>
    <t>Front. Ecol. Environ.</t>
  </si>
  <si>
    <t>10.1002/fee.1519</t>
  </si>
  <si>
    <t>Ecology; Environmental Sciences</t>
  </si>
  <si>
    <t>FF3PI</t>
  </si>
  <si>
    <t>Green Submitted, Bronze</t>
  </si>
  <si>
    <t>WOS:000408822300015</t>
  </si>
  <si>
    <t>Harrington, J</t>
  </si>
  <si>
    <t>Harrington, John, Jr.</t>
  </si>
  <si>
    <t>MISCONCEPTIONS: BARRIERS TO IMPROVED CLIMATE LITERACY</t>
  </si>
  <si>
    <t>PHYSICAL GEOGRAPHY</t>
  </si>
  <si>
    <t>misconceptions; climate literacy; emergent concepts; conceptual models; critical thinking</t>
  </si>
  <si>
    <t>CONCEPTUAL CHANGE; STUDENTS; SCIENCE</t>
  </si>
  <si>
    <t>Improved science and climate literacy are needed for planetary citizens to better understand the implications of global change and related Earth system feedbacks. Unfortunately, misconceptions about climate system functioning can be reinforced and become ingrained. Such mistaken beliefs present a barrier that must be broken down in order to improve climate literacy. This contribution addresses three examples of common misconceptions contributing to scientific and climate illiteracy, with an emphasis on inappropriate conceptual models or the inappropriate application of reasonably good models. However, identifying a problematic concept or misconception and providing an alternative explanation is not enough. Confrontational methods in which traditional answers are shown to be in conflict with the scientific observations have generally failed to assist in advancing climate literacy. What is needed is the creation of a learning environment wherein students can practice scientific thinking. Communication among peers has been shown as an effective method to help students realize that science is about thinking critically and asking questions, especially when observations do not fit an ingrained idea. Especially challenging are emergent concepts, those where the outcome is the result of a number of interacting processes and the net result is not directly obvious. The three emergent process misconceptions addressed in this paper are the applicability of the 3-cell model of global circulation, ocean circulation as the cause of mild European winters, and a rain shadow as the reason for a semi-arid climate in eastern Colorado. It is hoped that this presentation of three emergent process misconceptions and the related discussion regarding more appropriate instructional methods will eventually assist with improving climate literacy.</t>
  </si>
  <si>
    <t>Kansas State Univ, Dept Geog, Manhattan, KS 66506 USA</t>
  </si>
  <si>
    <t>Kansas State University</t>
  </si>
  <si>
    <t>Harrington, J (corresponding author), Kansas State Univ, Dept Geog, Manhattan, KS 66506 USA.</t>
  </si>
  <si>
    <t>Chi MTH, 2005, J LEARN SCI, V14, P161, DOI 10.1207/s15327809jls1402_1; Christidou V., 1997, Research in Science Education, V27, P541, DOI DOI 10.1007/BF02461479; Cordero Eugene., 2000, MELBOURNE STUDIES ED, V41, P85, DOI [10.1080/17508480009556362, DOI 10.1080/17508480009556362]; DOESKEN N, 2003, 60 COL STAT U COL CL; FRASER A, 2008, BAD METEOROLOGY; Gautier C., 2006, Journal of Geoscience Education, V54, P386; GREER I, 1996, GLOSSARY METEOROLOGY; Hadley G., 1735, Phil. Trans. Roy. Soc, V39, P58, DOI DOI 10.1098/RSTL.1735.0014; HARE KF, 1960, GEOGR REV, V50, P345; HARMAN J, 1977, APPL GEOGRAPHIC RES, P97; Harman J.R., 1991, Synoptic Climatology of the Westerlies: Process and Patterns; Hsu YS, 2008, SCI EDUC, V92, P320, DOI 10.1002/sce.20242; JAMES PE, 1967, ANN ASSOC AM GEOGR, V57, P1, DOI 10.1111/j.1467-8306.1967.tb00588.x; Libarkin J. C., 2001, J GEOSCI ED, V49, P378, DOI [DOI 10.1080/10899995.2001.12028050, 10.1080/10899995.2001.12028050]; Maury MatthewFontaine., 1855, PHYS GEOGRAPHY SEA; Parker LC, 2008, B AM METEOROL SOC, V89, P1681, DOI 10.1175/2008BAMS2349.1; Posner G.J., 1982, Sci. Educ, V66, P211; Rebich S., 2005, Journal of Geoscience Education, V53, P355, DOI DOI 10.5408/1089-9995-53.4.355; ROSENBERG NJ, 1987, GREAT PLAINS QUART, V7, P22; Rossby CG, 1939, J MAR RES, V2, P38, DOI 10.1357/002224039806649023; Schwartz RS, 2004, SCI EDUC, V88, P610, DOI 10.1002/sce.10128; Seager R, 2006, AM SCI, V94, P334, DOI 10.1511/2006.60.334; Seager R, 2002, Q J ROY METEOR SOC, V128, P2563, DOI 10.1256/qj.01.128; Vosniadou S, 2004, LEARN INSTR, V14, P445, DOI 10.1016/j.learninstruc.2004.06.014</t>
  </si>
  <si>
    <t>BELLWETHER PUBL LTD</t>
  </si>
  <si>
    <t>8640 GUILFORD RD, STE 200, COLUMBIA, MD 21046 USA</t>
  </si>
  <si>
    <t>0272-3646</t>
  </si>
  <si>
    <t>PHYS GEOGR</t>
  </si>
  <si>
    <t>Phys. Geogr.</t>
  </si>
  <si>
    <t>NOV-DEC</t>
  </si>
  <si>
    <t>10.2747/0272-3646.29.6.575</t>
  </si>
  <si>
    <t>Environmental Sciences; Geography, Physical; Geosciences, Multidisciplinary; Meteorology &amp; Atmospheric Sciences</t>
  </si>
  <si>
    <t>Environmental Sciences &amp; Ecology; Physical Geography; Geology; Meteorology &amp; Atmospheric Sciences</t>
  </si>
  <si>
    <t>423HW</t>
  </si>
  <si>
    <t>WOS:000264488400008</t>
  </si>
  <si>
    <t>Powers, SE; DeWaters, JE; Dhaniyala, S</t>
  </si>
  <si>
    <t>Powers, Susan E.; DeWaters, Jan E.; Dhaniyala, Suresh</t>
  </si>
  <si>
    <t>Climate Literacy-Imperative Competencies for Tomorrow's Engineers</t>
  </si>
  <si>
    <t>climate; project-based learning; climate literacy assessment; engineering education</t>
  </si>
  <si>
    <t>EDUCATION; PERCEPTIONS; SCIENCE</t>
  </si>
  <si>
    <t>Engineers must take a leading role in addressing the challenges of mitigating climate change and adapting to the inevitable changes that our world is facing. To improve climate literacy, technical education must include problem formulation and solutions that consider complex interactions between engineered, Earth, and societal systems, including trade-offs among benefits, costs, and risks. Improving engineering students' climate literacy must also inspire students' motivation to work toward climate solutions. This paper highlights the content and pedagogical approach used in a class for engineering students that helped contribute to significant gains in engineering students' climate literacy and critical thinking competencies. A total of 89 students fully participated in a pre/post climate literacy questionnaire over four years of study. As a whole, students demonstrated significant gains in climate-related content knowledge, affect, and behavior. Substantial differences were observed between students in different engineering disciplines and male vs. female students. Assessment of critical thinking showed that students did an excellent job formulating problem statements and solutions in a manner that incorporated a multidimensional systems perspective. These skills are critical for students to address climate change effectively in their eventual professions.</t>
  </si>
  <si>
    <t>[Powers, Susan E.] Clarkson Univ, Inst Sustainable Environm, Potsdam, NY 13699 USA; [DeWaters, Jan E.] Clarkson Univ, Inst STEM Ed, Potsdam, NY 13699 USA; [Dhaniyala, Suresh] Clarkson Univ, Dept Mech &amp; Aeronaut Engn, Potsdam, NY 13699 USA</t>
  </si>
  <si>
    <t>Clarkson University; Clarkson University; Clarkson University</t>
  </si>
  <si>
    <t>Powers, SE (corresponding author), Clarkson Univ, Inst Sustainable Environm, Potsdam, NY 13699 USA.</t>
  </si>
  <si>
    <t>spowers@clarkson.edu; jdewater@clarkson.edu; sdhaniya@clarkson.edu</t>
  </si>
  <si>
    <t>DeWaters, Jan/HKP-0383-2023</t>
  </si>
  <si>
    <t>DeWaters, Jan/0000-0002-0435-5971; Powers, Susan/0000-0003-3529-9084</t>
  </si>
  <si>
    <t>National Aeronautics and Space Administration (NASA) NICE (NASA Innovations in Climate Education) program [NNX10AB57A]; NASA [136478, NNX10AB57A] Funding Source: Federal RePORTER</t>
  </si>
  <si>
    <t>National Aeronautics and Space Administration (NASA) NICE (NASA Innovations in Climate Education) program; NASA(National Aeronautics &amp; Space Administration (NASA))</t>
  </si>
  <si>
    <t>This research was initially supported by the National Aeronautics and Space Administration (NASA) NICE (NASA Innovations in Climate Education) program (NNX10AB57A). The findings and opinions presented here do not necessarily reflect the opinions of the funding agency.</t>
  </si>
  <si>
    <t>ABDELGAID S, 1986, J RES SCI TEACH, V23, P823, DOI 10.1002/tea.3660230907; Allenby B, 2009, SUSTAIN SCI, V4, P7, DOI 10.1007/s11625-009-0065-5; [Anonymous], 2006, TRAINING DEV HUMAN S; [Anonymous], 2020, Criteria for Accrediting Engineering Programs; [Anonymous], 2005, STUDENTS LEARN SCI C; ASCE, 2006, COD ETH; Atman C.J., 1996, Journal of Engineering Education, V85, P317; Attari SZ, 2010, P NATL ACAD SCI USA, V107, P16054, DOI 10.1073/pnas.1001509107; Baldwin R.G., 2009, IMPROVING CLIMATE UN; Christie M, 2017, EUR J ENG EDUC, V42, P5, DOI 10.1080/03043797.2016.1254160; DeWaters JE, 2011, ENERG POLICY, V39, P1699, DOI 10.1016/j.enpol.2010.12.049; Fri R.W., 2010, BRIDGE, V40, P3; Gautier C., 2006, J GEOSCIENCE ED, V54, P386, DOI DOI 10.5408/1089-9995-54.3.386; Quelhas OLG, 2019, INT J SUST HIGHER ED, V20, P614, DOI 10.1108/IJSHE-07-2018-0125; Goodwin A., 2013, P 120 ASEE ANN C ATL; Haghighi K, 2008, J ENG EDUC, V97, P119, DOI 10.1002/j.2168-9830.2008.tb00961.x; Huxster JK, 2015, J ENVIRON EDUC, V46, P149, DOI 10.1080/00958964.2015.1021661; Lozano R, 2017, SUSTAINABILITY-BASEL, V9, DOI 10.3390/su9101889; Mahaffy PG, 2014, ACS SUSTAIN CHEM ENG, V2, P2488, DOI 10.1021/sc500415k; McCright AM, 2013, NAT CLIM CHANGE, V3, P713, DOI [10.1038/NCLIMATE1844, 10.1038/nclimate1844]; Meyers K., 2011, P 118 ASEE ANN C VAN; Mochizuki Y., 2015, Journal of Education for Sustainable Development, V9, P4, DOI [DOI 10.1177/0973408215569109, 10.1177/0973408215569109]; Nelson NG, 2019, T ASABE, V62, P831, DOI 10.13031/trans.13361; Niewoehner R., 2008, MAGAZINE PROFESSIONA, P16; Passow HJ, 2017, J ENG EDUC, V106, P475, DOI 10.1002/jee.20171; Powers S., 2015, P 2015 ASEE ANN C EX; Powers S.E., 2013, P 2013 ASEE ANN C EX, V23; Roy J., 2019, Engineering by the numbers: 2017-2018; Segalàs J, 2010, J CLEAN PROD, V18, P275, DOI 10.1016/j.jclepro.2009.09.012; Shealy T., 2017, P ASEE ANN C COL OH; Shealy T, 2017, J PROF ISS ENG ED PR, V143, DOI 10.1061/(ASCE)EI.1943-5541.0000323; SHELLEY M, 1984, J AM STAT ASSOC, V79, P240, DOI 10.2307/2288384; Springer L, 1999, REV EDUC RES, V69, P21, DOI 10.2307/1170643; Trevelyan J, 2019, EUR J ENG EDUC, V44, P821, DOI 10.1080/03043797.2019.1681631; U.S. Global Change Research Program, 2009, CLIM LIT ESS PRINC C; XIE Y, 1992, CONTEMP SOCIOL, V21, P876, DOI 10.2307/2075704</t>
  </si>
  <si>
    <t>10.3390/su13179684</t>
  </si>
  <si>
    <t>UO2KN</t>
  </si>
  <si>
    <t>WOS:000694528700001</t>
  </si>
  <si>
    <t>Paredes-Coral, E; Deprez, T; Mokos, M; Vanreusel, A; Roose, H</t>
  </si>
  <si>
    <t>Paredes-Coral, Evelyn; Deprez, Tim; Mokos, Melita; Vanreusel, Ann; Roose, Henk</t>
  </si>
  <si>
    <t>The Blue Survey: Validation of an instrument to measure ocean literacy among adults</t>
  </si>
  <si>
    <t>MEDITERRANEAN MARINE SCIENCE</t>
  </si>
  <si>
    <t>Ocean literacy; blue survey; survey validation; exploratory factor analysis</t>
  </si>
  <si>
    <t>PRESERVICE TEACHERS KNOWLEDGE; MARINE; ATTITUDES; AWARENESS; STUDENTS; BEHAVIOR; ISSUES; SCALE</t>
  </si>
  <si>
    <t>Human activities have put the ocean under unprecedented pressure. Nevertheless, levels of public awareness of ocean issues remain low. Ocean literacy is a global movement that aims to improve the understanding of the ocean and provide an incentive for positive change in people's behaviour. To date, there is no validated scale targeted to adults to measure ocean literacy that includes measuring people's knowledge about the ocean, as well as surveying their attitudes and willingness to act. The Blue Survey, an on -line instrument meant to measure ocean literacy in adult populations, was developed by a multidisciplinary team of experts. Using factor analysis, the present study explores the validity and internal consistency of the Blue Survey in a purposive online sample of 251 adults. We found ocean literacy to consist of six sub-dimensions captured by 34 survey items, viz. knowledge of ocean-related topics, personal interest in ocean-related aspects, ocean stewardship, ocean as an economic resource, ocean-friendly behaviour, and willingness to act responsibly towards the ocean. Our analysis resulted in the development of a new validated instrument to measure the various dimensions of ocean literacy. These results may help researchers and practitioners to better understand the factors which contribute to shaping an ocean-literate person. Further research should be carried out to assess the validity of the Blue Survey across different populations, including those closely related to the sea, such as maritime professionals.</t>
  </si>
  <si>
    <t>[Paredes-Coral, Evelyn; Deprez, Tim; Vanreusel, Ann] Univ Ghent, Marine Biol Res Grp, Campus Sterne S8 Krijgslaan 281, B-9000 Ghent, Belgium; [Mokos, Melita] Univ Zadar, Dept Ecol Agron &amp; Aquaculture, Zadar, Croatia; [Roose, Henk] Univ Ghent, Dept Sociol, Korte Meer 3, B-9000 Ghent, Belgium</t>
  </si>
  <si>
    <t>Ghent University; University of Zadar; Ghent University</t>
  </si>
  <si>
    <t>Paredes-Coral, E (corresponding author), Univ Ghent, Marine Biol Res Grp, Campus Sterne S8 Krijgslaan 281, B-9000 Ghent, Belgium.</t>
  </si>
  <si>
    <t>evelyn.paredescoral@ugent.be</t>
  </si>
  <si>
    <t>paredes, evelyn/ITV-2777-2023</t>
  </si>
  <si>
    <t>Paredes-Coral, Evelyn/0000-0002-9940-3066; Roose, Henk/0000-0003-3223-7144</t>
  </si>
  <si>
    <t>Erasmus+ Pro-gramme of the European Union through the Sector Skills Alliance project MATES - Maritime Alliance for foster-ing the European Blue Economy through a Marine Tech-nology Skilling Strategy [2017-3114/001-001]; EMBRC Belgium-FWO International Research Infrastructure [I001621N]</t>
  </si>
  <si>
    <t>Erasmus+ Pro-gramme of the European Union through the Sector Skills Alliance project MATES - Maritime Alliance for foster-ing the European Blue Economy through a Marine Tech-nology Skilling Strategy; EMBRC Belgium-FWO International Research Infrastructure</t>
  </si>
  <si>
    <t>This study was co-funded by the Erasmus+ Pro-gramme of the European Union through the Sector Skills Alliance project MATES - Maritime Alliance for foster-ing the European Blue Economy through a Marine Tech-nology Skilling Strategy (Ref. 2017-3114/001-001) . The research leading to results presented in this publication was carried out with infrastructure funded by EMBRC Belgium-FWO International Research Infrastructure I001621N. We would like to thank all the survey partic-ipants. Special thanks to the translators for their gener-ous work: A. Arlt, S. Di Giglio, P. Pernet, M. Roelofs, L. BeirAo Campos and K. Theodoridis. The first author thanks Dieter Dekeyser for the statistical advice and Ger-aldine Fauville for her valuable comments on the survey. We thank all the MATES experts that participated in the content validity process. Special thanks to Margaret Eleftheriou for proofreading the manuscript.</t>
  </si>
  <si>
    <t>Ainsworth GB, 2019, ECOSYST SERV, V39, DOI 10.1016/j.ecoser.2019.100992; [Anonymous], 2014, Factor analysis with binary items: A quick review with examples; Ballantyne R., 2004, GEO J, V60, P159, DOI [https://doi.org/10.1023/B:GEJO.0000033579.19277.ff, DOI 10.1023/B:GEJO.0000033579.19277.FF]; Beaton DE, 2000, SPINE, V25, P3186, DOI 10.1097/00007632-200012150-00014; Boubonari T, 2013, J ENVIRON EDUC, V44, P232, DOI 10.1080/00958964.2013.785381; Brennan C, 2019, FRONT MAR SCI, V6, DOI 10.3389/fmars.2019.00360; Cava F., 2005, Science Content and Standards for Ocean Literacy: A Report on Ocean Literacy, P1; Chen Y.-F., 2020, AM ED RES ASS AERA A; Cudaback C., 2006, Eos, V87, P418; Eddy TD, 2014, MAR POLICY, V46, P61, DOI 10.1016/j.marpol.2014.01.004; Eheazu C.L., 2018, J ED SOCIAL POLICY, V5, P52; Fabrigar L.R., 2011, EXPLORATORY FACTOR A, DOI DOI 10.1093/ACPROF:OSOBL/9780199734177.001.0001; Fauville G., 2019, Exemplary Practices in Marine Science Education: A Resource for Practitioners and Researchers, V9, P3, DOI DOI 10.1007/978-3-319-90778-9_1; Fauville G, 2019, ENVIRON EDUC RES, V25, P238, DOI 10.1080/13504622.2018.1440381; Otero RMF, 2019, FRONT MAR SCI, V6, DOI 10.3389/fmars.2019.00646; Fletcher S, 2009, MAR POLICY, V33, P370, DOI 10.1016/j.marpol.2008.08.004; Greely T., 2008, THESIS U S FLORIDA U; Kaiser FG, 2001, DIAGNOSTICA, V47, P88, DOI 10.1026//0012-1924.47.2.88; KAISER HF, 1974, EDUC PSYCHOL MEAS, V34, P111, DOI 10.1177/001316447403400115; Kelly R, 2022, REV FISH BIOL FISHER, V32, P123, DOI 10.1007/s11160-020-09625-9; Knekta E, 2019, CBE-LIFE SCI EDUC, V18, DOI 10.1187/cbe.18-04-0064; Markos A, 2017, ENVIRON EDUC RES, V23, P231, DOI 10.1080/13504622.2015.1126807; McKinley E, 2010, OCEAN COAST MANAGE, V53, P379, DOI 10.1016/j.ocecoaman.2010.04.012; Mogias A, 2019, FRONT MAR SCI, V6, DOI 10.3389/fmars.2019.00396; Mogias A, 2015, J ENVIRON EDUC, V46, P251, DOI 10.1080/00958964.2015.1050955; OECD, 2016, The Ocean Economy in 2030, DOI [10.1787/9789264251724-en, DOI 10.1787/9789264251724-EN]; Potts T, 2016, MAR POLICY, V72, P59, DOI 10.1016/j.marpol.2016.06.012; Reise SP, 2000, PSYCHOL ASSESSMENT, V12, P287, DOI 10.1037//1040-3590.12.3.287; Renninger K. A., 2016, The Power of Interest for Motivation and Engagement, DOI [DOI 10.4324/9781315771045, 10.4324/9781315771045]; Revelle William, 2024, CRAN; Ryabinin V, 2019, FRONT MAR SCI, V6, DOI 10.3389/fmars.2019.00470; STONE G, 1995, PSYCHOL MARKET, V12, P595, DOI 10.1002/mar.4220120704; Thomson W, 1883, POPULAR LECT ADDRESS, V1; Tsai LT, 2019, ENVIRON EDUC RES, V25, P264, DOI 10.1080/13504622.2018.1542487; Umuhire ML, 2016, MAR POLLUT BULL, V102, P289, DOI 10.1016/j.marpolbul.2015.07.067</t>
  </si>
  <si>
    <t>NATL CENTRE MARINE RESEARCH</t>
  </si>
  <si>
    <t>HELLINIKON</t>
  </si>
  <si>
    <t>AGHIOS KOSMAS, HELLINIKON, GR-16-604, GREECE</t>
  </si>
  <si>
    <t>1108-393X</t>
  </si>
  <si>
    <t>MEDITERR MAR SCI</t>
  </si>
  <si>
    <t>Mediterr. Mar. Sci.</t>
  </si>
  <si>
    <t>10.12681/mms.26608</t>
  </si>
  <si>
    <t>Fisheries; Geosciences, Multidisciplinary; Marine &amp; Freshwater Biology; Oceanography</t>
  </si>
  <si>
    <t>Fisheries; Geology; Marine &amp; Freshwater Biology; Oceanography</t>
  </si>
  <si>
    <t>0N6YY</t>
  </si>
  <si>
    <t>WOS:000782982600006</t>
  </si>
  <si>
    <t>Choi, Y; Jang, D; Lee, MS; Jin, SJ</t>
  </si>
  <si>
    <t>Choi, Yongjin; Jang, Duckhee; Lee, Moon-Suk; Jin, Se-Jun</t>
  </si>
  <si>
    <t>Association between ocean literacy and climate change mitigation efforts in the Republic of Korea</t>
  </si>
  <si>
    <t>Climate change; Climate change behavior; Marine policy; Ocean literacy; Republic of Korea</t>
  </si>
  <si>
    <t>PUBLIC PERCEPTIONS; CHANGE IMPACTS; CITIZENSHIP; ADAPTATION; ISSUES</t>
  </si>
  <si>
    <t>Promoting ocean literacy can lead to numerous benefits, such as improved marine ecosystem comprehension, responsible environmental behavior, and support for marine conservation policies. However, past research focused on the contribution of ocean literacy to the public 's support for marine policy and management, failing to expand the concept to broader issues like climate change. This study aims to assess people 's ocean literacy and its association with climate change mitigation behaviors, using a nationally representative survey that collected 2000 responses in the Republic of Korea in November 2022. The results provide evidence that people with a better understanding of the ocean are more likely to follow recommendations for climate change mitigation, including reducing disposable products, using public transportation, and using eco-friendly products. This association was robust against varying levels of climate change risk perception. These findings imply that promoting public ocean literacy can be an effective strategy for encouraging people to engage in efforts to mitigate climate change in their daily lives.</t>
  </si>
  <si>
    <t>[Choi, Yongjin] London Sch Hyg &amp; Trop Med, Dept Infect Dis Epidemiol, Keppel St, London WC1E 7HT, England; [Jang, Duckhee] Korea Inst Ocean Sci &amp; Technol, Res Project Dev Dept, 385 Haeyang Ro, Busan 49111, South Korea; [Lee, Moon-Suk; Jin, Se-Jun] Korea Inst Ocean Sci &amp; Technol, Ocean Policy Res Ctr, 385 Haeyang Ro, Busan 49111, South Korea</t>
  </si>
  <si>
    <t>University of London; London School of Hygiene &amp; Tropical Medicine; Korea Institute of Ocean Science &amp; Technology (KIOST); Korea Institute of Ocean Science &amp; Technology (KIOST)</t>
  </si>
  <si>
    <t>Jin, SJ (corresponding author), Korea Inst Ocean Sci &amp; Technol, Ocean Policy Res Ctr, 385 Haeyang Ro, Busan 49111, South Korea.</t>
  </si>
  <si>
    <t>sjjin@kiost.ac.kr</t>
  </si>
  <si>
    <t>Korea Institute of Ocean Science and Technology [PO01429, PEA0151]</t>
  </si>
  <si>
    <t>Korea Institute of Ocean Science and Technology</t>
  </si>
  <si>
    <t>This work was supported by the Korea Institute of Ocean Science and Technology project numbers PO01429 and PEA0151.</t>
  </si>
  <si>
    <t>Ashley M, 2019, FRONT MAR SCI, V6, DOI 10.3389/fmars.2019.00288; Biagini B, 2013, CLIM DEV, V5, P242, DOI 10.1080/17565529.2013.821053; Cava F., 2005, Science Content and Standards for Ocean Literacy: A Report on Ocean Literacy, P1; Chilvers J, 2014, GLOBAL ENVIRON CHANG, V29, P165, DOI 10.1016/j.gloenvcha.2014.09.006; Cho BK, 2023, ENERGY STRATEG REV, V50, DOI 10.1016/j.esr.2023.101238; Costa S, 2018, MAR POLICY, V87, P149, DOI 10.1016/j.marpol.2017.10.022; DeVries T, 2017, NATURE, V542, P215, DOI 10.1038/nature21068; Doney SC, 2012, ANNU REV MAR SCI, V4, P11, DOI 10.1146/annurev-marine-041911-111611; Farber DA, 2007, U PENN LAW REV, V155, P1605, DOI 10.2307/40041375; Fauville G, 2019, ENVIRON EDUC RES, V25, P238, DOI 10.1080/13504622.2018.1440381; Few R, 2007, CLIM POLICY, V7, P46, DOI 10.1080/14693062.2007.9685637; Fletcher S, 2007, COAST MANAGE, V35, P511, DOI 10.1080/08920750701525818; Gelcich S, 2014, P NATL ACAD SCI USA, V111, P15042, DOI 10.1073/pnas.1417344111; Guest H, 2015, MAR POLICY, V58, P98, DOI 10.1016/j.marpol.2015.04.007; Hoegh-Guldberg O, 2010, SCIENCE, V328, P1523, DOI 10.1126/science.1189930; Intergovernmental Consortium of the Republic of Korea, 2015, The 2nd National Climate Change Adaptation Plan; Intergovernmental Consortium of the Republic of Korea, 2020, The 3rd National Climate Change Adaptation Plan 2021-2025; Jefferson R, 2015, OCEAN COAST MANAGE, V115, P61, DOI 10.1016/j.ocecoaman.2015.06.014; Kais SM, 2016, INT J ENV RES PUB HE, V13, DOI 10.3390/ijerph13121211; Khatibi FS, 2021, DISCOV SUSTAIN, V2, DOI 10.1007/s43621-021-00024-z; Khatiwala S, 2013, BIOGEOSCIENCES, V10, P2169, DOI 10.5194/bg-10-2169-2013; Koutsopoulos K., 2021, Key Challenges in Geography, V1st; Lotze HK, 2018, OCEAN COAST MANAGE, V152, P14, DOI 10.1016/j.ocecoaman.2017.11.004; McKinley E, 2023, MAR POLLUT BULL, V186, DOI 10.1016/j.marpolbul.2022.114467; McKinley E, 2012, MAR POLICY, V36, P839, DOI 10.1016/j.marpol.2011.11.001; Mogias A, 2015, J ENVIRON EDUC, V46, P251, DOI 10.1080/00958964.2015.1050955; National Oceanic and Atmospheric Administration (NOAA), 2020, Ocean Literacy: The Essential Principles and Fundamental Concepts of Ocean Sciences for Learners of All Ages; Needham MD, 2011, TOURISM MANAGE, V32, P732, DOI 10.1016/j.tourman.2010.06.005; Neumann B, 2015, PLOS ONE, V10, DOI 10.1371/journal.pone.0118571; Payne MR, 2016, ICES J MAR SCI, V73, P1272, DOI 10.1093/icesjms/fsv231; Popovski V, 2012, SUSTAIN SCI, V7, P5, DOI 10.1007/s11625-011-0138-0; Sala E, 2006, ANNU REV ENV RESOUR, V31, P93, DOI 10.1146/annurev.energy.31.020105.100235; Schoedinger S, 2005, OCEANS-IEEE, P736; Sherman K, 2014, ENVIRON DEV, V11, P43, DOI 10.1016/j.envdev.2014.04.006; Steel BS, 2005, OCEAN COAST MANAGE, V48, P97, DOI 10.1016/j.ocecoaman.2005.01.002; Swinburn BA, 2019, LANCET, V393, P791, DOI 10.1016/S0140-6736(18)32822-8; Taylor C, 2013, INT POLIT ECON SER, P17; The Government of the Republic of Korea, 2020, 2050 carbon neutral strategy of the Republic of Korea-towards a sustainable and green society; The World Bank, Individuals using the Internet (% of population)-Georgia. International Telecommunication Union (ITU) World Telecommunication/ICT Indicators Database; Whitmarsh L, 2009, PUBLIC UNDERST SCI, V18, P401, DOI 10.1177/0963662506073088; Worm B, 2006, SCIENCE, V314, P787, DOI 10.1126/science.1132294</t>
  </si>
  <si>
    <t>JUL</t>
  </si>
  <si>
    <t>10.1016/j.marpol.2024.106157</t>
  </si>
  <si>
    <t>MAY 2024</t>
  </si>
  <si>
    <t>TD8A5</t>
  </si>
  <si>
    <t>WOS:001239403500001</t>
  </si>
  <si>
    <t>Fauville, G; Strang, C; Cannady, MA; Chen, YF</t>
  </si>
  <si>
    <t>Fauville, Geraldine; Strang, Craig; Cannady, Matthew A.; Chen, Ying-Fang</t>
  </si>
  <si>
    <t>Development of the International Ocean Literacy Survey: measuring knowledge across the world.</t>
  </si>
  <si>
    <t>Ocean literacy; measure development; marine education; ocean sciences education; Rasch</t>
  </si>
  <si>
    <t>The Ocean Literacy movement began in the U.S. in the early 2000s, and has recently become an international effort. The focus on marine environmental issues and marine education is increasing, and yet it has been difficult to show progress of the ocean literacy movement, in part, because no widely adopted measurement tool exists. The International Ocean Literacy Survey (IOLS) aims to serve as a community-based measurement tool that allows the comparison of levels of ocean knowledge across time and location. The IOLS has already been subjected to two rounds of field testing. The results from the second testing, presented in this paper, provide evidence that the IOLS is psychometrically valid and reliable, and has a single factor structure across 17 languages and 24 countries. The analyses have also guided the construction of a third improved version that will be further tested in 2018.</t>
  </si>
  <si>
    <t>[Fauville, Geraldine] Univ Gothenburg, Dept Educ Commun &amp; Learning, Gothenburg, Sweden; [Strang, Craig; Cannady, Matthew A.; Chen, Ying-Fang] Univ Calif Berkeley, Lawrence Hall Sci, Berkeley, CA 94720 USA</t>
  </si>
  <si>
    <t>University of Gothenburg; University of California System; University of California Berkeley</t>
  </si>
  <si>
    <t>Fauville, G (corresponding author), Univ Gothenburg, Dept Educ Commun &amp; Learning, Gothenburg, Sweden.</t>
  </si>
  <si>
    <t>geraldine.fauville@gu.se</t>
  </si>
  <si>
    <t>Cannady, Mac A/KBB-2892-2024</t>
  </si>
  <si>
    <t>Cannady, Mac A/0000-0002-7256-3131; Fauville, Geraldine/0000-0001-5462-2591</t>
  </si>
  <si>
    <t>Asia Marine Educators Association (AMEA); Canadian Network for Ocean Education (CaNOE); National Marine Educators Association (NMEA); Marine Conservation Society, Partnership for Observation of the Global Oceans (POGO); Surfline</t>
  </si>
  <si>
    <t>We would like to acknowledge the essential contributions of the IOLS partner organizations. The following organizations participated in and/or support the development and administration of the IOLS: Asia Marine Educators Association (AMEA), Canadian Network for Ocean Education (CaNOE), National Marine Educators Association (NMEA), Marine Conservation Society, Partnership for Observation of the Global Oceans (POGO), and Surfline. In addition, we thank and acknowledge the following individuals who volunteered countless hours to translate the IOLS into 16 languages:; Chinese Trad: Liang-Ting Tsai, Jack Chang Croatian: Melita Mokos; Danish: Lene Friis Moller; Dutch: Evy Copejans, Pieter Demuynck; French: Geraldine Fauville; German: Mirjam Glessmer, Maike Nicolai; Greek: Yolanda Koulouri, Maria Cheimonopoulou, Athanasios Mogias, Theodoros Kevrekidis, Theodora Boubonari; Italian: Martina Milanese; Japanese: Tsuyoshi Sasaki; Norwegian: Theodora Sam; Polish: Grazyna Niedoszytko, Weronika Podlesinska, Dominika Wojcieszek; Portuguese: Raquel Costa, Diogo Geraldes, Fernanda Silva Simplified; Chinese: Mo Chen, Guoguang Yang; Spanish and Catalan: Manel Gazo, Carol Campillo Campbell; Swedish: Susan Gotensparre, Bjorn Kallstrom; Finally, we thank and acknowledge all of the dozens of individuals around the world who contributed previously developed surveys, participated in the development of new items, reviewed and edited the survey for accuracy, and who assisted in the administration of the IOLS to over 6000 students in 24 countries.</t>
  </si>
  <si>
    <t>[Anonymous], 3 NMEA; [Anonymous], 1980, PROBABILISTIC MODELS; [Anonymous], 2008, THESIS U S FLORIDA; [Anonymous], OC LIT ESS PRINC OC; [Anonymous], THESIS; [Anonymous], OC LIT ESS PRINC OC; [Anonymous], MARINE POLICY; [Anonymous], CULTURE SCH PSYCHOL; [Anonymous], NOAAS ED PROGR REV C; [Anonymous], EXPLORERS PLANNING G; [Anonymous], THESIS; [Anonymous], 2005, Aspects of literacy assessment; [Anonymous], 1991, FUNDAMENTALS ITEM RE; Ballantyne R., 2004, GEO J, V60, P159, DOI [https://doi.org/10.1023/B:GEJO.0000033579.19277.ff, DOI 10.1023/B:GEJO.0000033579.19277.FF]; Brody M.J., 1996, J ENVIRON EDUC, V27, P21; Brown A., 2015, CONFIRMATORY FACTOR; Cava F., 2005, Science Content and Standards for Ocean Literacy: A Report on Ocean Literacy, P1; Chalmers RP, 2012, J STAT SOFTW, V48, P1; Chen YF, 2014, EDUC ASSESS, V19, P77, DOI 10.1080/10627197.2014.903650; DeVries T, 2017, NATURE, V542, P215, DOI 10.1038/nature21068; Dupont S., 2017, Handbook on the Economics and Management of Sustainable Oceans, P519, DOI [10.4337/9781786430724, DOI 10.4337/9781786430724.00037]; Eddy TD, 2014, MAR POLICY, V46, P61, DOI 10.1016/j.marpol.2014.01.004; Embreston S., 2000, ITEM RESPONSE THEORY; Fortner R., 1991, Journal of Environmental Education, V23, P30, DOI [10.1080/00958964.1991.9943067, DOI 10.1080/00958964.1991.9943067]; Guest H, 2015, MAR POLICY, V58, P98, DOI 10.1016/j.marpol.2015.04.007; Hoffman M., 2007, REVOLUTIONIZING EART; Holland P.W., 1988, Test Validity, P129, DOI DOI 10.1017/CBO9781107415324.004; Hu LT, 1999, STRUCT EQU MODELING, V6, P1, DOI 10.1080/10705519909540118; Kania J., 2011, Stanford Social Innovation Review, V1, P36; Linacre J.M., 2002, RASCH MEASUREMENT T; Mair P, 2007, Journal of Statistical Software, V20, DOI [10.18637/jss.v020.i09, DOI 10.18637/JSS.V020.I09]; MANTEL N, 1959, JNCI-J NATL CANCER I, V22, P719; NAAEE (North American Association for Environmental Education), 2011, DEV FRAM ASS ENV LIT; OECD, 2016, The Ocean Economy in 2030, DOI [10.1787/9789264251724-en, DOI 10.1787/9789264251724-EN]; Penfield RD, 2005, APPL PSYCH MEAS, V29, P150, DOI 10.1177/0146621603260686; Pörtner HO, 2014, CLIMATE CHANGE 2014: IMPACTS, ADAPTATION, AND VULNERABILITY, PT A: GLOBAL AND SECTORAL ASPECTS, P411; R Core Team, 2017, R LANG ENV STAT COMP; Revelle William, 2024, CRAN; Robinson A., 2015, THESIS; Rockström J, 2009, NATURE, V461, P472, DOI 10.1038/461472a; Schoedinger S., 2010, NMEA Special Report, V3, P3; Strang C., 2007, CURRENT J MARINE ED, V23, P7, DOI DOI 10.5281/ZENODO.30563; UNESCO (United Nations of Education Scientific and Cultural Organisation), 1975, INT WORKSH ENV ED FI; World Health Organization, 2012, AV CONS FISH; Zieky M., 1993, DIFFERENTIAL ITEM FU, P337; Zumbo BD, 2007, J MOD APPL STAT METH, V6, P21, DOI 10.22237/jmasm/1177992180</t>
  </si>
  <si>
    <t>10.1080/13504622.2018.1440381</t>
  </si>
  <si>
    <t>Bronze, Green Published</t>
  </si>
  <si>
    <t>WOS:000469981100006</t>
  </si>
  <si>
    <t>Moir, R</t>
  </si>
  <si>
    <t>MTS; IEEE</t>
  </si>
  <si>
    <t>Moir, Rob</t>
  </si>
  <si>
    <t>Ocean Literacy of Black Guillemots and Polar Bears, Science Literate Citizens versus the Nature Fakers</t>
  </si>
  <si>
    <t>OCEANS 2008, VOLS 1-4</t>
  </si>
  <si>
    <t>OCEANS 2008 Conference</t>
  </si>
  <si>
    <t>SEP 15-18, 2008</t>
  </si>
  <si>
    <t>Quebec City, CANADA</t>
  </si>
  <si>
    <t>What is Ocean Literacy, where did it come from and why is ocean literacy important today for meeting today's challenges? Authors and poets are presented to give a fuller definition and meaning to Ocean Literacy. John Burrows introduced the literary naturalist in 1871. By 1903 nature writing was rife with false observations and fictional accounts. In 1907 President Theodore Roosevelt silenced those he called the Nature Fakers. In 2007 the Nature Fakers returned with false mass media presentations and mailings. Misrepresentations of polar bears (Ursus maritimus) is claimed to be necessary for the requisite public and political responses to global warming-the ends justify the means. The arctic seabird, black guillemot (Cepphus grylle), is more directly tied to arctic sea ice ecology. Ocean literacy is the best defense against fakery and ocean-educated citizens with savvy collaborative leadership far better for human societies living on a healthier ocean planet.</t>
  </si>
  <si>
    <t>Ocean River Inst, Cambridge, MA USA</t>
  </si>
  <si>
    <t>Moir, R (corresponding author), Ocean River Inst, 12 Eliot St, Cambridge, MA USA.</t>
  </si>
  <si>
    <t>Cousteau Jacques-Yves., 2007, The Human, the Orchid, and the Octopus: Exploring and Conserving our Natural World; FRANKLIN B, 2006, LAST CHILD WOODS SAV; LAWRENCE DH, 1984, SPELL FEW MEXICO; LUTTS RH, 2001, NATURE FAKERS SIGN N; PLUM SL, 2007, SOLITARY GOOSE; ROBBINS J, 2008, CONSERVATION, V8, P12; White, 2001, ESSAYS EB WHITE</t>
  </si>
  <si>
    <t>978-1-4244-2619-5</t>
  </si>
  <si>
    <t>Engineering, Marine; Engineering, Ocean; Oceanography</t>
  </si>
  <si>
    <t>BJG44</t>
  </si>
  <si>
    <t>WOS:000265654500051</t>
  </si>
  <si>
    <t>Stoll-Kleemann, S</t>
  </si>
  <si>
    <t>Stoll-Kleemann, Susanne</t>
  </si>
  <si>
    <t>Feasible Options for Behavior Change Toward More Effective Ocean Literacy: A Systematic Review</t>
  </si>
  <si>
    <t>ocean literacy; individual responsibility; sustainable behavior; behavior change; social norms; cognitive dissonance; moral disengagement; model of pro-environmental behavior</t>
  </si>
  <si>
    <t>CLIMATE-CHANGE; SUSTAINABLE CONSUMPTION; MARINE ECOSYSTEMS; SOCIAL NORMS; GREEN; CONSERVATION; MINDFULNESS; CITIZENSHIP; PERSONALITY; MOTIVATIONS</t>
  </si>
  <si>
    <t>Effective ocean literacy requires appropriate individual behavior, but achieving this-based on behavior change-is extremely difficult. Social-psychological research shows that even generating knowledge and awareness toward protecting the environment-including the oceans-very rarely produces behavior change. The correlation between knowledge and behavior change is demonstrably surprisingly low. Based upon a systematic interdisciplinary literature review, this article evaluates the factors constituting behavior that are important for ocean literacy. Furthermore, it includes an analysis of options for individual behavior change. The literature review covers research and theories from behavioral sciences such as social, environmental, and emotional psychology, as well as from other social sciences. Specifically, research on pro-environmental behavior is evaluated and applied to the specific case of ocean-related behaviors and ocean literacy. As a result, the model of pro-environmental behavior by Kollmuss and Agyeman has successfully been transferred to increase the effectiveness of ocean literacy because it considers internal (e.g., emotions and values) and external factors (e.g., politico-economic and socio-cultural), which are crucial to achieve behavior change. Further results show that the theoretical analysis of different influence factors of ocean related behavior help to identify options to enhance ocean literacy, partially not yet broadly applied in this field, such as reputation-based incentives, social marketing, and successfully diffusing social change, which is illustrated within two examples of success stories. Nevertheless, improvements remain challenging due to barriers identified on the individual level (e.g., cognitive dissonance and moral disengagement) and adverse political and economic power relations in light of rapidly increasing environmental problems in our oceans.</t>
  </si>
  <si>
    <t>[Stoll-Kleemann, Susanne] Univ Greifswald, Inst Geog &amp; Geol, Sustainabil Sci &amp; Appl Geog, Greifswald, Germany</t>
  </si>
  <si>
    <t>Universitat Greifswald</t>
  </si>
  <si>
    <t>Stoll-Kleemann, S (corresponding author), Univ Greifswald, Inst Geog &amp; Geol, Sustainabil Sci &amp; Appl Geog, Greifswald, Germany.</t>
  </si>
  <si>
    <t>Susanne.Stoll-Kleemann@uni-greifswald.de</t>
  </si>
  <si>
    <t>Stoll-Kleemann, Susanne/JVY-8786-2024</t>
  </si>
  <si>
    <t>Stoll-Kleemann, Susanne/0000-0003-4118-3408</t>
  </si>
  <si>
    <t>AJZEN I, 1991, ORGAN BEHAV HUM DEC, V50, P179, DOI 10.1016/0749-5978(91)90020-T; Amel E.L., 2009, ECOPSYCHOLOGY, V1, P14, DOI DOI 10.1089/ECO.2008.0005; [Anonymous], 2017, CUTTING EUROPES LIFE; [Anonymous], 2017, Brown to Green: The G20 transition towards a net-zero emissions economy; [Anonymous], CLIMATE CHANGE INDIV; [Anonymous], 2013, WORLD TRANS GOV MAR; [Anonymous], 1987, REASONS PERSONS; [Anonymous], SCHWEDEN MEIDEN FLUG; [Anonymous], LIV PLAN FLYING SHAM; [Anonymous], DISSERT ABS INT 1; [Anonymous], DIKTATUR KONZERNE WI; [Anonymous], PROJ OC; Antonetti P, 2014, J BUS ETHICS, V124, P117, DOI 10.1007/s10551-013-1841-9; Bamberg S, 2007, J ENVIRON PSYCHOL, V27, P14, DOI 10.1016/j.jenvp.2006.12.002; Bandura A, 1999, Pers Soc Psychol Rev, V3, P193, DOI 10.1207/s15327957pspr0303_3; Bandura A., 2016, Moral Disengagement: How People Do Harm and Live With Themselves; Bandura A, 2007, INT J INNOV SUSTAIN, V2, P8, DOI 10.1504/IJISD.2007.016056; Barr S, 2011, GLOBAL ENVIRON CHANG, V21, P1224, DOI 10.1016/j.gloenvcha.2011.07.009; Barreto ML, 2014, COMPUT HUM BEHAV, V40, P6, DOI 10.1016/j.chb.2014.07.042; Barth M, 2016, TRANSPORT RES F-TRAF, V37, P64, DOI 10.1016/j.trf.2015.11.011; Billé R, 2013, ENVIRON MANAGE, V52, P761, DOI 10.1007/s00267-013-0132-7; Björnberg KE, 2017, J CLEAN PROD, V167, P229, DOI 10.1016/j.jclepro.2017.08.066; Blaukopf CL, 2007, THESCIENTIFICWORLDJO, V7, P626, DOI 10.1100/tsw.2007.122; Bolderdijk JW, 2013, PLOS ONE, V8, DOI 10.1371/journal.pone.0083911; Borja A, 2013, MAR POLLUT BULL, V76, P16, DOI 10.1016/j.marpolbul.2013.08.042; Brannigan F., 2011, Engaging the public with climate change: behaviour change and communication, P84; Cava F., 2005, Science Content and Standards for Ocean Literacy: A Report on Ocean Literacy, P1; Christakis NA., 2009, Connected: The Surprising Power of Our Social Networks and How They Shape Our Lives, V1st ed; Clayton S, 2018, SOC JUSTICE RES, V31, P219, DOI 10.1007/s11211-018-0303-z; Cooney N., 2011, Change of heart: What psychology can teach us about spreading social change; Danciu Victor., 2014, Theoretical and Applied Economics, V21, P19; Darnton A., 2008, REFERENCE REPORT OVE; Darnton A., 2013, Influencing Behaviors: A Technical Guide to the ISM Tool; Doney SC, 2012, ANNU REV MAR SCI, V4, P11, DOI 10.1146/annurev-marine-041911-111611; EEA, 2015, 2 EEA; Ericson T, 2014, ECOL ECON, V104, P73, DOI 10.1016/j.ecolecon.2014.04.007; Farrow K, 2017, ECOL ECON, V140, P1, DOI 10.1016/j.ecolecon.2017.04.017; Fauville G, 2019, ENVIRON EDUC RES, V25, P238, DOI 10.1080/13504622.2018.1440381; Festinger L., 1957, THEOR COGNITIVE DIS, V16, P401; Fischer D, 2014, GAIA, V23, P193, DOI 10.14512/gaia.23.S1.7; Fletcher S, 2007, COAST MANAGE, V35, P511, DOI 10.1080/08920750701525818; Gardner G.T., 1996, ENV PROBLEMS HUMAN B; Gattuso JP, 2018, FRONT MAR SCI, V5, DOI 10.3389/fmars.2018.00337; Gelcich S, 2014, P NATL ACAD SCI USA, V111, P15042, DOI 10.1073/pnas.1417344111; Gifford R, 2011, AM PSYCHOL, V66, P290, DOI 10.1037/a0023566; Gifford R, 2014, INT J PSYCHOL, V49, P141, DOI 10.1002/ijop.12034; Girod B, 2014, GLOBAL ENVIRON CHANG, V25, P5, DOI 10.1016/j.gloenvcha.2014.01.004; Gissi E, 2018, MAR POLICY, V94, P215, DOI 10.1016/j.marpol.2018.05.020; Gladwell Malcolm, 2000, TIPPING POINT; Greenhalgh T, 2005, BRIT MED J, V331, P1064, DOI 10.1136/bmj.38636.593461.68; Griskevicius V, 2010, J PERS SOC PSYCHOL, V98, P392, DOI 10.1037/a0017346; Halpern BS, 2008, SCIENCE, V319, P948, DOI 10.1126/science.1149345; Halpern BS, 2007, CONSERV BIOL, V21, P1301, DOI 10.1111/j.1523-1739.2007.00752.x; Han H, 2017, J TRAVEL TOUR MARK, V34, P590, DOI 10.1080/10548408.2016.1208790; Heimlich JE, 2008, ENVIRON EDUC RES, V14, P215, DOI 10.1080/13504620802148881; Higgs S, 2015, APPETITE, V86, P38, DOI 10.1016/j.appet.2014.10.021; Hirsh JB, 2010, J ENVIRON PSYCHOL, V30, P245, DOI 10.1016/j.jenvp.2010.01.004; Howell RA, 2013, GLOBAL ENVIRON CHANG, V23, P281, DOI 10.1016/j.gloenvcha.2012.10.015; Howes Y, 2009, ENVIRON BEHAV, V41, P549, DOI 10.1177/0013916508318146; Jefferson R, 2015, OCEAN COAST MANAGE, V115, P61, DOI 10.1016/j.ocecoaman.2015.06.014; Kaiser FG, 2011, INT J PSYCHOL, V46, P71, DOI 10.1080/00207594.2010.516830; Klein N., 2014, THIS CHANGES EVERYTH; Klein SA, 2019, PERS INDIV DIFFER, V138, P344, DOI 10.1016/j.paid.2018.10.017; Kollmuss A., 2002, ENVIRON EDUC RES, V8, P239, DOI [10.1080/13504620220145401, DOI 10.1080/13504620220145401]; Kopke K, 2019, FRONT MAR SCI, V6, DOI 10.3389/fmars.2019.00060; Lewin K., 1976, Field theory in social science; Lindenberg S, 2007, J SOC ISSUES, V63, P117, DOI 10.1111/j.1540-4560.2007.00499.x; Lubchenco J, 2016, P NATL ACAD SCI USA, V113, P14507, DOI 10.1073/pnas.1604982113; Magliocca NR, 2015, REG ENVIRON CHANGE, V15, P211, DOI 10.1007/s10113-014-0626-8; Markowitz EM, 2012, NAT CLIM CHANGE, V2, P243, DOI [10.1038/nclimate1378, 10.1038/NCLIMATE1378]; McCauley V, 2019, ENVIRON EDUC RES, V25, P280, DOI 10.1080/13504622.2018.1553234; McCrae R. R., 1999, Handbook of personality: Theory and research, P139; McKenzie-Mohr D, 2000, J SOC ISSUES, V56, P543, DOI 10.1111/0022-4537.00183; McKinley E, 2012, MAR POLICY, V36, P839, DOI 10.1016/j.marpol.2011.11.001; McKinley E, 2010, OCEAN COAST MANAGE, V53, P379, DOI 10.1016/j.ocecoaman.2010.04.012; MESSICK DM, 1968, J EXP SOC PSYCHOL, V4, P1, DOI 10.1016/0022-1031(68)90046-2; Milfont TL, 2012, J ENVIRON PSYCHOL, V32, P187, DOI 10.1016/j.jenvp.2011.12.006; Moore C, 2015, CURR OPIN PSYCHOL, V6, P199, DOI 10.1016/j.copsyc.2015.07.018; Noppers EH, 2014, GLOBAL ENVIRON CHANG, V25, P52, DOI 10.1016/j.gloenvcha.2014.01.012; O'Brien C, 2008, CAN PSYCHOL, V49, P289, DOI 10.1037/a0013235; O'Riordan T, 2015, ENVIRONMENT, V57, P4, DOI 10.1080/00139157.2015.1069093; Ostrom E, 2009, SCIENCE, V325, P419, DOI 10.1126/science.1172133; Peattie K, 2010, ANNU REV ENV RESOUR, V35, P195, DOI 10.1146/annurev-environ-032609-094328; Potts T, 2016, MAR POLICY, V72, P59, DOI 10.1016/j.marpol.2016.06.012; Reese G, 2015, ENVIRON SCI POLICY, V51, P88, DOI 10.1016/j.envsci.2015.03.011; Santoro A, 2017, GRADIVA, P80; SCHULTZ PW, 1994, ENVIRON BEHAV, V26, P25, DOI 10.1177/0013916594261002; Schwartz S. H., 2006, Basic human values: An overview; Schwartz S.H., 1997, Advances in experimental social psychology, V10, P221, DOI [10.1016/s0065-2601(08)60358-5, 10.1016/S0065-2601(08)60358-5]; Southerton D, 2013, TIME SOC, V22, P335, DOI 10.1177/0961463X12464228; Steel BS, 2005, OCEAN COAST MANAGE, V48, P97, DOI 10.1016/j.ocecoaman.2005.01.002; Steg L, 2014, J ENVIRON PSYCHOL, V38, P104, DOI 10.1016/j.jenvp.2014.01.002; Stern PC, 2000, J SOC ISSUES, V56, P407, DOI 10.1111/0022-4537.00175; Stoll-Kleemann S, 2001, GLOBAL ENVIRON CHANG, V11, P107, DOI 10.1016/S0959-3780(00)00061-3; Stoll-Kleemann S, 2017, REG ENVIRON CHANGE, V17, P1261, DOI 10.1007/s10113-016-1057-5; Thogersen J, 2004, J ENVIRON PSYCHOL, V24, P93, DOI 10.1016/S0272-4944(03)00039-2; UN (United Nations), 2015, TRANSF OUR WORLD 203; UNFCCC (United Nations Framework Convention Climate Change), 2015, AD PAR AGR; Verplanken B, 2016, J ENVIRON PSYCHOL, V45, P127, DOI 10.1016/j.jenvp.2015.11.008; Vincent ACJ, 2011, AQUAT CONSERV, V21, P495, DOI 10.1002/aqc.1226; White L.A., 2011, The effects of ocean acidification and upwelling conditions on the growth and calcification of the red abalone (Haliotis rufescens), P1, DOI [DOI 10.4324/9781849775243, 10.4324/9781849775243]; Wright AJ, 2015, OCEAN COAST MANAGE, V115, P41, DOI 10.1016/j.ocecoaman.2015.06.029; Wynes S, 2017, ENVIRON RES LETT, V12, DOI 10.1088/1748-9326/aa7541</t>
  </si>
  <si>
    <t>MAY 28</t>
  </si>
  <si>
    <t>10.3389/fmars.2019.00273</t>
  </si>
  <si>
    <t>IA0OE</t>
  </si>
  <si>
    <t>WOS:000469255300002</t>
  </si>
  <si>
    <t>Golebiowska, B</t>
  </si>
  <si>
    <t>Golebiowska, Bernadeta</t>
  </si>
  <si>
    <t>ENERGY LITERACY IN POLAND</t>
  </si>
  <si>
    <t>EKONOMIA I SRODOWISKO-ECONOMICS AND ENVIRONMENT</t>
  </si>
  <si>
    <t>electricity consumption; energy efficiency; energy literacy; households</t>
  </si>
  <si>
    <t>ENVIRONMENTAL KNOWLEDGE; BEHAVIOR; EFFICIENCY; GAP</t>
  </si>
  <si>
    <t>The aim of the study is to assess energy literacy in households in Poland. Energy literacy influences decisions related to electricity consumption. Low energy literacy contributes to the energy efficiency gap, and therefore it is important to examine its level, understand the determinants, and look for solutions that can increase literacy. Based on previous research, we designed the energy literacy questionnaire. Knowledge of energy prices, costs of using selected electrical appliances, beliefs about the impact of electricity consumption on the environment, and awareness of the consequences of climate change were taken into account. We analysed data from the computer-assisted web interviews conducted in December 2018. The quota sample of 1,000 respondents was representative of the Polish population with respect to location, education, age, and sex. Correlation analysis showed the relation between energy literacy and norms associated with the use of energy. To date, no such relationships have been analysed in Poland.</t>
  </si>
  <si>
    <t>[Golebiowska, Bernadeta] Univ Warsaw, Warsaw, Poland</t>
  </si>
  <si>
    <t>University of Warsaw</t>
  </si>
  <si>
    <t>Golebiowska, B (corresponding author), Swietojerska St 24-82, PL-00202 Warsaw, Poland.</t>
  </si>
  <si>
    <t>bgolebiowska@wne.uw.edu.pl</t>
  </si>
  <si>
    <t>Narodowe Centrum Nauki (National Science Centre) [2017/25/N/HS4/01458]</t>
  </si>
  <si>
    <t>Narodowe Centrum Nauki (National Science Centre)</t>
  </si>
  <si>
    <t>This research was funded by Narodowe Centrum Nauki (National Science Centre), as a part of the project: Consumers' preferences for Demand-Side Management in Poland, grant number 2017/25/N/HS4/01458. Funding support is gratefully acknowledged.</t>
  </si>
  <si>
    <t>Abrardi L, 2019, J IND BUS ECON, V46, P25, DOI 10.1007/s40812-018-0107-z; Allcott H, 2015, AM ECON REV, V105, P2501, DOI 10.1257/aer.20131564; [Anonymous], 1957, COGNITIVE DISSONANCE; [Anonymous], Climate; [Anonymous], 2009, SUSTAIN SCI PRACT PO, DOI DOI 10.1080/15487733.2009.11908028; Bator A., 2016, Rola Konsumenta w Transformacji Energetycznej; Bayer E., 2017, JAK ROZWINAC POTENCJ; Blasch J., 2017, NARROWING ENERGY EFF; Blasch J., 2018, EMPOWER CONSUMER ENE; Blasch J., 2018, Econ. Work. Pap. Ser, V18, P289; Blasch J, 2019, RESOUR ENERGY ECON, V56, P39, DOI 10.1016/j.reseneeco.2017.06.001; Blasch J, 2017, ENERG ECON, V68, P89, DOI 10.1016/j.eneco.2017.12.004; Brounen D, 2013, ENERG ECON, V38, P42, DOI 10.1016/j.eneco.2013.02.008; Carmi N, 2015, J ENVIRON EDUC, V46, P183, DOI 10.1080/00958964.2015.1028517; Central Statistical Office, 2019, EF WYK EN LAT 2007 2; Central Statistical Office, 2020, BUDZ GOSP DOM 2018; Craig CA, 2015, UTIL POLICY, V35, P41, DOI 10.1016/j.jup.2015.06.011; Demeo A. E., 2013, J. Sustain. Educ., V4, P1; DeWaters J, 2013, J ENVIRON EDUC, V44, P38, DOI 10.1080/00958964.2012.711378; Dwyer C., 2011, Low Carbon Economy, V2, P123, DOI [10.4236/lce.2011.23016, DOI 10.4236/LCE.2011.23016]; Echegaray F, 2017, J CLEAN PROD, V142, P180, DOI 10.1016/j.jclepro.2016.05.064; Filippini M., 2020, CER ETH EC WORKING P, V19; Fortunski B., 2016, KONSUMPCJA WE WSPOLC, P97; Glowacki A., 2018, POLACY WOBEC ZMIAN K; GUS, 2020, BUDZ GOSP DOM; Herrmann MR, 2018, ENERG EFFIC, V11, P1703, DOI 10.1007/s12053-017-9555-y; Ibtissem M.H., 2010, Journal of Sustainable Development, V3, P129, DOI [DOI 10.5539/JSD.V3N2P129, 10.5539/jsd.v3n2p129]; Intergovernmental Panel on Climate Change (IPCC), 2018, Global Warming of 1.5 oC.; International Energy Agency (IAE), 2019, GLOB EN CO2 STAT REP; IPSOS, 2015, KONS EN EL POLOSC RA; JAFFE AB, 1994, ENERG POLICY, V22, P804, DOI 10.1016/0301-4215(94)90138-4; Kott M., 2015, ZESZYTY NAUKOWE WYDZ, P163; Kowalska-Pyzalska A, 2019, ENERGIES, V12, DOI 10.3390/en12050907; Ledley T S., 2014, Journal of Geoscience Education, V62, P307, DOI DOI 10.5408/13-057.1; Lee LS, 2019, ENERG POLICY, V135, DOI 10.1016/j.enpol.2019.111005; Linden AL, 2006, ENERG POLICY, V34, P1918, DOI 10.1016/j.enpol.2005.01.015; Maj R., 2015, EF EN GOSP DOM JEST; Ministry of Energy, 2019, POL EN POL UN 2040; Mogles N, 2018, USER MODEL USER-ADAP, V28, P1, DOI 10.1007/s11257-017-9199-9; Piskiewicz L., 2019, WIADOMOSCI STATYSTYC, V10, P37; Pothitou M, 2017, INT J SUSTAIN ENERGY, V36, P398, DOI 10.1080/14786451.2015.1032290; Pothitou M, 2016, APPL ENERG, V184, P1217, DOI 10.1016/j.apenergy.2016.06.017; RWE Polska, 2013, SWIAD EN POL RAP; Scasny M, 2017, CLIM POLICY, V17, pS111, DOI 10.1080/14693062.2016.1248888; Sidorczuk-Pietraszko E., 2011, STAN GOSP EN GMIN SW; Simon HA, 1955, Q J ECON, V69, P99, DOI 10.2307/1884852; Smyczek S., 2014, KONSUMENT RYNKU ENER, P4; Urbaniec M., 2017, PRZEGLAD ELEKTROTECH, V93; US Department of Energy (DOE), 2017, EN LIT ESS PRINC FUN; van den Broek KL, 2019, ENERGY RES SOC SCI, V57, DOI 10.1016/j.erss.2019.101256</t>
  </si>
  <si>
    <t>FUNDACJA EKONOMISTOW SRODOWISKA &amp; ZASOBOW NATURALNYCH</t>
  </si>
  <si>
    <t>BIALYSTOK</t>
  </si>
  <si>
    <t>UL SIENKIEWICZA 22, BIALYSTOK, 15092, POLAND</t>
  </si>
  <si>
    <t>0867-8898</t>
  </si>
  <si>
    <t>2300-6420</t>
  </si>
  <si>
    <t>EKON SROD</t>
  </si>
  <si>
    <t>Ekon. Srod.</t>
  </si>
  <si>
    <t>10.34659/2020/2/20</t>
  </si>
  <si>
    <t>NC6NC</t>
  </si>
  <si>
    <t>WOS:000561333200009</t>
  </si>
  <si>
    <t>Mokos, M; Realdon, G; Cizmek, IZ</t>
  </si>
  <si>
    <t>Mokos, Melita; Realdon, Giulia; Zubak Cizmek, Ivana</t>
  </si>
  <si>
    <t>How to Increase Ocean Literacy for Future Ocean Sustainability? The Influence of Non-Formal Marine Science Education</t>
  </si>
  <si>
    <t>ocean literacy; marine science education; environmental education; misconceptions; SDG14</t>
  </si>
  <si>
    <t>PRESERVICE TEACHERS KNOWLEDGE; SCHOOL STUDENTS; ATTITUDES; PROTECTION; GENDER</t>
  </si>
  <si>
    <t>Even though the ocean is a defining feature on Earth that regulates climate and provides oxygen, food, and jobs, students still have low to moderate marine and ocean literacy knowledge. Ocean literacy is an understanding of the ocean's influence on people and people's influence on the ocean. It is an emerging need necessary for ensuring the sustainability of the ocean and its resources. The UN has declared a Decade of Ocean Science for Sustainable Development, and one of the priority research and development areas is ocean literacy. Unfortunately, marine science and ocean literacy topics are poorly represented in school curricula across the world. This study presents the level of marine knowledge in a sample of primary school students before and after different themed non-formal educational interventions and the effect of non-formal educational activities on students' knowledge. These activities led to significant increase in the knowledge level three weeks after they were performed, indicating the retention of gained information. Performed educational activities and knowledge transfer from graduate level to primary school level significantly increased the level of students' knowledge, and consequently ocean literacy, and revealed some of the learning misconceptions. Results of this study show that there is a need for an integrated approach to the teaching of Ocean Literacy starting from the early grades by combining teacher's professional development, strengthening ocean-related topics in school curricula, and promoting non-formal educational activities.</t>
  </si>
  <si>
    <t>[Mokos, Melita; Zubak Cizmek, Ivana] Univ Zadar, Dept Ecol Agron &amp; Aquaculture, Trg Kneza Viseslava 9, Zadar 23000, Croatia; [Mokos, Melita; Zubak Cizmek, Ivana] Assoc Biodivers Preservat Aurelia, Put Bokanjca 26 A, Zadar 23000, Croatia; [Realdon, Giulia] Univ Camerino, Geol Sect, UNICAMearth Workgrp, Via Gentile 3 Da Varano, I-62032 Camerino, Italy</t>
  </si>
  <si>
    <t>University of Zadar; University of Camerino</t>
  </si>
  <si>
    <t>Mokos, M (corresponding author), Univ Zadar, Dept Ecol Agron &amp; Aquaculture, Trg Kneza Viseslava 9, Zadar 23000, Croatia.;Mokos, M (corresponding author), Assoc Biodivers Preservat Aurelia, Put Bokanjca 26 A, Zadar 23000, Croatia.</t>
  </si>
  <si>
    <t>mmokos@unizd.hr; giulia.realdon@unicam.it; izubak@unizd.hr</t>
  </si>
  <si>
    <t>Zubak Cizmek, Ivana/B-1458-2019; Realdon, Giulia/ABC-6270-2020</t>
  </si>
  <si>
    <t>Zubak Cizmek, Ivana/0000-0003-1942-9280; Realdon, Giulia/0000-0001-8269-4269; Mokos, Melita/0000-0002-9152-4971</t>
  </si>
  <si>
    <t>[Anonymous], 1971, SCI EDUC, DOI DOI 10.1002/SCE.3730550105; [Anonymous], 2008, THESIS U S FLORIDA; [Anonymous], 2017, J. Res. Didact. Geogr; [Anonymous], 1993, P ANN M AM ED RES AS; Ballantyne R., 2004, GEO J, V60, P159, DOI [https://doi.org/10.1023/B:GEJO.0000033579.19277.ff, DOI 10.1023/B:GEJO.0000033579.19277.FF]; Barracosa H, 2019, FRONT MAR SCI, V6, DOI 10.3389/fmars.2019.00626; BAUER DF, 1972, J AM STAT ASSOC, V67, P687, DOI 10.2307/2284469; Ben-zvi-Assarf O., 2005, J GEOSCIENCE ED, V53, P366, DOI [10.5408/1089-9995-53.4.366, DOI 10.5408/1089-9995-53.4.366]; Boo S, 2013, J QUAL ASSUR HOSP TO, V14, P24, DOI 10.1080/1528008X.2013.749381; Boubonari T, 2013, J ENVIRON EDUC, V44, P232, DOI 10.1080/00958964.2013.785381; Brody M., 1990, J ENVIRON EDUC, V21, P16; Cardak O., 2009, Journal of Applied Sciences, V9, P865, DOI 10.3923/jas.2009.865.873; Cava F., 2005, Science Content and Standards for Ocean Literacy: A Report on Ocean Literacy, P1; Cummins S., 2000, Canadian Journal of Environmental Education, V5, P305; DISESSA AA, 1993, COGNITION INSTRUCT, V10, P105, DOI 10.1080/07370008.1985.9649008; Dresser H.H., 1981, School science and mathematics, V81, P480; Dromgool-Regan C., 2017, ESERA 2017 C P ESERA; Fauville G, 2019, ENVIRON EDUC RES, V25, P238, DOI 10.1080/13504622.2018.1440381; Fisher K., 1983, Proceedings of the International Seminar on Misconceptions in Science and Mathematics, P407; Fortner R.W., 2011, EOS Trans. Am. Geophys. Union, V92, P109, DOI [10.1029/2011EO130002, DOI 10.1029/2011EO130002]; FORTNER RW, 1989, SCI EDUC, V73, P135, DOI 10.1002/sce.3730730203; Goodale T., 2019, Exemplary Practices in Marine Science Education, P109, DOI [10.1007/978-3-319-90778-9_7, DOI 10.1007/978-3-319-90778-9_7]; Goodwin H.L., 1978, A statement on the need for marine and aquatic education to inform Americans about the world of water; Gough A, 2017, MAR POLLUT BULL, V124, P633, DOI 10.1016/j.marpolbul.2017.06.069; Guest H, 2015, MAR POLICY, V58, P98, DOI 10.1016/j.marpol.2015.04.007; Hartley BL, 2018, MAR POLICY, V96, P227, DOI 10.1016/j.marpol.2018.02.002; Hartley BL, 2015, MAR POLLUT BULL, V90, P209, DOI 10.1016/j.marpolbul.2014.10.049; Henriques L., 2000, MAR POLICY, V58, P98; Hoffman M., 2007, REVOLUTIONIZING EART; Khademi-Vidra A., 2017, Journal of Central European Green Innovation, V5, P65; Knapp D., 2000, J ENVIRON EDUC, V31, P32, DOI [10.1080/00958960009598643, DOI 10.1080/00958960009598643]; Kopke K, 2019, FRONT MAR SCI, V6, DOI 10.3389/fmars.2019.00060; Lambert J, 2006, INT J SCI EDUC, V28, P633, DOI 10.1080/09500690500339795; Likert R., 1932, Archives of psychology, V140th, DOI [DOI 10.4135/9781412961288.N454, 10.4135/9781412961288.n454]; LIN YL, 2020, SUSTAINABILITY-BASEL, V12, DOI DOI 10.3390/su12177115; Lotze HK, 2018, OCEAN COAST MANAGE, V152, P14, DOI 10.1016/j.ocecoaman.2017.11.004; Lucrezi S, 2018, J BIOL EDUC, V52, P391, DOI 10.1080/00219266.2017.1385509; MCFADDEN DL, 1973, OCEANS, V6, P44; McNemar Q, 1947, PSYCHOMETRIKA, V12, P153, DOI 10.1007/BF02295996; Mea M, 2016, FRONT MAR SCI, V3, DOI 10.3389/fmars.2016.00168; Mogias A, 2019, FRONT MAR SCI, V6, DOI 10.3389/fmars.2019.00396; Mogias A, 2015, J ENVIRON EDUC, V46, P251, DOI 10.1080/00958964.2015.1050955; Mokos M, 2020, MEDITERR MAR SCI, V21, P592, DOI 10.12681/mms.23400; Mullis I. V. S., 2016, TIMSS 2015 INT RESUL; National Research Council, 2010, ED PROGR REV CRIT, DOI [10.17226/12867, DOI 10.17226/12867]; Niedoszytko G., 2018, EXEMPLARY PRACTICES, P123; Philips W. C., 1991, Science Teacher, V58, P21; Plankis B.J., 2010, INT ELECT J ENV ED, V1, P21; Realdon G, 2019, REND ONLINE SOC GEOL, V49, P107, DOI 10.3301/ROL.2019.59; Robinson A., 2019, EVALUATING OCEAN LEA; Rodríguez-Martínez R, 1999, OCEAN COAST MANAGE, V42, P1061, DOI 10.1016/S0964-5691(99)00061-7; Ryabinin V, 2019, FRONT MAR SCI, V6, DOI 10.3389/fmars.2019.00470; Santoro F., 2017, Ocean Literacy for All - A toolkit, IOC/UNESCO UNESCO Venice Office; Schoedinger S., 2010, NMEA Special Report, V3, P3; Stefanelli-Silva G, 2019, FRONT MAR SCI, V6, DOI 10.3389/fmars.2019.00389; STERN PC, 1993, ENVIRON BEHAV, V25, P322, DOI 10.1177/0013916593255002; TVERSKY A, 1974, SCIENCE, V185, P1124, DOI 10.1126/science.185.4157.1124; UNESCO 2017, 2017, ED SUST DEV GOALS LE; United Nations, 2016, 1 GLOB INT MAR ASS W; United Nations Global Compact, 2020, United Nations decade of ocean science for sustainable development; Visbeck M, 2018, NAT COMMUN, V9, DOI 10.1038/s41467-018-03158-3; Wen WC, 2013, ENVIRON EDUC RES, V19, P600, DOI 10.1080/13504622.2012.717219; WILCOXON F, 1946, J ECON ENTOMOL, V39, P269, DOI 10.1093/jee/39.2.269; Zelezny LC, 2000, J SOC ISSUES, V56, P443, DOI 10.1111/0022-4537.00177</t>
  </si>
  <si>
    <t>DEC</t>
  </si>
  <si>
    <t>10.3390/su122410647</t>
  </si>
  <si>
    <t>PL6AZ</t>
  </si>
  <si>
    <t>WOS:000603203600001</t>
  </si>
  <si>
    <t>Pan, WL; Fan, RG; Pan, W; Ma, XY; Hu, C; Fu, P; Su, JY</t>
  </si>
  <si>
    <t>Pan, Wu-Lin; Fan, Ruguo; Pan, Wei; Ma, Xinyu; Hu, Cheng; Fu, Piao; Su, Jingyi</t>
  </si>
  <si>
    <t>The role of climate literacy in individual response to climate change: evidence from China</t>
  </si>
  <si>
    <t>JOURNAL OF CLEANER PRODUCTION</t>
  </si>
  <si>
    <t>PUBLIC PERCEPTIONS; SCIENCE LITERACY; CHANGE KNOWLEDGE; RISK PERCEPTION; DETERMINANTS</t>
  </si>
  <si>
    <t>As a basic tool for understanding and making informed decisions about global warming, climate literacy could potentially affect the whole process from individual awareness to public engagement with global climate change. We conducted a nationwide online survey (N = 3067) to assess climate literacy in China and investigate its role in climate change concern and climate policy support. Respondents in our sample were generally well informed about the cause and public engagement dimensions of climate literacy, while demonstrated polarized performance in regard to the consequences of climate change. Climate literacy is a stronger predictor of climate change concern and policy support than other variables such as demographics, experience, and values and can largely enhance the effects of media coverage through the mediation effect. Education and media coverage are found to be significantly associated with climate literacy, while climate experience has little to no effect on climate literacy. Our results somewhat undermine the central role of climate change concern in climate communications and public engagement. Instead, enhancing public climate literacy by disseminating scientific and result-based information from reliable institutions seems to be a more promising path in China.</t>
  </si>
  <si>
    <t>[Pan, Wu-Lin; Fan, Ruguo; Ma, Xinyu; Hu, Cheng; Fu, Piao] Wuhan Univ, Sch Econ &amp; Management, Wuhan 430072, Peoples R China; [Pan, Wu-Lin] UCL, Bartlett Sch Sustainable Construct, London WC1E 7HB, England; [Pan, Wei] Renmin Univ China, Sch Appl Econ, Beijing 100872, Peoples R China; [Su, Jingyi] Wuhan Univ, Sch Informat Management, Wuhan 430072, Peoples R China</t>
  </si>
  <si>
    <t>Wuhan University; University of London; University College London; Renmin University of China; Wuhan University</t>
  </si>
  <si>
    <t>Pan, W (corresponding author), Renmin Univ China, Sch Appl Econ, Beijing 100872, Peoples R China.</t>
  </si>
  <si>
    <t>mrpanwei2000@163.com</t>
  </si>
  <si>
    <t>Hu, Cheng/0000-0003-3962-8519</t>
  </si>
  <si>
    <t>National Natural Science Foundation of China (NSFC) [U1933120, J2024015, KYGJC2021005]; fund for building world-class universities (disciplines) of Renmin University of China; China Scholarship Council (CSC); [71871169]</t>
  </si>
  <si>
    <t>National Natural Science Foundation of China (NSFC)(National Natural Science Foundation of China (NSFC)); fund for building world-class universities (disciplines) of Renmin University of China; China Scholarship Council (CSC)(China Scholarship Council);</t>
  </si>
  <si>
    <t>This study is supported by the National Natural Science Foundation of China (NSFC) (Grant no.71871169, U1933120 and J2024015) and fund for building world-class universities (disciplines) of Renmin University of China Project No. KYGJC2021005. W-L Pan would also thank the financial support provided by the China Scholarship Council (CSC) .</t>
  </si>
  <si>
    <t>Alenda J.M, 2021, INT J ENV STUD AHEAD, P1; [Anonymous], 2009, Climate Literacy: The essential Principles of Climate Science; Anyanwu R, 2017, INT RES GEOGR ENVIRO, V26, P193, DOI 10.1080/10382046.2017.1330039; Arikan G, 2021, BRIT J POLIT INT REL, V23, P158, DOI 10.1177/1369148120951013; Aruta JJBR, 2023, AUST J ENVIRON EDUC, V39, P55, DOI 10.1017/aee.2022.10; Azevedo J, 2017, INT J GLOBAL WARM, V12, P414, DOI 10.1504/IJGW.2017.10005893; Bergquist M, 2022, NAT CLIM CHANGE, V12, P235, DOI 10.1038/s41558-022-01297-6; Brüggemann M, 2017, NAT CLIM CHANGE, V7, P783, DOI [10.1038/NCLIMATE3409, 10.1038/nclimate3409]; Brulle RJ, 2012, CLIMATIC CHANGE, V114, P169, DOI 10.1007/s10584-012-0403-y; Burke SEL, 2018, CURR PSYCHIAT REP, V20, DOI 10.1007/s11920-018-0896-9; Capstick S, 2015, WIRES CLIM CHANGE, V6, P35, DOI 10.1002/wcc.321; Chen FF, 2020, INT J TOUR RES, V22, P303, DOI 10.1002/jtr.2336; Clifford KR, 2018, GLOBAL ENVIRON CHANG, V49, P1, DOI 10.1016/j.gloenvcha.2017.12.007; Cooper O, 2019, CONSERV SCI PRACT, V1, DOI 10.1111/csp2.102; Crawley S, 2020, BRIT J POLIT INT REL, V22, P102, DOI 10.1177/1369148119888827; Curran PG, 2016, J EXP SOC PSYCHOL, V66, P4, DOI 10.1016/j.jesp.2015.07.006; Dean AJ, 2018, J ENVIRON MANAGE, V213, P409, DOI 10.1016/j.jenvman.2018.02.080; Di Giusto B, 2018, PLOS ONE, V13, DOI 10.1371/journal.pone.0206298; Dienes C, 2015, ECOL ECON, V109, P122, DOI 10.1016/j.ecolecon.2014.11.012; Douenne T, 2020, ECOL ECON, V169, DOI 10.1016/j.ecolecon.2019.106496; Drews S, 2022, ECOL ECON, V199, DOI 10.1016/j.ecolecon.2022.107507; Drews S, 2016, CLIM POLICY, V16, P855, DOI 10.1080/14693062.2015.1058240; Driscoll D, 2019, SOC SCI QUART, V100, P1699, DOI 10.1111/ssqu.12683; Eroglu M, 2022, ENVIRON SCI POLICY, V127, P48, DOI 10.1016/j.envsci.2021.09.022; Fernbach PM, 2019, NAT HUM BEHAV, V3, P251, DOI 10.1038/s41562-018-0520-3; Fleming W, 2021, RISK ANAL, V41, P157, DOI 10.1111/risa.13587; Ge JM, 2021, J ENVIRON MANAGE, V294, DOI 10.1016/j.jenvman.2021.112983; Goldberg MH, 2021, BEHAV PUBLIC POLICY, V5, P480, DOI 10.1017/bpp.2020.39; Hall MP, 2018, J ENVIRON PSYCHOL, V56, P55, DOI 10.1016/j.jenvp.2018.03.001; Haltinner K, 2018, SOCIOL COMPASS, V12, DOI 10.1111/soc4.12586; Hannibal B, 2018, SOCIOL SPECTRUM, V38, P277, DOI 10.1080/02732173.2018.1502108; Hart PS, 2015, NAT CLIM CHANGE, V5, P541, DOI 10.1038/nclimate2577; He K, 2023, ENVIRON SCI TECHNOL, V57, P4406, DOI 10.1021/acs.est.2c08052; Jakucionyte-Skodiene M, 2022, ENVIRON MANAGE, V69, P1, DOI 10.1007/s00267-021-01574-8; Kahan DM, 2015, POLIT PSYCHOL, V36, P1, DOI 10.1111/pops.12244; Kahan DM, 2012, NAT CLIM CHANGE, V2, P732, DOI 10.1038/NCLIMATE1547; Klapp J, 2021, INT J SUST HIGHER ED, V22, P1707, DOI 10.1108/IJSHE-09-2020-0343; Kuthe A., 2020, Applied Environmental Education Communication, V19, P375, DOI [DOI 10.1080/1533015X.2019.1597661, 10.1080/1533015X.2019, DOI 10.1080/1533015X.2019]; Lee TM, 2015, NAT CLIM CHANGE, V5, P1014, DOI 10.1038/NCLIMATE2728; Leiserowitz A.M.J.W, 2020, KNOWLEDGE CLIMATE CH; Lewandowsky S, 2013, NAT CLIM CHANGE, V3, P399, DOI [10.1038/nclimate1720, 10.1038/NCLIMATE1720]; Liu S., 2014, CLIMATE LITERACY SCI, P31; Liu ZW, 2014, CLIMATIC CHANGE, V122, P313, DOI 10.1007/s10584-013-0979-x; Maran DA, 2021, INT J ENV RES PUB HE, V18, DOI 10.3390/ijerph18179358; McBride SE, 2021, J ENVIRON PSYCHOL, V78, DOI 10.1016/j.jenvp.2021.101713; McCright AM, 2010, POPUL ENVIRON, V32, P66, DOI 10.1007/s11111-010-0113-1; Milfont TL, 2012, RISK ANAL, V32, P1003, DOI 10.1111/j.1539-6924.2012.01800.x; Niepold F, 2008, PHYS GEOGR, V29, P529, DOI 10.2747/0272-3646.29.6.529; Poortinga W, 2019, GLOBAL ENVIRON CHANG, V55, P25, DOI 10.1016/j.gloenvcha.2019.01.007; Powers SE, 2021, SUSTAINABILITY-BASEL, V13, DOI 10.3390/su13179684; Rhodes E, 2014, GLOBAL ENVIRON CHANG, V29, P92, DOI 10.1016/j.gloenvcha.2014.09.001; Sambrook K, 2021, FRONT PSYCHOL, V12, DOI 10.3389/fpsyg.2021.669911; Schuldt JP, 2020, AGR HUM VALUES, V37, P885, DOI 10.1007/s10460-020-10019-7; Scruggs L, 2012, GLOBAL ENVIRON CHANG, V22, P505, DOI 10.1016/j.gloenvcha.2012.01.002; Shi J, 2016, NAT CLIM CHANGE, V6, P759, DOI [10.1038/nclimate2997, 10.1038/NCLIMATE2997]; Shi J, 2015, RISK ANAL, V35, P2183, DOI 10.1111/risa.12406; Shwom R, 2017, FRONT ECOL ENVIRON, V15, P377, DOI 10.1002/fee.1519; Simpson NP, 2021, NAT CLIM CHANGE, V11, P937, DOI 10.1038/s41558-021-01171-x; Singh KDP, 2019, EUR J SUSTAIN DEV, V8, P187, DOI 10.14207/ejsd.2019.v8n5p187; Smith EK, 2018, GLOBAL ENVIRON CHANG, V49, P140, DOI 10.1016/j.gloenvcha.2018.02.014; Spence A, 2012, RISK ANAL, V32, P957, DOI 10.1111/j.1539-6924.2011.01695.x; Stern PC., 1999, HUM ECOL REV, V6, P81; Stevenson KT, 2018, CLIMATIC CHANGE, V151, P589, DOI 10.1007/s10584-018-2313-0; Stoutenborough JW, 2014, ENVIRON SCI POLICY, V37, P23, DOI 10.1016/j.envsci.2013.08.002; UN, SDG GOAL 13; Van Boven L, 2021, CURR OPIN BEHAV SCI, V42, P83, DOI 10.1016/j.cobeha.2021.03.023; van Schuur WH, 2003, POLIT ANAL, V11, P139, DOI 10.1093/pan/mpg002; Wang BB, 2020, WIRES CLIM CHANGE, V11, DOI 10.1002/wcc.639; Wu J, 2021, INT J GLOBAL WARM, V23, P151, DOI 10.1504/IJGW.2021.112894; Xiao CY, 2015, ENVIRON BEHAV, V47, P17, DOI 10.1177/0013916513491571; Yang LP, 2018, INT J ENV RES PUB HE, V15, DOI 10.3390/ijerph15122650; Yu H, 2013, NAT HAZARDS, V69, P459, DOI 10.1007/s11069-013-0711-1</t>
  </si>
  <si>
    <t>0959-6526</t>
  </si>
  <si>
    <t>1879-1786</t>
  </si>
  <si>
    <t>J CLEAN PROD</t>
  </si>
  <si>
    <t>J. Clean Prod.</t>
  </si>
  <si>
    <t>JUN 15</t>
  </si>
  <si>
    <t>10.1016/j.jclepro.2023.136874</t>
  </si>
  <si>
    <t>APR 2023</t>
  </si>
  <si>
    <t>Green &amp; Sustainable Science &amp; Technology; Engineering, Environmental; Environmental Sciences</t>
  </si>
  <si>
    <t>Science &amp; Technology - Other Topics; Engineering; Environmental Sciences &amp; Ecology</t>
  </si>
  <si>
    <t>P9SY3</t>
  </si>
  <si>
    <t>WOS:001054018200001</t>
  </si>
  <si>
    <t>Paredes-Coral, E; Mokos, M; Vanreusel, A; Deprez, T</t>
  </si>
  <si>
    <t>Paredes-Coral, Evelyn; Mokos, Melita; Vanreusel, Ann; Deprez, Tim</t>
  </si>
  <si>
    <t>Mapping Global Research on Ocean Literacy: Implications for Science, Policy, and the Blue Economy</t>
  </si>
  <si>
    <t>ocean literacy; science mapping; bibliometrics; blue economy; Sustainable Development Goal 14; Ocean Decade</t>
  </si>
  <si>
    <t>BIBLIOMETRIC ANALYSIS; MARINE</t>
  </si>
  <si>
    <t>In recent years, ocean literacy has become a global movement that connects the human dimension to the ocean and intends to be an incentive for positive change in people's behavior. As multiple initiatives on ocean literacy have arisen, a comprehensive understanding of this topic is required to better engage the broader society. In the present study, we applied a combination of bibliometric analysis and science mapping to a dataset of scientific publications on ocean literacy between 2005 and 2019, obtained from Web of Science and Scopus databases. In order to represent the development of the field, analyze the level of collaborations and uncover its thematic areas, we first used bibliometric analyses to describe the field's main features, including indicators of growth and research collaboration. We then used science mapping techniques to build collaboration networks among countries and institutions, and to identify research communities. Lastly, we performed co-word analysis to reveal the underlying thematic areas and their evolution. Our results reveal a slow-growing number of publications and a promising trend for collaboration among authors, countries and institutions. Education and science were identified as the two major thematic areas on ocean literacy showing that, over time, issues related to these themes have gained more attention among researchers. These findings confirm that ocean literacy is gaining more acknowledgment within the scientific community but still faces considerable limitations to its dissemination in sectors like the blue economy and in regions such as Latin America and Africa. Promoting cross-institutional and cross-disciplinary cooperation among research institutions, marine education networks and the industry is critical to support this purposeful movement and represents an urgent challenge.</t>
  </si>
  <si>
    <t>[Paredes-Coral, Evelyn; Vanreusel, Ann; Deprez, Tim] Univ Ghent, Marine Biol Res Grp, Ghent, Belgium; [Mokos, Melita] Univ Zadar, Dept Ecol Agron &amp; Aquaculture, Zadar, Croatia</t>
  </si>
  <si>
    <t>Ghent University; University of Zadar</t>
  </si>
  <si>
    <t>Paredes-Coral, E (corresponding author), Univ Ghent, Marine Biol Res Grp, Ghent, Belgium.</t>
  </si>
  <si>
    <t>Erasmus + Program of the European Union [2017-3114/001-001]; European Commission</t>
  </si>
  <si>
    <t>Erasmus + Program of the European Union(Erasmus+); European Commission(European Union (EU)European Commission Joint Research Centre)</t>
  </si>
  <si>
    <t>This study was co-funded by the Erasmus + Program of the European Union through the Sector Skills Alliance project MATES-Maritime Alliance for fostering the European Blue Economy through a Marine Technology Skilling Strategy (Ref. 2017-3114/001-001). The European Commission support for the production of this publication does not constitute an endorsement of the contents which reflects the views only of the authors, and the Commission cannot be held responsible for any use which may be made of the information contained therein.</t>
  </si>
  <si>
    <t>Agarwal P, 2009, NAT REV DRUG DISCOV, V8, P865, DOI 10.1038/nrd2973; Alnajem M, 2021, J IND PROD ENG, V38, P29, DOI 10.1080/21681015.2020.1838632; [Anonymous], 1971, CHEM ENG NEWS, V49, P42; [Anonymous], 2000, For a European Industrial Renaissance, V239; [Anonymous], 2009, Climate Literacy: The essential Principles of Climate Science; Aria M, 2017, J INFORMETR, V11, P959, DOI 10.1016/j.joi.2017.08.007; Ashley M, 2019, FRONT MAR SCI, V6, DOI 10.3389/fmars.2019.00288; Bautista-Puig N, 2019, PUBLICATIONS-BASEL, V7, DOI 10.3390/publications7010012; Bavinck M, 2020, MARIT STUD, V19, P121, DOI 10.1007/s40152-020-00179-x; BROADUS RN, 1987, SCIENTOMETRICS, V12, P373, DOI 10.1007/BF02016680; Cava F., 2005, Science Content and Standards for Ocean Literacy: A Report on Ocean Literacy, P1; Cavallo M, 2020, J MAR SCI ENG, V8, DOI 10.3390/jmse8090684; Chambers R, 2019, FRONT MAR SCI, V6, DOI 10.3389/fmars.2019.00619; Chernyi AI, 2009, SCI TECH INF PROCESS, V36, P351, DOI 10.3103/S0147688209060069; Cisneros-Montemayor AM, 2021, NATURE, V591, P396, DOI 10.1038/s41586-021-03327-3; Claudet J, 2020, ONE EARTH, V2, P34, DOI 10.1016/j.oneear.2019.10.012; Cobo MJ, 2011, J INFORMETR, V5, P146, DOI 10.1016/j.joi.2010.10.002; Copejans E., 2012, 1 C OC LIT EUR BOOK, V45; Costa S, 2018, MAR POLICY, V87, P149, DOI 10.1016/j.marpol.2017.10.022; Della Corte V, 2019, SUSTAINABILITY-BASEL, V11, DOI 10.3390/su11216114; Dupont S, 2017, J MAR BIOL ASSOC UK, V97, P1211, DOI 10.1017/S0025315417000376; Elango B., 2012, International Journal of Information Dissemination and Technology, V2, P166; Eparkhina D., 2021, OCEAN LITERACY EUROP; European Commission, 2013, GALW STAT ATL OC COO; European Commission, 2019, RESPONSEABLE PROJ; European Commission, 2018, SEA CHANG PROJ; European Marine Board, 2020, POL NEEDS OC HUM HLT, DOI [10.5281/zenodo.3822099, DOI 10.5281/ZENODO.3822099]; Fauville G., 2019, Exemplary Practices in Marine Science Education: A Resource for Practitioners and Researchers, V9, P3, DOI DOI 10.1007/978-3-319-90778-9_1; Fauville G., 2017, THESIS U GOTHENBURG; Fauville G, 2021, ENVIRON EDUC RES, V27, P254, DOI 10.1080/13504622.2020.1803797; Fauville G, 2019, ENVIRON EDUC RES, V25, P238, DOI 10.1080/13504622.2018.1440381; Otero RMF, 2019, FRONT MAR SCI, V6, DOI 10.3389/fmars.2019.00646; French V., 2015, Review of Ocean Literacy in European Maritime Policy; Gao C, 2018, CHINESE GEOGR SCI, V28, P998, DOI 10.1007/s11769-018-0996-9; Gelcich S, 2014, P NATL ACAD SCI USA, V111, P15042, DOI 10.1073/pnas.1417344111; Gutierrez- Salcedo M., 2018, APPL INTELL, V48, P1275, DOI [10.1007/s10489-017-1105-y., DOI 10.1007/s10489-017-1105-y, DOI 10.1007/S10489-017-1105-Y]; Haunschild R, 2016, PLOS ONE, V11, DOI 10.1371/journal.pone.0160393; Jacobs Z., 2021, EGU GEN ASS EGU21 14, DOI [10.5194/egusphere-egu21-14571, DOI 10.5194/EGUSPHERE-EGU21-14571]; Jouffray JB, 2020, ONE EARTH, V2, P43, DOI 10.1016/j.oneear.2019.12.016; Kelly R, 2022, REV FISH BIOL FISHER, V32, P123, DOI 10.1007/s11160-020-09625-9; Krsul I.V., 2002, COWORD ANAL TOOL; Liu XJ, 2011, BIODIVERS CONSERV, V20, P807, DOI 10.1007/s10531-010-9981-z; Machado RD, 2016, SCIENTOMETRICS, V106, P525, DOI 10.1007/s11192-015-1793-1; Marrero ME, 2019, FRONT MAR SCI, V6, DOI 10.3389/fmars.2019.00325; Mogias A, 2019, FRONT MAR SCI, V6, DOI 10.3389/fmars.2019.00396; Muñoz-Leiva F, 2012, QUAL QUANT, V46, P1077, DOI 10.1007/s11135-011-9565-3; Muric Goran, 2019, Proceedings of the ACM on Human-Computer Interaction, V3, DOI 10.1145/3359176; Parish AJ, 2018, PLOS ONE, V13, DOI 10.1371/journal.pone.0189742; Potts T, 2016, MAR POLICY, V72, P59, DOI 10.1016/j.marpol.2016.06.012; PRITCHARD A, 1969, J DOC, V25, P348; Ryabinin V, 2019, FRONT MAR SCI, V6, DOI 10.3389/fmars.2019.00470; SAAMBR, 2019, MAR COAST ED NETW; Schaffner LC, 2016, OCEANOGRAPHY, V29, P36, DOI 10.5670/oceanog.2016.09; Schoedinger S., 2010, NMEA Special Report, V3, P3; Schoedinger S, 2005, OCEANS-IEEE, P736; Sharifi A, 2021, SUSTAIN SCI, V16, P1079, DOI 10.1007/s11625-020-00853-3; Stoll-Kleemann S, 2019, FRONT MAR SCI, V6, DOI 10.3389/fmars.2019.00273; ten Brink T., 2020, RES PEOPLE SEA METHO, P239, DOI [10.1007/978-3-030-59601-9_11, DOI 10.1007/978-3-030-59601-9_11]; Thompson DF, 2015, PHARMACOTHERAPY, V35, P551, DOI 10.1002/phar.1586; Ugolini D, 2001, SCIENTOMETRICS, V52, P45, DOI 10.1023/A:1012746927721; UNESCO/IOC, 2020, IOCINF1389 UNESCOIOC, P24; United Nations, 2020, SCI WE NEED OC WE WA; University of Namibia, 2019, WORKSH OC LIT SCI TE; Uyarra MC, 2016, MAR POLLUT BULL, V104, P1, DOI 10.1016/j.marpolbul.2016.02.060; van Raan A, 2019, SPRINGER HBK, P237, DOI 10.1007/978-3-030-02511-3_10; Visbeck M, 2018, NAT COMMUN, V9, DOI 10.1038/s41467-018-03158-3; Waite A.J., 2017, AGU FALL M; Waltman L., 2018, Bibliometrics for research management and research evaluation: a brief introduction; Williams R.D., 2017, THESIS HARVARD U CAM; World Bank and United Nations Department of Economic and Social Affairs (UNDESA), 2017, The Potential of the Blue Economy: Increasing Long-Term Benefits of the Sustainable Use of Marine Resources for Small Island Developing States and Coastal Least Developed Countries; Wu LF, 2019, NATURE, V566, P378, DOI 10.1038/s41586-019-0941-9; Youngblood M, 2018, PALGR COMMUN, V4, DOI 10.1057/s41599-018-0175-8</t>
  </si>
  <si>
    <t>JUL 23</t>
  </si>
  <si>
    <t>10.3389/fmars.2021.648492</t>
  </si>
  <si>
    <t>TZ2LQ</t>
  </si>
  <si>
    <t>WOS:000684307700001</t>
  </si>
  <si>
    <t>Aboulail, FS; Tajuddin, AJA</t>
  </si>
  <si>
    <t>Aboulail, Fadi Saad; Tajuddin, Azza Jauhar Ahmad</t>
  </si>
  <si>
    <t>OCEAN LITERACY OF PRIMARY STUDENTS OF INTERNATIONAL SCHOOLS IN RIYADH, SAUDI ARABIA</t>
  </si>
  <si>
    <t>JOURNAL OF NUSANTARA STUDIES-JONUS</t>
  </si>
  <si>
    <t>Ocean Literacy level; ocean Sciences materials; Saudi Arabia learners' attitudes</t>
  </si>
  <si>
    <t>SEA</t>
  </si>
  <si>
    <t>Background and Purpose: Recently, human impacts on marine ecosystems have intensified as the population and pressures increase. Human-originated pollutants of all kinds have impacted the oceans and the marine ecosystems. Oil spills, sewage, plastics, chemicals, garbage, carbon dioxide, and overfishing are the most challenging issues. It is known that school students are the future generation; they receive their information at school. Therefore, it is essential to assess students' knowledge and awareness regarding ocean related issues. Methodology: This study investigated ocean literacy (OL) of primary school students at international schools in Riyadh, Saudi Arabia, based on the seven principles of ocean literacy. Resources from which children get information about the oceans was also investigated. Finally, the study investigated the attitudes of primary school students towards learning oceanography, protecting the oceans, and the relationship between humans and the environment. A questionnaire had been adapted from the Survey of Ocean Literacy and Experience (SOLE) and the Survey of Ocean Stewardship (SOS). The SOLE and SOS surveys had been developed originally by Greely (2008). However, due to the grade level of students and time issues, the number of questionnaire items were reduced and simplified. The questionnaire was distributed in two separate sessions. Students from three international schools, boys' sections, received the survey. 120 students answered the SOLE, and 102 students answered the SOS. Findings: Results indicated a rather moderate level of ocean literacy of participants with a mean score of 12.56 (SD=5.18) concerning the SOLE, and a mean score of 3.30 (SD=1.12) concerning the SOS. As for the resource of information, results indicated the education program to be the students' main source of education, television channels came second. Contributions: Students of Riyadh international primary schools showed a positive attitude toward ocean stewardship. The study can help policy makers, curriculum developers and textbook authors to better understand the level of ocean literacy among students and take decisions to develop school curricula especially in the efforts to align with UN Decade of Ocean Science for Sustainable Development (2021-2030). It also corresponds to the 2020-2030 vision in Saudi Arabia.</t>
  </si>
  <si>
    <t>[Aboulail, Fadi Saad; Tajuddin, Azza Jauhar Ahmad] Univ Malaysia Terengganu, Ctr Fundamental &amp; Continuing Educ, Terengganu 21300, Malaysia</t>
  </si>
  <si>
    <t>Universiti Malaysia Terengganu</t>
  </si>
  <si>
    <t>Tajuddin, AJA (corresponding author), Univ Malaysia Terengganu, Ctr Fundamental &amp; Continuing Educ, Terengganu 21300, Malaysia.</t>
  </si>
  <si>
    <t>azzajauhar@umt.edu.my</t>
  </si>
  <si>
    <t>AHMAD TAJUDDIN, AZZA JAUHAR/U-8689-2018</t>
  </si>
  <si>
    <t>AHMAD TAJUDDIN, AZZA JAUHAR/0000-0003-3261-0877</t>
  </si>
  <si>
    <t>Al-Mubarak R., 2018, THE NATIONAL; Carrington Damian, 2018, THE GUARDIAN 0726; Dawood M., 2017, SAUDI GAZETTE; Fauville G., 2013, THESIS U GOTHENBERG; Fielding S, 2019, FRONT MAR SCI, V6, DOI 10.3389/fmars.2019.00340; Greely T., 2008, THESIS U S FLORIDA U; Guest H, 2015, MAR POLICY, V58, P98, DOI 10.1016/j.marpol.2015.04.007; Jones E, 2019, SCI TOTAL ENVIRON, V657, P1343, DOI 10.1016/j.scitotenv.2018.12.076; KAUST, 2017, POT SAUD AR COR REEF; KAUST, 2018, MAR LITT QUANT RED S; Kurtay G., 2018, THESIS BILKENT U TUR; Leitao R, 2018, INTED PROC, P5058; Mogias A, 2019, FRONT MAR SCI, V6, DOI 10.3389/fmars.2019.00396; Naser H.A., 2014, Biodiversity: The Dynamic Balance of the Planet; Nunez C., 2019, National Geographic; Nyman E., 2018, THESIS WORLD MARITIM; Saadoun IMK, 2015, Emerging pollutants in the environment, DOI [10.5772/60455, DOI 10.5772/60455]; Sheppard C, 2010, MAR POLLUT BULL, V60, P13, DOI 10.1016/j.marpolbul.2009.10.017; Tyedmers P., 2018, INT J LEARNING TEACH, V17, P1; Vaughan GO, 2019, WORLD SEAS: AN ENVIRONMENTAL EVALUATION, VOL II: THE INDIAN OCEAN TO THE PACIFIC, 2ND EDITION, P1, DOI 10.1016/B978-0-08-100853-9.00001-4; Wood C., 2018, THE TRUMPET 0829; Zafar S., 2018, WASTE MANAGEMENT JED</t>
  </si>
  <si>
    <t>UNIV SULTAN ZAINAL ABIDIN</t>
  </si>
  <si>
    <t>TERENGGANU DARUL IMAN</t>
  </si>
  <si>
    <t>21300 KUALA NERUS, TERENGGANU DARUL IMAN, 00000, MALAYSIA</t>
  </si>
  <si>
    <t>0127-9319</t>
  </si>
  <si>
    <t>0127-9386</t>
  </si>
  <si>
    <t>J NUSANT STUD-JONUS</t>
  </si>
  <si>
    <t>J. Nusant. Stud.-JONUS</t>
  </si>
  <si>
    <t>10.24200/jonus.volx6iss2pp403-423</t>
  </si>
  <si>
    <t>Area Studies</t>
  </si>
  <si>
    <t>TA5JG</t>
  </si>
  <si>
    <t>WOS:000667284600019</t>
  </si>
  <si>
    <t>Choi, SY; Won, AR; Chu, HE; Cha, HJ; Shin, H; Kim, CJ</t>
  </si>
  <si>
    <t>Choi, Su-Yeon; Won, A-Rang; Chu, Hye-Eun; Cha, Hyun-Jung; Shin, Hyeonjeong; Kim, Chan-Jong</t>
  </si>
  <si>
    <t>The Impacts of a Climate Change SSI-STEAM Program on Junior High School Students' Climate Literacy</t>
  </si>
  <si>
    <t>ASIA-PACIFIC SCIENCE EDUCATION</t>
  </si>
  <si>
    <t>climate change; SSI education; STEAM education; climate literacy</t>
  </si>
  <si>
    <t>CHANGE EDUCATION; MODEL</t>
  </si>
  <si>
    <t>This study aims to investigate climate literacy among junior high school students participating in an SSI-STEAM climate change education program and to examine the impacts of the program on the cultivation of climate literacy. Thirty- one eighth-grade students in Seoul, Korea, participated in this study. Data were collected using pre- and post-program surveys with a climate literacy questionnaire (CLQ), students' background survey questions, interviews with participants, and from the artifacts produced by students during the program. Participants' climate literacy was shown to improve substantially after attending the program, especially in the domains of perception and action. The four characteristics of climate literacy change were identified in the participants' responses: more concrete ideas, extension of the scope of thinking, positive responsibility, and relevance recognition. The climate literacy program developed showed potential for fostering young people's climate literacy along with their understanding of responsible national and global citizenship. The study discusses the implications of these findings and includes suggestions for future climate literacy program development and for both curricular and extra-curricular climate change education that can together nurture students' more profound understanding of climate change.</t>
  </si>
  <si>
    <t>[Choi, Su-Yeon; Won, A-Rang; Shin, Hyeonjeong] Seoul Natl Univ, Dept Sci Educ, Seoul 08826, South Korea; [Chu, Hye-Eun] Macquarie Univ, Sch Educ, Sydney, NSW 2109, Australia; [Cha, Hyun-Jung; Kim, Chan-Jong] Seoul Natl Univ, Dept Earth Sci Educ, Seoul 08826, South Korea</t>
  </si>
  <si>
    <t>Seoul National University (SNU); Macquarie University; Seoul National University (SNU)</t>
  </si>
  <si>
    <t>Kim, CJ (corresponding author), Seoul Natl Univ, Dept Earth Sci Educ, Seoul 08826, South Korea.</t>
  </si>
  <si>
    <t>csy222@snu.ac.kr; arang89@gmail.com; hyeeun.chu@gmail.com; todd0906@snu.ac.kr; masic12@snu.ac.kr; chajokim@snu.ac.kr</t>
  </si>
  <si>
    <t>chu, hye-eun/0000-0001-8937-1446; Cha, Hyun-Jung/0000-0002-9492-4954; Shin, Hyeonjeong/0000-0003-3413-9695</t>
  </si>
  <si>
    <t>Ministry of Education of the Republic of Korea; National Research Foundation of Korea [NRF-2019S1A5A2A03048062]; Australian Government's Department of Foreign Affairs and Trade (Australia-Korea Foundation) [2018040]</t>
  </si>
  <si>
    <t>Ministry of Education of the Republic of Korea(Ministry of Education (MOE), Republic of Korea); National Research Foundation of Korea(National Research Foundation of Korea); Australian Government's Department of Foreign Affairs and Trade (Australia-Korea Foundation)</t>
  </si>
  <si>
    <t>This work was supported by the Ministry of Education of the Republic of Korea and the National Research Foundation of Korea (NRF-2019S1A5A2A03048062) and the Australian Government's Department of Foreign Affairs and Trade (Australia-Korea Foundation, AKF Grant 2018040).</t>
  </si>
  <si>
    <t>Anderson A., 2012, Journal of Education for Sustainable Development, V6, P191, DOI [10.1177/0973408212475199, DOI 10.1177/0973408212475199]; Arndt DS, 2008, PHYS GEOGR, V29, P487, DOI 10.2747/0272-3646.29.6.487; Azevedo J, 2017, INT J GLOBAL WARM, V12, P414, DOI 10.1504/IJGW.2017.10005893; Beck A., 2013, The International Journal of Climate Change: Impacts and Responses, V4, P1, DOI [DOI 10.18848/1835-7156/CGP/V04I04/37181, 10.18848/1835-7156/CGP/v04i04/37181]; Busch KC, 2019, ENVIRON EDUC RES, V25, P955, DOI 10.1080/13504622.2018.1514588; Bybee RW, 2010, SCIENCE, V329, P996, DOI 10.1126/science.1194998; Byoen J. E., 2014, THESIS SEJONG U SEOU; Cantell H, 2019, ENVIRON EDUC RES, V25, P717, DOI 10.1080/13504622.2019.1570487; Cho Boram, 2014, [The Journal of Learner-Centered Curriculum and Instruction, 학습자중심교과교육연구], V14, P87; 김찬국, 2010, [Korean Journal of Environmental Education, 환경교육], V23, P1; Clary R.M., 2012, Journal of College Science Teaching, V41, P70; Colucci-Gray L., 2019, Oxford Research Encyclopaedia of Education, P1, DOI [DOI 10.1093/ACREFORE/9780190264093.013.39, DOI 10.1093/ACREFORE/9780190264093.013.398]; Creswell J.W., 2015, CONCISE INTRO MIXED; Dupigny-Giroux LAL, 2010, GEOGR COMPASS, V4, P1203, DOI 10.1111/j.1749-8198.2010.00368.x; Field CB, 2014, CLIMATE CHANGE 2014: IMPACTS, ADAPTATION, AND VULNERABILITY, PT A: GLOBAL AND SECTORAL ASPECTS, P1; Ga Seok-Hyun, 2019, [The Journal of Learner-Centered Curriculum and Instruction, 학습자중심교과교육연구], V19, P519, DOI 10.22251/jlcci.2019.19.7.519; Ho Bae Jin, 2019, [Jounral of Energy and Climate Change Education, 에너지기후변화교육], V9, P95; Hodson D, 2003, INT J SCI EDUC, V25, P645, DOI 10.1080/09500690305021; IPCC, 2018, SPECIAL REPORT GLOBA; JANG JIYOUNG, 2012, [Journal of the Korean Association for Science Education, 한국과학교육학회지], V32, P1124; Jeon E., 2015, THESIS EWHA U SEOUL; Jonguk kim, 2018, [Journal of the Korean Association for Science Education, 한국과학교육학회지], V38, P203, DOI 10.14697/jkase.2018.38.2.203; Karatekin K., 2018, International Electronic Journal of Environmental Education, V8, P82; Kim T. K., 2013, THESIS YONSEI U SEOU; 박동화, 2018, [Journal of the Korean Association for Science Education, 한국과학교육학회지], V38, P467, DOI 10.14697/jkase.2018.38.4.467; Kongju Mun，, 2017, [Journal of the Korean Association for Science Education, 한국과학교육학회지], V37, P825; Lee Dongwon, 2013, [Journal of Korean Practical Arts Education, 한국실과교육학회지], V26, P195; Lee H., 2018, What is SSI Education?; 차주영, 2017, [Journal of Environmental Policy and Administration, 환경정책], V25, P63, DOI 10.15301/jepa.2017.25.4.63; Lee S. H., 2012, KOREAN J ENV ED, V25, P66; LeeHyunju, 2016, [Journal of the Korean Association for Science Education, 한국과학교육학회지], V36, P539, DOI 10.14697/jkase.2016.36.4.0539; Madden ME, 2013, PROCEDIA COMPUT SCI, V20, P541, DOI 10.1016/j.procs.2013.09.316; Milér T, 2011, PROCD SOC BEHV, V12, P150, DOI 10.1016/j.sbspro.2011.02.021; Monroe MC, 2019, ENVIRON EDUC RES, V25, P791, DOI 10.1080/13504622.2017.1360842; 권주연, 2009, [Korean Journal of Environmental Education, 환경교육], V22, P68; Paglia E, 2018, GEOPOLITICS, V23, P96, DOI 10.1080/14650045.2017.1328407; Park H. G., 2013, THESIS DAEGU U GYEON; Park J. G., 2010, SCH ED STUDY, V5, P221; Park W. Y., 2020, ASIA PACIFIC SCI ED, V6, P1; Reid A, 2019, ENVIRON EDUC RES, V25, P767, DOI 10.1080/13504622.2019.1664075; Rousell D, 2020, CHILD GEOGR, V18, P191, DOI 10.1080/14733285.2019.1614532; Ryu H. H., 2011, THESIS EWHA WOMANS U; Sanson AV, 2019, CHILD DEV PERSPECT, V13, P201, DOI 10.1111/cdep.12342; 김남희, 2017, [Journal of the Korean Association for Science Education, 한국과학교육학회지], V37, P125, DOI 10.14697/jkase.2017.37.1.0125; Shwom R, 2017, FRONT ECOL ENVIRON, V15, P377, DOI 10.1002/fee.1519; Sjöström J, 2018, INNOV SCI EDUC TECHN, V24, P65, DOI 10.1007/978-3-319-66659-4_4; U.S. Global change Research Program, 2009, Climate literacy: the essential principles of climate science; UNESCO, 2014, GLOBAL CITIZENSHIP E; 정현희, 2008, [Korean Journal of Environmental Education, 환경교육], V21, P79; 김현정, 2015, [Journal of Research in Curriculum Instruction, 교과교육학연구], V19, P983, DOI 10.24231/rici.2015.19.4.983; 김성원, 2012, [Journal of the Korean Association for Science Education, 한국과학교육학회지], V32, P388; Zeidler D.L., 2019, DISCIPLINARY INTERDI, V1, P1, DOI DOI 10.1186/S43031-019-0008-7; Zeidler DL, 2005, SCI EDUC, V89, P357, DOI 10.1002/sce.20048; 이명제, 2014, [Journal of the Korean Association for Science Education, 한국과학교육학회지], V34, P55, DOI 10.14697/jkase.2014.34.2.0055; 윤순진, 2009, [Korean Journal of Environmental Education, 환경교육], V22, P1</t>
  </si>
  <si>
    <t>BRILL</t>
  </si>
  <si>
    <t>LEIDEN</t>
  </si>
  <si>
    <t>PLANTIJNSTRAAT 2, P O BOX 9000, 2300 PA LEIDEN, NETHERLANDS</t>
  </si>
  <si>
    <t>2364-1177</t>
  </si>
  <si>
    <t>ASIA-PAC SCI EDUC</t>
  </si>
  <si>
    <t>Asia-Pac. Sci. Educ.</t>
  </si>
  <si>
    <t>JUN</t>
  </si>
  <si>
    <t>10.1163/23641177-bja10019</t>
  </si>
  <si>
    <t>Education &amp; Educational Research; Education, Scientific Disciplines</t>
  </si>
  <si>
    <t>VL6WG</t>
  </si>
  <si>
    <t>WOS:000904840000005</t>
  </si>
  <si>
    <t>Kopke, K; Black, J; Dozier, A</t>
  </si>
  <si>
    <t>Kopke, Kathrin; Black, Jeffrey; Dozier, Amy</t>
  </si>
  <si>
    <t>Stepping Out of the Ivory Tower for Ocean Literacy</t>
  </si>
  <si>
    <t>ocean literacy; science communication; public engagement; Twitter; social networking sites; sentiment analysis</t>
  </si>
  <si>
    <t>TWEET ENGAGEMENT RATE; PUBLIC PERCEPTIONS; REGRESSION; TWITTER; MARINE; DIFFUSION; SENTIMENT; AWARENESS; POISSON; THREATS</t>
  </si>
  <si>
    <t>The Ocean Literacy movement is predominantly driven forward by scientists and educators working in subject areas associated with ocean science. While some in the scientific community have heeded the responsibility to communicate with the general public to increase scientific literacy, reaching and engaging with diverse audiences remains a challenge. Many academic institutions, research centers, and individual scientists use social network sites (SNS) like Twitter to not only promote conferences, journal publications, and scientific reports, but to disseminate resources and information that have the potential to increase the scientific literacy of diverse audiences. As more people turn to social media for news and information, SNSs like Twitter have a great potential to increase ocean literacy, so long as disseminators understand the best practices and limitations of SNS communication. This study analyzed the Twitter account of MaREI - Ireland's Centre for Marine and Renewable Energy - coordinated by University College Cork Ireland, as a case study. We looked specifically at posts related to ocean literacy to determine what types of audiences are being engaged and what factors need to be considered to increase engagement with intended audiences. Two main findings are presented in this paper. First, we present overall user retweet frequency as a function of post characteristics, highlighting features significant in influencing users' retweet behavior. Second, we separate users into two types - INREACH and OUTREACH - and identify post characteristics that are statistically relevant in increasing the probability of engaging with an OUTREACH user. The results of this study provide novel insight into the ways in which science-based Twitter users can better use the platform as a vector for science communication and outreach.</t>
  </si>
  <si>
    <t>[Kopke, Kathrin; Black, Jeffrey; Dozier, Amy] Univ Coll Cork, Ctr Marine &amp; Renewable Energy MaREI, Environm Res Inst, Cork, Ireland</t>
  </si>
  <si>
    <t>University College Cork</t>
  </si>
  <si>
    <t>Kopke, K (corresponding author), Univ Coll Cork, Ctr Marine &amp; Renewable Energy MaREI, Environm Res Inst, Cork, Ireland.</t>
  </si>
  <si>
    <t>k.kopke@ucc.ie</t>
  </si>
  <si>
    <t>Dozier, Amy/0000-0003-4039-1467; Kopke, Kathrin/0000-0001-9037-9867</t>
  </si>
  <si>
    <t>MaREI Centre</t>
  </si>
  <si>
    <t>This research was funded through the MaREI Centre, who also provide the funds for the open access publication fees.</t>
  </si>
  <si>
    <t>Aiello LM, 2012, ACM T WEB, V6, DOI 10.1145/2180861.2180866; [Anonymous], 2011, Future Information Technology Communications in Computer and Information Science, DOI 10.1007/978-3-642-22309-9_5; [Anonymous], MIS Q; [Anonymous], 2011, P 20 INT C COMP WORL, DOI [10.1145/1963192.1963222, DOI 10.1145/1963192.1963222]; Archer KJ, 2006, STATA J, V6, P97, DOI 10.1177/1536867X0600600106; Barthel S, 2015, PROCEEDINGS OF THE 15TH ACM/IEEE-CS JOINT CONFERENCE ON DIGITAL LIBRARIES (JCDL'15), P119, DOI 10.1145/2756406.2756913; Baumeister RF., 2001, REV GEN PSYCHOL, V5, P323, DOI [10.1037//1089-2680.5.4.323, DOI 10.1037//1089-2680.5.4.323, 10.1037/1089-2680.5.4.323, DOI 10.1037/1089-2680.5.4.323]; Bollen Johan, 2011, ICWSM, P450; Bowman T.D., 2015, Investigating the use of affordances and framing techniques by scholars to manage personal and professional impressions on Twitter; Brady WJ, 2017, P NATL ACAD SCI USA, V114, P7313, DOI 10.1073/pnas.1618923114; Bravo-Marquez Felipe., 2013, Proceedings of the Second International Workshop on Issues of Sentiment Discovery and Opinion Mining, P2, DOI DOI 10.1145/2502069.2502071; Cava F, 2005, P NAT GEOGR SOC OC L; Chen CL, 2016, ENVIRON EDUC RES, V22, P958, DOI 10.1080/13504622.2015.1054266; Chretien KC, 2011, JAMA-J AM MED ASSOC, V305, P566, DOI 10.1001/jama.2011.68; Collins K, 2016, PLOS ONE, V11, DOI 10.1371/journal.pone.0162680; Conover M., 2011, P INT AAAI C WEB SOC, V5, P89; Côté IM, 2018, FACETS, V3, P682, DOI 10.1139/facets-2018-0002; Didegah F, 2018, J INFORMETR, V12, P960, DOI 10.1016/j.joi.2018.08.002; Diug Basia, 2016, Educ Health (Abingdon), V29, P223, DOI 10.4103/1357-6283.204216; Easman ES, 2018, MAR POLICY, V87, P234, DOI 10.1016/j.marpol.2017.10.030; El Rahman SA, 2019, 2019 INTERNATIONAL CONFERENCE ON COMPUTER AND INFORMATION SCIENCES (ICCIS), P336, DOI 10.1109/iccisci.2019.8716464; Everett JAC, 2015, FRONT BEHAV NEUROSCI, V9, DOI 10.3389/fnbeh.2015.00015; Eysenbach G, 2011, J MED INTERNET RES, V13, DOI 10.2196/jmir.2012; Faralli S, 2015, PROCEEDINGS OF THE TWENTY-FOURTH INTERNATIONAL JOINT CONFERENCE ON ARTIFICIAL INTELLIGENCE (IJCAI), P2334; Fauville G, 2015, COMPUT EDUC, V82, P60, DOI 10.1016/j.compedu.2014.11.003; Ferrara E, 2015, PEERJ COMPUT SCI, DOI 10.7717/peerj-cs.26; Ferrara E, 2015, PLOS ONE, V10, DOI 10.1371/journal.pone.0142390; GARDNER W, 1995, PSYCHOL BULL, V118, P392, DOI 10.1037/0033-2909.118.3.392; Garimella V. R. K., 2017, 11 INT AAAI C WEB SO; Gottfried J., 2017, AM ONLINE NEWS USE I, V7; Hales SB, 2014, TRANSL BEHAV MED, V4, P355, DOI 10.1007/s13142-014-0274-z; Hanusch F, 2019, DIGIT JOURNAL, V7, P22, DOI 10.1080/21670811.2018.1436977; Hastings G, 2004, PSYCHOL MARKET, V21, P961, DOI 10.1002/mar.20043; Haustein S, 2018, HDB QUANTITATIVE SCI, P1; Hoef JMV, 2007, ECOLOGY, V88, P2766, DOI 10.1890/07-0043.1; Hu Yuheng., 2014, P 8 INT AAAI C WEBL, V8, P595, DOI DOI 10.1609/ICWSM.V8I1.14578; Jefferson RL, 2014, MAR POLICY, V43, P327, DOI 10.1016/j.marpol.2013.07.004; Jefferson R, 2015, OCEAN COAST MANAGE, V115, P61, DOI 10.1016/j.ocecoaman.2015.06.014; Kassens-Noor E, 2012, ACT LEARN HIGH EDUC, V13, P9, DOI 10.1177/1469787411429190; Ke Q, 2017, PLOS ONE, V12, DOI 10.1371/journal.pone.0175368; Koto F, 2015, LECT NOTES COMPUT SC, V9103, P453, DOI 10.1007/978-3-319-19581-0_46; Kwak H., WWW'10, DOI DOI 10.1145/1772690.1772751; Lehr JL., 2007, The Re-Emergence of Values in Science Education, P29; LEMESHOW S, 1982, AM J EPIDEMIOL, V115, P92, DOI 10.1093/oxfordjournals.aje.a113284; Li JW, 2014, PROCEEDINGS OF THE 52ND ANNUAL MEETING OF THE ASSOCIATION FOR COMPUTATIONAL LINGUISTICS, VOL 1, P165; López-Goñi I, 2018, FEMS MICROBIOL LETT, V365, DOI 10.1093/femsle/fnx246; Lotze HK, 2018, OCEAN COAST MANAGE, V152, P14, DOI 10.1016/j.ocecoaman.2017.11.004; Lowe T, 2006, PUBLIC UNDERST SCI, V15, P435, DOI 10.1177/0963662506063796; Macskassy S.A., 2011, ICWSM, P209, DOI DOI 10.1609/ICWSM.V5I1.14110; MCCULLAGH P, 1980, J ROY STAT SOC B MET, V42, P109; Mckay M, 2014, J INTERPROF CARE, V28, P565, DOI 10.3109/13561820.2014.912618; McKinley E, 2010, OCEAN COAST MANAGE, V53, P379, DOI 10.1016/j.ocecoaman.2010.04.012; McPherson M, 2001, ANNU REV SOCIOL, V27, P415, DOI 10.1146/annurev.soc.27.1.415; Medhat W, 2014, AIN SHAMS ENG J, V5, P1093, DOI 10.1016/j.asej.2014.04.011; Milner H, 2002, CIVI LITERACY INFORM; Nagarajan M., 2010, IC ASM, P295, DOI [10.1609/icwsm.v4i1.14051, DOI 10.1609/ICWSM.V4I1.14051]; Nakov P, 2016, P 10 INT WORKSH SEM, DOI [10.18653/v1/S16-1001, DOI 10.18653/V1/S16-1001]; Newman TP, 2017, PUBLIC UNDERST SCI, V26, P815, DOI 10.1177/0963662516628477; Nielsen F. A., 2011, ARXIV; Nordhaus T, 2009, YALE ENV, V360, P16; O'Brien SM, 2004, BIOMETRICS, V60, P739, DOI 10.1111/j.0006-341X.2004.00224.x; O'Neill S, 2009, SCI COMMUN, V30, P355, DOI 10.1177/1075547008329201; Peng CYJ, 2002, J EDUC RES, V96, P3, DOI 10.1080/00220670209598786; Peoples BK, 2016, PLOS ONE, V11, DOI 10.1371/journal.pone.0166570; Potts T, 2016, MAR POLICY, V72, P59, DOI 10.1016/j.marpol.2016.06.012; PREGIBON D, 1981, ANN STAT, V9, P705, DOI 10.1214/aos/1176345513; Priante Anna., 2016, 1 WORKSHOP NLP COMPU, P55, DOI [10.18653/v1/W16-5608, DOI 10.18653/V1/W16-5608]; Rozin P, 2001, PERS SOC PSYCHOL REV, V5, P296, DOI 10.1207/S15327957PSPR0504_2; Saif Hassan, 2012, The Semantic Web. 11th International Semantic Web Conference (ISWC 2012). Proceedings, P508, DOI 10.1007/978-3-642-35176-1_32; Santoro F., 2017, Ocean Literacy for All - A toolkit, IOC/UNESCO UNESCO Venice Office; Scepanovic Sanja, 2017, Online Social Networks and Media, V2, P1, DOI 10.1016/j.osnem.2017.06.001; Schoedinger S., 2010, NMEA Special Report, V3, P3; Shiffman D.S., 2012, J ENVIRON STUD SCI, V2, P257, DOI DOI 10.1007/S13412-012-0080-1; Smith A., 2015, J PROMOTIONAL COMMUN, V3, P320; Steel BS, 2005, OCEAN COAST MANAGE, V48, P97, DOI 10.1016/j.ocecoaman.2005.01.002; Stieglitz S, 2013, J MANAGE INFORM SYST, V29, P217, DOI 10.2753/MIS0742-1222290408; Suh B, 2010, 2010 IEEE 2 INT C SO, V2, P177, DOI DOI 10.1109/SOCIALCOM.2010.33; Wadhwa V, 2017, AM J NEURORADIOL, V38, P1866, DOI 10.3174/ajnr.A5283; Wadhwa V, 2018, J VASC INTERV RADIOL, V29, P1057, DOI 10.1016/j.jvir.2018.03.004; Wagner C, 2012, PROCEEDINGS OF 2012 ASE/IEEE INTERNATIONAL CONFERENCE ON PRIVACY, SECURITY, RISK AND TRUST AND 2012 ASE/IEEE INTERNATIONAL CONFERENCE ON SOCIAL COMPUTING (SOCIALCOM/PASSAT 2012), P91, DOI 10.1109/SocialCom-PASSAT.2012.30; Weng J., 2010, P 3 ACM INT C WEB SE, P261; Wickham H., 2017, STRINGR SIMPLE CONSI; Yang J, 2010, ICIM 2010: PROCEEDINGS OF THE TENTH INTERNATIONAL CONFERENCE ON INDUSTRIAL MANAGEMENT, P356; Yardi Sarita, 2010, Bulletin of Science, Technology &amp; Society, P316, DOI DOI 10.1177/0270467610380011</t>
  </si>
  <si>
    <t>FEB 19</t>
  </si>
  <si>
    <t>10.3389/fmars.2019.00060</t>
  </si>
  <si>
    <t>HQ8JI</t>
  </si>
  <si>
    <t>WOS:000462670400001</t>
  </si>
  <si>
    <t>Fox, N; Marshall, J; Dankel, DJ</t>
  </si>
  <si>
    <t>Fox, Natalie; Marshall, Jamie; Dankel, Dorothy Jane</t>
  </si>
  <si>
    <t>Ocean Literacy and Surfing: Understanding How Interactions in Coastal Ecosystems Inform Blue Space User's Awareness of the Ocean</t>
  </si>
  <si>
    <t>ocean sustainability; human geography; oceans and human health; ocean literacy; blue space activity; marine social-ecological systems; surfing</t>
  </si>
  <si>
    <t>SUSTAINABILITY; TOURISM; MANAGEMENT; KNOWLEDGE; FRAMEWORK; HEALTH; CONSERVATION; CITIZENSHIP; INDICATORS; PROTECTION</t>
  </si>
  <si>
    <t>Intergovernmental policy is targeting public ocean literacy to help achieve the societal changes needed to reach a sustainable ocean agenda within a 10-year timeframe. To create a culture of care for the ocean, which is under threat from Anthropocentric pressures, informed ocean citizens are central to upholding meaningful actions and best practices. This research focuses on recreational ocean users, specifically surfers and how their blue space activities may inform understanding of ocean processes and human-ocean interconnections. The Ocean Literacy Principles were used to assess ocean awareness through surfing interactions. An online survey questionnaire was completed by 249 participants and reduced to a smaller sample focus group. Qualitative and quantitative data were triangulated to develop further understanding of surfer experiences, using the social-ecological systems framework to model surfing outcomes. The results found that surfers indeed receive ocean literacy benefits, specifically three out of the seven Ocean Literacy Principles and that ocean literacy is a direct benefit many surfers in the sample group receive. By identifying synergies between the Ocean Literacy Principles, variables within coastal ecosystems and user (surfer) interactions, this research offers novel insight into opportunities for integrating ocean sustainability strategies through blue space activity mechanisms and coastal community engagement.</t>
  </si>
  <si>
    <t>[Fox, Natalie] Anglia Ruskin Univ, Fac Sci &amp; Engn, East Rd, Cambridge CB1 1PT, England; [Marshall, Jamie] Edinburgh Napier Univ, Sch Appl Sci, 9 Sighthill Court, Edinburgh EH11 4BN, Midlothian, Scotland; [Dankel, Dorothy Jane] Univ Bergen, Dept Biol Sci, POB 7800, N-5020 Bergen, Norway</t>
  </si>
  <si>
    <t>Anglia Ruskin University; Edinburgh Napier University; University of Bergen</t>
  </si>
  <si>
    <t>Dankel, DJ (corresponding author), Univ Bergen, Dept Biol Sci, POB 7800, N-5020 Bergen, Norway.</t>
  </si>
  <si>
    <t>nvf100@student.aru.ac.uk; james.marshall@napier.ac.uk; dorothy.dankel@uib.no</t>
  </si>
  <si>
    <t>Dankel, Dorothy *Jane/0000-0002-8839-3333; Marshall, Jamie/0000-0002-4977-2656</t>
  </si>
  <si>
    <t>Research Council of Norway [295088]</t>
  </si>
  <si>
    <t>Research Council of Norway(Research Council of Norway)</t>
  </si>
  <si>
    <t>D.J.D. was funded by the Research Council of Norway, project Localizing the 2030 Agenda for Sustainable Development for the Barents Sea-Lofoten ecosystem in a changing climate, grant number 295088.</t>
  </si>
  <si>
    <t>Anderson J, 2014, T I BRIT GEOGR, V39, P237, DOI 10.1111/tran.12018; Anderson Jon., 2014, Water Worlds: Human Geographies of the Ocean; [Anonymous], SEAS OCEANS HUMANS H; [Anonymous], 2017, SUSTAINABLE SURFING; Armitano CN, 2015, PALAESTRA, V29, P31; Armstrong C., 2020, Journal of Global Ethics, V16, P239, DOI [10.1080/17449626.2020.1779113, DOI 10.1080/17449626.2020.1779113]; Arroyo M, 2020, OCEAN COAST MANAGE, V194, DOI 10.1016/j.ocecoaman.2020.105252; Arroyo M, 2019, OCEAN COAST MANAGE, V168, P197, DOI 10.1016/j.ocecoaman.2018.10.022; Ashley M, 2019, FRONT MAR SCI, V6, DOI 10.3389/fmars.2019.00288; Atkin E., P AUSTR COASTS PORTS, P42; Bernard H.R, 2013, SOCIAL RES METHODS Q, P168; Bijma J, 2013, MAR POLLUT BULL, V74, P495, DOI 10.1016/j.marpolbul.2013.07.022; Borne G, 2018, SURFING SUSTAINABILI, P222; Bratman GN, 2019, SCI ADV, V5, DOI 10.1126/sciadv.aax0903; Brennan C, 2019, FRONT MAR SCI, V6, DOI 10.3389/fmars.2019.00360; Brewin RJW, 2020, OCEANS-BASEL, V1, P6, DOI 10.3390/oceans1010002; Brewin RJW, 2015, PLOS ONE, V10, DOI 10.1371/journal.pone.0127706; Britton E, 2020, Glob J Community Psychol Pract, V11, P1; Britton E, 2021, MAR POLICY, V124, DOI 10.1016/j.marpol.2020.104333; Britton E, 2021, J SPORT SOC ISSUES, V45, P60, DOI 10.1177/0193723520928597; Britton E, 2020, HEALTH PROMOT INT, V35, P50, DOI 10.1093/heapro/day103; Caddick N, 2015, QUAL HEALTH RES, V25, P76, DOI 10.1177/1049732314549477; Camins E, 2020, SCI TOTAL ENVIRON, V709, DOI 10.1016/j.scitotenv.2019.136178; Claudet J, 2020, ONE EARTH, V2, P34, DOI 10.1016/j.oneear.2019.10.012; Corne NP, 2009, J COASTAL RES, V25, P427, DOI 10.2112/07-0932.1; Costa S, 2018, MAR POLICY, V87, P149, DOI 10.1016/j.marpol.2017.10.022; Cózar A, 2014, P NATL ACAD SCI USA, V111, P10239, DOI 10.1073/pnas.1314705111; Creswell J.W, 2017, RES DESIGN QUALITATI, P211; de Bell S, 2017, LANDSCAPE URBAN PLAN, V167, P118, DOI 10.1016/j.landurbplan.2017.06.003; Doering A., 2018, SPORT TOURISM DEV, V3rd ed.; Drake CJ, 2021, COMPLEMENT THER MED, V59, DOI 10.1016/j.ctim.2021.102713; Duarte CM, 2020, NATURE, V580, P39, DOI 10.1038/s41586-020-2146-7; Dupont S., 2017, HDB EC MANAGEMENT SU; Fauville G, 2019, ENVIRON EDUC RES, V25, P238, DOI 10.1080/13504622.2018.1440381; Ferreira JC, 2021, EDUC SCI, V11, DOI 10.3390/educsci11020062; Fleming L., 2015, Oxford Research Encyclopedia of Environmental Science, DOI DOI 10.1093/ACREFORE/9780199389414.013.12; Fleming LE, 2021, AM J PUBLIC HEALTH, V111, P808, DOI 10.2105/AJPH.2021.306229; Fleming LE, 2019, PEOPLE NAT, V1, P276, DOI 10.1002/pan3.10038; Fletcher S, 2007, COAST MANAGE, V35, P511, DOI 10.1080/08920750701525818; Gall SC, 2015, MAR POLLUT BULL, V92, P170, DOI 10.1016/j.marpolbul.2014.12.041; Gascon M, 2017, INT J HYG ENVIR HEAL, V220, P1207, DOI 10.1016/j.ijheh.2017.08.004; al George RY, 2020, NEW POLIT SCI, V42, P498, DOI 10.1080/07393148.2020.1842706; Halpern BS, 2019, SCI REP-UK, V9, DOI 10.1038/s41598-019-47201-9; HARDIN G, 1968, SCIENCE, V162, P1243, DOI 10.1126/science.162.3859.1243; Hermoso M, 2021, AQUAT CONSERV, V31, P441, DOI 10.1002/aqc.3466; Hignett A, 2018, J ADVENTURE EDUC OUT, V18, P53, DOI 10.1080/14729679.2017.1326829; Hutt J., 2001, J COASTAL RES, V29, P66; Ingersoll K.A, 2016, WAVES KNOWING SEASCA, P18; Joshi A, 2015, BRIT J APPL SCI TECH, V7, P396, DOI [10.9734/BJAST/2015/14975, DOI 10.9734/BJAST/2015/14975]; Kapono C., 2018, MULTICULTURAL CHARAC; Kelly R, 2022, REV FISH BIOL FISHER, V32, P123, DOI 10.1007/s11160-020-09625-9; Larson LR, 2018, LEISURE SCI, V40, P442, DOI 10.1080/01490400.2017.1305306; Lazarow N, 2007, J COASTAL RES, P12; Leonard AFC, 2020, WATER RES, V176, DOI 10.1016/j.watres.2020.115700; Leslie HM, 2015, P NATL ACAD SCI USA, V112, P5979, DOI 10.1073/pnas.1414640112; Lewin J., 1983, SANDY BEACHES ECOSYS, P381, DOI DOI 10.1007/978-94-017-2938-3_26; Lin YL, 2020, SUSTAINABILITY-BASEL, V12, DOI 10.3390/su12177115; Marshall J., 2020, J SPORT DEV, V1, P9; Martin L, 2020, J ENVIRON PSYCHOL, V68, DOI 10.1016/j.jenvp.2020.101389; Martin SA, 2014, TOUR PLAN DEV, V11, P127, DOI 10.1080/21568316.2013.864990; Matos M.G., 2017, Community Medicine Public Health Care, V4, P1, DOI [DOI 10.24966/CMPH1978/100026, DOI 10.24966/CMPH-1978/100026, 10.24966/cmph1978/100026]; McCauley V, 2019, ENVIRON EDUC RES, V25, P280, DOI 10.1080/13504622.2018.1553234; McGinnis MD, 2014, ECOL SOC, V19, DOI 10.5751/ES-06387-190230; Meadows D. H., 1972, LIMITS GROWTH, P27; Mills J, 2014, FUSION J, V005; Mishra HS, 2020, URBAN FOR URBAN GREE, V49, DOI 10.1016/j.ufug.2019.126575; Nazer D., 2004, DEAKIN LAW REV, V9, P655, DOI DOI 10.1086/605293; Noy C, 2008, INT J SOC RES METHOD, V11, P327, DOI 10.1080/13645570701401305; Olive R, 2021, J SPORT SOC ISSUES, V45, P3, DOI 10.1177/0193723520950549; Ostrom E, 2009, SCIENCE, V325, P419, DOI 10.1126/science.1172133; Pearlman J, 2019, FRONT MAR SCI, V6, DOI 10.3389/fmars.2019.00277; Polejack A, 2021, FRONT MAR SCI, V8, DOI 10.3389/fmars.2021.664066; Ponting J, 2015, SPORT MANAG REV, V18, P99, DOI 10.1016/j.smr.2014.07.004; Ponting J, 2014, J SUSTAIN TOUR, V22, P384, DOI 10.1080/09669582.2013.819879; Reineman DR, 2018, J SUSTAIN TOUR, V26, P325, DOI 10.1080/09669582.2017.1352590; Reineman DR, 2016, MAR POLICY, V67, P139, DOI 10.1016/j.marpol.2016.01.023; Rudolph T.B., 2020, NAT COMMUN, V11, P1, DOI 10.1038/s41467-020-18409-5; Ruttenberg T, 2017, CRITICAL SURF STUDIE, P109, DOI [10.1215/9780822372820-006, DOI 10.1215/9780822372820-006]; Ryabinin V, 2019, FRONT MAR SCI, V6, DOI 10.3389/fmars.2019.00470; Sacco K, 2014, PLOS BIOL, V12, DOI 10.1371/journal.pbio.1001986; Santoro F., 2017, Ocean Literacy for All - A toolkit, IOC/UNESCO UNESCO Venice Office; Scarfe BE, 2009, J COASTAL RES, V25, P684, DOI 10.2112/08-0999.1; Scheske C, 2019, AQUAT CONSERV, V29, P195, DOI 10.1002/aqc.3054; Schlüter M, 2014, ECOL SOC, V19, DOI 10.5751/ES-05782-190136; Scott V., 2019, WHO WILL SURF SCI UN; Steel BS, 2005, OCEAN COAST MANAGE, V48, P97, DOI 10.1016/j.ocecoaman.2005.01.002; Stoll-Kleemann S, 2019, FRONT MAR SCI, V6, DOI 10.3389/fmars.2019.00273; Tunstall SM, 1998, GEOGR J, V164, P319, DOI 10.2307/3060620; UNESCO, OC KNOWL SUST OC EC; Usher LE, 2016, ANN LEIS RES, V19, P98, DOI 10.1080/11745398.2015.1066260; Viatori M, 2020, J LAT AM CARIBB ANTH, V25, P84, DOI 10.1111/jlca.12460; Visbeck M, 2018, NAT COMMUN, V9, DOI 10.1038/s41467-018-03158-3; Völker S, 2018, URBAN FOR URBAN GREE, V29, P1, DOI 10.1016/j.ufug.2017.10.014; Waitt G, 2008, SOC CULT GEOGR, V9, P75, DOI 10.1080/14649360701789600; Weber AK, 2019, MAR POLLUT BULL, V140, P1, DOI 10.1016/j.marpolbul.2019.01.013; Wheaton B, 2021, INT J ENV RES PUB HE, V18, DOI 10.3390/ijerph18020450; Whyte D, 2019, ANTHROPOL NOTEB, V25, P13; Worm B, 2006, SCIENCE, V314, P787, DOI 10.1126/science.1132294</t>
  </si>
  <si>
    <t>10.3390/ijerph18115819</t>
  </si>
  <si>
    <t>SP9NZ</t>
  </si>
  <si>
    <t>WOS:000659990800001</t>
  </si>
  <si>
    <t>Ashley, M; Pahl, S; Glegg, G; Fletcher, S</t>
  </si>
  <si>
    <t>Ashley, Matthew; Pahl, Sabine; Glegg, Gillian; Fletcher, Stephen</t>
  </si>
  <si>
    <t>A Change of Mind: Applying Social and Behavioral Research Methods to the Assessment of the Effectiveness of Ocean Literacy Initiatives</t>
  </si>
  <si>
    <t>ocean literacy; behavioral science; effectiveness; education; attitude; sustainable development; intended behavior</t>
  </si>
  <si>
    <t>MARINE; STUDENTS; ATTITUDES; AWARENESS; MODEL</t>
  </si>
  <si>
    <t>Assessment of environmental literacy and ocean literacy focus on increasing knowledge and awareness. The goal of ocean literacy initiatives is ultimately to enable behavior change (whereby citizens take direct and sustainable action) to achieve sustainable solutions to marine environment issues. The application of social and behavioral research methods provides powerful tools for assessing if ocean literacy initiatives are effective at increasing participant's knowledge and awareness of an issue, its causes and consequences and behaviors or actions required to enable sustainable solutions. Social and behavioral research methods also provide a means of assessing changes in attitude, a key predictor of behavior change, and ultimately a means of assessing changes in a participants intended and reported behaviors. We present a framework to integrate social and behavioral research methods within assessment of the effectiveness of ocean literacy initiatives. The before and after assessment we undertake develops existing environmental literacy and ocean literacy assessment approaches by integrating social and behavioral research methods to assess key predictors of behavior change. We structured the assessment methodology within a Theory of Change logic model, to provide a protocol for systematic evaluation of ocean literacy initiatives and tools. Specifically those aimed at promoting specific behavior change objectives for pre-identified actors. Assessment of educational training courses for professionals entering the shipping industry (targeting behaviors to reduce the spread of invasive species), and educational workshops for school students (aged 11-15 and 16-18), on problems related to marine litter and microplastics and potential solutions were assessed using the framework. Through before and after surveys, an increase in awareness, knowledge and an increase in attitudes supporting action to reduce impacts on the marine environment were reported by participants, after interaction with sets of tools developed by the Horizon 2020 Ocean Literacy project ResponSEAble. Results supported the importance of targeting specific audiences with tailored ocean literacy tools and the importance of informing actors of issues and solutions within the context of wider ocean literacy principles.</t>
  </si>
  <si>
    <t>[Ashley, Matthew; Glegg, Gillian] Univ Plymouth, Sch Biol &amp; Marine Sci, Plymouth, Devon, England; [Pahl, Sabine] Univ Plymouth, Sch Psychol, Fac Hlth &amp; Human Sci, Plymouth, Devon, England; [Fletcher, Stephen] UNEP, World Conservat Monitoring Ctr, Cambridge, England</t>
  </si>
  <si>
    <t>University of Plymouth; University of Plymouth</t>
  </si>
  <si>
    <t>Ashley, M (corresponding author), Univ Plymouth, Sch Biol &amp; Marine Sci, Plymouth, Devon, England.</t>
  </si>
  <si>
    <t>matthew.ashley@plymouth.ac.uk</t>
  </si>
  <si>
    <t>Fletcher, Stephen/B-4224-2009; ashley, matt/GRX-8546-2022; Pahl, Sabine/AAT-1829-2021</t>
  </si>
  <si>
    <t>Fletcher, Stephen/0000-0003-1180-9844; Glegg, Gillian/0000-0001-7557-0401</t>
  </si>
  <si>
    <t>European Union [652643]; H2020 Societal Challenges Programme [652643] Funding Source: H2020 Societal Challenges Programme</t>
  </si>
  <si>
    <t>This project has received funding from the European Union's Horizon 2020 Framework Programme for Research and Innovation (H2020-BG-2014-1) under grant agreement No. 652643.</t>
  </si>
  <si>
    <t>Andriamalala Gildas, 2013, Conservation Evidence, V10, P37; [Anonymous], 2018, REV ROADM UN DEC OC; [Anonymous], ENV LITERACY LADDER; [Anonymous], NEW APPROACHES EVALU; Beanland C., 1999, Nursing research - methods, critical appraisal and utilisation, V1st; Bishop T., 2015, EU SEA CHANGE PROJEC; Brenner PS, 2016, SOC PSYCHOL QUART, V79, P333, DOI 10.1177/0190272516628298; Buckley PJ, 2017, FRONT MAR SCI, V4, DOI 10.3389/fmars.2017.00206; Chaigneau T, 2015, MAR POLICY, V51, P499, DOI 10.1016/j.marpol.2014.08.007; Chen CL, 2016, ENVIRON EDUC RES, V22, P958, DOI 10.1080/13504622.2015.1054266; Cronbach L.J., 1960, ESSENTIALS PSYCHOL T, V2nd; Damerell P, 2013, ENVIRON RES LETT, V8, DOI 10.1088/1748-9326/8/1/015016; Dempsey RC, 2018, FRONT PSYCHOL, V9, DOI 10.3389/fpsyg.2018.02180; Donert K., 2015, EU SEA CHANGE PROJEC; Eccles MP, 2006, IMPLEMENT SCI, V1, DOI 10.1186/1748-5908-1-28; Elliott M, 2017, MAR POLLUT BULL, V118, P27, DOI 10.1016/j.marpolbul.2017.03.049; Ernsting C, 2017, J MED INTERNET RES, V19, DOI 10.2196/jmir.6838; Fauville G, 2019, ENVIRON EDUC RES, V25, P238, DOI 10.1080/13504622.2018.1440381; Fletcher S, 2007, COAST MANAGE, V35, P511, DOI 10.1080/08920750701525818; Flurry LA, 2005, J BUS RES, V58, P593, DOI 10.1016/j.jbusres.2003.08.007; Gelcich S, 2014, P NATL ACAD SCI USA, V111, P15042, DOI 10.1073/pnas.1417344111; Green L, 1999, HLTH PROMOTION PLANN, P32; Hartley BL, 2018, MAR POLICY, V96, P227, DOI 10.1016/j.marpol.2018.02.002; Hartley BL, 2018, MAR POLLUT BULL, V133, P945, DOI 10.1016/j.marpolbul.2018.05.061; Hartley BL, 2015, MAR POLLUT BULL, V90, P209, DOI 10.1016/j.marpolbul.2014.10.049; Hawthorne M, 1999, GLOBAL ENVIRON CHANG, V9, P25, DOI 10.1016/S0959-3780(98)00022-3; Howell AP, 2015, ENVIRON BEHAV, V47, P1107, DOI 10.1177/0013916514539684; Jakovcevic A, 2014, J ENVIRON PSYCHOL, V40, P372, DOI 10.1016/j.jenvp.2014.09.004; Jenks B, 2010, EVAL PROGRAM PLANN, V33, P186, DOI 10.1016/j.evalprogplan.2009.07.010; Klöckner CA, 2013, GLOBAL ENVIRON CHANG, V23, P1028, DOI 10.1016/j.gloenvcha.2013.05.014; Müderrisoglu H, 2011, INT J ENVIRON SCI TE, V8, P159; Niles MT, 2016, CLIMATIC CHANGE, V135, P277, DOI 10.1007/s10584-015-1558-0; Pahl S, 2017, ANAL METHODS-UK, V9, P1404, DOI 10.1039/c6ay02647h; Pilot D., 1999, Nursing Research: Principals and Methods; Potts T, 2016, MAR POLICY, V72, P59, DOI 10.1016/j.marpol.2016.06.012; PROCHASKA JO, 1992, AM PSYCHOL, V47, P1102, DOI 10.1037/0003-066X.47.9.1102; Reddy SMW, 2017, CONSERV LETT, V10, P248, DOI 10.1111/conl.12252; Rickinson M., 2001, ENVIRON EDUC RES, V7, P207, DOI [10.1080/13504620120065230, DOI 10.1080/13504620120065230]; Saypanya Santi, 2013, Conservation Evidence, V10, P57; Schoedinger S, 2005, OCEANS-IEEE, P736; Schubel JR, 2008, OCEANS-IEEE, P524; Schultz PW, 2013, ENVIRON BEHAV, V45, P35, DOI 10.1177/0013916511412179; Schultz PW, 1999, BASIC APPL SOC PSYCH, V21, P25, DOI 10.1207/s15324834basp2101_3; Steg L. E., 2013, ENV PSYCHOL; Vaughan PW, 2000, J HEALTH COMMUN, V5, P203, DOI 10.1080/10810730050131398; Wilson G., 2004, Int J Consum Stud, V28, P329, DOI DOI 10.1111/J.1470-6431.2004.00393.X</t>
  </si>
  <si>
    <t>JUN 6</t>
  </si>
  <si>
    <t>10.3389/fmars.2019.00288</t>
  </si>
  <si>
    <t>IC2KX</t>
  </si>
  <si>
    <t>WOS:000470789800001</t>
  </si>
  <si>
    <t>Uehara, T; Sakurai, R; Tsuge, T</t>
  </si>
  <si>
    <t>Uehara, Takuro; Sakurai, Ryo; Tsuge, Takahiro</t>
  </si>
  <si>
    <t>Cultivating relational values and sustaining socio-ecological production landscapes through ocean literacy: a study on Satoumi</t>
  </si>
  <si>
    <t>ENVIRONMENT DEVELOPMENT AND SUSTAINABILITY</t>
  </si>
  <si>
    <t>Relational values; Satoumi; Ocean literacy; Socio-ecological production landscapes; Contingent valuation method</t>
  </si>
  <si>
    <t>SUSTAINABILITY ASSESSMENT FRAMEWORK; ECOSYSTEM SERVICES; VALUATION; FISHERIES</t>
  </si>
  <si>
    <t>Sound management of social-ecological systems should reflect diverse values; otherwise, the systems may inadvertently lead to neither fair nor desirable states. Relational values are one of three primary value domains of these diverse values. Since they may strongly motivate care for nature, nurturing these values could be a useful management measure for people involved in management (e.g., policy makers and nonprofit organizations) to realize a desirable state of social-ecological systems. To test this hypothesis, we studied ocean literacy programs at a district junior high school in Hinase District, Okayama, Japan. The district is known as a Satoumi (Japanese coastal socio-ecological production landscape). First, we measured the significance of relational values in the district. Second, we assessed the effect of the ocean literacy programs on cultivating relational values. Third, to test the feasibility of the ocean literacy programs as management measures to cultivate relational values, we used a contingent valuation method, developed in environmental economics, to measure residents' willingness to support the programs. Our study reveals that relational values are a critical component of Satoumi. Students are promising supporters of Satoumi given the declining and aging population of guardians, a result of the decline in revenues from fishery; moreover, the programs cultivate relational values in students. Residents support the ocean literacy programs, and their willingness to pay for them is connected with relational values. Therefore, ocean literacy can be an effective and feasible management measure for sustaining Satoumi through cultivation of relational values.</t>
  </si>
  <si>
    <t>[Uehara, Takuro; Sakurai, Ryo] Ritsumeikan Univ, Coll Policy Sci, 2-150 Iwakura Cho, Ibaraki, Osaka 5678570, Japan; [Tsuge, Takahiro] Konan Univ, Fac Econ, 8-9-1 Okamoto,Higashi Nada Ward, Kobe, Hyogo 6580072, Japan</t>
  </si>
  <si>
    <t>Ritsumeikan University; Konan University</t>
  </si>
  <si>
    <t>Uehara, T (corresponding author), Ritsumeikan Univ, Coll Policy Sci, 2-150 Iwakura Cho, Ibaraki, Osaka 5678570, Japan.</t>
  </si>
  <si>
    <t>takuro@fc.ritsumei.ac.jp</t>
  </si>
  <si>
    <t>uehara, takuro/0000-0001-6144-4527</t>
  </si>
  <si>
    <t>Inamori Foundation; ESPEC Foundation for Global Environment Research and Technology; Casio Science Promotion Foundation</t>
  </si>
  <si>
    <t>This study was funded by the Inamori Foundation, the ESPEC Foundation for Global Environment Research and Technology, and the Casio Science Promotion Foundation. The funders had no role in study design, data collection, analysis, or writing of the manuscript. We are grateful to the teachers and students at HJHS, the Fisheries Cooperative Association of Hinase, and the residents of the district for their generous support of this study.</t>
  </si>
  <si>
    <t>Admiraal JF, 2017, ENVIRON CONSERV, V44, P148, DOI 10.1017/S037689291700008X; Aizaki H., 2015, Stated Preference Methods Using R; [Anonymous], 2003, Evaluation. A systematic approach; [Anonymous], 2007, MEAS REAL BOUNT BEAU; BARRIBALL KL, 1994, J ADV NURS, V19, P328; Bishop RC, 2017, ECON NON-MARK GOOD, V13, P463, DOI 10.1007/978-94-007-7104-8_12; Boyle KJ, 2017, ECON NON-MARK GOOD, V13, P83, DOI 10.1007/978-94-007-7104-8_4; BROWN TC, 1984, LAND ECON, V60, P231, DOI 10.2307/3146184; Carifio J, 2008, MED EDUC, V42, P1150, DOI 10.1111/j.1365-2923.2008.03172.x; Chan KMA, 2016, P NATL ACAD SCI USA, V113, P1462, DOI 10.1073/pnas.1525002113; CRONBACH LJ, 1951, PSYCHOMETRIKA, V16, P297, DOI DOI 10.1007/BF02310555; Díaz S, 2015, PLOS BIOL, V13, DOI 10.1371/journal.pbio.1002040; Duraiappah AnanthaKumar., 2012, Satoyama-Satoumi Ecosystems and Human Well-Being: Socio- Ecological Production Landscapes of Japan; Ernst J.A., 2009, Evaluating Your Environmental Education Programs; Field A., 2000, Discovering Statistics Using IBM SPSS Statistics, DOI DOI 10.1016/B978-012691360-6/50012-4; Flores NE, 2017, ECON NON-MARK GOOD, V13, P27, DOI 10.1007/978-94-007-7104-8_2; Freeman AM., 2014, The Measurement of Environmental and Resource Values: Theory and Methods, DOI [10.4324/9781315780917, DOI 10.4324/9781315780917]; Frey BS, 1997, AM ECON REV, V87, P746; Gu HY, 2014, ECOL SOC, V19, DOI 10.5751/ES-06283-190141; Inoue NHK K, 2015, SATOUMI CAPITALISM J; Kallis G, 2013, ECOL ECON, V94, P97, DOI 10.1016/j.ecolecon.2013.07.002; Kenter JO, 2015, ECOL ECON, V111, P86, DOI 10.1016/j.ecolecon.2015.01.006; Klain SC, 2017, PLOS ONE, V12, DOI 10.1371/journal.pone.0183962; Klain SC, 2014, ECOL ECON, V107, P310, DOI 10.1016/j.ecolecon.2014.09.003; Komatsu Teruhisa, 2015, INTEGRATED APPROACH, P283; MAFF of the Government of Japan, 2008, CURR COND PROBL SEAG; MAFF of the Government of Japan, 2016, SURV STAT FISH 2015; Matulis BS, 2014, ECOL ECON, V104, P155, DOI 10.1016/j.ecolecon.2014.04.010; McCauley DJ, 2006, NATURE, V443, P27, DOI 10.1038/443027a; McGinnis MD, 2014, ECOL SOC, V19, DOI 10.5751/ES-06387-190230; Meadows D., 2008, THINKING SYSTEMS PRI; Milcu AI, 2013, ECOL SOC, V18, DOI 10.5751/ES-05790-180344; Ministry of Agriculture Forestry and Fisheries (MAFF) of the Government of Japan, 2006, SURV CONS ACT; Ministry of Education Culture Sports Science and Technology, PER INT STUD; Ministry of the Environment (MoE) of the Government of Japan, SAT UMI NET; Mitchell R.C., 1989, USING SURVEYS VALUE; Mizuta DD, 2017, MAR POLICY, V78, P143, DOI 10.1016/j.marpol.2017.01.020; MoE of the Government of Japan, CURR STAT ROL MUDFL; MoE of the Government of Japan, SET NET; National Oceanic and Atmospheric Administration [NOAA], 2013, OC LIT ESS PRINC FUN; Norton B, 1998, ECOL ECON, V24, P193, DOI 10.1016/S0921-8009(97)00143-2; Otani S, 2013, NEW APPROACH SOCIAL; Pascual U, 2017, CURR OPIN ENV SUST, V26-27, P7, DOI 10.1016/j.cosust.2016.12.006; Plankis B.J., 2010, INT ELECT J ENV ED, V1, P21; Rosenberger RS, 2017, ECON NON-MARK GOOD, V13, P431, DOI 10.1007/978-94-007-7104-8_11; Sakurai R, 2019, ENVIRON EDUC RES, V25, P222, DOI 10.1080/13504622.2018.1436698; Segerson K, 2017, ECON NON-MARK GOOD, V13, P1, DOI 10.1007/978-94-007-7104-8_1; Spash CL, 2008, ENVIRON VALUE, V17, P259, DOI 10.3197/096327108X303882; Spash CL, 2007, ECOL ECON, V63, P690, DOI 10.1016/j.ecolecon.2007.02.014; Suskevics M, 2018, J ENVIRON PLANN MAN, V61, P1085, DOI 10.1080/09640568.2017.1339594; Tanaka T., 2014, ECPR, V34, P21; Tee DD, 2014, TEACH HIGH EDUC, V19, P579, DOI 10.1080/13562517.2014.901961; The City of Bizen, 2015, STAT CITY BIZEN; Tsurita I, 2018, MAR POLICY, V91, P41, DOI 10.1016/j.marpol.2018.02.001; Uehara T, 2017, ECOL INDIC, V73, P716, DOI 10.1016/j.ecolind.2016.10.031; Uehara T, 2016, SUSTAIN SCI, V11, P801, DOI 10.1007/s11625-016-0373-5; van den Born RJG, 2018, J ENVIRON PLANN MAN, V61, P841, DOI 10.1080/09640568.2017.1342612; Yanagi T., 2013, JAPANESE COMMONS COA</t>
  </si>
  <si>
    <t>1387-585X</t>
  </si>
  <si>
    <t>1573-2975</t>
  </si>
  <si>
    <t>ENVIRON DEV SUSTAIN</t>
  </si>
  <si>
    <t>Environ. Dev. Sustain.</t>
  </si>
  <si>
    <t>FEB</t>
  </si>
  <si>
    <t>10.1007/s10668-018-0226-8</t>
  </si>
  <si>
    <t>Green &amp; Sustainable Science &amp; Technology; Environmental Sciences</t>
  </si>
  <si>
    <t>KI9EP</t>
  </si>
  <si>
    <t>WOS:000511659800044</t>
  </si>
  <si>
    <t>Behr, A; Freitas, D; Cascalho, J; Mendes, A</t>
  </si>
  <si>
    <t>Reis, A; Barroso, J; Martins, P; Jimoyiannis, A; Huang, RYM; Henriques, R</t>
  </si>
  <si>
    <t>Behr, Andre; Freitas, Diana; Cascalho, Jose; Mendes, Armando</t>
  </si>
  <si>
    <t>A Toolkit for Re-Mar to Enhance Classroom Ocean Literacy</t>
  </si>
  <si>
    <t>TECHNOLOGY AND INNOVATION IN LEARNING, TEACHING AND EDUCATION, TECH-EDU 2022</t>
  </si>
  <si>
    <t>Communications in Computer and Information Science</t>
  </si>
  <si>
    <t>3rd International Conference on Technology and Innovation in Learning, Teaching and Education (TECH-EDU)</t>
  </si>
  <si>
    <t>AUG 31-SEP 02, 2022</t>
  </si>
  <si>
    <t>NOVA IMS, Lisbon, PORTUGAL</t>
  </si>
  <si>
    <t>NOVA IMS</t>
  </si>
  <si>
    <t>Ocean literacy; Repository; Learning objects; Artificial intelligence</t>
  </si>
  <si>
    <t>Developing environmental concerns about the ocean at all ages underlies ensuring a better and healthier planet. To cope with that, there are several international initiatives to promote ocean literacy. However, there is an instigation lack in the introduction process of the sea theme in school education. A domain repository with marine learning objects could mitigate this gap by providing educational material that can be used in classroom activities or even for self-learning. So, to be successful, the repository has to be attractive to users and motivate them to become ocean literate. Artificial Intelligence technologies can play a relevant role, providing assisted services, such as learning object publication and search. The Re-Mar repository employs some technologies (defined as a toolkit), such as ontology and thesaurus, natural language processing, and a multi-agent system. The integration of these technologies provides a rich environment to promote ocean literacy.</t>
  </si>
  <si>
    <t>[Behr, Andre; Freitas, Diana] NIDeS, P-9500321 Ponta Delgada, Portugal; [Behr, Andre; Freitas, Diana] Univ Azores, P-9500321 Ponta Delgada, Portugal; [Cascalho, Jose; Mendes, Armando] Univ Azores, Fac Sci &amp; Technol, P-9500321 Ponta Delgada, Portugal; [Cascalho, Jose; Mendes, Armando] GRIA, P-4150181 Porto, Portugal; [Cascalho, Jose; Mendes, Armando] Artificial Intelligence &amp; Comp Sci Lab, P-4150181 Porto, Portugal</t>
  </si>
  <si>
    <t>Universidade dos Acores; Universidade dos Acores; Universidade do Porto</t>
  </si>
  <si>
    <t>Mendes, A (corresponding author), Univ Azores, Fac Sci &amp; Technol, P-9500321 Ponta Delgada, Portugal.;Mendes, A (corresponding author), GRIA, P-4150181 Porto, Portugal.;Mendes, A (corresponding author), Artificial Intelligence &amp; Comp Sci Lab, P-4150181 Porto, Portugal.</t>
  </si>
  <si>
    <t>armando.b.mendes@uac.pt</t>
  </si>
  <si>
    <t>; B Mendes, Armando/N-7280-2015; Cascalho, Jose/V-2744-2017</t>
  </si>
  <si>
    <t>Freitas, Diana/0000-0003-1828-143X; B Mendes, Armando/0000-0003-3049-5852; Cascalho, Jose/0000-0002-5176-4882</t>
  </si>
  <si>
    <t>FEDER [ACORES-01-0145-FEDER-000110]; FCT/MCTES (PIDDAC) [UIDB/00027/2020]</t>
  </si>
  <si>
    <t>FEDER(European Union (EU)Spanish Government); FCT/MCTES (PIDDAC)(Fundacao para a Ciencia e a Tecnologia (FCT))</t>
  </si>
  <si>
    <t>This work is financed by the FEDER in 85% and by regional funds in 15%, through the Operational Program Azores 2020, within the scope of the SEATHINGS Learning Objects to Promote Ocean Literacy project ACORES-01-0145-FEDER-000110.; This work was partially financially supported by Base Funding -UIDB/00027/2020 of the Artificial Intelligence and Computer Science Laboratory -LIACC -funded by national funds through the FCT/MCTES (PIDDAC).</t>
  </si>
  <si>
    <t>[Anonymous], 2018, DIRECAO GERAL EDUCAC, V2; Behr A., 2021, ANAIS 12 WORKSHOP CO, P137; Behr A., 2021, PRACTICAL APPL AGENT, V1472, P115, DOI 10.1007/978-3-030-85710; Behr A, 2022, LECT NOTES ARTIF INT, V13566, P751, DOI 10.1007/978-3-031-16474-3_61; Borba MC, 2009, ZDM-MATH EDUC, V41, P453, DOI 10.1007/s11858-009-0188-2; Chen LJ, 2020, IEEE ACCESS, V8, P75264, DOI 10.1109/ACCESS.2020.2988510; Chi MTH, 2018, COGNITIVE SCI, V42, P1777, DOI 10.1111/cogs.12626; Coelho H, 2017, PROG ARTIF INTELL, V6, P17, DOI 10.1007/s13748-016-0100-6; de Oliveira MR, 2018, 2018 4TH IEEE INTERNATIONAL CONFERENCE ON COLLABORATION AND INTERNET COMPUTING (CIC 2018), P346, DOI 10.1109/CIC.2018.00053; Gabdank I, 2018, DATABASE-OXFORD, DOI 10.1093/database/bay008; Gluz J.C., 2014, BRAZILIAN S COMPUTER, V25, P993; Lugosi E, 2022, INT J MATH EDUC SCI, V53, P403, DOI 10.1080/0020739X.2020.1773555; Mendes A., 2020, Arch. elago. Life Mar. Sci., P51; Odum E., 2001, ECOSYSTEM CONCEPT, V2, P305; Risk U., 2002, IEEE standard, V1484; Sailer M, 2021, TEACH TEACH EDUC, V103, DOI 10.1016/j.tate.2021.103346; Santos AI, 2022, EDUC SCI, V12, DOI 10.3390/educsci12050309; Santos-Hermosa G, 2017, INT REV RES OPEN DIS, V18, P84; Stegmann K., 2020, Z PADAGOGIK, V2, DOI [10.3262/ZP2002174, DOI 10.3262/ZP2002174]; Tsujimoto M, 2018, TECHNOL FORECAST SOC, V136, P49, DOI 10.1016/j.techfore.2017.06.032; Vicari RM, 2010, COMM COM INF SC, V108, P300; Vieyra G.Q., 2020, EUR J EDUC, V3, P62; Wiley D.A., 2000, THESIS B YOUNG U</t>
  </si>
  <si>
    <t>SPRINGER INTERNATIONAL PUBLISHING AG</t>
  </si>
  <si>
    <t>CHAM</t>
  </si>
  <si>
    <t>GEWERBESTRASSE 11, CHAM, CH-6330, SWITZERLAND</t>
  </si>
  <si>
    <t>1865-0929</t>
  </si>
  <si>
    <t>1865-0937</t>
  </si>
  <si>
    <t>978-3-031-22917-6; 978-3-031-22918-3</t>
  </si>
  <si>
    <t>COMM COM INF SC</t>
  </si>
  <si>
    <t>10.1007/978-3-031-22918-3_35</t>
  </si>
  <si>
    <t>Computer Science, Interdisciplinary Applications; Education &amp; Educational Research; Education, Scientific Disciplines</t>
  </si>
  <si>
    <t>Conference Proceedings Citation Index - Science (CPCI-S); Conference Proceedings Citation Index - Social Science &amp; Humanities (CPCI-SSH)</t>
  </si>
  <si>
    <t>Computer Science; Education &amp; Educational Research</t>
  </si>
  <si>
    <t>BV0RJ</t>
  </si>
  <si>
    <t>WOS:000976791200035</t>
  </si>
  <si>
    <t>Costa, AC; Freitas, D; Santos, AI; Botelho, AZ; Parente, MI; Behr, A; Rodrigues, AM; Guerra, H; Cascalho, J; Mendesbf, A</t>
  </si>
  <si>
    <t>Costa, Ana C.; Freitas, Diana; Santos, Ana I.; Botelho, Andrea Z.; Parente, Manuela I.; Behr, Andre; Rodrigues, Ana M.; Guerra, Helia; Cascalho, Jose; Mendesbf, Armando</t>
  </si>
  <si>
    <t>Where is ocean literacy in oceanic islands' schools? The Azores case</t>
  </si>
  <si>
    <t>Ocean literacy; Education; Teaching; Sustainability; SDG14</t>
  </si>
  <si>
    <t>SCIENCE</t>
  </si>
  <si>
    <t>Human life on Earth is possible and sustained mainly due to the ocean's services that regulate the air we breathe, the climate and weather, and provide water and food. Moreover, the global economy and the regional incomes are based mainly on the resources, energy, transport and navigation, fisheries and aquaculture, tourism, and leisure, provided by the oceans. Ocean omnipresence in our lives is expected to be even more striking in ocean islands like the Azores Archipelago, but is this the case? This study explores the perception of Azorean school teachers on ocean literacy. This study aims to evaluate how ocean-related themes are incorporated into regular teaching activities and how Azorean schools are educating students to become environmentally responsive regarding ocean sustainability. Targeting SDG 14, an online questionnaire was sent to all public schools in the archipelago and distributed to teachers during the 2021/22 school year. A total of 426 answers from a potential target population of 5502 teachers were accepted as valid. We found that the teaching community has a generalised awareness of ocean literacy, which is not reflected in the pedagogical practice, as 58% of the respondents do not integrate ocean-related themes into their activities. Moreover, most schools in the archipelago are not integrated into ocean literacy projects. The results highlight the need to incorporate ocean themes in official curricula and manuals and develop easy-to-access ocean-related learning materials to ensure the ocean's environmental sustainability.</t>
  </si>
  <si>
    <t>[Costa, Ana C.; Botelho, Andrea Z.; Parente, Manuela I.; Rodrigues, Ana M.] CIBIO, Ctr Invest Biodiversidade &amp; Recursos Genet, BIOPOLIS Program Genom Biodivers &amp; Land Planning, InBIO Lab Associado, Ponta Delgada, Portugal; [Costa, Ana C.; Botelho, Andrea Z.; Parente, Manuela I.; Rodrigues, Ana M.] UNESCO Chair Land Sea Biodivers &amp; Sustainabil Atla, Ponta Delgada, Portugal; [Costa, Ana C.; Botelho, Andrea Z.; Parente, Manuela I.; Rodrigues, Ana M.; Guerra, Helia; Cascalho, Jose] Univ Azores, Fac Sci &amp; Technol, Ponta Delgada, Portugal; [Freitas, Diana; Behr, Andre] NIDeS, Ponta Delgada, Portugal; [Freitas, Diana; Behr, Andre] Univ Azores, Ponta Delgada, Portugal; [Santos, Ana I.] Univ Azores, Fac Social Sci &amp; Humanities, Ponta Delgada, Portugal; [Santos, Ana I.] CIE ISPA, Interdisciplinary Ctr Childhood &amp; Adolescence UAc, Ponta Delgada, Portugal; [Guerra, Helia; Cascalho, Jose] GRIA &amp; Artificial Intelligence &amp; Comp Sci Lab LIAC, Ponta Delgada, Portugal; [Costa, Ana C.] Campus Ponta Delgada,Rua Ma de Deus, P-9500321 Ponta Delgada, Portugal</t>
  </si>
  <si>
    <t>Universidade do Porto; Universidade dos Acores; Universidade dos Acores; Universidade dos Acores</t>
  </si>
  <si>
    <t>Costa, AC (corresponding author), Campus Ponta Delgada,Rua Ma de Deus, P-9500321 Ponta Delgada, Portugal.</t>
  </si>
  <si>
    <t>ana.cm.costa@uac.pt</t>
  </si>
  <si>
    <t>Costa, Ana Carolina/GXZ-6313-2022</t>
  </si>
  <si>
    <t>Costa, Ana Carolina/0000-0002-0767-728X</t>
  </si>
  <si>
    <t>SEA-THINGS project (Learning Objects for ocean literacy) [PO ACORES 2020-ACORES-01-0145-FEDER00011]; FEDER funds through the Operational Programme for Competitiveness Factors-COMPETE; Regional Fund of Science and Technology (FRCT) [M3.1.a/F/001/2021]; National Funds through FCT-Foundation for Science and Technology [UID/BIA/50027/2020]</t>
  </si>
  <si>
    <t>SEA-THINGS project (Learning Objects for ocean literacy); FEDER funds through the Operational Programme for Competitiveness Factors-COMPETE(Marie Curie Actions); Regional Fund of Science and Technology (FRCT); National Funds through FCT-Foundation for Science and Technology(Fundacao para a Ciencia e a Tecnologia (FCT))</t>
  </si>
  <si>
    <t>This work was developed within the scope of the SEA-THINGS project (Learning Objects for ocean literacy) : PO ACORES 2020-ACORES-01-0145-FEDER00011. It was also partially funded by FEDER funds through the Operational Programme for Competitiveness Factors-COMPETE and by National Funds through FCT-Foundation for Science and Technology under the UID/BIA/50027/2020. Ana M. Rodrigues is funded by a doctoral grant (M3.1.a/F/001/2021) from the Regional Fund of Science and Technology (FRCT) .</t>
  </si>
  <si>
    <t>[Anonymous], 2019, IOCS CONTRIBUTION OC; [Anonymous], 2010, NMEA Special Report #3: The Ocean Literacy Campaign; [Anonymous], 2017, Education for Sustainable Development Goals: Learning Objectives, DOI [10.0978/-92-3-100209-0, DOI 10.31142/IJTSRD5889]; Bardin L, 2004, ANALISE CONTEUDO, P70, DOI DOI 10.1017/CBO9781107415324.004; Barracosa H, 2019, FRONT MAR SCI, V6, DOI 10.3389/fmars.2019.00626; Behr A., 2021, Re-Mar: Repository of Marine Learning Objects, P137, DOI [10.5753/wcama.2021.15745, DOI 10.5753/WCAMA.2021.15745]; Brennan C, 2019, FRONT MAR SCI, V6, DOI 10.3389/fmars.2019.00360; Castle Z, 2010, OCEAN YEARB, V24, P425, DOI 10.1163/22116001-90000066; Cava F., 2005, Science Content and Standards for Ocean Literacy: A Report on Ocean Literacy, P1; Cheimonopoulou MT, 2022, MEDITERR MAR SCI, V23, P302, DOI 10.12681/mms.29172; Claudet J, 2020, ONE EARTH, V2, P34, DOI 10.1016/j.oneear.2019.10.012; Costa R., 2022, A New Blue Curriculum. A Toolkit for Policy-Makers, P90; Costa R.L., 2021, Ocean Literacy: Understanding the Ocean, DOI [10.1007/978-3-030-70155-0_10, DOI 10.1007/978-3-030-70155-0_10]; Donert K., 2015, Review of marine formal education; Ecker UKH, 2022, NAT REV PSYCHOL, V1, P13, DOI 10.1038/s44159-021-00006-y; Fauville G, 2019, ENVIRON EDUC RES, V25, P238, DOI 10.1080/13504622.2018.1440381; Fauville G, 2018, MAR POLICY, V91, P85, DOI 10.1016/j.marpol.2018.01.034; Freitas C, 2022, FRONT MAR SCI, V9, DOI 10.3389/fmars.2022.883524; Garcia de la Vega A., 2021, Ocean Lit.: Underst. Ocean, P115, DOI [10.1007/978-3-030-70155-0_6, DOI 10.1007/978-3-030-70155-0_6]; Kelly R, 2022, REV FISH BIOL FISHER, V32, P123, DOI 10.1007/s11160-020-09625-9; Koulouri P, 2022, MEDITERR MAR SCI, V23, P289, DOI 10.12681/mms.26797; Lambert J, 2006, INT J SCI EDUC, V28, P633, DOI 10.1080/09500690500339795; MacNeil S., 2021, Revista Canadense de Educacao Ambiental (CJEE), P233; Marrero ME, 2019, FRONT MAR SCI, V6, DOI 10.3389/fmars.2019.00325; McCauley V., 2021, Innovative Education Strategies to Advance Ocean Literacy, P149, DOI DOI 10.1007/978-3-030-70155-0_7; McKinley E, 2023, MAR POLLUT BULL, V186, DOI 10.1016/j.marpolbul.2022.114467; Mendes A., 2020, Arch. elago. Life Mar. Sci., P51; MILLER JD, 1983, DAEDALUS, V112, P29; Mogias A, 2022, MEDITERR MAR SCI, V23, P310, DOI 10.12681/mms.27059; Mogias A, 2019, FRONT MAR SCI, V6, DOI 10.3389/fmars.2019.00396; Mokos M, 2022, MEDITERR MAR SCI, V23, P277, DOI 10.12681/mms.26989; Ocean Literacy Framework, 2013, NMEA Special Report, P1; oceanliteracyNMEA, 2021, Ocean Literacy: The Essential Principles and Fundamental Concepts of Ocean Sciences for Learners of All Ages; Payne D.L., 2021, Ocean Literacy: Understanding the Ocean, Key Challenges in Geography, P21, DOI [10.1007/978-3-030-70155-0_2, DOI 10.1007/978-3-030-70155-0_2]; Pazoto CE, 2022, OCEAN COAST MANAGE, V219, DOI 10.1016/j.ocecoaman.2022.106047; Pedregosa F, 2011, J MACH LEARN RES, V12, P2825; Polonsky MJ, 2012, J MARKET MANAG-UK, V28, P238, DOI 10.1080/0267257X.2012.659279; Ryabinin V, 2019, FRONT MAR SCI, V6, DOI 10.3389/fmars.2019.00470; Santoro F., 2017, Ocean literacy for all; Santoro F., 2020, Cultura Oceanica para todos-Kit Pedagogico; Santoro F., 2022, A New Blue Curriculum: A Toolkit for Poli-Cy-makers; Santos AI, 2022, EDUC SCI, V12, DOI 10.3390/educsci12050309; Schoedinger S., 2005, Results Oct. 2004 Workshop Ocean Lit., P1; Schoedinger S, 2005, OCEANS-IEEE, P736; Steel BS, 2005, OCEAN COAST MANAGE, V48, P97, DOI 10.1016/j.ocecoaman.2005.01.002; Stel J.H., 2021, Ocean Literacy: Background, Future Drivers, and Opportunities, P3, DOI [10.1007/978-3-030-70155-0_1, DOI 10.1007/978-3-030-70155-0_1]; Stocker TF, 2015, SCIENCE, V350, P764, DOI 10.1126/science.aac8720; Stoll-Kleemann S, 2019, FRONT MAR SCI, V6, DOI 10.3389/fmars.2019.00273; Visbeck M, 2018, NAT COMMUN, V9, DOI 10.1038/s41467-018-03158-3</t>
  </si>
  <si>
    <t>MAY</t>
  </si>
  <si>
    <t>10.1016/j.marpol.2024.106062</t>
  </si>
  <si>
    <t>MAR 2024</t>
  </si>
  <si>
    <t>NZ8N7</t>
  </si>
  <si>
    <t>WOS:001204368400001</t>
  </si>
  <si>
    <t>Ezgeta-balic, D; Balic, N</t>
  </si>
  <si>
    <t>Ezgeta-balic, Daria; Balic, Nikola</t>
  </si>
  <si>
    <t>Navigating through ocean literacy gaps: an analysis of elementary school textbooks in Croatian education</t>
  </si>
  <si>
    <t>science curriculum; marine education; textbooks; ocean literacy principles; content analysis; primary school; formal education; Adriatic Sea</t>
  </si>
  <si>
    <t>Ocean literacy (OL), defined as understanding the ocean's influence on us and our influence on the ocean, is crucial for pro-tecting marine ecosystems and resources. This study analysed the integration of ocean literacy principles (OLP) and concepts in Croatian elementary education. The content of textbooks for grades 1-8 across subjects like Nature, Biology, Geography, Chem-istry, and Physics was examined. In total, 7,520 pages across 55 textbooks were analysed. The results revealed that, although all seven OLPs were present, numerous concepts were absent or only partially addressed. Discrepancies with the recommended Ocean Literacy Scope and Sequence were identified, particularly in lower grades. The findings highlight gaps in incorporating ocean sciences topics into formal education. Enhanced inclusion of OL principles and concepts across subjects and grades would provide students with comprehensive knowledge about the ocean, empowering future generations to make informed decisions and take responsible actions regarding ocean sustainability and conservation. The findings highlight the necessity for collaboration among ocean scientists, educational specialists, and policymakers to incorporate OL into curricula and textbooks, thereby enhanc-ing students' understanding of ocean sciences.</t>
  </si>
  <si>
    <t>[Ezgeta-balic, Daria] Inst Oceanog &amp; Fisheries, Split, Croatia; [Balic, Nikola] Univ Split, Fac Elect Engn Mech Engn &amp; Naval Architecture, Split, Croatia</t>
  </si>
  <si>
    <t>Croatian Institute of Oceanography &amp; Fisheries (IZOR); University of Split</t>
  </si>
  <si>
    <t>Ezgeta-balic, D (corresponding author), Inst Oceanog &amp; Fisheries, Split, Croatia.</t>
  </si>
  <si>
    <t>ezgeta@izor.hr</t>
  </si>
  <si>
    <t>Balic, Nikola/ADR-2816-2022; Ezgeta Balic, Daria/G-9440-2017</t>
  </si>
  <si>
    <t>Balic, Nikola/0000-0002-4405-1470; Ezgeta Balic, Daria/0000-0003-0763-3647</t>
  </si>
  <si>
    <t>Amelia TSM, 2021, PROG EARTH PLANET SC, V8, DOI 10.1186/s40645-020-00405-4; [Anonymous], 2019, Official Gazette; [Anonymous], 2008, Official Gazette; Borriello A., 2023, The EU Blue Economy Report 2023; Cava F., 2005, Science Content and Standards for Ocean Literacy: A Report on Ocean Literacy, P1; Chang CC, 2021, SUSTAINABILITY-BASEL, V13, DOI 10.3390/su13084314; Cheimonopoulou MT, 2022, MEDITERR MAR SCI, V23, P302, DOI 10.12681/mms.29172; Ciglenecki I., 2023, Future Science Brief No. 10 of the European Marine Board; Coll M, 2008, PLOS ONE, V3, DOI 10.1371/journal.pone.0003881; Coma R, 2009, P NATL ACAD SCI USA, V106, P6176, DOI 10.1073/pnas.0805801106; Costa S, 2018, MAR POLICY, V87, P149, DOI 10.1016/j.marpol.2017.10.022; Costanza R, 1999, ECOL ECON, V31, P199, DOI 10.1016/S0921-8009(99)00079-8; Ezgeta-Balic D., 2023, Ocean u nasim rukama: Vodic kroz oceansku pismenost; Freitas C, 2022, FRONT MAR SCI, V9, DOI 10.3389/fmars.2022.883524; Halversen C., 2021, A handbook for increasing ocean literacy: tools for educators and ocean literacy advocates; Hansen J, 2006, P NATL ACAD SCI USA, V103, P14288, DOI 10.1073/pnas.0606291103; Hayes AF, 2007, COMMUN METHODS MEAS, V1, P77, DOI 10.1080/19312450709336664; Hönisch B, 2012, SCIENCE, V335, P1058, DOI 10.1126/science.1208277; Koulouri P, 2022, MEDITERR MAR SCI, V23, P289, DOI 10.12681/mms.26797; Lal N., 2017, Pacific Journal of Education, V1, P47; Landrigan PJ, 2020, ANN GLOB HEALTH, V86, DOI 10.5334/aogh.2831; Lin YL, 2020, SUSTAINABILITY-BASEL, V12, DOI 10.3390/su12177115; McPherson K., 2018, Int. J. Learn. Teach. Educ. Res., V17, P1, DOI [10.26803/ijlter.17.11.1, DOI 10.26803/IJLTER.17.11.1]; Ministry of Science and Education (MSE), 2023, Eksperimentalni program-Osnovna skola kao cjelodnevna skola: Uravnotezen, pravedan, ucinkovit i odrziv sustav odgoja i obrazovanja; Mogias A, 2022, MEDITERR MAR SCI, V23, P310, DOI 10.12681/mms.27059; Mogias A, 2021, INT RES GEOGR ENVIRO, V30, P314, DOI 10.1080/10382046.2021.1877953; Mogias A, 2019, FRONT MAR SCI, V6, DOI 10.3389/fmars.2019.00396; Mokos M, 2020, SUSTAINABILITY-BASEL, V12, DOI 10.3390/su122410647; National Marine Educators Association (NMEA), 2010, Ocean Literacy Scope and Sequence for Grades K-12; National Oceanic and Atmospheric Administration [NOAA], 2013, OC LIT ESS PRINC FUN; Palmer J.A., 2004, RES PAP EDUC, V19, P205, DOI DOI 10.1080/02671520410001695434; Realdon G, 2019, REND ONLINE SOC GEOL, V49, P107, DOI 10.3301/ROL.2019.59; Schoedinger S., 2005, Ocean literacy through science standards; Seys J., 2022, Future Science Brief 8 of the European Marine Board; Tran L.U., 2010, Special Report #3; Tsai LT, 2023, MAR POLICY, V150, DOI 10.1016/j.marpol.2023.105555; Tsikliras AC, 2015, PLOS ONE, V10, DOI 10.1371/journal.pone.0121188; United Nations, 2015, TRANSF OUR WORLD 203, DOI DOI 10.1163/157180910X12665776638740</t>
  </si>
  <si>
    <t>10.12681/mms.35378</t>
  </si>
  <si>
    <t>HB8O7</t>
  </si>
  <si>
    <t>WOS:001157122800001</t>
  </si>
  <si>
    <t>McHugh, M; McCauley, V; Davison, K; Raine, R; Grehan, A</t>
  </si>
  <si>
    <t>McHugh, Martin; McCauley, Veronica; Davison, Kevin; Raine, Robin; Grehan, Anthony</t>
  </si>
  <si>
    <t>Anchoring ocean literacy: participatory iBook design within secondary science classrooms</t>
  </si>
  <si>
    <t>TECHNOLOGY PEDAGOGY AND EDUCATION</t>
  </si>
  <si>
    <t>iBook; ocean literacy; participatory design; secondary school science</t>
  </si>
  <si>
    <t>SITUATIONAL INTEREST; EDUCATION; ATTITUDES</t>
  </si>
  <si>
    <t>This article elucidates a participatory design process in which a prototype iBook was embedded within the context of secondary science classrooms through multiple interventions. The fundamental design intention of the iBook is to increase students' ocean literacy in a curriculum that lacks marine science. Two e-learning ecologies were identified across two schools; an iPad school and non-iPad school. Participants include two second-year science classes (14-15-year-olds) and their respective teachers. Science teachers were asked to implement the iBook, based on their appraisal, as an accompaniment to their lessons throughout three interventions. Qualitative data took the form of teacher interviews, teacher reflections and student exit cards. Findings illuminate emergent design principles of iBooks that enthuse students with content; mainly to draw upon their personal interest corresponding to interactive technologies. The benefits of participatory design research are highlighted with reference to augmenting student ocean literacy in the science classroom.</t>
  </si>
  <si>
    <t>[McHugh, Martin] Univ Limerick, SFI Res Ctr Pharmaceut, Bernal Inst, SSPC, Limerick, Ireland; [McCauley, Veronica; Davison, Kevin] Natl Univ Ireland, Sch Educ, Galway, Ireland; [Raine, Robin; Grehan, Anthony] Natl Univ Ireland, Sch Nat Sci, Galway, Ireland</t>
  </si>
  <si>
    <t>University of Limerick; Ollscoil na Gaillimhe-University of Galway; Ollscoil na Gaillimhe-University of Galway</t>
  </si>
  <si>
    <t>McHugh, M (corresponding author), Univ Limerick, SFI Res Ctr Pharmaceut, Bernal Inst, SSPC, Limerick, Ireland.</t>
  </si>
  <si>
    <t>martin.mchugh@ul.ie</t>
  </si>
  <si>
    <t>Davison, Kevin G/K-2038-2016; Brophy, Deirdre/JQW-0281-2023</t>
  </si>
  <si>
    <t>Davison, Kevin G/0000-0001-7419-6497; McHugh, Martin/0000-0003-1233-7340</t>
  </si>
  <si>
    <t>European Commission's Horizon 2020 Framework Programme for Research and Innovation [H2020-BG-2014-1] [652644]; H2020 Societal Challenges Programme [652644] Funding Source: H2020 Societal Challenges Programme</t>
  </si>
  <si>
    <t>European Commission's Horizon 2020 Framework Programme for Research and Innovation [H2020-BG-2014-1]; H2020 Societal Challenges Programme(Horizon 2020European Union (EU)H2020 Societal Challenges Programme)</t>
  </si>
  <si>
    <t>The work described in this article has received funding from the European Commission's Horizon 2020 Framework Programme for Research and Innovation [H2020-BG-2014-1] under grant agreement No. 652644.</t>
  </si>
  <si>
    <t>Alberizzi V. L., 2013, C P ICT LANG LEARN, P198; Alghamdi A.H., 2013, INT J ED RES, V1, P1; Anderson T, 2012, EDUC RESEARCHER, V41, P16, DOI 10.3102/0013189X11428813; [Anonymous], 2003, Educational Researcher, V32, P5, DOI [DOI 10.3102/0013189X032001005, 10.3102/0013189X032001005]; [Anonymous], 2010, NMEA Special Report #3: The Ocean Literacy Campaign; [Anonymous], 2013, Journal of Education, DOI DOI 10.1177/002205741319300303; [Anonymous], 2014, QUALITATIVE RES CLIN; Asmawi A., 2015, 1 AS PAC C ADV RES A; Bakker A, 2015, ADVNCS MTHMTCS EDUC, P429, DOI 10.1007/978-94-017-9181-6_16; Baldwin A A., 2015, FEDERATION BUS DISCI, V3, P1; Barab S, 2004, J LEARN SCI, V13, P1, DOI 10.1207/s15327809jls1301_1; Barab S, 2006, CAMB HANDB PSYCHOL, P153; Barker N., 2002, RES METHODS CLIN PSY, P5; Baughman M., 2013, PEARSON ALWAYS LEARN, V10; Bell P, 2004, EDUC PSYCHOL-US, V39, P243, DOI 10.1207/s15326985ep3904_6; Belveal L. K, 2016, LTEC 690 SPRING 2016; Bennett J, 2007, SCI EDUC, V91, P347, DOI 10.1002/sce.20186; Bingimlas K.A., 2009, EURASIA J MATH SCI T, V5, P235, DOI DOI 10.12973/EJMSTE/75275; Bjögvinsson E, 2012, DES ISSUES, V28, P101; Bocconi S, 2013, EUR J EDUC, V48, P113, DOI 10.1111/ejed.12021; Carroll F., 2013, INT C FRONT ED COMP; Chang CC, 2013, TECHNOL PEDAGOG EDUC, V22, P373, DOI 10.1080/1475939X.2013.802991; Clarke V, 2013, PSYCHOLOGIST, V26, P120; Cohen ManionL., 2011, Research methods in education, V7th; Comiskey D., 2013, 12 EUR C E LEARN ECE; Connaway L. S., 2011, Proceedings of the American Society for Information Science and Technology, V48, P1, DOI [10.1002/meet.2011.14504801129, DOI 10.1002/MEET.2011.14504801129]; Cosman JD, 2013, J EXP PSYCHOL HUMAN, V39, P836, DOI 10.1037/a0030027; Dede C., 2005, EDUC TECHNOL, V45, P5; Dennen VP, 2014, TECHNOL PEDAGOG EDUC, V23, P397, DOI 10.1080/1475939X.2014.943278; DiCicco-Bloom B, 2006, MED EDUC, V40, P314, DOI 10.1111/j.1365-2929.2006.02418.x; Edelson DC, 2002, J LEARN SCI, V11, P105, DOI 10.1207/S15327809JLS1101_4; Encheff D, 2013, TECHTRENDS, V57, P61; Fauville G, 2015, COMPUT EDUC, V82, P60, DOI 10.1016/j.compedu.2014.11.003; Gall M.D., 2007, ED RES INTRO; Goodwin K., 2012, Use of tablet technology in the classroom; Guest H, 2015, MAR POLICY, V58, P98, DOI 10.1016/j.marpol.2015.04.007; Heemskerk I, 2012, INT J INCLUSIVE EDUC, V16, P155, DOI 10.1080/13603111003674560; Hoadley CM, 2004, EDUC PSYCHOL-US, V39, P203, DOI 10.1207/s15326985ep3904_2; Hulleman CS, 2009, SCIENCE, V326, P1410, DOI 10.1126/science.1177067; Hynes S, 2014, MAR POLICY, V47, P57, DOI 10.1016/j.marpol.2014.02.002; Jansen H., 2010, Forum Qualitative Sozialforschung/Forum: Qualitative Social Research, V11, P1, DOI DOI 10.17169/FQS-11.2.1450; Jensen E., 2008, Brain-based learning: The new paradigm of teaching; Johnston N, 2014, NEW LIB WORLD, V115, P51, DOI 10.1108/NLW-09-2013-0071; Kelly A, 2004, J LEARN SCI, V13, P115, DOI 10.1207/s15327809jls1301_6; Kim J. H, 2013, TRANSFORMING K 12 CL, P119, DOI DOI 10.4018/978-1-4666-4538-7.CH007; Klein E.J., 2015, Networks: An Online Journal for Teacher Research, V17, P547, DOI [10.4148/2470-6353.1034, DOI 10.4148/2470-6353.1034]; Klieger A, 2010, J SCI EDUC TECHNOL, V19, P187, DOI 10.1007/s10956-009-9191-1; Koehler Matthew J., 2009, Contemporary Issues in Technology and Teacher Education, V9, P60; Koh JHL, 2015, ASIA-PAC EDUC RES, V24, P535, DOI 10.1007/s40299-015-0237-2; Kortland K., 2010, Designing theory-based teaching-learning sequences for science education; Lohr M., 2014, 10 INT C MOB LEARN M; Maich K, 2016, INTERV SCH CLIN, V51, P145, DOI 10.1177/1053451215585793; Markos A., 2017, Environmental Education Research, V23, P231, DOI [10.1109/SIBCON.2015.7147139, 10.1080/13504622.2015.1126807, DOI 10.1080/13504622.2015.1126807]; Martinez C., 2005, OCEANS 2005 MTS IEEE; Mayer RE, 2003, LEARN INSTR, V13, P125, DOI 10.1016/S0959-4752(02)00016-6; McCauley V., 2015, CHEM ACTION, V2016, P9; Mishra P, 2009, TECHTRENDS, V53, P48; Mumtaz S., 2000, Journal of Information Technology for Teacher Education, V9, P319, DOI 10.1080/14759390000200096; Owen D., 2012, Library Media Connection, V31, P20; Palmer D, 2004, INT J SCI EDUC, V26, P895, DOI 10.1080/0950069032000177262; Payne KFB, 2012, J VIS COMMUN MED, V35, P162, DOI 10.3109/17453054.2012.747173; Plankis B.J., 2010, INT ELECT J ENV ED, V1, P21; Raine R., 2017, HARMFUL ALGAL BLOOMS; Roe S., 2011, REPORT CONSULTATION; Rotgans JI, 2011, LEARN INSTR, V21, P58, DOI 10.1016/j.learninstruc.2009.11.001; Ryan Frances, 2007, Br J Nurs, V16, P738; Saladana J., 2012, The coding manual for qualitative researchers; Savenye W.C., 1996, Handbook of Research for Educational Communications and Technology, P1045; Schubel J. R., 2008, OCEANS 2008 M QUEB C; Sharma P, 2007, INTERACT LEARN ENVIR, V15, P27, DOI 10.1080/10494820600996972; Siozos P, 2009, COMPUT EDUC, V52, P811, DOI 10.1016/j.compedu.2008.12.006; Sofaer S, 2002, INT J QUAL HEALTH C, V14, P329, DOI 10.1093/intqhc/14.4.329; Spencer L., 2004, QUALITY QUALITATIVE, V2nd; Thomas S.J., 1999, Designing surveys that work! A step-by-step guide; Wang F, 2005, ETR&amp;D-EDUC TECH RES, V53, P5, DOI 10.1007/BF02504682; WellcomeTrust, 2011, ED RES EXPL YOUNG PE; White David S., 2011, First Monday, V16; Won Hur J., 2013, PEDAGOGICAL APPL SOC, P42, DOI DOI 10.4018/978-1-4666-2985-1.CH003; Wylie E. C., 2009, ETS RES REPORT SERIE, V2009, P1</t>
  </si>
  <si>
    <t>1475-939X</t>
  </si>
  <si>
    <t>1747-5139</t>
  </si>
  <si>
    <t>TECHNOL PEDAGOG EDUC</t>
  </si>
  <si>
    <t>Technol. Pedagag. Educ.</t>
  </si>
  <si>
    <t>JAN 1</t>
  </si>
  <si>
    <t>10.1080/1475939X.2020.1715241</t>
  </si>
  <si>
    <t>JAN 2020</t>
  </si>
  <si>
    <t>OP1ZQ</t>
  </si>
  <si>
    <t>WOS:000507660700001</t>
  </si>
  <si>
    <t>Ferreira, JC; Vasconcelos, L; Monteiro, R; Silva, FZ; Duarte, CM; Ferreira, F</t>
  </si>
  <si>
    <t>Ferreira, Jose Carlos; Vasconcelos, Lia; Monteiro, Renato; Silva, Flavia Zurga; Duarte, Claudio Macedo; Ferreira, Filipa</t>
  </si>
  <si>
    <t>Ocean Literacy to Promote Sustainable Development Goals and Agenda 2030 in Coastal Communities</t>
  </si>
  <si>
    <t>EDUCATION SCIENCES</t>
  </si>
  <si>
    <t>ocean literacy; coastal areas; marine environment; environmental education; sustainable development goals</t>
  </si>
  <si>
    <t>ENVIRONMENTAL-EDUCATION; ECOSYSTEM SERVICES; IMPLEMENTATION; DETERMINANTS; KNOWLEDGE; SCIENCE; URBAN</t>
  </si>
  <si>
    <t>Ambassadors for Biodiversity (EmBio) is an ocean literacy research project that contributes to the improvement of literacy on marine and coastal biodiversity, namely encompassing the areas covered by the Natura 2000 Network, by promoting coastal and oceanic resources conservation and natural and cultural values preservation of the Portuguese western Atlantic coast. This project directly promotes the achievement of the Sustainable Development Goals (SDGs) and the implementation of 2030 Agenda developed by the United Nations and adopted by most countries in the world, which define the priorities and aspirations for global sustainable development until the year of 2030, mobilizing a world-wide effort to meet a common set of goals and objectives. This paper contributes to understanding how ocean literacy, and specifically the EmBio research project, fits into the international agenda for sustainable development and the SDGs and its targets. Through an analysis and a comparison between the project EmBio and the SDGs, it was possible to identify connections on 11 out of 17 goals and 31 out of 169 targets, with a special emphasis on the SDG 14-Life Below Water. The results highlight the relevance of this project and, especially, ocean literacy for the accomplishment of the SDGs.</t>
  </si>
  <si>
    <t>[Ferreira, Jose Carlos; Vasconcelos, Lia; Monteiro, Renato; Silva, Flavia Zurga; Duarte, Claudio Macedo; Ferreira, Filipa] NOVA Univ Lisbon, MARE Marine &amp; Environm Sci Ctr, NOVA Sch Sci &amp; Technol, Dept Environm Sci &amp; Engn, P-2829516 Caparica, Portugal</t>
  </si>
  <si>
    <t>Universidade Nova de Lisboa</t>
  </si>
  <si>
    <t>Ferreira, JC (corresponding author), NOVA Univ Lisbon, MARE Marine &amp; Environm Sci Ctr, NOVA Sch Sci &amp; Technol, Dept Environm Sci &amp; Engn, P-2829516 Caparica, Portugal.</t>
  </si>
  <si>
    <t>jcrf@fct.unl.pt; ltv@fct.unl.pt; rmc.monteiro@fct.unl.pt; fn.silva@campus.fct.unl.pt; cj.duarte@fct.unl.pt; fm.ferreira@campus.fct.unl.pt</t>
  </si>
  <si>
    <t>Monteiro, Renato/AAN-1785-2021; Ferreira, José Carlos/ABI-6255-2020; Marmolejo Duarte, Carlos/D-9162-2016</t>
  </si>
  <si>
    <t>Monteiro, Renato/0000-0002-3304-2800; Ferreira, José Carlos/0000-0001-7917-7252; Marmolejo Duarte, Carlos/0000-0001-7051-7337; Macedo Duarte, Claudio/0000-0003-0297-5875; G. Ferreira, Filipa/0000-0001-6245-046X; Zurga Silva, Flavia Natacha/0000-0001-9546-0672</t>
  </si>
  <si>
    <t>Fundacao para a Ciencia e a Tecnologia [UIDB/04292/2020]; PO SEUR-Operational Programme for Sustainability and Efficient Use of Resources (European Commission Structural and Investment Funds/Portugal2020 Strategy) [EMBIO-POSEUR-03-2215-FC-000020]; Municipality of Torres Vedras; Municipality of Lourinha</t>
  </si>
  <si>
    <t>Fundacao para a Ciencia e a Tecnologia(Fundacao para a Ciencia e a Tecnologia (FCT)); PO SEUR-Operational Programme for Sustainability and Efficient Use of Resources (European Commission Structural and Investment Funds/Portugal2020 Strategy); Municipality of Torres Vedras; Municipality of Lourinha</t>
  </si>
  <si>
    <t>This research is funded by Fundacao para a Ciencia e a Tecnologia, with granted number of UIDB/04292/2020 and by PO SEUR-Operational Programme for Sustainability and Efficient Use of Resources-granted number EMBIO-POSEUR-03-2215-FC-000020 (European Commission Structural and Investment Funds/Portugal2020 Strategy).The research team thanks the Municipality of Torres Vedras and the Municipality of Lourinha for their excellent collaboration, research support and funding.</t>
  </si>
  <si>
    <t>Al-Kofahi SD, 2018, ENVIRON DEV SUSTAIN, V20, P1067, DOI 10.1007/s10668-017-9923-y; Annan-Diab F, 2017, INT J MANAG EDUC-OXF, V15, P73, DOI 10.1016/j.ijme.2017.03.006; [Anonymous], 2019, United Nations Sustainable Development Goals: global attitudes towards its use and regulation; [Anonymous], UN SUSTAINABLE DEV G; Artun H., 2018, International Electronic Journal of Environmental Education, V8, P150; Barbier EB, 2017, CURR BIOL, V27, pR507, DOI 10.1016/j.cub.2017.03.020; Barthélemy EJ, 2018, WORLD NEUROSURG, V120, P143, DOI 10.1016/j.wneu.2018.08.070; Bennett NJ, 2019, COAST MANAGE, V47, P244, DOI 10.1080/08920753.2019.1564958; Bolund P, 1999, ECOL ECON, V29, P293, DOI 10.1016/S0921-8009(99)00013-0; Broman GI, 2017, J CLEAN PROD, V140, P17, DOI 10.1016/j.jclepro.2015.10.121; Brundtland G.H., 1987, Our common future, P8; Chapman A, 2018, J CLEAN PROD, V200, P39, DOI 10.1016/j.jclepro.2018.07.302; Costa S, 2018, MAR POLICY, V87, P149, DOI 10.1016/j.marpol.2017.10.022; Derman M., 2018, Journal of Education in Science, Environment and Heath, P129, DOI DOI 10.21891/JESEH.409495; Dlouhá J, 2018, J CLEAN PROD, V172, P4314, DOI 10.1016/j.jclepro.2017.06.145; Erhabor N.I, 2018, ELECTRON GREEN J, V1, P2, DOI [10.5070/G314134454, DOI 10.5070/G314134454]; Fadeeva Z., 2018, ENSURE HLTH LIVES PR; Fauville G, 2013, MAR BIOL, V160, P1863, DOI 10.1007/s00227-012-1943-4; Fauville G, 2019, ENVIRON EDUC RES, V25, P238, DOI 10.1080/13504622.2018.1440381; Fedele G, 2018, PLOS ONE, V13, DOI 10.1371/journal.pone.0195895; Fleming A, 2017, MAR POLICY, V86, P94, DOI 10.1016/j.marpol.2017.09.019; Fletcher S, 2007, COAST MANAGE, V35, P511, DOI 10.1080/08920750701525818; Giddings B, 2002, SUSTAIN DEV, V10, P187, DOI 10.1002/sd.199; Guest H, 2015, MAR POLICY, V58, P98, DOI 10.1016/j.marpol.2015.04.007; Caiado RGG, 2018, J CLEAN PROD, V198, P1276, DOI 10.1016/j.jclepro.2018.07.102; Halati A, 2018, J CLEAN PROD, V189, P813, DOI 10.1016/j.jclepro.2018.03.322; Hares M, 2006, GEOFORUM, V37, P128, DOI 10.1016/j.geoforum.2005.01.006; Humphreys J, 2018, ESTUAR COAST SHELF S, V215, P215, DOI 10.1016/j.ecss.2018.10.014; Keesstra SD, 2016, SOIL-GERMANY, V2, P111, DOI 10.5194/soil-2-111-2016; Kopnina H, 2020, EDUC SCI, V10, DOI 10.3390/educsci10100261; Kotowicz DM, 2017, COAST MANAGE, V45, P452, DOI 10.1080/08920753.2017.1373451; Kummu M, 2016, ENVIRON RES LETT, V11, DOI 10.1088/1748-9326/11/3/034010; LABELLE TJ, 1982, INT REV EDUC, V28, P159, DOI 10.1007/BF00598444; Le Blanc D, 2015, SUSTAIN DEV, V23, P176, DOI 10.1002/sd.1582; Lutgens F. K., 2015, Essentials of geology; Maddock M., 1992, RES SCI EDUC, V22, P415, DOI [10.1007/BF02356928, DOI 10.1007/BF02356928]; McPherson K., 2018, Appl. Environ. Educ. Commun., V19, P129, DOI [10.1080/1533015X.2018.1533439, DOI 10.1080/1533015X.2018.1533439]; Mikulcic H, 2017, J ENVIRON MANAGE, V203, P867, DOI 10.1016/j.jenvman.2017.09.040; Munamati M, 2016, WATER RES, V103, P435, DOI 10.1016/j.watres.2016.07.030; Oghenekohwo JE., 2017, International Journal of Education and Literacy Studies, V5, P126, DOI [DOI 10.7575/AIAC.IJELS.V.5N.2P.126, 10.7575/aiac.ijels.v.5n.2p.126]; Ors F, 2012, PROCD SOC BEHV, V46, P1339, DOI 10.1016/j.sbspro.2012.05.298; Guerra JBSOD, 2018, J CLEAN PROD, V172, P1674, DOI 10.1016/j.jclepro.2016.11.179; Otto S, 2017, GLOBAL ENVIRON CHANG, V47, P88, DOI 10.1016/j.gloenvcha.2017.09.009; Owen A., 2014, FUTURE ENERGY, V2nd, P667; Palea V, 2018, ACCOUNT FORUM, V42, P248, DOI 10.1016/j.accfor.2018.08.001; Palmer J. A., ENV ED 21 CENTURY TH; Potter G, 2009, J ENVIRON EDUC, V41, P22, DOI 10.1080/00958960903209975; Rukumnuaykit P, 2015, URBAN POLICY RES, V33, P98, DOI 10.1080/08111146.2014.980901; Salvia AL, 2019, J CLEAN PROD, V208, P841, DOI 10.1016/j.jclepro.2018.09.242; Shah M.M., 2008, Encyclopedia of Ecology, V31, P3443, DOI DOI 10.1016/B978-008045405-4.00633-9; Sinakou E, 2018, J CLEAN PROD, V184, P321, DOI 10.1016/j.jclepro.2018.02.279; Stafford-Smith M, 2017, SUSTAIN SCI, V12, P911, DOI 10.1007/s11625-016-0383-3; Steel BS, 2005, OCEAN COAST MANAGE, V48, P97, DOI 10.1016/j.ocecoaman.2005.01.002; Sun CZ, 2018, OCEAN COAST MANAGE, V161, P66, DOI 10.1016/j.ocecoaman.2018.04.022; Szopik-Depczynska K, 2018, LAND USE POLICY, V79, P251, DOI 10.1016/j.landusepol.2018.08.004; Toukan E.V., 2017, Interchange, V48, P293, DOI [10.1007/s10780-017-9304-3, DOI 10.1007/S10780-017-9304-3]; UNESCO, OCEAN LITERACY ALL T; UNESCO, 1985, ENV ED MODULE PRESER; United Nations, 2020, SUSTAINABLE DEV GOAL, P68; United Nations Decade of Action, UN SUSTAINABLE DEV; Urbaniec K, 2018, J CLEAN PROD, V195, P122, DOI 10.1016/j.jclepro.2018.05.178; Varela-Candamio L, 2018, J CLEAN PROD, V170, P1565, DOI 10.1016/j.jclepro.2017.09.214; Vasconcelos L, 2013, OCEAN COAST MANAGE, V72, P46, DOI 10.1016/j.ocecoaman.2011.07.006; Veiga JM, 2016, MAR POLLUT BULL, V102, P309, DOI 10.1016/j.marpolbul.2016.01.031; Vladimirova K, 2016, SUSTAIN DEV, V24, P254, DOI 10.1002/sd.1626; Von Hauff, 2017, SUSTAINABLE DEV POLI; Worm B, 2006, SCIENCE, V314, P787, DOI 10.1126/science.1132294</t>
  </si>
  <si>
    <t>2227-7102</t>
  </si>
  <si>
    <t>EDUC SCI</t>
  </si>
  <si>
    <t>Educ. Sci.</t>
  </si>
  <si>
    <t>10.3390/educsci11020062</t>
  </si>
  <si>
    <t>QN5DA</t>
  </si>
  <si>
    <t>WOS:000622478700001</t>
  </si>
  <si>
    <t>Tsuyoshi, S</t>
  </si>
  <si>
    <t>Tsuyoshi, Sasaki</t>
  </si>
  <si>
    <t>Toward Achievement of the UN Ocean Decade: Does CANAL STUDY in Central Tokyo Bay Area Enhance Ocean Literacy?</t>
  </si>
  <si>
    <t>aquatic marine environmental education (AMEE); learning cycle theory; self-determination theory; relational values; social ecological systems</t>
  </si>
  <si>
    <t>RELATIONAL VALUES</t>
  </si>
  <si>
    <t>CANAL STUDY at a junior high school in Minato Ward in the Central Tokyo Bay Area has been involved with the Tokyo University of Marine Science and Technology Aquatic Marine Environmental Education efforts to promote Aquatic Marine Environmental Literacy (AMEL). AMEL is the ability to understand the interaction between humans and the aquatic environment, and to utilize the knowledge in decision making. AMEL is almost synonymous with Ocean Literacy, but regional characteristics such as traditional knowledge and conventional knowledge have been added. In this article, the research results of CANAL STUDY will be introduced and the significance of CANAL STUDY will be discussed from the viewpoint of self-determination theory and relational values, suggesting the direction of UNESCO Ocean literacy education planned for the UN Decade of Ocean Science for Sustainable Development. The CANAL STUDY, based on the learning cycle theory, has fostered AMEL, scientific inquiry skill development, attachment to the community, a sense of competence, and motivation for each learner to take the initiative for solving problems, such as improving the water quality of Tokyo Bay. Currently, Ocean Literacy Education is being tackled all over the world, but CANAL STUDY is an effective example that shows concrete methods and directions for the effective promotion of Ocean literacy education. In addition, it was shown that enhancing Ocean literacy fosters relational values.</t>
  </si>
  <si>
    <t>[Tsuyoshi, Sasaki] Tokyo Univ Marine Sci &amp; Technol, Tokyo, Japan</t>
  </si>
  <si>
    <t>Tokyo University of Marine Science &amp; Technology</t>
  </si>
  <si>
    <t>Tsuyoshi, S (corresponding author), Tokyo Univ Marine Sci &amp; Technol, Tokyo, Japan.;Tsuyoshi, S (corresponding author), Okyo Univ Marine Sci &amp; Technol, Dept Marine Policy &amp; Culture, Lab Aquat Marine Environm Educ, Tokyo, Japan.</t>
  </si>
  <si>
    <t>t-sasaki@kaiyodai.ac.jp</t>
  </si>
  <si>
    <t>Ando H., 2010, TOKYO METROPOL I ENV, P126; [Anonymous], 2004, NATURE LITERACY SERI; Arias-Arévalo P, 2017, ECOL SOC, V22, DOI 10.5751/ES-09812-220443; Chan KMA, 2016, P NATL ACAD SCI USA, V113, P1462, DOI 10.1073/pnas.1525002113; Chawla L, 2015, J PLAN LIT, V30, P433, DOI 10.1177/0885412215595441; Christian H, 2015, HEALTH PLACE, V33, P25, DOI 10.1016/j.healthplace.2015.01.005; De Vos A, 2018, CURR OPIN ENV SUST, V35, P89, DOI 10.1016/j.cosust.2018.10.018; Deci E.L. Ryan., 1985, MOTIVATION SELF DETE, DOI DOI 10.1007/978-1-4899-2271-7; dos Santos NB, 2018, CURR OPIN ENV SUST, V35, P124, DOI 10.1016/j.cosust.2018.10.019; Fuller R.G., 2003, Journal of Science Education and Technology, V12, P359, DOI [10.1023/B:JOST.0000006340.89395.e6, DOI 10.1023/B:JOST.0000006340.89395.E6]; Grubert E, 2018, CURR OPIN ENV SUST, V35, P100, DOI 10.1016/j.cosust.2018.10.020; Himes A, 2018, CURR OPIN ENV SUST, V35, P1, DOI 10.1016/j.cosust.2018.09.005; Kaneko M., 2015, J SOC CLIN ED INDIVI, V15, P17; Karplus R., 1977, J RES SCI TEACH, V14, P169; Makino Y, 2010, RES REP JPN SOC ED T, V2010, P133; McCormick R, 2017, J PEDIATR NURS, V37, P3, DOI 10.1016/j.pedn.2017.08.027; Mori R, 2007, MORIMORI FACILITATIO; Mould SA, 2020, ECOL SOC, V25, DOI 10.5751/ES-11505-250217; Otani T., 2008, B GRADUATE SCH ED HU, V54, P27; Pascual U, 2017, CURR OPIN ENV SUST, V26-27, P7, DOI 10.1016/j.cosust.2016.12.006; Saito T., 2019, ACAD KNOWLEDGE ARCH, V36, P47; Sano S, 2005, JGSS RES PAPERS, V4, P33; Sasaki T., 2011, J SOC CLIN ED INDIVI, V11, P1; Sasaki T, 2011, THEORY PRACTICE AQUA; Sasaki T., 2014, J SOC CLIN ED INDIVI, V14, P23; Sasaki T., 2014, J SOC CLIN ED INDIVI, V14, P19; Sasaki T, 2013, J SOC CLIN ED INDIVI, V13, P23; Sasaki T., 2022, J JPN SOC WATER ENV, V45, P66; Science Council of Japan Environmental Studies Committee, 2008, ENH ENV ED CTR SCH E, P60; Sugawara R., 2014, CTR ENV INFORM SCI, V28, P413; Suzuki H., 2006, RES LECT CIVIL ENG P; Uehara T, 2020, ENVIRON DEV SUSTAIN, V22, P1599, DOI 10.1007/s10668-018-0226-8; Waki M., 2016, J AQUAT MAR ENV ED, V9, P14; Waki M., 2015, J SOC CLIN ED INDIVI, V15, P89; Xiong SY, 2017, ACTA OPHTHALMOL, V95, P551, DOI 10.1111/aos.13403</t>
  </si>
  <si>
    <t>WOS:000811597500015</t>
  </si>
  <si>
    <t>Garcia, O; Cater, C</t>
  </si>
  <si>
    <t>Garcia, Olga; Cater, Carl</t>
  </si>
  <si>
    <t>Life below water; challenges for tourism partnerships in achieving ocean literacy</t>
  </si>
  <si>
    <t>JOURNAL OF SUSTAINABLE TOURISM</t>
  </si>
  <si>
    <t>Ocean literacy; ecotourism; scuba diving; sense-of-place; stakeholders; partnerships</t>
  </si>
  <si>
    <t>PLACE ATTACHMENT; SCUBA; CITIZENSHIP; EXPERIENCE; INNOVATION</t>
  </si>
  <si>
    <t>Healthy oceans are of great importance in achieving global sustainability, and are thus identified as one of the core Sustainable Development Goals in 'Life below Water' (SDG 14). However, at present, we still face a significant challenge in achieving lay understanding of the influence of the oceans on our lives and the impacts of our behaviour on it. As a key interface, marine ecotourism can support the development of place-based ocean literacy, but this can only be achieved through 'effective partnerships' (SDG 17). This paper examines how stakeholder collaboration can contribute to increased ocean literacy through empirical work on scuba diving in Mallorca, Spain. Ethnographic fieldwork was conducted with divers and other key stakeholders (operators, scientists, government, NGOs, and professional associations). Adopting stakeholder models based on pentahelix opportunities for collaboration we analyse the current challenges. The study identified a sector which currently lacks effective partnerships: there is limited systematic transfer of knowledge; staff are poorly trained in interpretation and communication skills; there is weak industry collaboration; and the sector is neglected in government tourism strategy. Consequently, the current structure fails to connect divers to marine issues in the Mediterranean Sea. Nevertheless, suitable conditions for developing effective partnerships are present: motivated staff and suitable facilities; interested authorities; an active network of knowledge production; and a vigilant society. This paper proposes a multi-stakeholder structure to put place-based ocean literacy into practice in order to contribute to the aspirations of improved global ocean awareness.</t>
  </si>
  <si>
    <t>[Garcia, Olga] Aberystwyth Univ, Sch Management &amp; Business, Aberystwyth, Dyfed, Wales; [Cater, Carl] Swansea Univ, Sch Management, Swansea, W Glam, Wales</t>
  </si>
  <si>
    <t>Aberystwyth University; Swansea University</t>
  </si>
  <si>
    <t>Garcia, O (corresponding author), Aberystwyth Univ, Sch Management &amp; Business, Aberystwyth, Dyfed, Wales.</t>
  </si>
  <si>
    <t>natureogh@gmail.com</t>
  </si>
  <si>
    <t>Cater, Carl/0000-0002-6673-0677</t>
  </si>
  <si>
    <t>Albayrak T, 2021, TOURISM GEOGR, V23, P985, DOI 10.1080/14616688.2019.1696884; Alcover A, 2011, TOURISM ECON, V17, P625, DOI 10.5367/te.2011.0045; Angrosino M.V., 2005, The Sage handbook of qualitative research, P729; Aqua T. T., 2015, SEA CHANGE PROJECT L; Balearic Islands Tourism Board (ATB), 2017, BAL ISL REG CONT SUR; Ballantyne R, 2011, TOURISM MANAGE, V32, P770, DOI 10.1016/j.tourman.2010.06.012; Bideci C., 2019, Atmospheric turn in culture and tourism: Place, design, and process impacts on customer behavior, marketing, and branding, P245; Björk P, 2014, J KNOWL ECON, V5, P181, DOI 10.1007/s13132-014-0183-x; Bordas E., 2003, Hacia el turismo de la sociedad de ensueno: nuevas necesidades de mercado; Branchini S, 2015, PLOS ONE, V10, DOI 10.1371/journal.pone.0131812; Braun V, 2006, QUAL RES PSYCHOL, V3, P77, DOI [DOI 10.1191/1478088706QP063OA, 10.1191/1478088706qp063oa]; Bryman A., 2012, Social research methods; Bubbles G., 2014, GREEN BUBBLES; Calzada I, 2019, REG SCI POLICY PRACT, V11, P451, DOI 10.1111/rsp3.12130; Cater C., 2010, Journal of Ecotourism, V9, P133, DOI 10.1080/14724040903125039; Cater C. I., 2009, Tourism in Marine Environments, V5, P233, DOI 10.3727/154427308788714777; Cater C, 2021, CURR ISSUES TOUR, V24, P1749, DOI 10.1080/13683500.2020.1803221; Curtin S., 2005, Current Issues in Tourism, V8, P455, DOI 10.1080/13683500508668231; De Schutter A., 1983, INVESTIGACION PARTIC; Dimmock K, 2015, MAR POLICY, V54, P52, DOI 10.1016/j.marpol.2014.12.008; Dimmock K, 2013, CONTEMP GEOGR LEIS T, V40, P14; Dobson A, 2005, ENVIRON POLIT, V14, P157, DOI 10.1080/09644010500054822; Dobson J., 2011, TOURISM MARINE ENV, V7, P213, DOI [https://doi.org/10.3727/154427311X13195453162976, DOI 10.3727/154427311X13195453162976]; Ecorys M., 2013, STUD SUPP POL MEAS M; European Union, 2017, EU SCI HUB SAV OUR F; Fals Borda O., 2000, MODELOS INVESTIGACIO; Fauville G, 2019, ENVIRON EDUC RES, V25, P238, DOI 10.1080/13504622.2018.1440381; Fletcher S, 2007, COAST MANAGE, V35, P511, DOI 10.1080/08920750701525818; Gill J., 2002, RES METHODS MANAGERS; Hall CM, 2001, OCEAN COAST MANAGE, V44, P601, DOI 10.1016/S0964-5691(01)00071-0; Ham S.H., 2013, Interpretation: Making a difference on purpose; Hammerton Z, 2014, THESIS; Higginbottom K., 2004, Wildlife Tourism, P1; Hillmer-Pegram KC, 2014, TOURISM GEOGR, V16, P598, DOI 10.1080/14616688.2014.925966; Hyde J., 2015, BUILDING GLOBAL DIVE; IBESTAT, 2017, 1 02 TUR CON DEST PR; Jennings G., 2015, ENCY SUSTAINABLE TOU; Jennings G., 2001, TOURISM RES; Kyle G, 2003, J LEISURE RES, V35, P249, DOI 10.1080/00222216.2003.11949993; Lemke L, 2011, LONG TAIL OF TOURISM: HOLIDAY NICHES AND THEIR IMPACT ON MAINSTREAM TOURISM, P105, DOI 10.1007/978-3-8349-6231-7_12; Lucrezi S, 2017, TOURISM MANAGE, V59, P385, DOI 10.1016/j.tourman.2016.09.004; Luo YJ, 2008, J TRAVEL RES, V46, P392, DOI 10.1177/0047287507308331; Manfredo MJ, 1996, J LEISURE RES, V28, P188, DOI 10.1080/00222216.1996.11949770; Marasco A, 2018, INT J CONTEMP HOSP M, V30, P2364, DOI [10.1108/ijchm-01-2018-0043, 10.1108/IJCHM-01-2018-0043]; Marshall C., 1995, Designing qualitative research, V2nd; McKinley E, 2010, OCEAN COAST MANAGE, V53, P379, DOI 10.1016/j.ocecoaman.2010.04.012; Meier S, 2007, THEATER HEUTE, P52; Montes C., 2012, REV AMBIENTA, V98, P2; Mora M., 2002, ATHENEA DIGIT, V2, P1; Mustika PLK, 2012, ECOL ECON, V79, P11, DOI 10.1016/j.ecolecon.2012.04.018; NOAA, 2018, OC COASTS; Observadores del Mar, 2020, YOU HAV UN VIEW; Ocean Literacy Campaign, 2013, OC LIT ESS PRINC FUN; Ong TF, 2012, TOURISM MANAGE, V33, P1521, DOI 10.1016/j.tourman.2012.02.007; PADI, 2019, WORLDW CORP STAT 201; PADI, 2020, WE AR EXPL; PADI, 2010, DIV MAN; PentaHelix.eu, 2019, PENTAHELIX BRIEF; Pine JosephB., 2011, The Experience Economy; Putra T., 2019, J BUSINESS HOSPITALI, V5, P63, DOI DOI 10.22334/JBHOST.V5I1.150; RAC/SPA, 2017, MEDPOSIDONIA PROJ BA; Robinson M., 2011, TOURISM CULTURE SUST; RSTC-Europe, 2020, DIV EUR DIV IND; Saunders M., 2009, Research Methods for Business Students, DOI DOI 10.1007/S13398-014-0173-7.2; Shaw Gareth., 2004, COMPANION TOURISM, P122; Spenceley A., 2016, Operational guidelines for community-based tourism in South Africa; SSI International, 2020, OP WAT DIV MAN INSTR; SSI International, 2017, OP WAT DIV EX FIN ES; Stel J., 2016, SUSTAIN SCI, P193, DOI [10.1007/978-94-017-7242-6_16, DOI 10.1007/978-94-017-7242-6_16]; Stewart R., 2015, WE REVOLUTIONIZE OUR; UNESCO, 2018, IOC UNESCO LAUNCH NE; UNESCO, 2012, HLTH OC HLTH PEOPL K; United Nations, 2020, United Nations; Department of economic and social affairs; Disability; Van der Watt H., 2019, BETTER LIVES ALL CON; Weaver DB, 2005, ANN TOURISM RES, V32, P439, DOI 10.1016/j.annals.2004.08.003; Wynveen CJ, 2012, J ENVIRON PSYCHOL, V32, P287, DOI 10.1016/j.jenvp.2012.05.001</t>
  </si>
  <si>
    <t>0966-9582</t>
  </si>
  <si>
    <t>1747-7646</t>
  </si>
  <si>
    <t>J SUSTAIN TOUR</t>
  </si>
  <si>
    <t>J. Sustain. Tour.</t>
  </si>
  <si>
    <t>AUG 9</t>
  </si>
  <si>
    <t>10.1080/09669582.2020.1850747</t>
  </si>
  <si>
    <t>NOV 2020</t>
  </si>
  <si>
    <t>Green &amp; Sustainable Science &amp; Technology; Hospitality, Leisure, Sport &amp; Tourism</t>
  </si>
  <si>
    <t>Science &amp; Technology - Other Topics; Social Sciences - Other Topics</t>
  </si>
  <si>
    <t>4E6WC</t>
  </si>
  <si>
    <t>Green Accepted</t>
  </si>
  <si>
    <t>WOS:000593086200001</t>
  </si>
  <si>
    <t>Leitao, R; Maguire, M; Turner, S; Guimaraes, L; Arenas, F</t>
  </si>
  <si>
    <t>Chova, LG; Martinez, AL; Torres, IC</t>
  </si>
  <si>
    <t>Leitao, Rui; Maguire, Martin; Turner, Sarah; Guimaraes, Laura; Arenas, Francisco</t>
  </si>
  <si>
    <t>OCEAN LITERACY AND INFORMATION SOURCES: COMPARISON BETWEEN PUPILS IN PORTUGAL AND THE UK</t>
  </si>
  <si>
    <t>12TH INTERNATIONAL TECHNOLOGY, EDUCATION AND DEVELOPMENT CONFERENCE (INTED)</t>
  </si>
  <si>
    <t>INTED Proceedings</t>
  </si>
  <si>
    <t>12th International Technology, Education and Development Conference (INTED)</t>
  </si>
  <si>
    <t>MAR 05-07, 2018</t>
  </si>
  <si>
    <t>Valencia, SPAIN</t>
  </si>
  <si>
    <t>Pupils' ocean literacy; information sources; education technology; ICT; secondary education</t>
  </si>
  <si>
    <t>KNOWLEDGE</t>
  </si>
  <si>
    <t>Manifestations of climate change can be found in subtle shifts in environmental conditions, such as sea level rise, melting glaciers or changing oceanic acidity due to atmospheric CO2 uptake. Over the past two decades, a great deal of media production has focused on informing the public about scientific discoveries about the health of the ocean and conveying the idea that it is essential to understand and protect the ocean for the well-being of the planet. Better public understanding of the ocean is an important part of resolving these complex and critical issues, since one of the explanations is the public's low level of concern about climate changes which results from a lack of public understanding of the problem [1], [2]. Moreover, engaging learners in experiences focused on the ocean helps them build personal correlations with the ocean and coasts, which motivate them to become ocean literate and to act on behalf of the ocean [1], [3]. This paper analyses the knowledge about the ocean (or ocean literacy) of a sample of pupils in the UK and in Portugal, as well as the pupils' modes of gaining information about ocean-related topics by using different media sources of information (such as TV, radio, computer, mobile platforms, magazines, or books). It also examines which of these media are associated with higher levels of ocean literacy. Moreover, the paper also aims to establish if there is any relationship between levels of ocean literacy and feelings of personal responsibility and levels of ocean literacy and the importance pupils attribute to the ocean. The study uses quantitative methodology. The data were collected between March and October 2017 by means of an online survey administered to pupils who were studying science in years 7, 8, 9 (12-14 years) in six schools in Portugal and three schools in the UK. A total of 132 pupils responded the survey in Portugal and 328 students responded the survey in UK. This study suggests that, regarding the preferred source to get information about the ocean, the computer is clearly the preferred media, while the radio is the least chosen option by pupils in both countries. Moreover, findings show there is no significant association between the choice of media source and ocean literacy levels. The overall results suggest that the more the pupils know about the ocean the more important is for them and the more they feel personal responsibility for its well-being</t>
  </si>
  <si>
    <t>[Leitao, Rui; Maguire, Martin; Turner, Sarah] Loughborough Univ Technol, Design Sch, Loughborough, Leics, England; [Guimaraes, Laura; Arenas, Francisco] Univ Porto, Interdisciplinary Ctr Marine &amp; Environm Res CIIMA, Porto, Portugal</t>
  </si>
  <si>
    <t>Loughborough University; Universidade do Porto</t>
  </si>
  <si>
    <t>Leitao, R (corresponding author), Loughborough Univ Technol, Design Sch, Loughborough, Leics, England.</t>
  </si>
  <si>
    <t>Leitao, Rui/GQY-8640-2022; Guimaraes, Laura/A-6759-2011; Guimarães, Laura/AGD-8925-2022; Arenas, Francisco/M-7095-2015</t>
  </si>
  <si>
    <t>Guimaraes, Laura/0000-0003-3360-3783; Guimarães, Laura/0000-0003-3360-3783; Arenas, Francisco/0000-0001-6925-3805</t>
  </si>
  <si>
    <t>Arts and Humanities Research Council Design Star CDT [AH/L503770/1]</t>
  </si>
  <si>
    <t>Arts and Humanities Research Council Design Star CDT(UK Research &amp; Innovation (UKRI)Arts &amp; Humanities Research Council (AHRC))</t>
  </si>
  <si>
    <t>This research was supported by the Arts and Humanities Research Council Design Star CDT (AH/L503770/1).</t>
  </si>
  <si>
    <t>[Anonymous], 2013, Ocean Literacy Essential Principles and Fundamental Concepts; [Anonymous], 2013, RES DESIGN QUALITATI; Comissao Estrategica dos Oceanos, 2003, REL COMM ESTR OC; Commission on Ocean Policy, 2004, OC BLUEPR 21 CENT FI; Corner A., 2014, 1401 UND RISK GROUP, P1; Dallmeyer E.D., 2003, INVOLVING PUBLIC COA; European Commission, 2012, Policy Document COM(2012) 494 Final; Frick J, 2004, PERS INDIV DIFFER, V37, P1597, DOI 10.1016/j.paid.2004.02.015; Gotensparre S.M., 2017, METAANALYSIS CONSULT; Guest H, 2015, MAR POLICY, V58, P98, DOI 10.1016/j.marpol.2015.04.007; Jefferson RL, 2014, MAR POLICY, V43, P327, DOI 10.1016/j.marpol.2013.07.004; Kumar R., 2008, P WORLD ACAD SCI, V30, P556; Leitao R., 2014, INT J ART CULT TECHN; Leitao R, 2017, ICERI PROC, P5156; Ospina A. V., 2010, LINKING ICTS CLIMATE, P41; *PEW OC COMM, 2003, AM LIV OC CHART COUR; Reis P., 2014, CONHECER OCEANO PRIN; Roque R., 2009, E-Learning and Digital Media, V6, P71, DOI [DOI 10.2304/ELEA.2009.6.1.71, 10.2304/elea.2009.6.1.71.]; Steel B, 2005, COAST MANAGE, V33, P37, DOI 10.1080/08920750590883105; Tran L.C., 2009, COMMUNICATIONS-GER, P1</t>
  </si>
  <si>
    <t>IATED-INT ASSOC TECHNOLOGY EDUCATION &amp; DEVELOPMENT</t>
  </si>
  <si>
    <t>VALENICA</t>
  </si>
  <si>
    <t>LAURI VOLPI 6, VALENICA, BURJASSOT 46100, SPAIN</t>
  </si>
  <si>
    <t>2340-1079</t>
  </si>
  <si>
    <t>978-84-697-9480-7</t>
  </si>
  <si>
    <t>INTED PROC</t>
  </si>
  <si>
    <t>BL1ZA</t>
  </si>
  <si>
    <t>WOS:000448704000002</t>
  </si>
  <si>
    <t>Mckinley, E</t>
  </si>
  <si>
    <t>Mckinley, Emma</t>
  </si>
  <si>
    <t>Ocean literacy for an Ocean constitution</t>
  </si>
  <si>
    <t>GLOBAL CONSTITUTIONALISM</t>
  </si>
  <si>
    <t>biodiversity loss; climate change; marine social sciences; ocean constitution; ocean literacy; overfishing; UN Decade of Ocean Science for Sustainable Development</t>
  </si>
  <si>
    <t>MARINE</t>
  </si>
  <si>
    <t>Firmly cemented in history as a connector of people, a facilitator for trade and transport routes and a driver of culture and heritage, the ocean has directly influenced globalization, and humanity more generally, for generations. While the ocean was perhaps once viewed as infinite and insurmountable, globally our oceans, coasts and seas have experienced unprecedented change in recent decades with climate change, loss of biodiversity and overfishing among the challenges being addressed through contemporary ocean governance. Moreover, and crucially as we continue to strive for sustainable ocean futures, the global ocean is increasingly being recognized as a peopled space. This article explores the role of ocean literacy as we look towards achieving sustainable ocean futures.</t>
  </si>
  <si>
    <t>[Mckinley, Emma] Cardiff Univ, Sch Earth &amp; Environm Sci, Cardiff CF10 3AT, Wales</t>
  </si>
  <si>
    <t>Cardiff University</t>
  </si>
  <si>
    <t>Mckinley, E (corresponding author), Cardiff Univ, Sch Earth &amp; Environm Sci, Cardiff CF10 3AT, Wales.</t>
  </si>
  <si>
    <t>Mckinleye1@cardiff.ac.uk</t>
  </si>
  <si>
    <t>Bennett NJ, 2021, FRONT MAR SCI, V8, DOI 10.3389/fmars.2021.711538; Bennett NJ, 2019, COAST MANAGE, V47, P244, DOI 10.1080/08920753.2019.1564958; Borja A, 2022, FRONT MAR SCI, V9, DOI 10.3389/fmars.2022.886027; Franke A, 2023, PEOPLE NAT, V5, P21, DOI 10.1002/pan3.10412; Gelcich S., 2014, Proceedings of the National Academy of Sciences, V111, P15042; Jefferson RL, 2014, MAR POLICY, V43, P327, DOI 10.1016/j.marpol.2013.07.004; Jefferson R, 2021, FRONT MAR SCI, V8, DOI 10.3389/fmars.2021.711245; Lotze H. K., 2020, Ethics in Science and Environmental Politics, V20, P33, DOI [https://doi.org/10.3354/esep00193, DOI 10.3354/ESEP00193]; Lotze HK, 2018, OCEAN COAST MANAGE, V152, P14, DOI 10.1016/j.ocecoaman.2017.11.004; McKinley E, 2023, MAR POLLUT BULL, V186, DOI 10.1016/j.marpolbul.2022.114467; McKinley E., 2020, Final report produced for the Ocean Conservation Trust and Defra; McKinley E, 2022, ISCIENCE, V25, DOI 10.1016/j.isci.2022.104735; McKinley E, 2020, ENVIRON SCI POLICY, V108, P85, DOI 10.1016/j.envsci.2020.03.015; McKinley E, 2012, MAR POLICY, V36, P839, DOI 10.1016/j.marpol.2011.11.001; Nash KL, 2020, ONE EARTH, V2, P160, DOI 10.1016/j.oneear.2020.01.008; National Marine Education Association (NMEA), 2020, Ocean Literacy: The essential Principles and Fundamental Concepts of Ocean Sciences for Learners of All Ages; Potts T, 2016, MAR POLICY, V72, P59, DOI 10.1016/j.marpol.2016.06.012; Worm B., 2021, Ethics in Science and Environmental Politics, V21, P1, DOI DOI 10.3354/ESEP00196</t>
  </si>
  <si>
    <t>CAMBRIDGE UNIV PRESS</t>
  </si>
  <si>
    <t>CAMBRIDGE</t>
  </si>
  <si>
    <t>EDINBURGH BLDG, SHAFTESBURY RD, CB2 8RU CAMBRIDGE, ENGLAND</t>
  </si>
  <si>
    <t>2045-3817</t>
  </si>
  <si>
    <t>2045-3825</t>
  </si>
  <si>
    <t>GLOB CONST</t>
  </si>
  <si>
    <t>Glob. Const.</t>
  </si>
  <si>
    <t>10.1017/S204538172300014X</t>
  </si>
  <si>
    <t>International Relations; Law; Political Science</t>
  </si>
  <si>
    <t>International Relations; Government &amp; Law</t>
  </si>
  <si>
    <t>MJ5R6</t>
  </si>
  <si>
    <t>Green Accepted, hybrid</t>
  </si>
  <si>
    <t>WOS:001193272200010</t>
  </si>
  <si>
    <t>Cooper, O; Keeley, A; Merenlender, A</t>
  </si>
  <si>
    <t>Cooper, Olivia; Keeley, Annika; Merenlender, Adina</t>
  </si>
  <si>
    <t>Curriculum gaps for adult climate literacy</t>
  </si>
  <si>
    <t>CONSERVATION SCIENCE AND PRACTICE</t>
  </si>
  <si>
    <t>climate change; climate education; climate literacy; interdisciplinary; syllabi; word analysis</t>
  </si>
  <si>
    <t>SOCIAL-WORK; EDUCATION; SCIENCE; JUSTICE; PLACE</t>
  </si>
  <si>
    <t>Conservation scientists need to advance climate literacy so that people understand how climate affects all of life, acquire the skills to communicate about climate change, and become aware of ways to increase local resiliency. We examined syllabus content for 74 general climate change courses taught at the undergraduate college-level to investigate the scope and extent to which these climate change courses include key topics to advance climate literacy. By analyzing the textual data, we discovered most courses had a strong focus on biogeophysical science and only 8.8 and 9.4% of the terms that occurred in this sample were connected to climate change solutions and communication, respectively. The fine category Organisms, which includes terms for specific animals such as jellyfish and urchin and related terms like species, was only observed in 26% of the syllabi; and the term biodiversity was mentioned seven times, extinction four times, and animal was mentioned two times across all 74 syllabi. This reveals a potential gap in addressing the impacts of climate change on biodiversity, and the role of some species in regulating climate. We recommend educators include a broader array of inter-disciplinary topics, place-based information, communication strategies, and mitigation and adaptation solutions to bridge the gap between climate science, literacy, and action.</t>
  </si>
  <si>
    <t>[Cooper, Olivia] Smith Coll, Northampton, MA 01063 USA; [Keeley, Annika] Delta Stewardship Council, Sacramento, CA USA; [Merenlender, Adina] Univ Calif Berkeley, Environm Sci Policy &amp; Management, Berkeley, CA 94720 USA</t>
  </si>
  <si>
    <t>Smith College; University of California System; University of California Berkeley</t>
  </si>
  <si>
    <t>Merenlender, A (corresponding author), Univ Calif Berkeley, Environm Sci Policy &amp; Management, Berkeley, CA 94720 USA.</t>
  </si>
  <si>
    <t>adinam@berkeley.edu</t>
  </si>
  <si>
    <t>MERENLENDER, Adina/0000-0002-0681-8642</t>
  </si>
  <si>
    <t>Aguiar FC, 2018, ENVIRON SCI POLICY, V86, P38, DOI 10.1016/j.envsci.2018.04.010; Anderson A., 2012, Journal of Education for Sustainable Development, V6, P191, DOI [10.1177/0973408212475199, DOI 10.1177/0973408212475199]; Anderson J., 2016, INFORMAL LEARNING RE, V136, P3; Ardoin NM, 2014, HUM ECOL, V42, P425, DOI 10.1007/s10745-014-9652-x; Bertoldi P, 2018, CURR OPIN ENV SUST, V30, P67, DOI 10.1016/j.cosust.2018.03.009; Bickford D, 2012, BIOL CONSERV, V151, P74, DOI 10.1016/j.biocon.2011.12.016; Boylan C., 2008, International Electronic Journal of Elementary Education, V1, P1; Bushnell J, 2008, REV ENV ECON POLICY, V2, P175, DOI 10.1093/reep/ren007; Cashwell C.S., 2004, Counseling and Values, V48, P96, DOI DOI 10.1002/J.2161-007X.2004.TB00237.X; Cordero EC, 2008, B AM METEOROL SOC, V89, P865, DOI 10.1175/2007BAMS2432.1; Fahey SJ, 2012, J CURRICULUM STUD, V44, P703, DOI 10.1080/00220272.2012.679011; Haywood BK, 2016, CONSERV BIOL, V30, P476, DOI 10.1111/cobi.12702; Hess DJ, 2018, J CLEAN PROD, V170, P1451, DOI 10.1016/j.jclepro.2017.09.215; Hong PYP, 2009, FAM SOC, V90, P212, DOI 10.1606/1044-3894.3874; Maschi T, 2019, SOC WORK EDUC, V38, P177, DOI 10.1080/02615479.2018.1508566; McCaffrey MS, 2008, PHYS GEOGR, V29, P512, DOI 10.2747/0272-3646.29.6.512; O'Neill S, 2009, SCI COMMUN, V30, P355, DOI 10.1177/1075547008329201; Pournelle G. H., 1953, Journal of Mammalogy, V34, P133, DOI 10.1890/0012-9658(2002)083[1421:SDEOLC]2.0.CO;2; Scheffers BR, 2016, SCIENCE, V354, DOI 10.1126/science.aaf7671; Spitzer W, 2014, GEOPHYS MONOGR SER, V203, P89; Vaughter P., 2016, Climate change education: From critical thinking to critical action, P4</t>
  </si>
  <si>
    <t>2578-4854</t>
  </si>
  <si>
    <t>CONSERV SCI PRACT</t>
  </si>
  <si>
    <t>Conserv. Sci. Pract.</t>
  </si>
  <si>
    <t>e102</t>
  </si>
  <si>
    <t>10.1111/csp2.102</t>
  </si>
  <si>
    <t>Biodiversity Conservation</t>
  </si>
  <si>
    <t>Biodiversity &amp; Conservation</t>
  </si>
  <si>
    <t>NZ5BO</t>
  </si>
  <si>
    <t>WOS:000577111500006</t>
  </si>
  <si>
    <t>Payne, DL; Marrero, ME; Schoedinger, SE; Halversen, C</t>
  </si>
  <si>
    <t>Payne, Diana L.; Marrero, Meghan E.; Schoedinger, Sarah E.; Halversen, Catherine</t>
  </si>
  <si>
    <t>The Rise and Fall of the Tide: Ocean Literacy in the United States</t>
  </si>
  <si>
    <t>Ocean literacy; marine education; UN Decade of the Ocean</t>
  </si>
  <si>
    <t>The words Ocean Literacy roll off the multilingual tongues of scientists, educators, and policy makers worldwide who understand the essential role of the ocean on this planet. However, this was not always the case. The Ocean Literacy campaign in the United States (US) was founded by individuals and institutions focused on raising awareness of the influence of the one global ocean on every living being on the planet. The original grassroots effort became a well-funded, well-organized campaign that spawned global initiatives that thrive to this day. Faced with a lack of critical resources, the US campaign currently relies on the services of dedicated members of the National Marine Educators Association (NMEA) whose vision of making known the world of water is part of their collective DNA.</t>
  </si>
  <si>
    <t>[Payne, Diana L.] Univ Connecticut, Storrs, CT 06269 USA; [Payne, Diana L.] Connecticut Sea Grant, Groton, CT 06340 USA; [Marrero, Meghan E.] Mercy Coll, Dobbs Ferry, NY 10522 USA; [Schoedinger, Sarah E.] NOAA, Off Educ, Washington, DC USA; [Halversen, Catherine] Univ Calif Berkeley, Lawrence Hall Sci, Berkeley, CA 94720 USA</t>
  </si>
  <si>
    <t>University of Connecticut; Mercy College; National Oceanic Atmospheric Admin (NOAA) - USA; University of California System; University of California Berkeley</t>
  </si>
  <si>
    <t>Payne, DL (corresponding author), Univ Connecticut, Storrs, CT 06269 USA.;Payne, DL (corresponding author), Connecticut Sea Grant, Groton, CT 06340 USA.</t>
  </si>
  <si>
    <t>diana.payne@uconn.edu</t>
  </si>
  <si>
    <t>[Anonymous], 1994, Benchmarks for science literacy; Canadian Network for Ocean Education (CaNOE), 2014, CANOES GOALS; Cava F, 2005, SCI CONTENT STANDARD; Chen Y.-F., 2020, AM ED RES ASS AERA A; COSEE Program Solicitation, 2010, NATL SCI FDN DIRECTO; Fauville G., 2019, Exemplary Practices in Marine Science Education; Fauville G, 2019, ENVIRON EDUC RES, V25, P238, DOI 10.1080/13504622.2018.1440381; International Pacific Marine Educators Network (IPMEN), 2010, IPMEN; Marrero ME, 2019, FRONT MAR SCI, V6, DOI 10.3389/fmars.2019.00325; McKinley E., 2020, TECHNICAL REPORT PRO; McManus D.A., 2000, CTR OCEAN SCI ED EXC; National Marine Educators Association (NMEA), 2015, ALIGNMENT OCEAN LITE; National Oceanic and Atmospheric Administration (NOAA), 2018, TRANSATLANTIC RES CO; Natl Res Council, 2012, FRAMEWORK FOR K-12 SCIENCE EDUCATION: PRACTICES, CROSSCUTTING CONCEPTS, AND CORE IDEAS, P1; Pew Oceans Commission, 2003, SUMMARY REPORT; Polejack A, 2021, HUM SOC SCI COMMUN, V8, DOI 10.1057/s41599-021-00729-6; Santoro F., 2018, OCEAN LITERACY ALL T; Schoedinger S., 2010, CURRENT J MARINE ED, P3; Strang C., 2010, CURRENT J MARINE ED, V3, P27; Strang C., 2007, CURRENT J MARINE ED, V23, P7, DOI DOI 10.5281/ZENODO.30563; U.S. Commission on Ocean Policy, 2004, FINAL REPORT</t>
  </si>
  <si>
    <t>10.12681/mms.27410</t>
  </si>
  <si>
    <t>WOS:000782982600001</t>
  </si>
  <si>
    <t>Yakar, H; Karakus, U</t>
  </si>
  <si>
    <t>Yakar, Hamza; Karakus, Ufuk</t>
  </si>
  <si>
    <t>Identifying Climate Literacy Competencies: A Delphi Study at the Middle School Level</t>
  </si>
  <si>
    <t>EGITIM VE BILIM-EDUCATION AND SCIENCE</t>
  </si>
  <si>
    <t>Climate Literacy; Middle School; Subject-Matter Expert; Competency; Delphi Method</t>
  </si>
  <si>
    <t>STUDENTS; MISCONCEPTIONS; EDUCATION</t>
  </si>
  <si>
    <t>This study aimed to identify climate literacy competencies for middle school students. The study used a descriptive survey design. The data were collected using the Delphi method. Climate literacy competencies for middle school students were identified through Delphi questionnaires administered in three rounds. A panel of experts in social studies, geography education, and climate science participated in the Delphi applications. The number of experts was changed in each round. Four basic levels were defined for the selection of Delphi panelists. Each level was divided into two categories so that a more detailed and comprehensive approach to expert selection was used. Measures of central tendency (mean, median, and mode) and central dispersion (standard deviation and interquartile range) were used in the data analysis to reveal the general judgment of the panelists. Expert opinions were analyzed according to the criteria defined within the scope of the study and climate literacy competencies were identified for middle school students. A 70% consensus was achieved on the entire Delphi procedure among the panel of experts. The results of the three-round Delphi exercise showed that climate literacy competencies that middle school students should have consist of six categories and the items thereof. Accordingly, these categories are concepts related to climate, basic knowledge of climate, knowledge of national and local climate, relationship between climate and life, skills, and attitudes and values.</t>
  </si>
  <si>
    <t>[Yakar, Hamza] Kirsehir Ahi Evran Univ, Fac Educ, Dept Educ Sci, Kirsehir, Turkey; [Karakus, Ufuk] Gazi Univ, Fac Educ, Dept Turkish &amp; Social Sci Educ, Ankara, Turkey</t>
  </si>
  <si>
    <t>Ahi Evran University; Gazi University</t>
  </si>
  <si>
    <t>Yakar, H (corresponding author), Kirsehir Ahi Evran Univ, Fac Educ, Dept Educ Sci, Kirsehir, Turkey.</t>
  </si>
  <si>
    <t>hmzyakar@gmail.com; ukarakus@gazi.edu.tr</t>
  </si>
  <si>
    <t>Akbas Y., 2012, DOGU COGRAFYA DERGIS, V27, P23; AKBAS Y, 2013, KASTAMONU UNIV KASTA, V21, P523; Aksan Z., 2013, Eskisehir Osman. Univ. J. Soc. Sci, V14, P49; Alkis S., 2006, THESIS; Alkis S, 2007, ILKOGRETIM ONLINE, V6, P333; Alkis S., 2006, MARMARA COGRAFYA DER, V12, P51; Alkis S., 2006, MARMARA COGRAFYA DER, V13, P15; Alkis S., 2005, MARMARA COGRAFYA DER, V11, P88; [Anonymous], 2010, Turkluk Bilimi Arastirmalari Dergisi; [Anonymous], 1993, BENCHM SCI LIT; [Anonymous], 2007, TURKISH J SOCIAL STU; [Anonymous], 1989, SCI ALL AM; [Anonymous], 2003, GAZI U GAZI EGITIM F; [Anonymous], 2005, KASTAMONU EGITIM DER; [Anonymous], 2010, TURKISH STUDIES INT; Arndt DS, 2008, PHYS GEOGR, V29, P487, DOI 10.2747/0272-3646.29.6.487; Atmospheric Science Literacy, 2008, ESSENTIAL PRINCIPLES; Babcock S. L., 2015, THESIS; Bhattacharya D., 2016, THESIS; Bilgin N., 2006, Sosyal Bilimlerde Icerik Analizi Teknikler ve Ornek Calismalar [Content Analysis Techniques and Case Studies in Social Sciences]; Boyatzis RE, 2008, J MANAG DEV, V27, P5, DOI 10.1108/02621710810840730; Branch G, 2016, B ATOM SCI, V72, P89, DOI 10.1080/00963402.2016.1145906; Buyukozturk S., 2008, Bilimsel Arastirma Yontemleri; Cakmak E., 2013, SOSYAL BILGILER ICIN, P2; Chou C, 2002, BRIT J EDUC TECHNOL, V33, P233, DOI 10.1111/1467-8535.00257; Dalkey N.C., 1967, DELPHI; Demirkaya H, 2008, KURAM UYGULAMA EGI, V8, P33; Dupigny-Giroux LAL, 2010, GEOGR COMPASS, V4, P1203, DOI 10.1111/j.1749-8198.2010.00368.x; Earth Science Literacy Principles, 2010, EARTH SCI LITERACY B; Fish L.Stone., 2005, RES METHODS FAMILY T, P238; Gordon T.J., 1994, CROSS IMPACT METHOD; Harrington J, 2008, PHYS GEOGR, V29, P575, DOI 10.2747/0272-3646.29.6.575; Helms C, 2017, J ADV NURS, V73, P3168, DOI 10.1111/jan.13381; Hestness E. E., 2016, THESIS; Holzer M. A., 2016, THESIS; Jewitt C., 2003, Multimodal literacy (New literacies and digital epistemologies); Karakus U., 2006, THESIS; Karasar N., 2011, BILIMSEL ARASTIRMA Y; Kaya B., 2015, Elektronik, V10, P557; Kececi T., 2012, 3 INT C NEW TRENDS E; Leon J., 2003, Survey research. In-person, mail; Light J. D., 2016, THESIS; Linstone H.A., 2002, DELPHI METHOD, P3, DOI [10.1007/s00256-011-1145-z, DOI 10.2307/3150755]; Marzetta K. L., 2016, THESIS; McNeal K.S., 2014, Journal of Geoscience Education, V62, P291, DOI DOI 10.5408/1089-9995-62.3.291; Milér T, 2011, PROCD SOC BEHV, V12, P150, DOI 10.1016/j.sbspro.2011.02.021; Ministry of National Education, 2018, GUCL YAR IC 2023 EG; Mullen Penelope M, 2003, J Health Organ Manag, V17, P37, DOI 10.1108/14777260310469319; *NOAA, 2007, CLIM LIT ESS PRINC F; Ocean Literacy, 2005, OCEAN LITERACY ESSEN; Paykoc F., 1990, EGIT BILIM, V75, P14; Pinar A., 2012, ILKOGRETIM ONLINE, V11, P530; Powell C, 2003, J ADV NURS, V41, P376, DOI 10.1046/j.1365-2648.2003.02537.x; Sahin A.E., 2001, Hacettepe Universitesi Egitim Fakultesi Dergisi, V20, P215; Sahin A. E., 2009, PAMUKKALE U EGITIM F, V26, P125; Sahin AE, 2010, TEACH TEACH, V16, P437, DOI 10.1080/13540601003754822; Salkind N.J., 2007, ENCY MEASUREMENT STA, V1-0, DOI [DOI 10.4135/9781412952644.N128, 10.4135/9781412952644]; Sami, 2007, DOKUZ EYLUL U BUCA J, V22, P45; Shafer M. A., 2009, 8 S ED, P1; TERSINE RJ, 1976, BUS HORIZONS, V19, P51, DOI 10.1016/0007-6813(76)90081-1; U.S. Global change Research Program, 2009, Climate literacy: the essential principles of climate science; University Center for Atmospheric Research, 2008, ATM SCI LIT FRAM; von der Gracht HA, 2012, TECHNOL FORECAST SOC, V79, P1525, DOI 10.1016/j.techfore.2012.04.013; Wachholz S, 2014, INT J SUST HIGHER ED, V15, P128, DOI 10.1108/IJSHE-03-2012-0025; Yalcin S., 2018, Ankara Universitesi Egitim Bilimleri Fakultesi Dergisi, V51, P183</t>
  </si>
  <si>
    <t>TURKISH EDUCATION ASSOC</t>
  </si>
  <si>
    <t>KOCATEPE</t>
  </si>
  <si>
    <t>KIZILIRMAK CADDESI NO 8, KOCATEPE, ANKARA 00000, TURKEY</t>
  </si>
  <si>
    <t>1300-1337</t>
  </si>
  <si>
    <t>EGIT BILIM</t>
  </si>
  <si>
    <t>Egit. Bilim</t>
  </si>
  <si>
    <t>10.15390/EB.2020.8647</t>
  </si>
  <si>
    <t>NC3OK</t>
  </si>
  <si>
    <t>WOS:000561124200003</t>
  </si>
  <si>
    <t>Chang, CC; Tsai, LT; Meliana, D</t>
  </si>
  <si>
    <t>Chang, Cheng-Chieh; Tsai, Liang-Ting; Meliana, Dwi</t>
  </si>
  <si>
    <t>The Concept of Ocean Sustainability in High School: Measuring the Ocean Literacy of Vocational High School Students in Indonesia</t>
  </si>
  <si>
    <t>concept map; ocean literacy; marine science; misconceptions</t>
  </si>
  <si>
    <t>In this study, we used propositional concept maps with different ocean-related conceptual sentences to assess the ocean literacy of maritime vocational high school students in Grades 10-12 in Indonesia. Indonesia is the world's largest archipelagic country, and many aspects of people's lives, including their jobs, are related to the ocean. Therefore, it is crucial to assess the ocean literacy and related knowledge of students, especially maritime vocational high school students. Thus, in this study, an open-ended questionnaire was employed to acquire data from 255 students at the National Vocational High School 1 Temon in Yogyakarta, Indonesia. A total of 215 males and 40 females participated in this study. In addition to descriptive analysis, we used a one-way analysis of variance and a t-test for statistical inference. The results showed that 11th and 12th graders scored significantly higher in ocean literacy than 10th graders, and female students significantly outperformed male students. Furthermore, student learning was teacher-centered. In this paper, we summarize the results and provide suggestions and references concerning ocean literacy for teachers and high school students.</t>
  </si>
  <si>
    <t>[Chang, Cheng-Chieh; Tsai, Liang-Ting; Meliana, Dwi] Natl Taiwan Ocean Univ, Inst Educ &amp; Ctr Teacher Educ, Keelung 20224, Taiwan; [Chang, Cheng-Chieh; Tsai, Liang-Ting] Natl Taiwan Ocean Univ, Taiwan Marine Educ Ctr, Keelung 20224, Taiwan</t>
  </si>
  <si>
    <t>National Taiwan Ocean University; National Taiwan Ocean University</t>
  </si>
  <si>
    <t>Tsai, LT (corresponding author), Natl Taiwan Ocean Univ, Inst Educ &amp; Ctr Teacher Educ, Keelung 20224, Taiwan.;Tsai, LT (corresponding author), Natl Taiwan Ocean Univ, Taiwan Marine Educ Ctr, Keelung 20224, Taiwan.</t>
  </si>
  <si>
    <t>tsai5128@email.ntou.edu.tw</t>
  </si>
  <si>
    <t>Cañas AJ, 2017, KNOWL MANAG E-LEARN, V9, P348; Chang C.C., 2015, ED J, V43, P173; Chien-Hung Lai, 2020, International Journal of Interactive Mobile Technologies, V14, P159, DOI 10.3991/ijim.v14i06.12057; Cooper J.D., 2010, LITERACY ASSESSMENT; El-Adl A., 2020, Cypriot Journal of Educational Sciences, V15, P104, DOI [DOI 10.18844/CJES.V15I1.4461, https://doi.org/10.18844/cjes.v15i1.4461]; Fauville G, 2019, ENVIRON EDUC RES, V25, P238, DOI 10.1080/13504622.2018.1440381; Ferreira JC, 2021, EDUC SCI, V11, DOI 10.3390/educsci11020062; Fukuzawa S., 2017, Collected Essays on Learning and Teaching, V10, P175, DOI DOI 10.22329/CELT.V10I0.4748; Garcia O, 2022, J SUSTAIN TOUR, V30, P2428, DOI 10.1080/09669582.2020.1850747; Ghani IBA, 2016, ADV SCI LETT, V22, P4216, DOI 10.1166/asl.2016.8109; Itasari E.R., 2020, GANESHA CIV ED J, V2, P9, DOI [10.23887/gancej.v2i1.109, DOI 10.23887/GANCEJ.V2I1.109]; Jeno LM, 2019, BRIT J EDUC TECHNOL, V50, P669, DOI 10.1111/bjet.12657; Kaliyadan F, 2019, INDIAN DERMATOL ONL, V10, P82, DOI 10.4103/idoj.IDOJ_468_18; Leitao R, 2022, ENVIRON EDUC RES, V28, P276, DOI 10.1080/13504622.2021.1986469; Lwo LS, 2013, J RES EDUC SCI, V58, P51, DOI 10.6209/JORIES.2013.58(3).03; Markos A, 2017, ENVIRON EDUC RES, V23, P231, DOI 10.1080/13504622.2015.1126807; McClure JR, 1999, J RES SCI TEACH, V36, P475, DOI 10.1002/(SICI)1098-2736(199904)36:4&lt;475::AID-TEA5&gt;3.0.CO;2-O; Mogias A, 2019, FRONT MAR SCI, V6, DOI 10.3389/fmars.2019.00396; Mokos M, 2022, MEDITERR MAR SCI, V23, P277, DOI 10.12681/mms.26989; National Oceanic and Atmospheric Administration [NOAA], 2013, OC LIT ESS PRINC FUN; Nyman E., 2018, EVALUATING NEED OCEA; Paredes-Coral E, 2022, MEDITERR MAR SCI, V23, P321, DOI 10.12681/mms.26608; Paredes-Coral E, 2021, FRONT MAR SCI, V8, DOI 10.3389/fmars.2021.648492; Reiska P, 2015, FIRST GLOBAL CONFERENCE ON CONTEMPORARY ISSUES IN EDUCATION (GLOBE-EDU 2014), P352, DOI 10.1016/j.sbspro.2015.02.357; Saragih HM, 2018, ADV SOC SCI EDUC HUM, V231, P47; Shin Myeong-hee, 2018, [English Teaching, 영어교육], V73, P95; Stoddart T, 2000, INT J SCI EDUC, V22, P1221, DOI 10.1080/095006900750036235; Tsai LT, 2021, J BALT SCI EDUC, V20, P134, DOI 10.33225/jbse/21.20.134; Tsai LT, 2019, ENVIRON EDUC RES, V25, P264, DOI 10.1080/13504622.2018.1542487; Worm B., 2021, Ethics in Science and Environmental Politics, V21, P1, DOI DOI 10.3354/ESEP00196</t>
  </si>
  <si>
    <t>10.3390/su15021043</t>
  </si>
  <si>
    <t>7Z7EU</t>
  </si>
  <si>
    <t>WOS:000915719000001</t>
  </si>
  <si>
    <t>Ramos, R; Rodrigues, MJ; Rodrigues, I</t>
  </si>
  <si>
    <t>Ramos, Ricardo; Rodrigues, Maria Jose; Rodrigues, Isilda</t>
  </si>
  <si>
    <t>Activity Proposals to Improve Children's Climate Literacy and Environmental Literacy</t>
  </si>
  <si>
    <t>activities; climate change; climate literacy; education; school</t>
  </si>
  <si>
    <t>PERCEPTIONS; EDUCATION; KNOWLEDGE</t>
  </si>
  <si>
    <t>With the climate crisis, schools have a fundamental role to enrich children's climate literacy, which should begin in their early years and continue for life. Developing activities in the classroom can be an excellent way of bringing this about. This work is part of a larger research project, during which a previous study was carried out with 245 children aged 9 to 13, in which we identified some limitations in their knowledge about climate change. Based on these results, we decided to present some proposals for activities that could help improve these children's climate literacy. The study we conducted was of an exploratory character, and the main objective was to understand the impact of applying a set of activities to 54 children. The objectives of this work were to increase the climate literacy of the children involved-more specifically, to evaluate the impact of implementing three activities related to climate change and identify the knowledge about the cases and consequences of climate change that were acquired by the children involved. To collect the data, we used a focus group technique and content analysis to process it. The results revealed that the children acquired a better understanding of the problem of climate change-in particular, the causes and consequences of it and of the concept of the ecological footprint-as well as motivation to contribute to mitigating the problem. We conclude that the activities proposed could contribute to improving climate literacy, as well as stimulate children's curiosity and proactivity so that they become citizens capable of exercising their active citizenship.</t>
  </si>
  <si>
    <t>[Ramos, Ricardo; Rodrigues, Maria Jose] Inst Politecn Braganca, Res Ctr Basic Educ CIEB, P-5300253 Braganca, Portugal; [Rodrigues, Isilda] Univ Tras Os Montes &amp; Alto Douro, Educ &amp; Psychol Dept, P-5000801 Vila Real, Portugal; [Rodrigues, Isilda] Univ Porto, CIIE, P-4150564 Porto, Portugal</t>
  </si>
  <si>
    <t>Instituto Politecnico de Braganca; University of Tras-os-Montes &amp; Alto Douro; Universidade do Porto</t>
  </si>
  <si>
    <t>Ramos, R (corresponding author), Inst Politecn Braganca, Res Ctr Basic Educ CIEB, P-5300253 Braganca, Portugal.;Rodrigues, I (corresponding author), Univ Tras Os Montes &amp; Alto Douro, Educ &amp; Psychol Dept, P-5000801 Vila Real, Portugal.;Rodrigues, I (corresponding author), Univ Porto, CIIE, P-4150564 Porto, Portugal.</t>
  </si>
  <si>
    <t>ricardo.ramos@ipb.pt; mrodrigues@ipb.pt; isilda@utad.pt</t>
  </si>
  <si>
    <t>Rodrigues, Isilda Teixeira/AFO-0730-2022; Ramos, Ricardo/KWU-8610-2024; Rodrigues, Maria José/AAM-5662-2020</t>
  </si>
  <si>
    <t>Rodrigues, Maria José/0000-0003-1029-149X; Rodrigues, Isilda/0000-0002-6020-5767; Ramos, Ricardo/0000-0002-8536-4633</t>
  </si>
  <si>
    <t>FCT-Fundao para a Cincia e Tecnologia within the Project Scope</t>
  </si>
  <si>
    <t>No Statement Available</t>
  </si>
  <si>
    <t>Adger WN, 2013, NAT CLIM CHANGE, V3, P112, DOI [10.1038/nclimate1666, 10.1038/NCLIMATE1666]; Alves L., 2010, Revista de Psicopedagogia [online], vol, V27, P282; [Anonymous], 2018, Sustainable Development Goal 6 Synthesis Report 2018 on Water and Sanitation; [Anonymous], 2018, Behavior; Ardoin NM, 2020, EDUC RES REV-NETH, V31, DOI [10.1016/edurev.2020.100353, 10.1016/j.edurev.2020.100353]; Assadourian E, 2010, J MACROMARKETING, V30, P186, DOI 10.1177/0276146710361932; Azevedo F., 2006, Literatura Infantil e leitura: Da teoria a pratica; Brechin SR, 2011, WIRES CLIM CHANGE, V2, P871, DOI 10.1002/wcc.146; Camara A., 2018, Referencial de Educacao Ambiental para a Sustentabilidade; Cartea F., 2021, Turbilhao de Ventanias e Farrapos, Entre Brisas e Esperancas, V2; Center on the Developing Child, 2020, The Science of Early Childhood Development; Cortesao S., 2017, Ph.D. Thesis; Coutinho M.C., 2013, Metodologia de investigacao em Ciencias Sociais: Teoria e pratica, V2a; DGE Organizacao Curricular e Programas, 2018, Estudo do Meio; Dias M., 2009, O Vocabulario do desenho de investigacao - A logica do processo em ciencias sociais; EU, 2020, Climate action board game; Filipe R., 2012, Ph.D. Thesis; Gavron T, 2024, J CREAT MENT HEALTH, V19, P24, DOI 10.1080/15401383.2022.2119184; Gerrish K., 2016, The Research Process in Nursing, V7; Goncalves S., 2017, Manual de Investigacao Qualitativa em Educacao, V1st ed.; Gondim Sônia Maria Guedes, 2002, Paidéia (Ribeirão Preto), V12, P149; Gottlieb D, 2012, INT J EDUC DEV, V32, P193, DOI 10.1016/j.ijedudev.2011.03.007; Hadzigeorgiou Y, 2011, ENVIRON EDUC RES, V17, P519, DOI 10.1080/13504622.2010.549938; Jain H., 2023, Pray. J. Manag. Appl, V3, P12, DOI [10.52814/pjma.2023.3102, DOI 10.52814/PJMA.2023.3102]; Jarrett L, 2020, ENVIRON EDUC RES, V26, P400, DOI 10.1080/13504622.2019.1679092; Karpudewan M, 2015, INT J SCI EDUC, V37, P31, DOI 10.1080/09500693.2014.958600; Krueger R. A., 2000, FOCUS GROUPS PRACTIC, DOI DOI 10.4172/2155-9880.1000373; Kumar P, 2023, RENEW SUST ENERG REV, V178, DOI 10.1016/j.rser.2023.113232; Lambert JL, 2012, INT J SCI EDUC, V34, P1167, DOI 10.1080/09500693.2011.633938; Lee K, 2020, PUBLIC UNDERST SCI, V29, P868, DOI 10.1177/0963662520952999; Magalhaes S., 2016, Ph.D. Thesis; Pinto B., 2021, O Jogo das Alteracoes Climaticas, V104th ed.; Puri R.K., 2020, Clim. Cult, V2020, P249, DOI [10.12987/9780300213577-012, DOI 10.12987/9780300213577-012]; Ramos R., 2020, EduSer, V12, P27, DOI [10.34620/eduser.v12i1.137, DOI 10.34620/EDUSER.V12I1.137]; Ramos R, 2023, SOCIETIES, V13, DOI 10.3390/soc13010006; Rousell D, 2020, CHILD GEOGR, V18, P191, DOI 10.1080/14733285.2019.1614532; Rye JA, 1997, INT J SCI EDUC, V19, P527, DOI 10.1080/0950069970190503; Schauss M, 2021, INT RES GEOGR ENVIRO, V30, P332, DOI 10.1080/10382046.2020.1852782; SEG, 2020, Survey on Climate Education; Tsevreni I, 2011, ENVIRON EDUC RES, V17, P53, DOI 10.1080/13504621003637029; UNICEF, 2022, The Climate Crisis is a Child Rights Crisis: Introducing the Children's Climate Risk Index; Wackernagel M., 2007, Our Ecological Footprint: Reducing Human Impact on the Earth, VVolume 9; Wu JS, 2015, NAT CLIM CHANGE, V5, P413, DOI 10.1038/NCLIMATE2566</t>
  </si>
  <si>
    <t>10.3390/educsci14020194</t>
  </si>
  <si>
    <t>IY4E2</t>
  </si>
  <si>
    <t>WOS:001169879700001</t>
  </si>
  <si>
    <t>Arndt, DS; Ladue, DS</t>
  </si>
  <si>
    <t>Arndt, Derek S.; Ladue, Daphne S.</t>
  </si>
  <si>
    <t>APPLYING CONCEPTS OF ADULT EDUCATION TO IMPROVE WEATHER AND CLIMATE LITERACY</t>
  </si>
  <si>
    <t>adult education; climate literacy; andragogy; diffusion of innovation; hazards</t>
  </si>
  <si>
    <t>The increased importance of climate and climate-change issues has fostered a new emphasis on climate literacy for the American and global population. However, because the issue's acceptance into mainstream discourse is relatively recent, and knowledge is rapidly changing, many of the climate-literacy learners who will impact future policy decisions are today's adults. Many educational theorists have determined that adults have different educational approaches and needs than traditional (school-age) learners. This article introduces two major frameworks that inform adult education: andragogy and the diffusion of innovations. Each of these frameworks is made up of their own internal assumptions and concepts. These frameworks have been implemented-both intentionally and unintentionally-into climate literacy programs in Oklahoma. We examine the impact of these frameworks on OK-First, a public-safety outreach program that provides education and decision-support for public safety officials who must make decisions in the face of hazardous weather or weather-impacted hazards. The application of these adult educational tenets has been an integral part of ongoing efforts to improve the effectiveness of the program.</t>
  </si>
  <si>
    <t>[Arndt, Derek S.; Ladue, Daphne S.] Natl Weather Ctr, Ctr Anal &amp; Predict Storms, Norman, OK 73072 USA</t>
  </si>
  <si>
    <t>Arndt, DS (corresponding author), Natl Weather Ctr, Ctr Anal &amp; Predict Storms, 120 David L Boren Blvd, Norman, OK 73072 USA.</t>
  </si>
  <si>
    <t>LaDue, Daphne/AAC-6266-2019; Arndt, Derek S/J-3022-2013</t>
  </si>
  <si>
    <t>Arndt, Derek S/0000-0001-7698-6740; LaDue, Daphne/0000-0003-0620-8534</t>
  </si>
  <si>
    <t>Altshuler Alan A., 1997, Innovation in American government: Challenges, opportunities, and dilemmas; ARNDT DS, 2006, 15 S ED AM MET SOC; Davis D., 1994, PHYS LEARNER LINKING; Elias J.L., 1995, Philosophical foundations of adult education, V2nd; Kaplan AW, 1999, TECHNOVATION, V19, P467, DOI 10.1016/S0166-4972(98)00128-X; Knowles M., 1998, ADULT LEARNER; MERRIAM SB, 1995, LEARNING ADULTHOOD; Morris DA, 2001, B AM METEOROL SOC, V82, P1911, DOI 10.1175/1520-0477(2001)082&lt;1911:OFAMIS&gt;2.3.CO;2; *NOAA, 2007, CLIM LIT ESS PRINC F; Rogers E. M., 2003, DIFFUSION INNOVATION, DOI DOI 10.2307/2573300; *UCAR, 2008, ATM SCI LIT FRAM; *US BUR CENS, 2007, CENS ATL US; ,, 2007, Climate change 2007: Synthesis Report. Contribution of Working Group I, II and III to the Fourth Assessment Report of the Intergovernmental Panel on Climate Change. Summary for Policymakers</t>
  </si>
  <si>
    <t>TAYLOR &amp; FRANCIS LTD</t>
  </si>
  <si>
    <t>2-4 PARK SQUARE, MILTON PARK, ABINGDON OR14 4RN, OXON, ENGLAND</t>
  </si>
  <si>
    <t>1930-0557</t>
  </si>
  <si>
    <t>10.2747/0272-3646.29.6.487</t>
  </si>
  <si>
    <t>WOS:000264488400002</t>
  </si>
  <si>
    <t>van den Broek, KL</t>
  </si>
  <si>
    <t>van den Broek, Karlijn L.</t>
  </si>
  <si>
    <t>Household energy literacy: A critical review and a conceptual typology</t>
  </si>
  <si>
    <t>ENERGY RESEARCH &amp; SOCIAL SCIENCE</t>
  </si>
  <si>
    <t>Energy literacy; Energy conservation; Energy perceptions; Energy education</t>
  </si>
  <si>
    <t>CONSERVATION BEHAVIOR; CONSUMPTION; KNOWLEDGE; INFORMATION; PERCEPTIONS; EFFICIENT; AWARENESS; EDUCATION; BARRIERS; FEEDBACK</t>
  </si>
  <si>
    <t>The concept of energy literacy is increasingly receiving more research attention within the fields of education, economics and psychology. A wide variety of definitions and approaches characterise the energy literacy literature, making comparisons and generalizability of the findings problematic. This paper aims to review and organise the energy literacy literate that focus on the understanding of domestic electricity and gas use, by providing a framework for categorisation of the different conceptual and methodological approaches. Four types of household energy literacy are distinguished based on the existing literature: 1) device energy literacy, 2) action energy literacy, 3) financial energy literacy and 4) multifaceted energy literacy. The literature on each type of energy literacy is critically reviewed, focusing on the level of household energy literacy, its predictors and its relation to energy use. We call for more common principles and measures within the energy literacy research to allow for direct comparisons and longitudinal research on household energy literacy. This would greatly improve the quality and impact of the research, which in turn will help policy makers to decide how to address (which type of) energy literacy to facilitate domestic energy conservation.</t>
  </si>
  <si>
    <t>[van den Broek, Karlijn L.] Heidelberg Univ, Res Ctr Environm Econ, Bergheimerstr 20, D-69115 Heidelberg, Germany; [van den Broek, Karlijn L.] Heidelberg Univ, Dept Psychol, Hauptstr 47-51, D-69117 Heidelberg, Germany</t>
  </si>
  <si>
    <t>Ruprecht Karls University Heidelberg; Ruprecht Karls University Heidelberg</t>
  </si>
  <si>
    <t>van den Broek, KL (corresponding author), Heidelberg Univ, Res Ctr Environm Econ, Bergheimerstr 20, D-69115 Heidelberg, Germany.</t>
  </si>
  <si>
    <t>Karlijn.vandenbroek@awi.uni-heidelberg.de</t>
  </si>
  <si>
    <t>Abrahamse W, 2007, J ENVIRON PSYCHOL, V27, P265, DOI 10.1016/j.jenvp.2007.08.002; Allcott H, 2012, J ECON PERSPECT, V26, P3, DOI 10.1257/jep.26.1.3; [Anonymous], CHI 2013; [Anonymous], 2010, 2010 INTERNET THINGS; [Anonymous], SCH SCI MATH; [Anonymous], 1983, SCHOOL SCI MATH, DOI DOI 10.1111/J.1949-8594.1983.TB10142.X; [Anonymous], 1978, 08E01 NAT ASS ED PRO; [Anonymous], 2008, P 38 ASEEIEEE FRONTI, DOI DOI 10.1109/FIE.2008.4720280; [Anonymous], 1985, RES SCI EDUC, DOI DOI 10.1007/BF02356527; [Anonymous], AM LOW EN IQ RISK OU; [Anonymous], ELECT APPLIANCES HOM; [Anonymous], 1979, SCI ED, DOI DOI 10.1002/SCE.3730630506; [Anonymous], BIOSCIENCE; [Anonymous], BELGR CHART UNESCO U; Attari SZ, 2010, P NATL ACAD SCI USA, V107, P16054, DOI 10.1073/pnas.1001509107; BAIRD JC, 1981, J APPL PSYCHOL, V66, P90; Barrow L., 1989, Journal of Environmental Education, V20, P22, DOI [10.1080/00958964.1989.9943027, DOI 10.1080/00958964.1989.9943027]; Blasch J, 2019, RESOUR ENERGY ECON, V56, P39, DOI 10.1016/j.reseneeco.2017.06.001; Bodzin A, 2012, INT J SCI EDUC, V34, P1255, DOI 10.1080/09500693.2012.661483; Bodzin AM, 2013, INT J SCI EDUC, V35, P1561, DOI 10.1080/09500693.2013.769139; Boylan C., 2008, International Electronic Journal of Elementary Education, V1, P1; Brounen D, 2013, ENERG ECON, V38, P42, DOI 10.1016/j.eneco.2013.02.008; CHAIKEN S, 1980, J PERS SOC PSYCHOL, V39, P752, DOI 10.1037/0022-3514.39.5.752; Chen KL, 2013, ENERG POLICY, V55, P396, DOI 10.1016/j.enpol.2012.12.025; Chisik Y, 2011, LECT NOTES COMPUT SC, V6949, P100, DOI 10.1007/978-3-642-23768-3_9; Coles T, 2016, J CLEAN PROD, V111, P399, DOI 10.1016/j.jclepro.2014.09.028; Cotton D, 2016, LOCAL ENVIRON, V21, P883, DOI 10.1080/13549839.2015.1038986; Cowen L, 2017, J ENVIRON PSYCHOL, V54, P103, DOI 10.1016/j.jenvp.2017.10.002; Darby S, 2008, BUILD RES INF, V36, P499, DOI 10.1080/09613210802028428; DeWaters J, 2013, J ENVIRON EDUC, V44, P56, DOI 10.1080/00958964.2012.682615; DeWaters J, 2013, J ENVIRON EDUC, V44, P38, DOI 10.1080/00958964.2012.711378; DeWaters JE, 2011, ENERG POLICY, V39, P1699, DOI 10.1016/j.enpol.2010.12.049; DeWaters JE., 2011, FRONTIERS ED C FIE 2, DOI DOI 10.1109/FIE.2011.6142961; Dunlap RE, 2000, J SOC ISSUES, V56, P425, DOI 10.1111/0022-4537.00176; Dwyer C., 2011, Low Carbon Economy, V2, P123, DOI [10.4236/lce.2011.23016, DOI 10.4236/LCE.2011.23016]; Frederick SW, 2011, P NATL ACAD SCI USA, V108, pE23, DOI 10.1073/pnas.1014806108; Frick J, 2004, PERS INDIV DIFFER, V37, P1597, DOI 10.1016/j.paid.2004.02.015; Gabe-Thomas E, 2016, PLOS ONE, V11, DOI 10.1371/journal.pone.0158949; Gambro J.S., 1999, J ENVIRON EDUC, V30, P15, DOI DOI 10.1080/00958969909601866; Gaskell G., 1983, Journal of Consumer Policy, V6, P285, DOI DOI 10.1007/BF00411397; Gatersleben B, 2002, ENVIRON BEHAV, V34, P335, DOI 10.1177/0013916502034003004; Hanson R., 1993, Studies in Educational Evaluation, V19, P363; HAYES SC, 1977, J APPL BEHAV ANAL, V10, P425, DOI 10.1901/jaba.1977.10-425; HOLDEN CC, 1984, J RES SCI TEACH, V21, P187, DOI 10.1002/tea.3660210209; Huang YS, 2012, PROCD SOC BEHV, V51, P840, DOI 10.1016/j.sbspro.2012.08.250; Kahneman D., 2011, THINKING FAST SLOW, DOI DOI 10.1017/CBO9780511808098.004; Kempton W., 1985, Families and the Energy Transition, P115, DOI DOI 10.1300/J002V09N01_07; Lay Y.-F., 2013, International Journal of Environmental ve Science Education, V8, P199; Linden AL, 2006, ENERG POLICY, V34, P1918, DOI 10.1016/j.enpol.2005.01.015; Mansouri I, 1996, APPL ENERG, V54, P211, DOI 10.1016/0306-2619(96)00001-3; Mills B, 2012, ENERG POLICY, V49, P616, DOI 10.1016/j.enpol.2012.07.008; Min J, 2014, ECOL ECON, V97, P42, DOI 10.1016/j.ecolecon.2013.10.015; MORRISEY JT, 1984, SCI EDUC, V68, P365, DOI 10.1002/sce.3730680402; Pierce J., 2010, Proceedings of the 8th ACM Conference on Designing Interactive Systems, P113, DOI DOI 10.1145/1858171; Reinders AHME, 2003, ENERG POLICY, V31, P139, DOI 10.1016/S0301-4215(02)00019-8; Remund DL, 2010, J CONSUM AFF, V44, P276, DOI 10.1111/j.1745-6606.2010.01169.x; Schuitema G., 2005, Ontwikkelingen in het marktonder-zoek. jaar-boek markt onderzoek associatie2005, P165; Semenza JC, 2008, AM J PREV MED, V35, P479, DOI 10.1016/j.amepre.2008.08.020; SOLOMON J, 1985, SOC STUD SCI, V15, P343, DOI 10.1177/030631285015002005; Sovacool BK, 2011, ENERG POLICY, V39, P7472, DOI 10.1016/j.enpol.2010.10.008; Stern PC., 1984, Energy use: the human dimension; Sütterlin B, 2014, J ENVIRON PSYCHOL, V40, P259, DOI 10.1016/j.jenvp.2014.07.005; TVERSKY A, 1973, COGNITIVE PSYCHOL, V5, P207, DOI 10.1016/0010-0285(73)90033-9; van den Broek K. L., 2018, Journal of Dynamic Decision Making, V4, P1, DOI [10.11588/jddm.2018.1.51316, DOI 10.11588/JDDM.2018.1.51316]; van den Broek K, 2017, J ENVIRON PSYCHOL, V53, P145, DOI 10.1016/j.jenvp.2017.07.009; van den Broek KL, 2019, ENERG POLICY, V132, P811, DOI 10.1016/j.enpol.2019.06.048; van den Broek KL, 2019, J ENVIRON PSYCHOL, V62, P95, DOI 10.1016/j.jenvp.2019.02.008; van den Broek KL, 2019, ENERG POLICY, V129, P1297, DOI 10.1016/j.enpol.2019.03.033; Wood G, 2003, ENERG BUILDINGS, V35, P821, DOI 10.1016/S0378-7788(02)00241-4</t>
  </si>
  <si>
    <t>ELSEVIER</t>
  </si>
  <si>
    <t>RADARWEG 29, 1043 NX AMSTERDAM, NETHERLANDS</t>
  </si>
  <si>
    <t>2214-6296</t>
  </si>
  <si>
    <t>2214-6326</t>
  </si>
  <si>
    <t>ENERGY RES SOC SCI</t>
  </si>
  <si>
    <t>Energy Res. Soc. Sci.</t>
  </si>
  <si>
    <t>10.1016/j.erss.2019.101256</t>
  </si>
  <si>
    <t>IZ7PE</t>
  </si>
  <si>
    <t>WOS:000487287200012</t>
  </si>
  <si>
    <t>Riach, N; Glaser, R</t>
  </si>
  <si>
    <t>Riach, Nils; Glaser, Ruediger</t>
  </si>
  <si>
    <t>Local climate services. Can municipal climate profiles help improve climate literacy?</t>
  </si>
  <si>
    <t>CLIMATE SERVICES</t>
  </si>
  <si>
    <t>CHANGE ADAPTATION; KNOWLEDGE; POLICY; PROJECTIONS; ROBUSTNESS; PATHWAYS; SCIENCE; CITIES</t>
  </si>
  <si>
    <t>As the negative consequences of climate change are being felt more widely, research and practice have increasingly focused on the municipal scale to better understand and address the climate adaptation gap. The literature recognizes that adaptation is supported by the provision of climate services, the lack of which can negatively affect climate literacy and constrain adaptation planning and implementation. However, the efficacy of climate services is rarely evaluated, especially in relation to the needs of practitioners. Using the example of the German state of Baden-Wurttemberg, we survey municipal adaptation and show that it is unevenly implemented and often underdeveloped. We also introduce municipal climate profiles as a user -oriented climate service and evaluate their added value from a practitioner's perspective. Our results indicate that they help improve climate literacy, as they can serve as a catalyst for local dialogues, promoting discussions about perceived impacts and anticipated adaptation requirements. However, our findings also imply, that improving climate literacy alone may not be sufficient to bridge the adaptation gap. Clear guidelines on adaptation practices, along with funding schemes for personnel and measures, are also crucial to overcome structural barriers that hinder adaptation.</t>
  </si>
  <si>
    <t>[Riach, Nils; Glaser, Ruediger] Univ Freiberg, Inst Environm Social Sci &amp; Geog, Phys Geog, Freiburg, Germany</t>
  </si>
  <si>
    <t>University of Freiburg</t>
  </si>
  <si>
    <t>Riach, N (corresponding author), Univ Freiberg, Inst Environm Social Sci &amp; Geog, Phys Geog, Freiburg, Germany.</t>
  </si>
  <si>
    <t>nils.riach@geographie.uni-freiburg.de</t>
  </si>
  <si>
    <t>Riach, Nils/0000-0003-0100-5615</t>
  </si>
  <si>
    <t>German Federal Ministry for the Environment, Nature Protection and Nuclear Safety [67DAS204]; Open Access Publication Fund of the University of Freiburg</t>
  </si>
  <si>
    <t>German Federal Ministry for the Environment, Nature Protection and Nuclear Safety; Open Access Publication Fund of the University of Freiburg</t>
  </si>
  <si>
    <t>The research for this paper was conducted with financial support from the German Federal Ministry for the Environment, Nature Protection and Nuclear Safety in the funding line of the German Adaptation Strategy (DAS, financial support no. 67DAS204) . We acknowledge support by the Open Access Publication Fund of the University of Freiburg.</t>
  </si>
  <si>
    <t>Alizadeh O, 2022, CLIMATIC CHANGE, V170, DOI 10.1007/s10584-021-03298-4; Azevedo J, 2017, INT J GLOBAL WARM, V12, P414, DOI 10.1504/IJGW.2017.10005893; Baden-Wurttemberg, 2022, Geografie; Bayerisches Landesamt fur Umwelt, 2020, Das Bayerische Klimaprojektionsensemble-Audit und Ensemblebildung; BBSR, 2023, Raumbeobachtung-Laufende Stadtbeobachtung-Raumabgrenzungen; Berrang-Ford L, 2021, NAT CLIM CHANGE, V11, P989, DOI 10.1038/s41558-021-01170-y; Berrang-Ford L, 2015, REG ENVIRON CHANGE, V15, P755, DOI 10.1007/s10113-014-0708-7; Bivand R., 2020, CLASSINT CHOOSE UNIV; Boehnke RF, 2019, J CLEAN PROD, V207, P630, DOI 10.1016/j.jclepro.2018.09.264; Brienen S., 2020, Klimawandelbedingte Anderungen in Atmosphare und Hydrosphare: Schlussbericht des Schwerpunktthemas Szenarienbildung (SP-101) im Themenfeld 1 des BMVI- Expertennetzwerks, P157, DOI [10.5675/expnbs2020.2020.02, DOI 10.5675/EXPNBS2020.2020.02, 10.5675/ExpNBS2020.2020.02]; Campos I, 2017, LAND USE POLICY, V62, P68, DOI 10.1016/j.landusepol.2016.12.015; Carr ER, 2018, CLIM RISK MANAG, V22, P82, DOI 10.1016/j.crm.2017.03.002; Cavelier Romain, 2017, Climate Services, V6, P34, DOI 10.1016/j.cliser.2017.06.010; Chadwick A E., 2017, Oxford Research Encyclopedia of Communication, DOI [10.1093/acrefore/9780190228613.013.22, DOI 10.1093/ACREFORE/9780190228613.013.22]; Cortekar J, 2020, CLIM SERV, V17, DOI 10.1016/j.cliser.2019.100125; Cutter S, 2012, MANAGING THE RISKS OF EXTREME EVENTS AND DISASTERS TO ADVANCE CLIMATE CHANGE ADAPTATION, P291; Daron J, 2021, CLIMATIC CHANGE, V166, DOI 10.1007/s10584-021-03118-9; Dupigny-Giroux L.-A L., 2017, International Encyclopedia of Geography, P1, DOI 10.1002/9781118786352.wbieg0214; Dupigny-Giroux LAL, 2008, PHYS GEOGR, V29, P483, DOI 10.2747/0272-3646.29.6.483; Fila D, 2023, ENVIRON DEV SUSTAIN, DOI 10.1007/s10668-023-02999-3; Fünfgeld H, 2023, CURR OPIN ENV SUST, V61, DOI 10.1016/j.cosust.2023.101263; Gancheva Mariya, 2020, ADAPTING CLIMATE CHA; Garschagen M, 2021, CLIM RISK MANAG, V34, DOI 10.1016/j.crm.2021.100357; Glaas E, 2015, ENERGY RES SOC SCI, V10, P57, DOI 10.1016/j.erss.2015.06.012; Göpfert C, 2020, CITY ENVIRON INTERAC, V8, DOI 10.1016/j.cacint.2020.100052; Golding Nicola, 2017, Climate Services, V8, P72, DOI 10.1016/j.cliser.2017.11.002; Gotgelf A, 2020, ECOL SOC, V25, DOI 10.5751/ES-11768-250406; Haasnoot M, 2013, GLOBAL ENVIRON CHANG, V23, P485, DOI 10.1016/j.gloenvcha.2012.12.006; Hackenbruch J, 2017, CLIMATE, V5, DOI 10.3390/cli5020025; Hackenbruch J, 2016, METEOROL Z, V25, P291, DOI 10.1127/metz/2016/0701; Harvey B, 2019, ENVIRON POLICY GOV, V29, P107, DOI 10.1002/eet.1834; Haussler S., 2021, Standort, V70, P191; Hewitt CD, 2020, J METEOROL RES-PRC, V34, P893, DOI 10.1007/s13351-020-0042-6; Ho EH, 2019, NAT CLIM CHANGE, V9, P802, DOI 10.1038/s41558-019-0606-6; Hoppe T, 2016, SUSTAINABILITY-BASEL, V8, DOI 10.3390/su8090847; Howe LC, 2019, NAT CLIM CHANGE, V9, P863, DOI 10.1038/s41558-019-0587-5; Hubener H., 2017, ReKliEs-De Ergebnisbericht 76, DOI 10.2312/WDCC/ReKliEsDe; Huebener H, 2017, ADV SCI RES, V14, P261, DOI 10.5194/asr-14-261-2017; IPCC, 2022, INTERGOVERNMENTAL PA, DOI [10.1017/9781009325844, DOI 10.1017/9781009325844]; Jacob D, 2014, REG ENVIRON CHANGE, V14, P563, DOI 10.1007/s10113-013-0499-2; Jager J, 2015, CLIMATIC CHANGE, V128, P395, DOI 10.1007/s10584-014-1240-y; Jamshed A, 2020, INT J DISAST RISK RE, V48, DOI 10.1016/j.ijdrr.2020.101601; Jebeile J, 2023, WIRES CLIM CHANGE, V14, DOI 10.1002/wcc.833; Kahlenborn W., 2021, Klimawirkungsund Risikoanalyse 2021 fur Deutschland; Klima BB, 2022, Klimaanpassung im Landkreis Boblingen; Kuhlicke C, 2011, ENVIRON SCI POLICY, V14, P804, DOI 10.1016/j.envsci.2011.05.001; Landtag von Baden-Wurttemberg, 2023, Gesetz zum Erlass eines Klimaschutzund Klimawandelanpassungsgesetzes und zur Verankerung des Klimabelangs in weiteren Rechtsvorschriften; Lee T, 2020, CLIM POLICY, V20, P341, DOI 10.1080/14693062.2020.1730152; LUBW, 2016, Leitfaden Kommunales Starkregenrisikomanagement in BadenWurttemberg; LUBW, 2021, Klimazukunft Baden-Wurttemberg-Was uns ohne effektiven Klimaschutz erwartet!; LUBW, 2021, Nutzungshinweise fur die Verwendung von Klimamodellauswertungen fur Baden-Wurttemberg; LUBW, 2020, Wie kommt der Klimawandel bei Kommunen an?: Ergebnisse einer Umfrage; Marín-Puig A, 2022, CLIM RISK MANAG, V38, DOI 10.1016/j.crm.2022.100465; Martin MA, 2022, GLOB SUSTAIN, V5, DOI 10.1017/sus.2022.17; Mastrandrea MD, 2011, CLIMATIC CHANGE, V108, P675, DOI 10.1007/s10584-011-0178-6; McCaffrey M., 2015, J SUSTAINABILITY ED, V8; Ministerium fur Umwelt Klima und Energiewirtschaft Baden-Wurttemberg, 2015, Strategie zur Anpassung an den Klimawandel in Baden-Wurttemberg: Vulnerabilitaten und Anpassungsmassnahmen in relevanten Handlungsfeldern; Moss RH, 2010, NATURE, V463, P747, DOI 10.1038/nature08823; Muller U., 2010, Hochwasserrisikomanagement: Theorie und Praxis, P458; Nalau J, 2021, CLIM RISK MANAG, V32, DOI 10.1016/j.crm.2021.100290; Nerlich B, 2010, WIRES CLIM CHANGE, V1, P97, DOI 10.1002/wcc.002; Nkoana EM, 2018, SUSTAINABILITY-BASEL, V10, DOI 10.3390/su10030796; Oberlack C, 2018, J I ECON, V14, P527, DOI 10.1017/S1744137417000509; Otto A, 2021, CLIMATIC CHANGE, V167, DOI 10.1007/s10584-021-03142-9; Otto J., 2016, Bulletin of the American Meteorological Society, V97, pES265, DOI [10.1175/bams-d-16-0173, DOI 10.1175/BAMS-D-16-0173.1, 10.1175/BAMS-D-16-0173.1]; Parker WS, 2013, WIRES CLIM CHANGE, V4, P213, DOI 10.1002/wcc.220; Pasquini L, 2020, CLIM DEV, V12, P408, DOI 10.1080/17565529.2019.1632166; Pebesma E, 2018, R J, V10, P439; Perrels A, 2020, CLIM SERV, V17, DOI 10.1016/j.cliser.2020.100152; Pfeifer S, 2021, Klimaausblicke fur Landkreise; Pfeifer S, 2015, ATMOSPHERE-BASEL, V6, P677, DOI 10.3390/atmos6050677; Pisor AC, 2022, NAT CLIM CHANGE, V12, P213, DOI 10.1038/s41558-022-01303-x; Potsdam-Institut fur Klimafolgenforschung, 2023, KlimafolgenOnline; Puntub W, 2023, J ENVIRON PLANN MAN, V66, P1918, DOI 10.1080/09640568.2022.2043260; R Core Team, 2023, R: A language and environment for statistical computing, DOI DOI 10.4135/9781473920446.N12; Räsänen A, 2017, CLIM RISK MANAG, V16, P29, DOI 10.1016/j.crm.2017.03.004; Reckien D, 2018, J CLEAN PROD, V191, P207, DOI 10.1016/j.jclepro.2018.03.220; Riach N., 2023, Climate. Risk Manage., V64; Shwom R, 2017, FRONT ECOL ENVIRON, V15, P377, DOI 10.1002/fee.1519; Simpson NP, 2021, NAT CLIM CHANGE, V11, P937, DOI 10.1038/s41558-021-01171-x; Soares MB, 2018, CLIM SERV, V9, P5, DOI 10.1016/j.cliser.2017.06.001; Somerville RCJ, 2011, PHYS TODAY, V64, P48, DOI 10.1063/PT.3.1296; Statistische Amter der Lander, 2022, Volkswirtschaftliche Gesamtrechnungen der Lander: Gesamtwirtschaftliche Ergebnisse im Bundeslandervergleich; Statistisches Landesamt Baden-Wurttemberg, 2021, Feststellung des Gebietsstandes; Stevenson KT, 2014, CLIMATIC CHANGE, V126, P293, DOI 10.1007/s10584-014-1228-7; Street R., 2015, A European research and innovation roadmap for climate services, P51; Street R.B., 2016, Climate Services, V1, P2, DOI [DOI 10.1016/J.CLISER.2015.12, 10.1016/j.cliser.2015.12.001, DOI 10.1016/J.CLISER.2015.12.001]; Suhaimi N, 2022, SUSTAINABILITY-BASEL, V14, DOI 10.3390/su141911940; Tall A, 2018, CLIM SERV, V11, P1, DOI 10.1016/j.cliser.2018.06.001; Wickham H., 2022, DPLYR GRAMMAR DATA M; Wickham HesterJ., 2021, readr: Read Rectangular Text Data (2.0.0); Wilby RL, 2010, WEATHER, V65, P180, DOI 10.1002/wea.543; Zebiak SE, 2019, CLIM SERV, V15, DOI 10.1016/j.cliser.2019.100121</t>
  </si>
  <si>
    <t>2405-8807</t>
  </si>
  <si>
    <t>CLIM SERV</t>
  </si>
  <si>
    <t>Clim. Serv.</t>
  </si>
  <si>
    <t>10.1016/j.cliser.2024.100449</t>
  </si>
  <si>
    <t>FEB 2024</t>
  </si>
  <si>
    <t>Environmental Sciences; Environmental Studies; Meteorology &amp; Atmospheric Sciences</t>
  </si>
  <si>
    <t>Environmental Sciences &amp; Ecology; Meteorology &amp; Atmospheric Sciences</t>
  </si>
  <si>
    <t>KR2B5</t>
  </si>
  <si>
    <t>WOS:001181617600001</t>
  </si>
  <si>
    <t>Martins, A; Madaleno, M; Dias, MF</t>
  </si>
  <si>
    <t>Gonzalez, MAC; Sedano, FJR; Llamas, CF; GarciaPenalvo, FJ</t>
  </si>
  <si>
    <t>Martins, Ana; Madaleno, Mara; Dias, Marta Ferreira</t>
  </si>
  <si>
    <t>Energy Literacy: Does education field matter?</t>
  </si>
  <si>
    <t>TEEM'19: SEVENTH INTERNATIONAL CONFERENCE ON TECHNOLOGICAL ECOSYSTEMS FOR ENHANCING MULTICULTURALITY</t>
  </si>
  <si>
    <t>7th International Conference on Technological Ecosystems for Enhancing Multiculturality (TEEM)</t>
  </si>
  <si>
    <t>OCT 16-18, 2019</t>
  </si>
  <si>
    <t>Leon, SPAIN</t>
  </si>
  <si>
    <t>Attitude; Behavior; Education field; Energy Literacy; Knowledge; Portugal</t>
  </si>
  <si>
    <t>SUSTAINABLE DEVELOPMENT; STUDENTS; EFFICIENCY; ATTITUDES; BEHAVIOR; KNOWLEDGE; MIDDLE; POLICY; CAMPUS</t>
  </si>
  <si>
    <t>Considering as an essential tool that allows citizens to adopt more energy efficiency behavior, energy literacy is seen as part of the solution to the growing problem of climate change, and even to the scarcity of fossil fuels. The concept of energy literacy aggregates three main dimensions: energy-related knowledge, attitude and behavior. Although knowledge alone may not be synonymous of a good level of energy literacy, it is one of the cornerstones. As a rule, much of the knowledge we have is acquired in schools, and although in the early years some focus is given to some basic notions of energy, these prove to be insufficient. In this way, more specific energy-related knowledge can be acquired later in higher education. However, not all higher education courses include in their curriculum, units that meet this need. Thus, in this paper we intend to evaluate how the education field influences the levels of energy literacy. Statistically and in empirical terms, we found that the levels of energy literacy are moderate, but we did not find significant differences between the different education fields analyzed. The reasons for the findings are discussed and we provide some suggestions for the future of education.</t>
  </si>
  <si>
    <t>[Martins, Ana] Univ Aveiro, Dept Econ Management Ind Engn &amp; Tourism, DEGEIT, Aveiro, Portugal; [Madaleno, Mara; Dias, Marta Ferreira] Univ Aveiro, Res Unit Governance Competitiveness &amp; Publ Polici, GOVCOPP, DEGEIT, Aveiro, Portugal</t>
  </si>
  <si>
    <t>Universidade de Aveiro; Universidade de Aveiro</t>
  </si>
  <si>
    <t>Martins, A (corresponding author), Univ Aveiro, Dept Econ Management Ind Engn &amp; Tourism, DEGEIT, Aveiro, Portugal.</t>
  </si>
  <si>
    <t>anapmartins@ua.pt; maramadaleno@ua.pt; mfdias@ua.pt</t>
  </si>
  <si>
    <t>Ferreira Dias, Marta/C-2023-2017; Madaleno, Mara/A-6356-2018</t>
  </si>
  <si>
    <t>Ferreira Dias, Marta/0000-0002-6695-8479; Madaleno, Mara/0000-0002-4905-2771; Martins, Ana Patricia/0000-0001-9801-7799</t>
  </si>
  <si>
    <t>Aguirre-Bielschowsky I., 2017, ENV ED RES; Allcott H, 2014, J PUBLIC ECON, V112, P72, DOI 10.1016/j.jpubeco.2014.01.004; Attari SZ, 2010, P NATL ACAD SCI USA, V107, P16054, DOI 10.1073/pnas.1001509107; Ballantyne R., 2006, ENVIRON EDUC RES, V12, P413, DOI [10.1080/13504620600942972, DOI 10.1080/13504620600942972]; Blasch J., 2018, EMPOWER CONSUMER ENE; Bodzin A, 2012, INT J SCI EDUC, V34, P1255, DOI 10.1080/09500693.2012.661483; Bodzin AM, 2013, INT J SCI EDUC, V35, P1561, DOI 10.1080/09500693.2013.769139; Brewer R.S., 2011, 44th Hawaii International Conference on System Sciences (HICSS), P1; Brutscher P.-B., 2011, PAYMENT MATTERS AN E; Carlsson-Kanyama A, 2007, ENERG POLICY, V35, P2163, DOI 10.1016/j.enpol.2006.06.018; Chen SJ, 2015, ENERG EFFIC, V8, P791, DOI 10.1007/s12053-015-9327-5; Costanza E, 2012, UBICOMP'12: PROCEEDINGS OF THE 2012 ACM INTERNATIONAL CONFERENCE ON UBIQUITOUS COMPUTING, P216; Cotton D, 2016, J CLEAN PROD, V129, P586, DOI 10.1016/j.jclepro.2016.03.136; Cotton D, 2009, STUD HIGH EDUC, V34, P719, DOI 10.1080/03075070802641552; Cotton DRE, 2015, INT J SUST HIGHER ED, V16, P456, DOI 10.1108/IJSHE-12-2013-0166; Dahle M., 2001, INT J SUST HIGHER ED, V2, P139, DOI DOI 10.1108/14676370110388363; DeWaters J.E., 2007, C P DESSAULT SYSTEME; DeWaters J, 2013, J ENVIRON EDUC, V44, P56, DOI 10.1080/00958964.2012.682615; DeWaters JE, 2011, ENERG POLICY, V39, P1699, DOI 10.1016/j.enpol.2010.12.049; Dianshu F, 2010, ENERG POLICY, V38, P1202, DOI 10.1016/j.enpol.2009.11.012; Dijkstra EM, 2012, ENVIRON EDUC RES, V18, P733, DOI 10.1080/13504622.2012.662213; do Paço A, 2013, APCBEE PROC, V5, P44, DOI 10.1016/j.apcbee.2013.05.009; Gambro J.S., 1994, A National Survey of Environmental Knowledge in High School Students: Levels of Knowledge and Related Variables; GELLER ES, 1981, J CONSUM RES, V8, P331, DOI 10.1086/208872; Gillingham K, 2014, REV ENV ECON POLICY, V8, P18, DOI 10.1093/reep/ret021; Hopkinson P, 2008, ENVIRON EDUC RES, V14, P435, DOI 10.1080/13504620802283100; Kang NN, 2012, ENERG BUILDINGS, V46, P112, DOI 10.1016/j.enbuild.2011.10.039; Kumar N., 2019, 19312 CERETH ZUR; Lee LS, 2015, ENERG POLICY, V76, P98, DOI 10.1016/j.enpol.2014.11.012; Murphy T.P., 2008, 3 MINNESOTA REPORT C; Murphy T.P., 2002, The Minnesota report card on environmental literacy; Palmer K, 2013, ENERG EFFIC, V6, P271, DOI 10.1007/s12053-012-9178-2; Räty R, 2010, ENERG POLICY, V38, P646, DOI 10.1016/j.enpol.2009.08.010; Sovacool BK, 2015, ENVIRON SCI POLICY, V54, P304, DOI 10.1016/j.envsci.2015.07.011; Staats HJ, 1996, J ENVIRON MANAGE, V46, P189, DOI 10.1006/jema.1996.0015; Trotta G., 2017, 15 IAEE EUR C; US Department of Energy, 2017, Energy literacy: Essential principles and fundamental concepts for energy education; van der Horst D, 2016, J GEOGR HIGHER EDUC, V40, P67, DOI 10.1080/03098265.2015.1089477; Yeh SC, 2017, SUSTAINABILITY-BASEL, V9, DOI 10.3390/su9030423; Zografakis N, 2008, ENERG POLICY, V36, P3226, DOI 10.1016/j.enpol.2008.04.021</t>
  </si>
  <si>
    <t>ASSOC COMPUTING MACHINERY</t>
  </si>
  <si>
    <t>1601 Broadway, 10th Floor, NEW YORK, NY, UNITED STATES</t>
  </si>
  <si>
    <t>978-1-4503-7191-9</t>
  </si>
  <si>
    <t>10.1145/3362789.3362938</t>
  </si>
  <si>
    <t>Computer Science, Interdisciplinary Applications; Computer Science, Theory &amp; Methods</t>
  </si>
  <si>
    <t>Computer Science</t>
  </si>
  <si>
    <t>BO7SX</t>
  </si>
  <si>
    <t>WOS:000525516700076</t>
  </si>
  <si>
    <t>Cretella, A; Scherer, C; Holm, P</t>
  </si>
  <si>
    <t>Cretella, Agnese; Scherer, Cordula; Holm, Poul</t>
  </si>
  <si>
    <t>Tasting the ocean: How to increase ocean literacy using seafood heritage with a visceral approach</t>
  </si>
  <si>
    <t>Sustainable seafood; Marine heritage; Ocean literacy; Decade of ocean science; Visceral methods</t>
  </si>
  <si>
    <t>PRO-ENVIRONMENTAL BEHAVIORS; FOOD; GEOGRAPHIES; BACK</t>
  </si>
  <si>
    <t>This contribution explores the growing interest in ocean literacy and sustainable seafood consumption through the lens of transdisciplinary and visceral research methods. It illustrates a series of experimental, marine-focused workshops, carried out during the Covid-19 pandemic for Irish students aged between 15 and 18. The empirical body builds on a series of questionnaires completed prior, during and at the end of the workshops as well as direct observations of feedbacks and interactions. By offering to the students creative and playful methods which included cooking classes, coastal explorations and information about their coastal cultural heritage, we argue that transdisciplinary and visceral methods can facilitate how ocean literacy and sustainable eating is understood and operationalised-in both educational programmes and policy frameworks.</t>
  </si>
  <si>
    <t>[Cretella, Agnese; Scherer, Cordula; Holm, Poul] Trinity Coll Dublin, Trinity Ctr Environm Humanities, Sch Hist &amp; Humanities, Dublin, Ireland; [Cretella, Agnese] Univ Bologna, Dept Philosophy &amp; Commun, via Zamboni 38, I-40126 Bologna, Italy</t>
  </si>
  <si>
    <t>Trinity College Dublin; University of Bologna</t>
  </si>
  <si>
    <t>Cretella, A (corresponding author), Trinity Coll Dublin, Trinity Ctr Environm Humanities, Sch Hist &amp; Humanities, Dublin, Ireland.</t>
  </si>
  <si>
    <t>cretella@tcd.ie</t>
  </si>
  <si>
    <t>Holm, Poul/E-8100-2012</t>
  </si>
  <si>
    <t>Holm, Poul/0000-0003-3927-3308; Cretella, Agnese/0000-0002-1937-6273</t>
  </si>
  <si>
    <t>Irish Research Council under the COALESCE; Irish Marine Institute under the Networking &amp; Travel Award scheme; Irish Research Council [COALESCE/2019/97]</t>
  </si>
  <si>
    <t>Irish Research Council under the COALESCE(Irish Research Council for Science, Engineering and Technology); Irish Marine Institute under the Networking &amp; Travel Award scheme; Irish Research Council(Irish Research Council for Science, Engineering and Technology)</t>
  </si>
  <si>
    <t>The research for this article was conducted at the Trinity Centre forEnvironmental Humanities of Trinity College Dublin, Ireland, between September 2020 and September 2021 within the Food Smart Dublin project. Resources for the project were provided by the Irish Research Council under the COALESCE funding scheme (recipient: Poul Holm) . Additional funding for the workshops was provided by the Irish Marine Institute under the Networking &amp; Travel Award scheme (recipient: Agnese Cretella) . This research was supported by an Irish Research Council grant COALESCE/2019/97.</t>
  </si>
  <si>
    <t>AJZEN I, 1991, ORGAN BEHAV HUM DEC, V50, P179, DOI 10.1016/0749-5978(91)90020-T; Aksnes D L., 2017, Food from the Oceans-How can more food and biomass be obtained from the oceans in a way that does not deprive future generations of their benefits?, DOI DOI 10.26356/FOODFROMTHE-OCEANS; Barrionuevo CA, 2019, BRIT FOOD J, V121, P3168, DOI 10.1108/BFJ-10-2018-0711; Bene C, 2015, FOOD SECUR, V7, P261, DOI 10.1007/s12571-015-0427-z; BIM B.I.M., 2020, BUS SEAF A SNAPSH IR; Bord Bia, 2020, IR SEAF SECT PROF; Borghini Andrea., 2022, PHILOS RECIPES MAKIN, P15, DOI DOI 10.5040/9781350145948.CH-1; Brown R., 2003, TRAINING DEV AUSTR, V30, P14; Carrus G., 2014, PLACE ATTACHMENT ADV, P154; Cava F., 2005, Science content and standards for ocean literacy: A report on ocean literacy; Costa S, 2018, MAR POLICY, V87, P149, DOI 10.1016/j.marpol.2017.10.022; Cretella A., 2021, FOOD SMART DUBLIN RE, P49; Egan SM, 2021, IRISH EDUC STUD, V40, P275, DOI 10.1080/03323315.2021.1932551; Ferreira JC, 2021, EDUC SCI, V11, DOI 10.3390/educsci11020062; Graham CR, 2013, HANDBOOK OF DISTANCE EDUCATION, 3RD EDITION, P333; Halpenny EA, 2010, J ENVIRON PSYCHOL, V30, P409, DOI 10.1016/j.jenvp.2010.04.006; Hayes-Conroy A, 2008, GENDER PLACE CULT, V15, P461, DOI 10.1080/09663690802300803; Hayes-Conroy A, 2010, ENVIRON PLANN A, V42, P2956, DOI 10.1068/a4365; Hayes-Conroy J, 2013, EMOT SPACE SOC, V6, P81, DOI 10.1016/j.emospa.2011.11.003; Hayes-Conroy J, 2010, GEOGR COMPASS, V4, P1273, DOI 10.1111/j.1749-8198.2010.00373.x; Howard P, 2003, J CULT HERIT, V4, P57, DOI 10.1016/S1296-2074(03)00008-6; Huber K.M., 2020, TEACHING OCEAN LIT H; Lalima D., 2017, Universal Journal of Educational Research, V5, P129, DOI [10.13189/ujer.2017.050116, DOI 10.13189/UJER.2017.050116]; Laurajane Smith., 2006, USES HERITAGE; Leer J, 2016, CRIT FOOD STUD, P1; Longhurst R, 2009, T I BRIT GEOGR, V34, P333, DOI 10.1111/j.1475-5661.2009.00349.x; McKinley E, 2010, OCEAN COAST MANAGE, V53, P379, DOI 10.1016/j.ocecoaman.2010.04.012; Mhara B.I., 2020, SHELLFISH STOCKS FIS; Miles EL, 2009, ANNU REV ENV RESOUR, V34, P17, DOI 10.1146/annurev.environ.33.041707.110117; Norberg A, 2011, HORIZON, V19, P207, DOI 10.1108/10748121111163913; Ramkissoon H, 2013, TOURISM MANAGE, V36, P552, DOI 10.1016/j.tourman.2012.09.003; Rawson Katie., 2019, Dining Out: A Global History of Restaurants; Roe EJ, 2006, SOCIOL RURALIS, V46, P104, DOI 10.1111/j.1467-9523.2006.00402.x; Roe M, 2016, LANDSCAPE RES, V41, P709, DOI 10.1080/01426397.2016.1226016; Roe M, 2016, LANDSCAPE RES, V41, P757, DOI [10.1080/01426397.2016.1226016, 10.1080/01426397.2016.1212324]; Ryabinin V, 2019, FRONT MAR SCI, V6, DOI 10.3389/fmars.2019.00470; Scherer C., 2020, FOOD ETHICS, V5, P7, DOI [10.1007/s41055-019-00061-5, DOI 10.1007/S41055-019-00061-5]; Sexton AE, 2017, GEOFORUM, V82, P200, DOI 10.1016/j.geoforum.2017.03.014; Shivam R., 2015, International Journal of Scientific and Research Publications, V5, P369; Shove E, 2010, ENVIRON PLANN A, V42, P1273, DOI 10.1068/a42282; Siegel A., 2019, CLOSE ENCOUNTERS FOO; Steg L, 2009, J ENVIRON PSYCHOL, V29, P309, DOI 10.1016/j.jenvp.2008.10.004; Taylor SFW, 2019, FOOD SECUR, V11, P1395, DOI 10.1007/s12571-019-00971-6; Waitt G, 2014, SOC CULT GEOGR, V15, P406, DOI 10.1080/14649365.2014.894113; White K, 2019, J MARKETING, V83, P22, DOI 10.1177/0022242919825649</t>
  </si>
  <si>
    <t>10.1016/j.marpol.2023.105476</t>
  </si>
  <si>
    <t>JAN 2023</t>
  </si>
  <si>
    <t>8P3SL</t>
  </si>
  <si>
    <t>hybrid, Green Published</t>
  </si>
  <si>
    <t>WOS:000926445400001</t>
  </si>
  <si>
    <t>Ramachandran, A; Ellis, N; Gladwin, D</t>
  </si>
  <si>
    <t>Ramachandran, Aishwarya; Ellis, Naoko; Gladwin, Derek</t>
  </si>
  <si>
    <t>Energy literacy: A review in education</t>
  </si>
  <si>
    <t>JOURNAL OF ENVIRONMENTAL EDUCATION</t>
  </si>
  <si>
    <t>Energy literacy; literature review; energy transition; energy education; environmental education; education systems</t>
  </si>
  <si>
    <t>STUDENTS; BEHAVIOR; MIDDLE; MODEL</t>
  </si>
  <si>
    <t>Energy literacy is a developing field of research and practice that provides a comprehensive way of understanding how energy functions in the universe, on the earth, and in our social and personal lives. This literature review, building on an increasing momentum of research across various disciplines, outlines current energy literacy scholarship focused on a range of educational contexts (i.e., K-12, higher and post-secondary, teacher education and professional programs, and informal education). This review aims to show how energy literacy serves as a multifaceted way of developing knowledge and experiences about energy, which is an integral part of environmental and sustainability education, and that links to educational research and scholarship that supports energy transition in society more broadly.</t>
  </si>
  <si>
    <t>[Ramachandran, Aishwarya; Ellis, Naoko; Gladwin, Derek] Univ British Columbia, Vancouver, BC, Canada; [Gladwin, Derek] Univ British columbia, Language &amp; Literacy Educ, Vancouver, BC, Canada</t>
  </si>
  <si>
    <t>University of British Columbia; University of British Columbia</t>
  </si>
  <si>
    <t>Gladwin, D (corresponding author), Univ British columbia, Language &amp; Literacy Educ, Vancouver, BC, Canada.</t>
  </si>
  <si>
    <t>derek.gladwin@ubc.ca</t>
  </si>
  <si>
    <t>Ellis, Naoko/0000-0002-1241-1259; Gladwin, Derek/0000-0002-0053-4745</t>
  </si>
  <si>
    <t>Social Sciences and Humanities Research Council of Canada</t>
  </si>
  <si>
    <t>Social Sciences and Humanities Research Council of Canada(Social Sciences and Humanities Research Council of Canada (SSHRC))</t>
  </si>
  <si>
    <t>This work was supported by Social Sciences and Humanities Research Council of Canada.</t>
  </si>
  <si>
    <t>Adams J, 2022, ENERGY RES SOC SCI, V91, DOI 10.1016/j.erss.2022.102718; Aguirre-Bielschowsky I, 2017, ENVIRON EDUC RES, V23, P832, DOI 10.1080/13504622.2015.1054267; [Anonymous], 2012, RTI Press Research Report No. RR-0018-1208, DOI DOI 10.3768/RTIPRESS.2012.RR.0018.1208; Appiah MK, 2023, ENERGY REP, V10, P72, DOI 10.1016/j.egyr.2023.06.008; Bodzin AM, 2013, INT J SCI EDUC, V35, P1561, DOI 10.1080/09500693.2013.769139; Castañeda-Garza G, 2023, ENVIRON EDUC RES, V29, P410, DOI 10.1080/13504622.2022.2135687; Chen KL, 2013, ENERG POLICY, V55, P396, DOI 10.1016/j.enpol.2012.12.025; Chen SJ, 2015, ENERG EFFIC, V8, P791, DOI 10.1007/s12053-015-9327-5; Cotton DRE, 2021, J CLEAN PROD, V278, DOI 10.1016/j.jclepro.2020.123876; Cotton DRE, 2015, INT J SUST HIGHER ED, V16, P456, DOI 10.1108/IJSHE-12-2013-0166; DeWaters J, 2013, J ENVIRON EDUC, V44, P56, DOI 10.1080/00958964.2012.682615; DeWaters J, 2013, J ENVIRON EDUC, V44, P38, DOI 10.1080/00958964.2012.711378; DeWaters JE, 2011, ENERG POLICY, V39, P1699, DOI 10.1016/j.enpol.2010.12.049; Dias RA, 2021, RENEW SUST ENERG REV, V141, DOI 10.1016/j.rser.2021.110845; Eisler D., 2016, SCH PUBLIC POLICY RE, V9, P1; Eitel K., 2015, J SUSTAINABILITY ED, V8.; Gladwin D, 2023, ENVIRON EDUC RES, V29, P1515, DOI 10.1080/13504622.2023.2175794; Gladwin D, 2022, J ENVIRON EDUC, V53, P251, DOI 10.1080/00958964.2022.2113019; Güven G, 2019, CUKUROVA UNIV FAC ED, V48, P821, DOI 10.14812/cufej.489058; Hecht E, 2019, AM J PHYS, V87, P495, DOI 10.1119/1.5109863; Huang YS, 2012, PROCD SOC BEHV, V51, P840, DOI 10.1016/j.sbspro.2012.08.250; Jorgenson SN, 2019, J ENVIRON EDUC, V50, P160, DOI 10.1080/00958964.2019.1604478; Keller L, 2022, ENERGIES, V15, DOI 10.3390/en15031118; Salvia AL, 2020, INT J SUST HIGHER ED, V21, P1607, DOI 10.1108/IJSHE-05-2020-0180; Langfitt Q, 2015, J PROF ISS ENG ED PR, V141, DOI 10.1061/(ASCE)EI.1943-5541.0000210; Lee LS, 2019, ENERG POLICY, V135, DOI 10.1016/j.enpol.2019.111005; Lee LS, 2015, ENERG POLICY, V76, P98, DOI 10.1016/j.enpol.2014.11.012; Lee YF, 2022, ENVIRON EDUC RES, V28, P907, DOI 10.1080/13504622.2022.2034752; Lin KY, 2018, J BALT SCI EDUC, V17, P867; Lowan-Trudeau G, 2022, AUST J ENVIRON EDUC, V38, P58, DOI 10.1017/aee.2021.15; Martins A, 2020, ENERGIES, V13, DOI 10.3390/en13133412; Martins A, 2019, INT CONF EUR ENERG, DOI 10.1109/eem.2019.8916458; Martins A, 2020, ENERGY REP, V6, P454, DOI 10.1016/j.egyr.2019.09.007; McCaffrey M., 2015, J SUSTAINABILITY ED, V8; Mehmood A, 2022, ENERGY REP, V8, P332, DOI 10.1016/j.egyr.2022.01.050; Merritt EG, 2023, INT J SCI MATH EDUC, V21, P2237, DOI 10.1007/s10763-023-10352-3; Opoku RA, 2023, CLEAN RESPONS CONSUM, V8, DOI 10.1016/j.clrc.2023.100100; Lasuen UO, 2020, INT J SUST HIGHER ED, V21, P1277, DOI 10.1108/IJSHE-12-2019-0363; Pestana C, 2021, SUSTAINABILITY-BASEL, V13, DOI 10.3390/su13147543; Rohmatulloh, 2023, PEGEM EGIT OGR DERG, V13, P145, DOI 10.47750/pegegog.13.01.17; Smil Vaclav., 2022, How the World Really Works: The Science Behind How We Got Here and Where We're Going; Sovacool B.K., 2019, Visions of energy futures: Imagining and innovating low-carbon transitions; Sovacool BK, 2017, ENERG POLICY, V105, P677, DOI 10.1016/j.enpol.2017.03.005; Sovacool BK, 2015, ENVIRON SCI POLICY, V54, P304, DOI 10.1016/j.envsci.2015.07.011; TURNER M, 2014, INT EN SUST C 2014, P1; van den Broek KL, 2019, ENERGY RES SOC SCI, V57, DOI 10.1016/j.erss.2019.101256; van der Horst D, 2016, J GEOGR HIGHER EDUC, V40, P67, DOI 10.1080/03098265.2015.1089477; Wang JQ, 2022, ENERGY RES SOC SCI, V87, DOI 10.1016/j.erss.2021.102465; Wang M, 2021, ENERGY REP, V7, P1084, DOI 10.1016/j.egyr.2021.09.163; Yeh SC, 2017, SUSTAINABILITY-BASEL, V9, DOI 10.3390/su9030423; Yusup M, 2017, J PHYS CONF SER, V895, DOI 10.1088/1742-6596/895/1/012161; Yusup M, 2017, J PHYS CONF SER, V877, DOI 10.1088/1742-6596/877/1/012014</t>
  </si>
  <si>
    <t>0095-8964</t>
  </si>
  <si>
    <t>1940-1892</t>
  </si>
  <si>
    <t>J ENVIRON EDUC</t>
  </si>
  <si>
    <t>J. Environ. Educ.</t>
  </si>
  <si>
    <t>MAY 3</t>
  </si>
  <si>
    <t>10.1080/00958964.2023.2283694</t>
  </si>
  <si>
    <t>NOV 2023</t>
  </si>
  <si>
    <t>TG5V8</t>
  </si>
  <si>
    <t>WOS:001120808800001</t>
  </si>
  <si>
    <t>Schubel, JR; Schubel, KA</t>
  </si>
  <si>
    <t>Schubel, Jerry R.; Schubel, Kathryn A.</t>
  </si>
  <si>
    <t>From Ocean Issues to Solutions: The Role of Public Ocean Literacy</t>
  </si>
  <si>
    <t>Public awareness and understanding of ocean issues is key to generating the political will to address these problems. The case for the importance of an ocean literate public in moving from issues to solutions has been made in a series of reports by national commissions starting with the Stratton Commission in 1969. Since 2004 there has been a renewed interest in promoting ocean literacy both at the K-12 grade levels and of the general public. Aquariums and other informal science institutions are seen as key players. The Aquarium of the Pacific has focused on public ocean literacy and during its 10(th) anniversary year has embarked upon a major initiative to bring major ocean issues to the public in new and novel ways, to evaluate the efficacy of these modalities, and through a national conference in May 2009 to bring scientific experts together with experts in exhibit design, film-making, environmental journalism, and story-telling to develop a portfolio of materials designed for different modalities of delivery for each of the major ocean issues that can be used widely to engage, educate and empower the public in moving from ocean issues to solutions. We invite participation by the MTS and its members.</t>
  </si>
  <si>
    <t>[Schubel, Jerry R.] Aquarium Pacific, 100 Aquarium Way, Long Beach, CA 90802 USA; [Schubel, Kathryn A.] Golden Shore Inst, Seal Beach, CA 90740 USA</t>
  </si>
  <si>
    <t>Schubel, JR (corresponding author), Aquarium Pacific, 100 Aquarium Way, Long Beach, CA 90802 USA.</t>
  </si>
  <si>
    <t>*AM ASS ADV SCI, 2004, MAR ISS SURV; [Anonymous], 2004, OC BLUEPR 21 CENT; *AQ PACF, 2006, SUMM MAR LIT PLANN A; Belden R., 1999, COMMUNICATING OCEANS; Koster E.H., 2007, In principle, in practice, P107; KROSNICK JA, 2007, ENV ENG STUD I M WAS; MORROW C, 2002, BLUEPRINT CHANGE REP, P71; *OC LIT NETW, 2005, ESS PRINC FUND CONC; *PEW OC COMM, 2003, AM LIV OC CHART COUR; SCHUBEL JR, 2006, PUBLIC OCEAN LITERAC; SCHUBEL JR, 2005, PUBLIC OCEAN LITERAC; SCHUBEL JR, 2006, INCREASING PUBLIC OC; Stratton Commission, 1969, OUR NAT SEA PLAN NAT; *US OC ACT PLAN, 2004, BUSH ADM REP US COMM; 2006, COOL C OC LIT REP; 2006, COOL CONFERE3NCE OC, P22</t>
  </si>
  <si>
    <t>+</t>
  </si>
  <si>
    <t>WOS:000265654500079</t>
  </si>
  <si>
    <t>DeWaters, J; Powers, S</t>
  </si>
  <si>
    <t>DeWaters, Jan; Powers, Susan</t>
  </si>
  <si>
    <t>Establishing Measurement Criteria for an Energy Literacy Questionnaire</t>
  </si>
  <si>
    <t>energy education; energy literacy; energy questionnaire; measurement criteria</t>
  </si>
  <si>
    <t>SCIENTIFIC LITERACY; SCIENCE-EDUCATION</t>
  </si>
  <si>
    <t>Energy literacy is a broad term encompassing content knowledge as well as a citizenship understanding of energy that includes affective and behavioral aspects. This article presents explicit criteria that will serve as a foundation for developing measurable objectives for energy literacy in three dimensions: cognitive (knowledge, cognitive skills), affective (attitude, values, personal responsibility); and behavioral. The outcome of this research is a framework from which a quantitative survey of energy literacy for secondary students in New York State, United States, can be created. Efforts supported by this research may help assess the broader impacts of educational programs in terms of their effectiveness for improving students' energy literacy.</t>
  </si>
  <si>
    <t>[DeWaters, Jan] Clarkson Univ, Wallace H Coulter Sch Engn, Potsdam, NY 13699 USA</t>
  </si>
  <si>
    <t>Clarkson University</t>
  </si>
  <si>
    <t>DeWaters, J (corresponding author), Clarkson Univ, Wallace H Coulter Sch Engn, Box 5700, Potsdam, NY 13699 USA.</t>
  </si>
  <si>
    <t>dewaters@clarkson.edu</t>
  </si>
  <si>
    <t>DeWaters, Jan/0000-0002-0435-5971</t>
  </si>
  <si>
    <t>Aikenhead G., 2003, A vision for science education: Responding to the work of Peter J. Fensham, P59; American Association for the Advancement of Science (AAAS), 1989, PROJ 2061 SCI ALL AM; American Association for the Advancement of Science (AAAS), 1993, BENCHM SCI LIT 1; Anderson L., 2009, TAXONOMY LEARNING TE; [Anonymous], MIDDLE SCH REP UNPUB; [Anonymous], HDB D MCKAY CO INC; [Anonymous], EN KNOWL ATT NAT ASS; [Anonymous], 1994, J SCI TEACH EDUC, DOI DOI 10.1007/BF02969146; [Anonymous], 1989, Connect: UNESCO-UNEP Environmental Education Newsletter, V15, P1; [Anonymous], ENV ED LITERACY NEED; [Anonymous], 1971, The Science Teacher, V38, P46; [Anonymous], ENV LITERACY U UNPUB; [Anonymous], 1976, Connect (UNESCO/UNEP Environmental Education Newsletter), V1, P1; [Anonymous], ENERGY PULSE SURVEY; [Anonymous], 200701 MIT LFEE WP; [Anonymous], AM LOW EN IQ RISK OU; [Anonymous], SCH SCI MATH; [Anonymous], 1975, Communications of scientific information; [Anonymous], 2012, FRAM K 12 SCI ED PRA; [Anonymous], STAND TECH LIT CONT; [Anonymous], THESIS U WISCONSIN S; [Anonymous], ESSENTIAL READINGS E; [Anonymous], 1996, NAT SCI ED STAND, DOI DOI 10.17226/4962; Bang HK, 2000, PSYCHOL MARKET, V17, P449, DOI 10.1002/(SICI)1520-6793(200006)17:6&lt;449::AID-MAR2&gt;3.0.CO;2-8; Barrow L., 1989, Journal of Environmental Education, V20, P22, DOI [10.1080/00958964.1989.9943027, DOI 10.1080/00958964.1989.9943027]; Bennett D.B., 1984, Evaluating Environmental Education in Schools: A practical guide for teachers; Bittle S., 2009, The energy learning curve. Public Agenda; Bloom B., 1984, Taxonomy of. Educational Objectives; Culen G.R., 2000, The Journal of Environmental Education, V31, P9, DOI [10.1080/00958960009598633, DOI 10.1080/00958960009598633]; DeBoer GE, 2000, J RES SCI TEACH, V37, P582, DOI 10.1002/1098-2736(200008)37:6&lt;582::AID-TEA5&gt;3.0.CO;2-L; DeWaters J, 2013, J ENVIRON EDUC, V44, P56, DOI 10.1080/00958964.2012.682615; DeWaters JE, 2011, ENERG POLICY, V39, P1699, DOI 10.1016/j.enpol.2010.12.049; Disinger J.F., 1992, ERIC/CSMEE Digest, V92, P1; Federal Register, 1992, SOL NOT EPA ENV ED G, P47516; Federal Register, 1996, SOL NOT ENV ED GRANT, P65106; Gambro J.S., 1999, J ENVIRON EDUC, V30, P15, DOI DOI 10.1080/00958969909601866; Hanson R., 1993, Studies in Educational Evaluation, V19, P363; Harvey G.D., 1977, Dissertation Abstracts International, V38, p611A; Hines J.M., 1987, J ENVIRON EDUC, V18, P1, DOI [DOI 10.1080/00958964.1987.9943482, 10.1080/00958964.1987.9943482]; Hirsch E.D., 1988, Cultural literacy: What every American needs to know; Hodson D, 2003, INT J SCI EDUC, V25, P645, DOI 10.1080/09500690305021; Hollweg K. S., 2012, DEV FRAMEWORK ASSESS; HUNGERFORD H, 1980, J ENVIRON EDUC, V11, P42, DOI 10.1080/00958964.1980.9941381; Hungerford H.R., 1976, TEACHING ENV ED; Hungerford H.R., 1990, J ENVIRON EDUC, V21, P8, DOI [DOI 10.1080/00958964.1990.10753743, 10.1080/00958964.1990.10753743]; HURD PD, 1958, EDUC LEADERSHIP, V16, P13; International Society for Technology Education (ISTE), 2007, NAT ED TECH STAND; Iozzi L., 1990, Assessment of Learning Outcomes in Environmental Education; Jackson T., 2005, SUSTAIN DEV RES NETW; Jenson B.B., 2002, ENVIRON EDUC RES, V8, P325, DOI [DOI 10.1080/13504620220145474, 10.1080/13504620220145474]; *KEEP, 2003, K 12 EN ED PROGR CON; Lawrenz F., 1988, SCH SCI MATH, V88, P543, DOI [10.1111/j.1949-8594.1988.tb11852.x, DOI 10.1111/SSM.1988.88.ISSUE-7]; Manville J, 2007, NEW SURVEY FINDS MOS; Marcinkowski T, 2001, ESSENTIAL READINGS E, P179; Marcinkowski T., 1989, Dissertation Abstracts International: Section A, Social Sciences and Education, V49, P3677; MILLER JD, 1983, DAEDALUS, V112, P29; Miller JD, 1998, PUBLIC UNDERST SCI, V7, P203, DOI 10.1088/0963-6625/7/3/001; North American Association of Environmental Education (NAAEE), 2004, NAT PROJ EXC ENV ED; Palomo JR, 2008, OIL GAS J, V106, pB37; Pearson G., 2002, TECHNICALLY SPEAKING; Roth C., 1996, BENCHMARKS WAY ENV L; Roth C.E., 1992, Environmental literacy: Its roots, evolution, and directions in the 1990; Salmon J., 2000, The Journal of Environmental Education, V31, P4, DOI [10.1080/00958960009598645, DOI 10.1080/00958960009598645]; Simmons D., 1995, PAPERS DEV ENV ED ST, P10; Simpson E.J., 1972, CLASSIFICATION ED OB; Solomon J., 1992, GETTING KNOW ENERGY; Southwell B., 2012, AM PERCEIVED ACTUAL; St Clair R., 2003, NEW DIRECTIONS ADULT, V2003, P69, DOI [10.1002/(ISSN)1536-0717, DOI 10.1002/ACE.111]; Stapp W.B., 1969, Essential readings in environmental education, V3rd, P33; Stern PC, 2000, J SOC ISSUES, V56, P407, DOI 10.1111/0022-4537.00175; VandeVisse E., 1975, WHAT MAKES ED ENV, P93; Wilke R., 1995, EPA J, V21, P28; Yager R. E, 2004, ASIA PACIFIC FORUM S, V5; Zeidler D. L., 2005, STS RES BASED FRAMEW</t>
  </si>
  <si>
    <t>10.1080/00958964.2012.711378</t>
  </si>
  <si>
    <t>041AK</t>
  </si>
  <si>
    <t>WOS:000311368400003</t>
  </si>
  <si>
    <t>Quarderer, NA; Fulmer, GW; Hand, B; Neal, TA</t>
  </si>
  <si>
    <t>Quarderer, Nathan Anderson; Fulmer, Gavin W.; Hand, Brian; Neal, Ted A.</t>
  </si>
  <si>
    <t>Unpacking the connections between 8th graders' climate literacy and epistemic cognition</t>
  </si>
  <si>
    <t>JOURNAL OF RESEARCH IN SCIENCE TEACHING</t>
  </si>
  <si>
    <t>climate change; climate literacy; epistemic cognition; nature of science; place-based learning</t>
  </si>
  <si>
    <t>STUDENTS EVALUATIONS; CHANGE RISK; EPISTEMOLOGICAL BELIEFS; REFLECTIVE JUDGMENT; SCIENCE-EDUCATION; KNOWLEDGE; TEACHERS; ISSUES; THINKING; MODELS</t>
  </si>
  <si>
    <t>Our epistemic cognition informs what scientific claims we choose to endorse over others, how we come to know in science, and our assumptions about the construction of scientific knowledge. The topic of climate change provides context for how we come to know about our surrounding environment. The development of climate literacy in young learners has received heightened attention over the last decade. What learners choose to believe about the topic of climate change presents an epistemic challenge for science educators as they help students navigate through a sea of information that often contains competing claims. The study described here examines how climate literacy and epistemic cognition interact in a group of 8th grade students in the Midwestern United States. Findings from Rasch analysis of survey responses and coding of student interviews suggests a positive relationship between learners' climate literacy and epistemic cognition, with participants tending to exhibit quasi-reflective judgment when justifying their beliefs about the causes and effects of climate change, how scientists come to know about Earth's climate, and the level of certainty that researchers have about changes to our climate system. Implications for the development of learning environments that help shape adolescents' epistemic cognition and engage with the topic of climate change using place-based learning and teaching materials will be discussed.</t>
  </si>
  <si>
    <t>[Quarderer, Nathan Anderson] CIRES Earth Lab, 4001 Discovery Dr,Suite S348 611 UCB, Boulder, CO 80303 USA; [Fulmer, Gavin W.; Hand, Brian; Neal, Ted A.] Univ Iowa, Coll Educ, Dept Teaching &amp; Learning, Iowa City, IA 52242 USA</t>
  </si>
  <si>
    <t>University of Iowa</t>
  </si>
  <si>
    <t>Quarderer, NA (corresponding author), CIRES Earth Lab, 4001 Discovery Dr,Suite S348 611 UCB, Boulder, CO 80303 USA.</t>
  </si>
  <si>
    <t>nathan.quarderer@colorado.edu</t>
  </si>
  <si>
    <t>Hand, Brian/HRA-3017-2023</t>
  </si>
  <si>
    <t>Hand, Brian/0000-0002-0574-7491; Quarderer, Nathan/0000-0001-6602-3174; Fulmer, Gavin/0000-0003-0007-1784</t>
  </si>
  <si>
    <t>Aksit O, 2018, J RES SCI TEACH, V55, P550, DOI 10.1002/tea.21430; Anderson A., 2012, Journal of Education for Sustainable Development, V6, P191, DOI [10.1177/0973408212475199, DOI 10.1177/0973408212475199]; [Anonymous], 2007, ARGUMENTATION SCI ED; [Anonymous], 2015, ASIA PACIFIC SCI ED; [Anonymous], 1994, JOSSEY BASS HIGHER A; [Anonymous], 2013, RASCH ANAL HUMAN SCI; Ballew MT, 2019, ENVIRONMENT, V61, P4; Bedford D, 2016, J GEOGR, V115, P187, DOI 10.1080/00221341.2015.1105851; Bell RL, 2011, J RES SCI TEACH, V48, P414, DOI 10.1002/tea.20402; Bell RL, 2003, SCI EDUC, V87, P352, DOI 10.1002/sce.10063; Bodzin AM, 2014, J SCI EDUC TECHNOL, V23, P575, DOI 10.1007/s10956-013-9478-0; Bodzin AM., 2014, Journal of Geoscience Education, V62, P417, DOI DOI 10.5408/13-042.1; Bond TG., 2012, APPL RASCH MODEL FUN, V2nd; Boon HJ, 2016, REG ENVIRON CHANGE, V16, P137, DOI 10.1007/s10113-014-0744-3; Boone WJ, 2011, SCI EDUC, V95, P258, DOI 10.1002/sce.20413; Bråten I, 2010, DISCOURSE PROCESS, V47, P1, DOI 10.1080/01638530902959646; Braten Ivar., 2009, Social Psychology of Education: An International Journal, V12, P529, DOI [DOI 10.1007/S11218-009-9097-Z, 10.1007/s11218-009-9097-z]; Brownlee JL, 2017, EDUC PSYCHOL-US, V52, P242, DOI 10.1080/00461520.2017.1333430; Buehl MM., 2016, Handbook of Epistemic Cognition, P247; Busch KC, 2019, INT J SCI EDUC, V41, P2389, DOI 10.1080/09500693.2019.1680903; Busch KC, 2019, ENVIRON EDUC RES, V25, P955, DOI 10.1080/13504622.2018.1514588; Bybee RW, 2008, J SCI EDUC TECHNOL, V17, P566, DOI 10.1007/s10956-008-9124-4; CAREY S, 1993, EDUC PSYCHOL, V28, P235, DOI 10.1207/s15326985ep2803_4; CAREY S, 1989, INT J SCI EDUC, V11, P514, DOI 10.1080/0950069890110504; Cheng LJ, 2020, ADV ATMOS SCI, V37, P137, DOI 10.1007/s00376-020-9283-7; Chinn CA, 2014, PROCESSING INACCURATE INFORMATION: THEORETICAL AND APPLIED PERSPECTIVES FROM COGNITIVE SCIENCE AND THE EDUCATIONAL SCIENCES, P425; Christensen R., 2015, International Journal of Environmental and Science Education, V10, P773, DOI DOI 10.12973/IJESE.2015.276A; Cook J, 2013, ENVIRON RES LETT, V8, DOI 10.1088/1748-9326/8/2/024024; Desimone LM, 2004, EDUC EVAL POLICY AN, V26, P1, DOI 10.3102/01623737026001001; DeWaters J.E., 2014, Journal of Geoscience Education, V62, P469; Douglas EP, 2012, EUR J ENG EDUC, V37, P627, DOI 10.1080/03043797.2012.738358; Driver R., 1996, YOUNG PEOPLES IMAGES; Eggert S, 2017, RES SCI EDUC, V47, P137, DOI 10.1007/s11165-015-9493-7; Elby Andrew., 2016, Handbook of epistemic cognition, P113; Feucht FC, 2017, EDUC PSYCHOL-US, V52, P234, DOI 10.1080/00461520.2017.1350180; FRANCIS C, 1993, SCI EDUC, V77, P375, DOI 10.1002/sce.3730770403; Fulmer, 2019, NAT ASS RES SCI TEAC; Fulmer GW, 2014, J SCI EDUC TECHNOL, V23, P198, DOI 10.1007/s10956-013-9463-7; Gowda MVR, 1997, B AM METEOROL SOC, V78, P2232; Greene J.A., 2016, Handbook of epistemic cognition; Greene J.A., 2016, Policy Insights from the Behavioral and Brain Sciences, V3, P45, DOI DOI 10.1177/2372732215622223; Greene JA, 2008, EDUC PSYCHOL-US, V43, P142, DOI 10.1080/00461520802178458; Greene JA, 2018, J EDUC PSYCHOL, V110, P1084, DOI 10.1037/edu0000263; Hand B., 2018, Global developments in literacy research for science education, P339; Harrison GM, 2015, INT J SCI EDUC, V37, P1321, DOI 10.1080/09500693.2015.1035357; Herman BC, 2018, J RES SCI TEACH, V55, P600, DOI 10.1002/tea.21433; Hestness E., 2014, Journal of Geoscience Education, V62, P319, DOI [DOI 10.5408/13-049.1, 10.5408/13-049.1]; Hofer BK, 1997, REV EDUC RES, V67, P88, DOI 10.2307/1170620; Holbrook J, 2007, INT J SCI EDUC, V29, P1347, DOI 10.1080/09500690601007549; Holthuis N., 2014, Journal of Geoscience Education, V62, P374, DOI [10.5408/13-036.1, DOI 10.5408/13-036.1]; Hwang B., 2020, MCCIP Sci. Rev, V2020, P208, DOI 10.14465/2020.arc10.ice; Iowa Core, 2019, IOW SCI STAND; Irribarra D., 2014, Wright Map: IRT item-person map with Conquest integration; Jarrett L, 2020, ENVIRON EDUC RES, V26, P400, DOI 10.1080/13504622.2019.1679092; Kahan DM, 2012, NAT CLIM CHANGE, V2, P732, DOI 10.1038/NCLIMATE1547; Karisan D, 2018, TURK J EDUC, V7, P99, DOI 10.19128/turje.7299116; Khishfe R, 2006, J RES SCI TEACH, V43, P395, DOI 10.1002/tea.20137; King PM., 2004, PERSONAL EPISTEMOLOG, V37, P39; Kitchener K.S., 1981, J APPL DEV PSYCHOL, V2, P89, DOI [DOI 10.1016/0193-3973(81)90032-0, 10.1016/0193-3973, DOI 10.1016/0193-3973]; KITCHENER KS, 1983, HUM DEV, V26, P222, DOI 10.1159/000272885; Kuhn D, 2000, COGNITIVE DEV, V15, P309, DOI 10.1016/S0885-2014(00)00030-7; Kuhn D., 1999, Educational Researcher, V28, P16, DOI [10.3102/0013189X028002016, DOI 10.2307/1177186, 10.2307/1177186]; Lambert JL, 2012, INT J SCI EDUC, V34, P1167, DOI 10.1080/09500693.2011.633938; Lederman N.G., 2013, HDB RES SCI ED, P743, DOI DOI 10.4324/9780203824696; Lederman NG, 2002, J RES SCI TEACH, V39, P497, DOI 10.1002/tea.10034; LEDERMAN NG, 1990, SCI EDUC, V74, P225, DOI 10.1002/sce.3730740207; LEDERMAN NG, 1992, J RES SCI TEACH, V29, P331, DOI 10.1002/tea.3660290404; Libarkin J.C., 2006, APPL RASCH MEASUREME, P45; Libarkin JC, 2018, CLIMATIC CHANGE, V150, P403, DOI 10.1007/s10584-018-2279-y; Lombardi D, 2018, CONTEMP EDUC PSYCHOL, V54, P184, DOI 10.1016/j.cedpsych.2018.06.008; Lombardi D, 2018, SCI EDUC, V102, P153, DOI 10.1002/sce.21315; Lombardi D, 2016, INT J SCI EDUC, V38, P1392, DOI 10.1080/09500693.2016.1193912; Lombardi D, 2013, LEARN INSTR, V27, P50, DOI 10.1016/j.learninstruc.2013.03.001; Ludlow L.H., 1981, SCALE RASCH PROGRAM; Matkins JJ, 2007, J SCI TEACH EDUC, V18, P137, DOI 10.1007/s10972-006-9033-4; McNeal P, 2017, INT J SCI EDUC, V39, P1069, DOI 10.1080/09500693.2017.1315466; McNeill KL, 2012, RES SCI EDUC, V42, P373, DOI 10.1007/s11165-010-9202-5; Meehan CR, 2018, SCI EDUC, V102, P498, DOI 10.1002/sce.21338; Mercier H, 2017, EDUC PSYCHOL-US, V52, P1, DOI 10.1080/00461520.2016.1207537; MESSICK S, 1995, AM PSYCHOL, V50, P741, DOI 10.1037/0003-066X.50.9.741; Miles M. B. A. M., 2014, Qualitative data analysis: A methods sourcebook; Monroe MC, 2019, ENVIRON EDUC RES, V25, P791, DOI 10.1080/13504622.2017.1360842; Muis KR, 2015, LEARN INSTR, V39, P168, DOI 10.1016/j.learninstruc.2015.06.003; NASA, 2019, EV; Neal T.A, 2018, APPL SCI IOWA; Neumann I, 2011, INT J SCI EDUC, V33, P1373, DOI 10.1080/09500693.2010.511297; Next Generation Science Standards Lead States, 2013, NEXT GENERATION SCIE; Norris SP, 2003, SCI EDUC, V87, P224, DOI 10.1002/sce.10066; Osborne JF, 2016, J RES SCI TEACH, V53, P821, DOI 10.1002/tea.21316; Overpeck JT, 2020, P NATL ACAD SCI USA, V117, P11856, DOI 10.1073/pnas.2006323117; Porter D, 2012, ENVIRON EDUC RES, V18, P665, DOI 10.1080/13504622.2011.640750; Pournelle G. H., 1953, Journal of Mammalogy, V34, P133, DOI 10.1890/0012-9658(2002)083[1421:SDEOLC]2.0.CO;2; Quarderer N.A., 2020, THESIS U IOWA; Rasch G., 1980, PROBABILISTIC MODELS; Rebello CM, 2012, RES SCI EDUC, V42, P353, DOI 10.1007/s11165-010-9201-6; Rinehart RW, 2022, RES SCI TECHNOL EDUC, V40, P389, DOI 10.1080/02635143.2020.1799779; RYAN AG, 1992, SCI EDUC, V76, P559, DOI 10.1002/sce.3730760602; Rye JA, 1998, J RES SCI TEACH, V35, P521, DOI 10.1002/(SICI)1098-2736(199805)35:5&lt;521::AID-TEA4&gt;3.0.CO;2-R; Sadler TD, 2011, CONT TRENDS ISS SCI, V39, P45, DOI 10.1007/978-94-007-1159-4_4; Sandoval WA, 2005, SCI EDUC, V89, P634, DOI 10.1002/sce.20065; Sandoval W, 2014, SCI EDUC, V98, P383, DOI 10.1002/sce.21107; Sandoval WA, 2016, REV RES EDUC, V40, P457, DOI 10.3102/0091732X16669319; Schoennagel T, 2017, P NATL ACAD SCI USA, V114, P4582, DOI 10.1073/pnas.1617464114; Schommer-Aikins M, 2002, J PSYCHOL, V136, P5, DOI 10.1080/00223980209604134; Shea NA, 2016, J SCI TEACH EDUC, V27, P235, DOI 10.1007/s10972-016-9456-5; Shepardson DP, 2011, ENVIRON EDUC RES, V17, P1, DOI 10.1080/13504620903564549; Sinatra G. M., 2016, Policy Insights from the Behavioral and Brain Sciences, V3, P245, DOI DOI 10.1177/2372732216656870; Sinatra G.M., 2012, APA ED PSYCHOL HDB V, V3, P257; Sinatra GM, 2020, EDUC PSYCHOL-US, V55, P120, DOI 10.1080/00461520.2020.1730181; Sinatra GM, 2014, EDUC PSYCHOL-US, V49, P123, DOI 10.1080/00461520.2014.916216; Sinatra GM, 2012, INSTR SCI, V40, P1, DOI 10.1007/s11251-011-9166-5; Sink C.A., 2006, Professional School Counseling, V9, P401; Smith CL, 2000, COGNITION INSTRUCT, V18, P349, DOI 10.1207/S1532690XCI1803_3; Sondergeld TA, 2014, SCI EDUC, V98, P581, DOI 10.1002/sce.21118; STEMscopes, 2019, STEMSCOPES; Stevenson KT, 2018, CLIMATIC CHANGE, V151, P589, DOI 10.1007/s10584-018-2313-0; Stevenson KT, 2014, CLIMATIC CHANGE, V126, P293, DOI 10.1007/s10584-014-1228-7; Sullivan S.M. B., 2014, Journal of Geoscience Education, V62, P550, DOI DOI 10.5408/12-304.1; Svoboda M, 2020, MEDIA COVERAGE CLIMA; Tasquier G, 2016, INT J SCI EDUC, V38, P539, DOI 10.1080/09500693.2016.1148828; Treagust D.F., 2007, HDB RES SCI ED, P373; U.S. Global change Research Program, 2009, Climate literacy: the essential principles of climate science; van der Linden S, 2017, GLOB CHALL, V1, DOI 10.1002/gch2.201600008; Varela B, 2020, RES SCI EDUC, V50, P599, DOI 10.1007/s11165-018-9703-1; Visintainer T, 2015, J SCI EDUC TECHNOL, V24, P287, DOI 10.1007/s10956-014-9538-0; Weber EU, 2011, AM PSYCHOL, V66, P315, DOI 10.1037/a0023253; WRIGHT BD, 1977, J EDUC MEAS, V14, P97, DOI 10.1111/j.1745-3984.1977.tb00031.x; Yang Y, 2018, INT J SCI MATH EDUC, V16, P639, DOI 10.1007/s10763-017-9805-7; Zeidler DL, 2009, J RES SCI TEACH, V46, P74, DOI 10.1002/tea.20281; Zummo L, 2021, J RES SCI TEACH, V58, P95, DOI 10.1002/tea.21648</t>
  </si>
  <si>
    <t>0022-4308</t>
  </si>
  <si>
    <t>1098-2736</t>
  </si>
  <si>
    <t>J RES SCI TEACH</t>
  </si>
  <si>
    <t>J. Res. Sci. Teach.</t>
  </si>
  <si>
    <t>10.1002/tea.21717</t>
  </si>
  <si>
    <t>JUN 2021</t>
  </si>
  <si>
    <t>WS5ZJ</t>
  </si>
  <si>
    <t>WOS:000664341800001</t>
  </si>
  <si>
    <t>Atkins, C; Girgente, G; Shirzaei, M; Kim, J</t>
  </si>
  <si>
    <t>Atkins, Carmen; Girgente, Gina; Shirzaei, Manoochehr; Kim, Junghwan</t>
  </si>
  <si>
    <t>Generative AI tools can enhance climate literacy but must be checked for biases and inaccuracies</t>
  </si>
  <si>
    <t>COMMUNICATIONS EARTH &amp; ENVIRONMENT</t>
  </si>
  <si>
    <t>CHANGE AWARENESS; RISK</t>
  </si>
  <si>
    <t>In the face of climate change, climate literacy is becoming increasingly important. With wide access to generative AI tools, such as OpenAI's ChatGPT, we explore the potential of AI platforms for ordinary citizens asking climate literacy questions. Here, we focus on a global scale and collect responses from ChatGPT (GPT-3.5 and GPT-4) on climate change-related hazard prompts over multiple iterations by utilizing the OpenAI's API and comparing the results with credible hazard risk indices. We find a general sense of agreement in comparisons and consistency in ChatGPT over the iterations. GPT-4 displayed fewer errors than GPT-3.5. Generative AI tools may be used in climate literacy, a timely topic of importance, but must be scrutinized for potential biases and inaccuracies moving forward and considered in a social context. Future work should identify and disseminate best practices for optimal use across various generative AI tools. Responses of GPT-3.5 and GPT-4 to prompts to list a country's vulnerability to climate hazards overall agree for floods and cyclones but less for droughts, with fewer errors from GPT-4, indicating a potential to enhance climate literacy, suggests a comparison of responses to hazard risk indices based on data from the IPCC.</t>
  </si>
  <si>
    <t>[Atkins, Carmen; Shirzaei, Manoochehr] Virginia Tech, Dept Geosci, Blacksburg, VA USA; [Atkins, Carmen; Shirzaei, Manoochehr] Virginia Tech, Virginia Tech Natl Secur Inst, Blacksburg, VA USA; [Girgente, Gina; Shirzaei, Manoochehr] United Nations Univ, Inst Water Environm &amp; Hlth, Hamilton, ON, Canada; [Kim, Junghwan] Virginia Tech, Dept Geog, Blacksburg, VA 24061 USA</t>
  </si>
  <si>
    <t>Virginia Polytechnic Institute &amp; State University; Virginia Polytechnic Institute &amp; State University; Virginia Polytechnic Institute &amp; State University</t>
  </si>
  <si>
    <t>Kim, J (corresponding author), Virginia Tech, Dept Geog, Blacksburg, VA 24061 USA.</t>
  </si>
  <si>
    <t>junghwankim@vt.edu</t>
  </si>
  <si>
    <t>Shirzaei, Manoochehr/0000-0003-0086-3722; Kim, Junghwan/0000-0002-7275-769X; Atkins, Carmen/0009-0005-3784-1078</t>
  </si>
  <si>
    <t>Institute for Society, Culture and Environment (ISCE) at Virginia Tech [2206479]; National Science Foundation; Institue for Society, Culture and Environment at Virginia Tech</t>
  </si>
  <si>
    <t>Institute for Society, Culture and Environment (ISCE) at Virginia Tech; National Science Foundation(National Science Foundation (NSF)); Institue for Society, Culture and Environment at Virginia Tech</t>
  </si>
  <si>
    <t>C.A. and M.S. thank the support from National Science Foundation (#2206479). J.K. thanks the support from the Institue for Society, Culture and Environment at Virginia Tech.</t>
  </si>
  <si>
    <t>[Anonymous], 2009, Climate Literacy: The Essential Principles of Climate Science; [Anonymous], 2019, AICS, P104; Birkmann J., 2022, Climate Change 2022: Impacts, Adaptation, P1171, DOI [10.1017/9781009325844.010, DOI 10.1017/9781009325844.010]; Carleton TA, 2016, SCIENCE, V353, DOI 10.1126/science.aad9837; Clayton K, 2010, BRIT J EDUC TECHNOL, V41, P349, DOI 10.1111/j.1467-8535.2009.00993.x; Day T, 2023, PROF GEOGR, V75, P1024, DOI 10.1080/00330124.2023.2190373; Devlin J, 2019, 2019 CONFERENCE OF THE NORTH AMERICAN CHAPTER OF THE ASSOCIATION FOR COMPUTATIONAL LINGUISTICS: HUMAN LANGUAGE TECHNOLOGIES (NAACL HLT 2019), VOL. 1, P4171; Eitzinger A, 2018, CLIMATIC CHANGE, V151, P507, DOI 10.1007/s10584-018-2320-1; [Field C.B. IPCC. IPCC.], 2012, MANAGING RISKS EXTRE, P555; Google, 2024, Where you can use Bard. Bard Help; Graham M, 2014, ANN ASSOC AM GEOGR, V104, P746, DOI 10.1080/00045608.2014.910087; Hu Y., 2019, Sigspatial Spec, V11, P5, DOI [DOI 10.1145/3377000.3377002, 10.1145/3377000.3377002]; Hunter JD, 2007, COMPUT SCI ENG, V9, P90, DOI 10.1109/MCSE.2007.55; IPCC Inter-governmental Panel on Climate Change, 2021, CLIM CHANG 2021 PHYS; Jang K. M., 2023, 12 INT C GEOGRAPHIC, V41, P1; Joint Research Centre - JRC - European Commission, 2022, NASA SEDAC, DOI 10.7927/yzp7-sm30; Kim D, 2023, 2023 IEEE INTERNATIONAL SYMPOSIUM ON ETHICS IN ENGINEERING, SCIENCE, AND TECHNOLOGY, ETHICS, DOI 10.1109/ETHICS57328.2023.10155067; Kim J., 2023, Findings, DOI DOI 10.32866/001C.72634; Kim J, 2024, TELEMAT INFORM, V86, DOI 10.1016/j.tele.2023.102085; Kosinski M, 2023, Arxiv, DOI [arXiv:2302.02083, DOI 10.48550/ARXIV.2302.02083, 10.48550/arXiv.2302.02083]; Kshetri N, 2023, IT PROF, V25, P16, DOI 10.1109/MITP.2023.3254639; Kung Tiffany H, 2023, PLOS Digit Health, V2, pe0000198, DOI 10.1371/journal.pdig.0000198; Kuthe A, 2019, J ENVIRON EDUC, V50, P172, DOI 10.1080/00958964.2019.1598927; Larosa F, 2023, NAT CLIM CHANGE, V13, P497, DOI 10.1038/s41558-023-01686-5; Lee TM, 2015, NAT CLIM CHANGE, V5, P1014, DOI 10.1038/NCLIMATE2728; Marin-Ferrer M., 2017, EUR 28655 EN, DOI [10.2760/094023, DOI 10.2760/094023]; Mbakwe AB, 2023, EBIOMEDICINE, V90, DOI 10.1016/j.ebiom.2023.104525; Mbakwe Amarachi B, 2023, PLOS Digit Health, V2, pe0000205, DOI 10.1371/journal.pdig.0000205; Mckay DIA, 2022, SCIENCE, V377, P1171, DOI 10.1126/science.abn7950; Milly PCD, 2002, NATURE, V415, P514, DOI 10.1038/415514a; Moser SC, 2016, WIRES CLIM CHANGE, V7, P345, DOI 10.1002/wcc.403; Nalau J, 2021, CLIM RISK MANAG, V32, DOI 10.1016/j.crm.2021.100290; Naumann G, 2018, GEOPHYS RES LETT, V45, P3285, DOI 10.1002/2017GL076521; Niederberger M, 2020, FRONT PUBLIC HEALTH, V8, DOI 10.3389/fpubh.2020.00457; OpenAI, 2023, Is CHATGPT biased?; OpenAI, 2023, OpenAI API; Pedregosa F, 2011, J MACH LEARN RES, V12, P2825; Pokhrel Y, 2021, NAT CLIM CHANGE, V11, DOI 10.1038/s41558-020-00972-w; Reimers N, 2019, Arxiv, DOI [arXiv:1908.10084, DOI 10.48550/ARXIV.1908.10084]; Sanson AV, 2019, CHILD DEV PERSPECT, V13, P201, DOI 10.1111/cdep.12342; Shen YQ, 2023, RADIOLOGY, V307, DOI 10.1148/radiol.230163; Simpson NP, 2021, NAT CLIM CHANGE, V11, P937, DOI 10.1038/s41558-021-01171-x; Skeiryte A, 2022, J ENVIRON MANAGE, V323, DOI 10.1016/j.jenvman.2022.116277; Steffen W, 2018, P NATL ACAD SCI USA, V115, P8252, DOI 10.1073/pnas.1810141115; Steffen W, 2015, SCIENCE, V347, DOI 10.1126/science.1259855; Stokel-Walker Chris, 2022, Nature, DOI 10.1038/d41586-022-04397-7; Syropoulos S, 2023, J ENVIRON PSYCHOL, V87, DOI 10.1016/j.jenvp.2023.102006; Turner A., 2023, BankMyCell; UNESCO, 2023, Guidance for generative AI in education and research; UNESCO. The UNESCO Climate Change Initiative, 2010, Climate change education for sustainable development, Paris Futerra (1996) Sell the Sizzle. New Clim. Message, UNESCO ED.2010/WS/41; Vaghefi SA, 2023, COMMUN EARTH ENVIRON, V4, DOI 10.1038/s43247-023-01084-x; Virtanen P, 2020, NAT METHODS, V17, P261, DOI 10.1038/s41592-019-0686-2; Vogels E., 2023, Pew. Res; Voss S, 2023, SUSTAINABILITY-BASEL, V15, DOI 10.3390/su15129625; Wolf T, 2020, PROCEEDINGS OF THE 2020 CONFERENCE ON EMPIRICAL METHODS IN NATURAL LANGUAGE PROCESSING: SYSTEM DEMONSTRATIONS, P38</t>
  </si>
  <si>
    <t>SPRINGERNATURE</t>
  </si>
  <si>
    <t>LONDON</t>
  </si>
  <si>
    <t>CAMPUS, 4 CRINAN ST, LONDON, N1 9XW, ENGLAND</t>
  </si>
  <si>
    <t>2662-4435</t>
  </si>
  <si>
    <t>COMMUN EARTH ENVIRON</t>
  </si>
  <si>
    <t>Commun. Earth Environ.</t>
  </si>
  <si>
    <t>APR 30</t>
  </si>
  <si>
    <t>10.1038/s43247-024-01392-w</t>
  </si>
  <si>
    <t>Environmental Sciences; Geosciences, Multidisciplinary; Meteorology &amp; Atmospheric Sciences</t>
  </si>
  <si>
    <t>Environmental Sciences &amp; Ecology; Geology; Meteorology &amp; Atmospheric Sciences</t>
  </si>
  <si>
    <t>OY3W6</t>
  </si>
  <si>
    <t>WOS:001210808600002</t>
  </si>
  <si>
    <t>Veronica, R; Calvano, G</t>
  </si>
  <si>
    <t>Veronica, Rossano; Calvano, Gabriella</t>
  </si>
  <si>
    <t>Promoting Sustainable Behavior Using Serious Games: SeAdventure for Ocean Literacy</t>
  </si>
  <si>
    <t>IEEE ACCESS</t>
  </si>
  <si>
    <t>Games; Education; Sustainable development; Oceans; Robots; Planets; Pupils; Educational technology; multimedia systems; serious games; STEM</t>
  </si>
  <si>
    <t>AUGMENTED REALITY; CHILDREN; IMPACT</t>
  </si>
  <si>
    <t>In the environmental sector, in recent years, policies and governance of marine issues have seen greater enhancement of participatory and community-based processes (for example the Blue Growth Actions of the Interreg Med Program of the European Union). The greater involvement of citizens in the processes and policies of the sea can greatly benefit the survival of the marine environment and support reforms, since most environmental problems are caused by human behavior. Changes in individual behaviors are desirable to ensure sustainable use of the ocean and its resources. These changes are possible only if there is an improvement in people's knowledge and awareness since the childhood. Ocean literacy interventions will allow people to understand their responsibilities towards the oceans and their health. For this reason, it is necessary to promote sustainable behavior changes using new educational approaches that can be effective with young pupils. The research presents a serious game and an explainer video, used in order to introduce the problem of marine litter, one of the main dangers for the marine species. The aim of the serious game was to enhance ocean literacy with a particular attention to the biodiversity of the Apulian and Mediterranean sea to raise children's awareness of the issue of caring for life in the sea. The measure of learning effectiveness confirmed that the knowledge gained can be actually acquired by children using new technologies, in general, and serious games in particular.</t>
  </si>
  <si>
    <t>[Veronica, Rossano] Univ Bari Aldo Moro, Dept Comp Sci, I-70125 Bari, Italy; [Calvano, Gabriella] Univ Bari Aldo Moro, Dept Educ Sci Psychol &amp; Commun, I-70125 Bari, Italy</t>
  </si>
  <si>
    <t>Universita degli Studi di Bari Aldo Moro; Universita degli Studi di Bari Aldo Moro</t>
  </si>
  <si>
    <t>Veronica, R (corresponding author), Univ Bari Aldo Moro, Dept Comp Sci, I-70125 Bari, Italy.</t>
  </si>
  <si>
    <t>veronica.rossano@uniba.it</t>
  </si>
  <si>
    <t>rossano, veronica/0000-0002-4079-9641</t>
  </si>
  <si>
    <t>Apulia Region [C-Lab 4.0-VTGYS52-POR]</t>
  </si>
  <si>
    <t>Apulia Region</t>
  </si>
  <si>
    <t>This work was supported in part by Apulia Region under Grant C-Lab 4.0-VTGYS52-POR Puglia FERS-FSE 2014-2020-Asse Prioritario I-Azione 1.4-Sub-Azione 1.4.B-Avviso INNOLABS.</t>
  </si>
  <si>
    <t>Alves-Oliveira P, 2015, LECT NOTES ARTIF INT, V9388, P21, DOI 10.1007/978-3-319-25554-5_3; [Anonymous], 1988, Proceedings of the SIGCHI conference on Human factors in computing systems-CHI, DOI DOI 10.1145/57167.57203; [Anonymous], 2014, Shaping The Future We Want - UN Decade of Education for Sustainable Development (2005-2014); [Anonymous], 2017, Education for Sustainable Development Goals: Learning Objectives, DOI [10.0978/-92-3-100209-0, DOI 10.31142/IJTSRD5889]; [Anonymous], 2014, Roadmap for Implementing the Global Action Programme on Education for Sustainable Development; Athman J.A., 2001, Defining best practices in boating, fishing, and stewardship education, P37; Cassano F, 2019, ADV INTELL SYST, V804, P156, DOI 10.1007/978-3-319-98872-6_19; Chang YL, 2019, PROCEEDINGS WEB3D 2019: THE 24TH INTERNATIONAL ACM CONFERENCE ON 3D WEB TECHNOLOGY, DOI 10.1145/3329714.3338142; Chen Sante, 2005, Serious Games: Games that Educate, Train and Inform; Cheshire A. C., 2009, UNEP REGIONAL SEAS R, V83; Clark DB, 2011, COMPUT EDUC, V57, P2178, DOI 10.1016/j.compedu.2011.05.007; Corriero Nicola, 2014, International Journal of Information and Education Technology, V4, P378, DOI 10.7763/IJIET.2014.V4.434; Daniela Linda, 2017, International Journal of Knowledge Society Research, V8, P79, DOI 10.4018/IJKSR.2017010105; De Carolis B, 2019, INT CONF COGN INFO, P301, DOI 10.1109/CogInfoCom47531.2019.9089994; De Carolis B, 2019, J E-LEARN KNOWL SOC, V15, P43, DOI 10.20368/1971-8829/1636; DeVries T, 2017, NATURE, V542, P215, DOI 10.1038/nature21068; Di B. P., 2012, DMS, P139; Diah Norizan Mat, 2010, Proceedings of the 2010 International Conference on Information Retrieval and Knowledge Management (CAMP 2010), P157, DOI 10.1109/INFRKM.2010.5466926; Fabricatore C, 2012, ELECTRON J E-LEARN, V10, P209; Ford P., 1986, RESOUR ED, V21; Galgani F, 2013, ICES J MAR SCI, V70, P1055, DOI 10.1093/icesjms/fst122; Halpern BS, 2008, SCIENCE, V319, P948, DOI 10.1126/science.1149345; Henson K. L., 1991, Journal of Research on Computing in Education, V24, P230; Hungerford H.R., 1990, J ENVIRON EDUC, V21, P8, DOI [DOI 10.1080/00958964.1990.10753743, 10.1080/00958964.1990.10753743]; Kalmpourtzis George, 2018, Educational Game Design Fundamentals: A Journey to Creating Intrinsically Motivating Learning Experiences; Khowaja K, 2020, IEEE ACCESS, V8, P78779, DOI 10.1109/ACCESS.2020.2986608; Lindemann-Matthies P, 2005, INT J SCI EDUC, V27, P655, DOI 10.1080/09500690500038116; Lu SJ, 2015, ENVIRON EDUC RES, V21, P525, DOI 10.1080/13504622.2014.911247; Madanipour P, 2020, AUST J EARLY CHILD, V45, P5, DOI 10.1177/1836939119885311; Malone T. W., 1987, 3 COGNITIVE AFFECTIV; McKinley E, 2012, MAR POLICY, V36, P839, DOI 10.1016/j.marpol.2011.11.001; Morin E., 2001, 7 SAPERI NECESSARI A; Oskamp S, 2000, J SOC ISSUES, V56, P373, DOI 10.1111/0022-4537.00173; Pant E., 2019, International Information Library Review, V51, P247, DOI [10.1080/10572317.2019.1629067, DOI 10.1080/10572317.2019.1629067, https://doi.org/10.1080/10572317.2019.1629067]; Papastergiou M, 2009, COMPUT EDUC, V52, P1, DOI 10.1016/j.compedu.2008.06.004; Rossano V., 2017, INT C SMART ED SMART, P48; Rossano V, 2020, IEEE ACCESS, V8, P107772, DOI 10.1109/ACCESS.2020.3000990; Rossano V, 2018, IEEE INT CON INF VIS, P542, DOI 10.1109/iV.2018.00100; Rossano V, 2017, IEEE INT CONF ADV LE, P128, DOI 10.1109/ICALT.2017.76; Samin H, 2019, IEEE ACCESS, V7, P67081, DOI 10.1109/ACCESS.2019.2912012; Stanitsas M, 2019, J CLEAN PROD, V208, P924, DOI 10.1016/j.jclepro.2018.10.157; Sterling S., 2001, SUSTAINABLE ED RE VI; THATCHER DC, 1990, SIMULAT GAMING, V21, P262, DOI 10.1177/1046878190213005; Tilbury D.Wortman., 2004, ENGAGING PEOPLE SUST; Unesco, 2017, OC LIT ALL; Van Poeck Katrien, 2011, Education for Sustainable Development: Flag and Cargo; Wattchow B., 2011, A pedagogy of place: Outdoor education for a changing world; Wernhuar Tarng, 2008, Journal of Educational Technology Systems, V37, P39, DOI 10.2190/ET.37.1.d</t>
  </si>
  <si>
    <t>IEEE-INST ELECTRICAL ELECTRONICS ENGINEERS INC</t>
  </si>
  <si>
    <t>PISCATAWAY</t>
  </si>
  <si>
    <t>445 HOES LANE, PISCATAWAY, NJ 08855-4141 USA</t>
  </si>
  <si>
    <t>2169-3536</t>
  </si>
  <si>
    <t>IEEE Access</t>
  </si>
  <si>
    <t>10.1109/ACCESS.2020.3034438</t>
  </si>
  <si>
    <t>Computer Science, Information Systems; Engineering, Electrical &amp; Electronic; Telecommunications</t>
  </si>
  <si>
    <t>Computer Science; Engineering; Telecommunications</t>
  </si>
  <si>
    <t>OR9CQ</t>
  </si>
  <si>
    <t>WOS:000589763900001</t>
  </si>
  <si>
    <t>Singh, KDP; Mathur, A</t>
  </si>
  <si>
    <t>Singh, Kanwal D. P.; Mathur, Aakriti</t>
  </si>
  <si>
    <t>Climate Literacy and Individual Consumption Behavior: An Evaluation of the Indian Experience</t>
  </si>
  <si>
    <t>EUROPEAN JOURNAL OF SUSTAINABLE DEVELOPMENT</t>
  </si>
  <si>
    <t>Climate Literacy; Individual Carbon Emissions; Consumption Behavior; Attitudes to Climate Change</t>
  </si>
  <si>
    <t>Climate change education and awareness are essential for any effective action on climate change. While regulatory policies and taxes influence consumer behavior, these measures are significantly more successful when the stakeholders are made aware of the larger policy objective underlying such measures, especially the exact extent and nature of the impact of climate change, if Greenhouse Gas (GHG) emissions continue unabated as also the significant effect small everyday individual choices can have on reducing the individual GHG emissions. This paper will examine the extent of awareness regarding the causes and consequences of climate change as also the government programs and policies for climate change mitigation and adaptation. It will also evaluate the effect of climate literacy on individual consumption habits and attitudes towards climate change mitigation and adaptation. The methodology adopted in this research paper will be empirical and analytical and the authors will collect primary data through the means of a questionnaire administered to a random sample of 300 respondents belonging to the age group of 18 - 75 years, selected from urban areas in India. The research paper shall show the relationship between lack of climate literacy and high GHG emissions through individual consumption habits and behavior and make recommendations for increasing climate literacy in India through effective outreach programs.</t>
  </si>
  <si>
    <t>[Singh, Kanwal D. P.; Mathur, Aakriti] Guru Gobind Singh Indraprastha Univ, Univ Sch Law &amp; Legal Studies, Delhi, India</t>
  </si>
  <si>
    <t>GGS Indraprastha University</t>
  </si>
  <si>
    <t>Singh, KDP (corresponding author), Guru Gobind Singh Indraprastha Univ, Univ Sch Law &amp; Legal Studies, Delhi, India.</t>
  </si>
  <si>
    <t>Singh, Kanwal DP/HPH-0931-2023; Singh, Kanwal Deepinderpal/JAX-5818-2023</t>
  </si>
  <si>
    <t>Singh, Kanwal Deepinderpal/0000-0002-0155-342X</t>
  </si>
  <si>
    <t>[Anonymous], 2013, Turn Down the Heat: Climate Extremes, Regional Impacts, and the Case for Resilience; [Anonymous], 2008, NAT ACT PLAN CLIM CH; *IND INDC, 2019, IND INT NAT DET CONT; Ministry of Housing and Urban Affairs, NAT MISS SUST HAB; Portner H.-O., 2022, CLIMATE CHANGE 2022, DOI [10.1017/9781009325844, DOI 10.1017/9781009325844]; Ricke K, 2018, NAT CLIM CHANGE, V8, P895, DOI 10.1038/s41558-018-0282-y; World Bank, 2019, DAT WORLD BANK</t>
  </si>
  <si>
    <t>EUROPEAN CENTER SUSTAINABLE DEVELOPMENT</t>
  </si>
  <si>
    <t>ROME</t>
  </si>
  <si>
    <t>VIA DEI FIORI 34, ROME, 00172, ITALY</t>
  </si>
  <si>
    <t>2239-5938</t>
  </si>
  <si>
    <t>2239-6101</t>
  </si>
  <si>
    <t>EUR J SUSTAIN DEV</t>
  </si>
  <si>
    <t>Eur. J. Sustain. Dev.</t>
  </si>
  <si>
    <t>10.14207/ejsd.2019.v8n5p187</t>
  </si>
  <si>
    <t>Environmental Sciences</t>
  </si>
  <si>
    <t>JB5RE</t>
  </si>
  <si>
    <t>WOS:000488622800024</t>
  </si>
  <si>
    <t>Santillán, OS; Cedano, KG</t>
  </si>
  <si>
    <t>Santillan, Oscar S.; Cedano, Karla G.</t>
  </si>
  <si>
    <t>Energy Literacy: A Systematic Review of the Scientific Literature</t>
  </si>
  <si>
    <t>ENERGIES</t>
  </si>
  <si>
    <t>energy literacy; energy reviews; energy-related knowledge; energy transitions; energy education</t>
  </si>
  <si>
    <t>RENEWABLE ENERGY; ELECTRICITY CONSUMPTION; STUDENTS; KNOWLEDGE; SCIENCE; GAME; INFORMATION; CURRICULUM; EFFICIENCY; FRAMEWORK</t>
  </si>
  <si>
    <t>Amidst the global energy crisis, governments are pursuing transitions towards low-carbon energy systems. In addition to physical infrastructure, political and regulatory enablers, and knowledge and capacities, changes in the energy systems require an energy-literate citizenship. Energy literacy is the understanding of how energy is generated, transported, stored, distributed, and used; awareness about its environmental and social impacts; and the knowledge to use it efficiently. The objective of the study is to provide a systematic review of the literature concerning energy literacy. In the methodology followed, the 138 papers found were categorized and subcategorized according to the research field and the main research objective, respectively. The papers are later described together with similar studies. Results show that most of the work performed around energy literacy addresses its evaluation among different groups, particularly students at different levels, and the construction, application, and evaluation of tools for improving energy literacy. Also studied are the influence of energy literacy in decision-making, its drivers, and conceptual research about the topic. The discussion highlights the debate on the link between energy-literate persons and efficient energy use, the under-researched areas of energy literacy, and the key role of energy literacy in addressing the energy crisis.</t>
  </si>
  <si>
    <t>[Santillan, Oscar S.] Comis Fed Elect, Direcc Corporat Operac, Subdirecc Negocios Redes, Rio Rodano 14,7mo Piso, Mexico City 06598, Mexico; [Santillan, Oscar S.; Cedano, Karla G.] Univ Nacl Autonoma Mexico, Inst Energias Renovables, Priv Xochicalco S-N, Temixco 62580, Mexico</t>
  </si>
  <si>
    <t>Universidad Nacional Autonoma de Mexico</t>
  </si>
  <si>
    <t>Cedano, KG (corresponding author), Univ Nacl Autonoma Mexico, Inst Energias Renovables, Priv Xochicalco S-N, Temixco 62580, Mexico.</t>
  </si>
  <si>
    <t>oss@ier.unam.mx; kcedano@ier.unam.mx</t>
  </si>
  <si>
    <t>Sánchez, Oscar/IST-8129-2023</t>
  </si>
  <si>
    <t>Cedano Villavicencio, Karla Graciela/0000-0002-8102-7226</t>
  </si>
  <si>
    <t>Mexican National Council of Humanities, Sciences and Technologies (CONAHCyT)</t>
  </si>
  <si>
    <t>The author O.S.S. thanks the Mexican National Council of Humanities, Sciences and Technologies (CONAHCyT) for the postdoctoral grant (application number 4198764) provided forthe completion of this work.</t>
  </si>
  <si>
    <t>Adams J, 2022, ENERGY RES SOC SCI, V91, DOI 10.1016/j.erss.2022.102718; Aguirre-Bielschowsky I, 2017, ENVIRON EDUC RES, V23, P832, DOI 10.1080/13504622.2015.1054267; Aguirre-Bielschowsky I, 2018, ENERGY RES SOC SCI, V44, P178, DOI 10.1016/j.erss.2018.04.020; Applebaum LR, 2021, J MUS EDUC, V46, P113, DOI 10.1080/10598650.2020.1858268; Balouktsis I, 2013, 2013 PROCEEDINGS OF THE 24TH ANNUAL CONFERENCE ON EUROPEAN ASSOCIATION FOR EDUCATION IN ELECTRICAL AND INFORMATION ENGINEERING (EAEEIE), P128, DOI 10.1109/EAEEIE.2013.6576515; Barido DPD, 2018, APPL ENERG, V228, P512, DOI 10.1016/j.apenergy.2018.06.115; Bialynicki-Birula P, 2022, ENERGIES, V15, DOI 10.3390/en15155368; Blasch J, 2019, RESOUR ENERGY ECON, V56, P39, DOI 10.1016/j.reseneeco.2017.06.001; Blasch J, 2017, ENERG ECON, V68, P89, DOI 10.1016/j.eneco.2017.12.004; Bodzin A, 2012, INT J SCI EDUC, V34, P1255, DOI 10.1080/09500693.2012.661483; Bodzin AM, 2013, INT J SCI EDUC, V35, P1561, DOI 10.1080/09500693.2013.769139; Bogovic K, 2013, 22ND INTERNATIONAL CONFERENCE NUCLEAR ENERGY FOR NEW EUROPE, (NENE 2013); Bohdanowicz Z, 2022, LECT NOTE NETW SYST, V440, P171, DOI 10.1007/978-3-031-11432-8_17; Broberg T, 2021, ENERG POLICY, V149, DOI 10.1016/j.enpol.2020.112095; Brounen D, 2013, ENERG ECON, V38, P42, DOI 10.1016/j.eneco.2013.02.008; Canfield C, 2017, J RISK RES, V20, P1132, DOI 10.1080/13669877.2015.1121909; Castañeda-Garza G, 2023, ENVIRON EDUC RES, V29, P410, DOI 10.1080/13504622.2022.2135687; Cergibozan R, 2022, RENEW ENERG, V183, P617, DOI 10.1016/j.renene.2021.11.056; Chávez HAR, 2015, INVESTIG BIBLIOTECOL, V29, P113; Chen JC, 2013, ADV INTEL SYS RES, V41, P403; Chen KL, 2013, ENERG POLICY, V55, P396, DOI 10.1016/j.enpol.2012.12.025; Chen SJ, 2015, ENERG EFFIC, V8, P791, DOI 10.1007/s12053-015-9327-5; Chodkowska-Miszczuk J, 2021, ENERGIES, V14, DOI 10.3390/en14092575; Chomac-Pierzecka E, 2022, ENERGIES, V15, DOI 10.3390/en15155461; Cloke J, 2017, ENERGY RES SOC SCI, V31, P263, DOI 10.1016/j.erss.2017.06.023; Cortes H.D., 2008, Int. J. Comput. Informat. Eng, V2, P3213; Cotton DRE, 2021, J CLEAN PROD, V278, DOI 10.1016/j.jclepro.2020.123876; Cotton DRE, 2018, ENVIRON EDUC RES, V24, P1611, DOI 10.1080/13504622.2017.1395394; Cotton D, 2016, LOCAL ENVIRON, V21, P883, DOI 10.1080/13549839.2015.1038986; Cotton DRE, 2015, INT J SUST HIGHER ED, V16, P456, DOI 10.1108/IJSHE-12-2013-0166; Das RR, 2022, CAN J SCI MATH TECHN, V22, P42, DOI 10.1007/s42330-022-00196-4; De Waters J., 2008, P 38 ANN 2008 IEEE F, pT2F; Del Rio J., 2002, Advances in Complex Systems, V5, P19; Dewaters J., 2006, Proceedings of the 113th Annual ASEE Conference and Exposition, P11; DeWaters J, 2013, J ENVIRON EDUC, V44, P56, DOI 10.1080/00958964.2012.682615; DeWaters J, 2013, J ENVIRON EDUC, V44, P38, DOI 10.1080/00958964.2012.711378; DeWaters JE, 2011, PROC FRONT EDUC CONF; DeWaters JE, 2011, ENERG POLICY, V39, P1699, DOI 10.1016/j.enpol.2010.12.049; Filippini M, 2020, ENVIRON DEV ECON, V25, P399, DOI 10.1017/S1355770X20000078; Force T.S., 2022, P 2022 IEEE NIGERIA, P1; Franco D, 2022, INT J SUST HIGHER ED, V23, P1648, DOI 10.1108/IJSHE-10-2021-0432; Fraternali P, 2019, LECT NOTES COMPUT SC, V11754, P629, DOI 10.1007/978-3-030-34995-0_57; García-Manzano R, 2020, BUILD SIMUL CONF PR, P2707, DOI 10.26868/25222708.2019.211006; Gervich CD, 2023, PUBLIC WORKS MANAG P, V28, P476, DOI 10.1177/1087724X221131925; Gladwin D, 2023, ENVIRON EDUC RES, V29, P1515, DOI 10.1080/13504622.2023.2175794; Gladwin D, 2022, J ENVIRON EDUC, V53, P251, DOI 10.1080/00958964.2022.2113019; Golebiowska B, 2020, EKON SROD, V2, P121, DOI 10.34659/2020/2/20; Gunningham N, 2013, ENERG POLICY, V54, P184, DOI 10.1016/j.enpol.2012.11.018; Güven G, 2019, CUKUROVA UNIV FAC ED, V48, P821, DOI 10.14812/cufej.489058; He ST, 2022, ENERG ECON, V114, DOI 10.1016/j.eneco.2022.106279; He ST, 2022, ENERG POLICY, V168, DOI 10.1016/j.enpol.2022.113142; Hedin B, 2018, SUSTAINABILITY-BASEL, V10, DOI 10.3390/su10072269; Heffron RJ, 2015, ENERG POLICY, V87, P168, DOI 10.1016/j.enpol.2015.08.033; Henni S, 2022, ENERG BUILDINGS, V266, DOI 10.1016/j.enbuild.2022.112116; Herrmann MR, 2018, ENERG EFFIC, V11, P1703, DOI 10.1007/s12053-017-9555-y; Herrmann MR, 2018, BUILD RES INF, V46, P238, DOI 10.1080/09613218.2017.1356164; Holasova A., 2018, Energy Ecol. Econ; Hsu YC, 2020, EDUC SCI, V10, DOI 10.3390/educsci10030072; Huang YS, 2012, PROCD SOC BEHV, V51, P840, DOI 10.1016/j.sbspro.2012.08.250; IEA, 2018, World Energy Outlook 2018; Ilmi N., 2021, AIP Conf. Proc, V2912, P010001; IRENA, 2023, World energy transitions outlook 2023: 1.5C Pathway, V1; Kanchana K., 2015, SOC SCI, V4, P1269, DOI [10.3390/socsci4041269, DOI 10.3390/SOCSCI4041269]; Kantenbacher J, 2021, ENERGY RES SOC SCI, V73, DOI 10.1016/j.erss.2021.101911; Karpudewan M, 2016, ASIA-PAC EDUC RES, V25, P229, DOI 10.1007/s40299-015-0256-z; Kavcic ML, 2014, 23RD INTERNATIONAL CONFERENCE NUCLEAR ENERGY FOR NEW EUROPE, (NENE 2014); Keller L, 2022, ENERGIES, V15, DOI 10.3390/en15031118; Keramitsoglou KM, 2016, RENEW SUST ENERG REV, V59, P1159, DOI 10.1016/j.rser.2015.12.047; Kostoff RN, 2001, J AM SOC INF SCI TEC, V52, P1148, DOI 10.1002/asi.1181; Laliyo LAR, 2020, J ENVIRON ACCOUNT MA, V8, P243, DOI 10.5890/JEAM.2020.09.003; Salvia AL, 2020, INT J SUST HIGHER ED, V21, P1607, DOI 10.1108/IJSHE-05-2020-0180; Langfitt Q, 2015, J PROF ISS ENG ED PR, V141, DOI 10.1061/(ASCE)EI.1943-5541.0000210; Lee LS, 2019, ENERG POLICY, V135, DOI 10.1016/j.enpol.2019.111005; Lee LS, 2017, ENVIRON EDUC RES, V23, P855, DOI 10.1080/13504622.2015.1068276; Lee LS, 2015, ENERG POLICY, V76, P98, DOI 10.1016/j.enpol.2014.11.012; Lee YF, 2022, ENVIRON EDUC RES, V28, P907, DOI 10.1080/13504622.2022.2034752; Lin KY, 2018, J BALT SCI EDUC, V17, P867; Lowan-Trudeau G, 2022, AUST J ENVIRON EDUC, V38, P58, DOI 10.1017/aee.2021.15; Lusinga S, 2019, ENERGY RES SOC SCI, V54, P199, DOI 10.1016/j.erss.2019.04.007; Martins A., 2019, P 2019 16 INT C EURO; Martins A, 2022, ENERGY REP, V8, P172, DOI 10.1016/j.egyr.2022.01.082; Martins A, 2020, ENERGY REP, V6, P243, DOI 10.1016/j.egyr.2020.11.117; Martins A, 2020, ENERGIES, V13, DOI 10.3390/en13133412; Martins A, 2019, TEEM'19: SEVENTH INTERNATIONAL CONFERENCE ON TECHNOLOGICAL ECOSYSTEMS FOR ENHANCING MULTICULTURALITY, P494, DOI 10.1145/3362789.3362938; Martins A, 2020, ENERGY REP, V6, P454, DOI 10.1016/j.egyr.2019.09.007; Mazeikiene N, 2021, J EDUC CULT SOC, V12, P131, DOI 10.15503/jecs2021.1.131.150; Medojevic M, 2016, 6TH INTERNATIONAL CONFERENCE ON ENERGY RESEARCH AND DEVELOPMENT, P17; Mehmood A, 2022, ENERGY REP, V8, P332, DOI 10.1016/j.egyr.2022.01.050; Meira D., 2022, P ICEE INT C ENERGY; Merritt EG, 2023, INT J SCI MATH EDUC, V21, P2237, DOI 10.1007/s10763-023-10352-3; Merritt EG, 2019, RENEW ENERG, V138, P1078, DOI 10.1016/j.renene.2019.02.047; Mogles N, 2018, USER MODEL USER-ADAP, V28, P1, DOI 10.1007/s11257-017-9199-9; Mogles N, 2017, BUILD ENVIRON, V125, P439, DOI 10.1016/j.buildenv.2017.09.008; Moret S, 2014, CHEM ENGINEER TRANS, V39, P877, DOI 10.3303/CET1439147; Motz A, 2021, ENERG POLICY, V151, DOI 10.1016/j.enpol.2021.112152; Ntouros V, 2021, I CONF ECON S SC, P156, DOI 10.2478/9788366675704-017; Numminen S, 2022, APPL ENERG, V326, DOI 10.1016/j.apenergy.2022.120002; O'Neill-Carrillo E, 2018, INT SYMP TECHNOL SOC, P8, DOI 10.1109/ISTAS.2018.8638285; Olsthoorn M, 2023, ENERG POLICY, V174, DOI 10.1016/j.enpol.2023.113430; Lasuen UO, 2020, INT J SUST HIGHER ED, V21, P1277, DOI 10.1108/IJSHE-12-2019-0363; Ortuño M, 2002, EUROPHYS LETT, V57, P759, DOI 10.1209/epl/i2002-00528-3; Paige F, 2019, SCI DATA, V6, DOI 10.1038/s41597-019-0275-3; Pestana C, 2021, SUSTAINABILITY-BASEL, V13, DOI 10.3390/su13147543; Plets G, 2022, BMGN, V137, P50, DOI 10.51769/bmgn-lchr.7028; Ramallo-González AP, 2022, BUILDINGS-BASEL, V12, DOI 10.3390/buildings12060708; Reis IFG, 2022, APPL ENERG, V307, DOI 10.1016/j.apenergy.2021.118115; Reis IFG, 2021, ENERG EFFIC, V14, DOI 10.1007/s12053-021-09952-1; REISS H, 1986, J STAT PHYS, V42, P647, DOI 10.1007/BF01127733; Rimm-Kaufman SE, 2021, J APPL DEV PSYCHOL, V74, DOI 10.1016/j.appdev.2020.101236; Russell JM, 2007, INTERCIENCIA, V32, P629; Satre-Meloy A, 2019, ENERGY, V174, P148, DOI 10.1016/j.energy.2019.01.157; Sayarkhalaj H, 2022, HELIYON, V8, DOI 10.1016/j.heliyon.2022.e11449; Sherren K, 2019, ENERGY RES SOC SCI, V51, P176, DOI 10.1016/j.erss.2019.01.014; Snow S, 2020, PROCEEDINGS OF THE 31ST AUSTRALIAN CONFERENCE ON HUMAN-COMPUTER-INTERACTION (OZCHI'19), P397, DOI 10.1145/3369457.3369501; Sovacool BK, 2016, RENEW SUST ENERG REV, V55, P811, DOI 10.1016/j.rser.2015.10.144; Sovacool BK, 2015, ENVIRON SCI POLICY, V54, P304, DOI 10.1016/j.envsci.2015.07.011; Spence A, 2018, BUILD RES INF, V46, P272, DOI 10.1080/09613218.2018.1409569; Tarabieh KA, 2015, SUSTAINABLE HUMAN-BUILDING ECOSYSTEMS, P194; Thomas PJM, 2021, RENEW SUST ENERG REV, V143, DOI 10.1016/j.rser.2021.110872; Thomson H, 2022, ENERGY RES SOC SCI, V87, DOI 10.1016/j.erss.2021.102475; Thomson H, 2019, ENERG BUILDINGS, V196, P21, DOI 10.1016/j.enbuild.2019.05.014; Tomei J., 2015, Equity and the energy trilemma Delivering sustainable energy access in low-income communities; Turner M., 2015, P 2014 INT EN SUST C, P1; UN (United Nations), 2022, UN-Energy UN-Energy Highlights Implementing the UN-Energy Plan of Action towards 2025; UN (United Nations), 2023, What Is Climate Change?; UNDP (United Nations Development Programme), 2023, Energy and Climate; UNEP (United Nations Environment Programme), 2023, Why Does Energy Matter?; van den Broek KL, 2019, ENERGY RES SOC SCI, V57, DOI 10.1016/j.erss.2019.101256; van den Broek KL, 2019, J ENVIRON PSYCHOL, V62, P95, DOI 10.1016/j.jenvp.2019.02.008; van der Horst D, 2018, ENERG EFFIC, V11, P1783, DOI 10.1007/s12053-017-9588-2; van der Horst D, 2016, J GEOGR HIGHER EDUC, V40, P67, DOI 10.1080/03098265.2015.1089477; Moreno MV, 2015, INT J WEB GRID SERV, V11, P78, DOI 10.1504/IJWGS.2015.067157; Wahyudi W, 2019, J PHYS CONF SER, V1402, DOI 10.1088/1742-6596/1402/4/044060; Walker I, 2020, ENERG BUILDINGS, V215, DOI 10.1016/j.enbuild.2020.109888; Wang M, 2021, ENERGY REP, V7, P1084, DOI 10.1016/j.egyr.2021.09.163; Wood G, 2014, TECHNOL ANAL STRATEG, V26, P1212, DOI 10.1080/09537325.2014.978277; Wu SF, 2023, ENERGIES, V16, DOI 10.3390/en16010259; Yang JC, 2017, ENVIRON EDUC RES, V23, P886, DOI 10.1080/13504622.2016.1214865; Yeh SC, 2017, SUSTAINABILITY-BASEL, V9, DOI 10.3390/su9030423; Yusup M, 2018, J PENDIDIK FIS INDON, V14, P60, DOI 10.15294/jpfi.v14i2.16638; Yusup M, 2017, J PHYS CONF SER, V895, DOI 10.1088/1742-6596/895/1/012161; Yusup M, 2017, J PHYS CONF SER, V877, DOI 10.1088/1742-6596/877/1/012014; Zanocco C, 2022, NAT ENERGY, V7, P1191, DOI 10.1038/s41560-022-01156-w; Zapico J.L., 2017, P 2017 SUSTAINABLE I; Zhang JK, 2020, ASIA PAC J TOUR RES, V25, P441, DOI 10.1080/10941665.2020.1741410</t>
  </si>
  <si>
    <t>1996-1073</t>
  </si>
  <si>
    <t>Energies</t>
  </si>
  <si>
    <t>10.3390/en16217235</t>
  </si>
  <si>
    <t>Energy &amp; Fuels</t>
  </si>
  <si>
    <t>X7NJ3</t>
  </si>
  <si>
    <t>gold, Green Submitted</t>
  </si>
  <si>
    <t>WOS:001100270100001</t>
  </si>
  <si>
    <t>Freitas, C; Venzo, P; Bellgrove, A; Francis, P</t>
  </si>
  <si>
    <t>Freitas, Catia; Venzo, Paul; Bellgrove, Alecia; Francis, Prue</t>
  </si>
  <si>
    <t>Diving into a sea of knowledge: empowering teachers to enhance ocean literacy in primary schools through an ocean education training program</t>
  </si>
  <si>
    <t>Article; Early Access</t>
  </si>
  <si>
    <t>Marine education; professional development; formal education; elementary school; SDG 14: Life below water</t>
  </si>
  <si>
    <t>PROFESSIONAL-DEVELOPMENT; CHILDRENS-LITERATURE; SCIENCE; ENVIRONMENT; PROTECTION; ATTITUDES</t>
  </si>
  <si>
    <t>Despite the opportunity to integrate ocean literacy in schools, there is limited global evidence that learning about the ocean has been prioritised in formal educational systems. An overloaded curriculum, teacher's lack of ocean knowledge and the limited availability of educational resources are the main barriers for the inclusion of ocean topics in schools. To tackle these challenges, we developed an ocean education training program for primary school teachers and provided them with teaching resources to deliver ocean concepts and increase awareness of a local marine environment. Our results showed a positive response from teachers regarding the program, their experience, and the incorporation of ocean literacy in their lessons across different learning areas. This study emphasises the importance of training teachers in ocean literacy and can be used as a model to design marine education programs that consider the local, cultural, and environmental context of individual schools.</t>
  </si>
  <si>
    <t>[Freitas, Catia; Francis, Prue] Deakin Univ, Deakin Marine Res &amp; Innovat Ctr, Sch Life &amp; Environm Sci, Queenscliff, Vic, Australia; [Venzo, Paul] Deakin Univ, Sch Commun &amp; Creat Arts, Geelong, Vic, Australia; [Bellgrove, Alecia] Deakin Univ, Deakin Marine Res &amp; Innovat Ctr, Sch Life &amp; Environm Sci, Warrnambool, Vic, Australia</t>
  </si>
  <si>
    <t>Deakin University; Deakin University; Deakin University</t>
  </si>
  <si>
    <t>Freitas, C (corresponding author), Deakin Univ, Deakin Marine Res &amp; Innovat Ctr, Sch Life &amp; Environm Sci, Queenscliff, Vic, Australia.</t>
  </si>
  <si>
    <t>c.abreudefreitas@deakin.edu.au</t>
  </si>
  <si>
    <t>Francis, Prudence/0000-0003-3354-0532</t>
  </si>
  <si>
    <t>Deakin University, School of Life and Environmental Sciences Higher Degree by Research; Department of Education and Training Victoria; Melbourne Archdiocese Catholic Schools; Victorian Fisheries Authority's Marine and Freshwater Discovery Centre</t>
  </si>
  <si>
    <t>The authors would like to acknowledge the Wadawurrung People of the Kulin Nation, and the Peek Whurrong people of the Maar Nation, the Traditional Custodians of the lands and waters on which this study was conducted, and on which the authors reside and work. We also thank the Department of Education and Training Victoria, the Melbourne Archdiocese Catholic Schools and all the educators, students and their families for their willingness and enthusiasm to participate in the program. The authors extend their acknowledgments to the Victorian Fisheries Authority's Marine and Freshwater Discovery Centre (Queenscliff), to N. Sadler for her valuable feedback in the development of the program, and to Z. Brittain for independently conducting the interviews with the participants.</t>
  </si>
  <si>
    <t>ACARA, 2022, The Australian Curriculum is Moving from Version 8.4 to Version 9.0; Ahmad-Kamil EI, 2022, SUSTAINABILITY-BASEL, V14, DOI 10.3390/su14074308; [Anonymous], 2021, Qualtrics; Ansberry K., 2010, Picture-Perfect Science Lessons, Expanded 2nd Edition: Using Childrens Books to Guide Inquiry, P3; Arboleya-Garcia E, 2022, EDUC SCI, V12, DOI 10.3390/educsci12010057; Aurélio L, 2021, FRONT MAR SCI, V8, DOI 10.3389/fmars.2021.699122; Babb YM, 2018, ENVIRON EDUC RES, V24, P716, DOI 10.1080/13504622.2017.1326020; Barracosa H, 2019, FRONT MAR SCI, V6, DOI 10.3389/fmars.2019.00626; Bennett S, 2016, MAR FRESHWATER RES, V67, P47, DOI 10.1071/MF15232; Boaventura D, 2021, FRONT MAR SCI, V8, DOI 10.3389/fmars.2021.675278; Boubonari T, 2013, J ENVIRON EDUC, V44, P232, DOI 10.1080/00958964.2013.785381; Brennan C, 2019, FRONT MAR SCI, V6, DOI 10.3389/fmars.2019.00360; Butler AJ, 2010, PLOS ONE, V5, DOI 10.1371/journal.pone.0011831; Carr KS, 2001, J ADOLESC ADULT LIT, V45, P146; Cava F., 2005, Science Content and Standards for Ocean Literacy: A Report on Ocean Literacy, P1; Cesário V, 2017, EXTENDED ABSTRACTS PUBLICATION OF THE ANNUAL SYMPOSIUM ON COMPUTER-HUMAN INTERACTION IN PLAY (CHI PLAY'17 EXTENDED ABSTRACTS), P99, DOI 10.1145/3130859.3131435; Costa R. L., 2021, Ocean Literacy: Understanding the Ocean, P241, DOI [10.1007/978-3-030-70155-0, DOI 10.1007/978-3-030-70155-0, https://doi.org/10.1007/978-3-030-70155-0]; Costa S, 2018, MAR POLICY, V87, P149, DOI 10.1016/j.marpol.2017.10.022; Curriculum Research Development Group, 2014, Accessible Professional Development for Teaching Aquatic Science Inquiry: Final Report, Honolulu, Hawaii; Desimone LM, 2009, EDUC RESEARCHER, V38, P181, DOI 10.3102/0013189X08331140; Dromgool-Regan C., 2016, P EUR MAR SCI ED ASS; Dupont S, 2017, J MAR BIOL ASSOC UK, V97, P1211, DOI 10.1017/S0025315417000376; Eddy TD, 2014, MAR POLICY, V46, P61, DOI 10.1016/j.marpol.2014.01.004; Edgar GJ, 2023, NATURE, V615, P858, DOI 10.1038/s41586-023-05833-y; Eidietis L., 2011, Journal of Geoscience Education, V56, P242, DOI DOI 10.5408/1.3651406; Fauville G, 2019, ENVIRON EDUC RES, V25, P238, DOI 10.1080/13504622.2018.1440381; Fauville G, 2018, MAR POLICY, V91, P85, DOI 10.1016/j.marpol.2018.01.034; Fitzpatrick R., 2019, How to Design Teach Workshops That Work Every Time; Francis PF, 2021, AUST J ENVIRON EDUC, V37, P167, DOI 10.1017/aee.2021.4; Freeman NK, 2011, EARLY CHILD EDUC J, V39, P1, DOI 10.1007/s10643-010-0439-4; Freitas C, 2023, CHILD LIT EDUC, DOI 10.1007/s10583-023-09534-y; Freitas C, 2022, FRONT MAR SCI, V9, DOI 10.3389/fmars.2022.883524; Gough A, 2017, MAR POLLUT BULL, V124, P633, DOI 10.1016/j.marpolbul.2017.06.069; Guest H, 2015, MAR POLICY, V58, P98, DOI 10.1016/j.marpol.2015.04.007; Hartley BL, 2018, MAR POLICY, V96, P227, DOI 10.1016/j.marpol.2018.02.002; Hartley BL, 2015, MAR POLLUT BULL, V90, P209, DOI 10.1016/j.marpolbul.2014.10.049; Hewson P., 2007, Handbook of Research in Science Education, P1179; Hopkins C., 2005, Education for Sustainable Development in Action Technical Paper No. 2; Johnson CC, 2007, J RES SCI TEACH, V44, P775, DOI 10.1002/tea.20149; Joyce J., 2019, Exemplary Practices in Marine Science Education, P171, DOI [DOI 10.1007/978-3-319-90778-9_11, 10.1007/978-3-319-90778-9_11, https://doi.org/10.1007/978-3-319-90778-9, DOI 10.1007/978-3-319-90778-9]; Lawson DF, 2018, GLOBAL ENVIRON CHANG, V53, P204, DOI 10.1016/j.gloenvcha.2018.10.002; Layton C, 2020, FRONT MAR SCI, V7, DOI 10.3389/fmars.2020.00074; Leitao R, 2022, ENVIRON EDUC RES, V28, P276, DOI 10.1080/13504622.2021.1986469; Leito R., 2018, INTED2018 P MARCH, V1, P5058, DOI [https://doi.org/10.21125/inted.2018.0998, DOI 10.21125/INTED.2018.0998]; Lotze H. K., 2020, Ethics in Science and Environmental Politics, V20, P33, DOI [https://doi.org/10.3354/esep00193, DOI 10.3354/ESEP00193]; Lotze HK, 2018, OCEAN COAST MANAGE, V152, P14, DOI 10.1016/j.ocecoaman.2017.11.004; Massey G., 2014, Picture Books and Beyond; McHugh P., 2016, Our Irish Oceans ConversationsSea Change Irish Conversations Report; McKinley E, 2023, MAR POLLUT BULL, V186, DOI 10.1016/j.marpolbul.2022.114467; McKnight DM, 2010, FRONT ECOL ENVIRON, V8, pE10, DOI 10.1890/100041; McPherson K., 2018, Appl. Environ. Educ. Commun., V19, P129, DOI [10.1080/1533015X.2018.1533439, DOI 10.1080/1533015X.2018.1533439]; Microsoft Corporation, 2019, Microsoft 365; Mogias A, 2019, FRONT MAR SCI, V6, DOI 10.3389/fmars.2019.00396; Mogias A, 2015, J ENVIRON EDUC, V46, P251, DOI 10.1080/00958964.2015.1050955; Molony BWW, 2022, FRONT MAR SCI, V8, DOI 10.3389/fmars.2021.829610; Monhardt L, 2006, EARLY CHILD EDUC J, V34, P67, DOI 10.1007/s10643-006-0108-9; Murphy C, 2015, COGENT EDUC, V2, DOI 10.1080/2331186X.2015.1077692; National Marine Science Committee, 2015, National marine science plan 2015-2025: driving the development of Australia's blue economy; O'Brien M, 2023, MAR POLLUT BULL, V193, DOI 10.1016/j.marpolbul.2023.115208; Pant E., 2019, International Information Library Review, V51, P247, DOI [10.1080/10572317.2019.1629067, DOI 10.1080/10572317.2019.1629067, https://doi.org/10.1080/10572317.2019.1629067]; Parks Victoria, 2020, Port Phillip Heads Marine National Park: Identification Booklet; Payne DL, 2010, ASTE SER SCI EDUC, P81, DOI 10.1007/978-90-481-9222-9_6; Pazoto CE, 2022, OCEAN COAST MANAGE, V219, DOI 10.1016/j.ocecoaman.2022.106047; QSR International Pty Ltd, 2020, NVivo Software; Rice DC, 2002, READ TEACH, V55, P552; Sackes M, 2009, EARLY CHILD EDUC J, V36, P415, DOI 10.1007/s10643-009-0304-5; Santoro F., 2022, IOC Manuals and Guides, V90; Steel BS, 2005, OCEAN COAST MANAGE, V48, P97, DOI 10.1016/j.ocecoaman.2005.01.002; Stefanelli-Silva G, 2019, FRONT MAR SCI, V6, DOI 10.3389/fmars.2019.00389; Strang C., 2007, The Journal of Marine Education: Current, V23, DOI [https://doi.org/10.1177/0741713604272375, DOI 10.1177/0741713604272375]; Torralba-Burrial A, 2023, SUSTAINABILITY-BASEL, V15, DOI 10.3390/su151712905; UNESCO, 2020, OCEAN LITERACY DRAFT STRATEGIC PLAN-Ocean Literacy for the UN Decade of Ocean Science for Sustainable Development; UNESCO, 2022, Intergovernmental Oceanographic Commission. One Ocean Summit: UNESCO Calls on Countries to Include Ocean Education in School Curricula by 2025; Uyarra MC, 2016, MAR POLLUT BULL, V104, P1, DOI 10.1016/j.marpolbul.2016.02.060; Visbeck M, 2018, NAT COMMUN, V9, DOI 10.1038/s41467-018-03158-3; Wells R, 2007, EARLY CHILD EDUC J, V35, P285, DOI 10.1007/s10643-007-0181-8; Witt SD, 2008, EARLY CHILD DEV CARE, V178, P41, DOI 10.1080/03004430600601156; Young MA, 2023, DIVERS DISTRIB, V29, P199, DOI 10.1111/ddi.13654; Zambo DM, 2007, TEACH EXCEPT CHILD, V39, P32, DOI 10.1177/004005990703900305</t>
  </si>
  <si>
    <t>2024 MAY 19</t>
  </si>
  <si>
    <t>10.1080/13504622.2024.2357342</t>
  </si>
  <si>
    <t>RX8J3</t>
  </si>
  <si>
    <t>WOS:001231045300001</t>
  </si>
  <si>
    <t>Fielding, S; Copley, JT; Mills, RA</t>
  </si>
  <si>
    <t>Fielding, Sarah; Copley, Jonathan T.; Mills, Rachel A.</t>
  </si>
  <si>
    <t>Exploring Our Oceans: Using the Global Classroom to Develop Ocean Literacy</t>
  </si>
  <si>
    <t>ocean literacy; open education; MOOCs; online learning; distance learners</t>
  </si>
  <si>
    <t>Developing the ocean literacy of individuals of all ages from all countries, cultures, and economic backgrounds is essential to inform choices for sustainable living in the future, but how we reach and represent diverse voices is a challenge. Massive Open Online Courses (MOOCs) offer a possible tool to achieve this goal, as they can potentially reach large numbers of people including those from lower and middle income regions. The number of MOOCs themed around ocean science and/or literacy is growing rapidly, and here we share experience of developing and delivering a MOOC entitled Exploring Our Oceans, which has run ten times in the past 4 years with around 40,000 participants worldwide. The Exploring Our Oceans MOOC incorporates a blend of online teaching techniques grounded in both instructivist and constructivist theories, thereby emphasizing contributions from a global community of learners and encouraging individual, independent action in relation to ocean citizenship. The impacts of this MOOC include evidence of changed awareness and attitudes to ocean issues; increased applications and participation in undergraduate and postgraduate programs; development of communication and outreach skills in the postgraduate community and partnership building with Nelson Mandela University, South Africa. These impacts, and vignettes of learner experiences in the course, are discussed in the context of the effectiveness of MOOCs in developing global ocean literacy.</t>
  </si>
  <si>
    <t>[Fielding, Sarah] Univ Southampton, iSolut, Highfiald Campus, Southampton, Hants, England; [Copley, Jonathan T.; Mills, Rachel A.] Univ Southampton, Natl Oceanog Ctr, Sch Ocean &amp; Earth Sci, Southampton, Hants, England</t>
  </si>
  <si>
    <t>University of Southampton; University of Southampton; NERC National Oceanography Centre</t>
  </si>
  <si>
    <t>Fielding, S (corresponding author), Univ Southampton, iSolut, Highfiald Campus, Southampton, Hants, England.</t>
  </si>
  <si>
    <t>s.fielding@soton.ac.uk</t>
  </si>
  <si>
    <t>Copley, Jon/I-7076-2012; Mills, Rachel/A-1150-2011</t>
  </si>
  <si>
    <t>Copley, Jon/0000-0003-3333-4325; Mills, Rachel/0000-0002-9811-246X</t>
  </si>
  <si>
    <t>ESRC [ES/N013913/1] Funding Source: UKRI</t>
  </si>
  <si>
    <t>ESRC(UK Research &amp; Innovation (UKRI)Economic &amp; Social Research Council (ESRC))</t>
  </si>
  <si>
    <t>[Anonymous], 2012, EUROPEAN J OPEN DIST; [Anonymous], MOOCS MYTHS DROPOUT; [Anonymous], 2013, MOOCS OPEN ED IMPLIC; Bates T., 2015, Teaching in a digital age: guidelines for designing teaching and learning; Bayne S., 2014, PEDAGOGY MASSIVE OPE; Chuang Isaac, 2016, HARVARDX MITX 4 YEAR; Downes S., 2014, MOOC ONE; Downes S., 2012, MASSIVELY ONLINE OPE; Fauville G, 2019, ENVIRON EDUC RES, V25, P238, DOI 10.1080/13504622.2018.1440381; Future Learn, 2018, PED FUTURELEARN OUR; Jordan K, 2014, INT REV RES OPEN DIS, V15, DOI 10.19173/irrodl.v15i1.1651; McPherson K., 2018, THESIS; Meltzoff AN, 2009, SCIENCE, V325, P284, DOI 10.1126/science.1175626; Ocean Literacy, 2013, ESS PRINC FUND CONC; Priniski SJ, 2018, J EXP EDUC, V86, P11, DOI 10.1080/00220973.2017.1380589; Sharples M., 2015, FutureLearn Learning Design Guidelines; United Nations Ocean Conference, 2017, FACTSH PEOPL OC; Urrutia ML, 2016, J INTERACT MEDIA EDU, DOI 10.5334/jime.427; Visbeck M, 2018, NAT COMMUN, V9, DOI 10.1038/s41467-018-03158-3; Wintrup J., 2015, Engaged learning in MOOCs: A study using the UK engagement survey</t>
  </si>
  <si>
    <t>JUN 25</t>
  </si>
  <si>
    <t>10.3389/fmars.2019.00340</t>
  </si>
  <si>
    <t>IE8JS</t>
  </si>
  <si>
    <t>gold, Green Accepted</t>
  </si>
  <si>
    <t>WOS:000472620300001</t>
  </si>
  <si>
    <t>Scarel, EA; Revuelta, MJC</t>
  </si>
  <si>
    <t>Scarel, Eduardo Agosta; Revuelta, Maria Jose Cuetos</t>
  </si>
  <si>
    <t>Climate Literacy in Compulsory Secondary Schools: a case study</t>
  </si>
  <si>
    <t>REVISTA EUREKA SOBRE ENSENANZA Y DIVULGACION DE LAS CIENCIAS</t>
  </si>
  <si>
    <t>Climate crisis; Secondary education; Climate literacy; Climate change</t>
  </si>
  <si>
    <t>CHANGE INSIGHTS; EDUCATION; CONSEQUENCES; PERCEPTIONS; INFORMATION; UNIVERSITY; ATTITUDES; SCIENCE</t>
  </si>
  <si>
    <t>From a scientific perspective, climate crisis is the greatest challenge facing societies. There is an urgent need to prepare citizens for pro-climate changes in the coming years. The specific objective of this study was to evaluate the level of development of climate literacy (CL) before (PRE phase) and after (POS phase) the implementation of an intervention on climate change (CC) in the 3rd grade students in Compulsory Secondary School belonging to an educational centre in Castellon, Spain. Previously, the diagnosis on the opinions and the level of knowledge about climate science or CL of 2nd, 3rd and 4th grade students and teachers at this school was made. Therefore, the overall goal of this research work was to contribute to climate literacy by improving the understanding of 3rd grade students of the topic of anthropogenic global warming, or CC, through the implementation of the climate change program designed for this purpose. Comparison of results before and after implementing this program showed statistically significant improvements in some of the climate science knowledge domains. It is transcended that climate education is essential for the development of meaningful worldviews, understanding of climate science and engagement and participation in pro-climate activities.</t>
  </si>
  <si>
    <t>[Scarel, Eduardo Agosta] Consejo Nacl Invest Cient &amp; Tecn CONICET, Buenos Aires, Argentina; [Revuelta, Maria Jose Cuetos] Univ Int La Rioja, Fac Educ, Area Didact Matemat &amp; Ciencias Expt, La Rioja, Spain</t>
  </si>
  <si>
    <t>Consejo Nacional de Investigaciones Cientificas y Tecnicas (CONICET); Universidad Internacional de La Rioja (UNIR)</t>
  </si>
  <si>
    <t>Scarel, EA (corresponding author), Consejo Nacl Invest Cient &amp; Tecn CONICET, Buenos Aires, Argentina.</t>
  </si>
  <si>
    <t>eduardo@laudatosimovement.org; mjose.cuetos@unir.net</t>
  </si>
  <si>
    <t>Cuetos, Maria Jose/AFR-4010-2022</t>
  </si>
  <si>
    <t>Cuetos, Maria Jose/0000-0002-9555-8765</t>
  </si>
  <si>
    <t>Agresti A., 2007, An introduction to categorical data analysis; Andersson B, 2000, J RES SCI TEACH, V37, P1096, DOI 10.1002/1098-2736(200012)37:10&lt;1096::AID-TEA4&gt;3.0.CO;2-8; Arnaldo P., 2021, El impacto generacional del coronavirus; Benestad RE, 2016, THEOR APPL CLIMATOL, V126, P699, DOI 10.1007/s00704-015-1597-5; Bodzin AM., 2014, Journal of Geoscience Education, V62, P417, DOI DOI 10.5408/13-042.1; Bord RJ, 1997, SOC SCI QUART, V78, P830; BOYES E, 1993, INT J SCI EDUC, V15, P531, DOI 10.1080/0950069930150507; Boyes E., 1997, RES SCI TECHNOL EDUC, V15, P19, DOI [https://doi.org/10.1080/0263514970150102, DOI 10.1080/0263514970150102]; Broadbert E., 2017, What the World's Young People Think and Feel. Generation Z: A Global Citizenship Survey; Brown LD, 2001, STAT SCI, V16, P101, DOI 10.1214/ss/1009213286; Chopra R, 2019, CLIM CHANG MANAG, P53, DOI 10.1007/978-3-030-32898-6_4; Clayton S, 2020, J ANXIETY DISORD, V74, DOI 10.1016/j.janxdis.2020.102263; CONOVER WJ, 1981, TECHNOMETRICS, V23, P351, DOI 10.2307/1268225; Corrochano Fernandez D., 2021, Revista de Educacion Ambiental; Dahlberg S., 2001, Canadian Journal of Environmental Education, V6, P9; De Vellis R.F., 2003, SCALE DEV THEORY APP; Morote AF, 2021, REV ELECTRON INTERUN, V24, P131, DOI 10.6018/reifop.393631; Gayoso IGR, 2012, ENSEN CIENC, V30, P195; Garcia-Vinuesa A., 2022, Ensenanza Ciencias, V40, P25, DOI [10.5565/rev/ensciencias.3526, DOI 10.5565/REV/ENSCIENCIAS.3526]; García-Vinuesa Antonio, 2020, Pensam. educ., V57, DOI 10.7764/pel.57.2.2020.5; Gowda MVR, 1997, B AM METEOROL SOC, V78, P2232; Harker-Schuch I, 2019, CLIM CHANG MANAG, P291, DOI 10.1007/978-3-030-32898-6_17; Harker-Schuch I, 2019, CLIM CHANG MANAG, P279, DOI 10.1007/978-3-030-32898-6_16; Harker-Schuch I, 2013, AMBIO, V42, P755, DOI 10.1007/s13280-013-0388-4; Harker-Schuch IEP, 2020, COMPUT EDUC, V144, DOI 10.1016/j.compedu.2019.103705; Ibáñez MMI, 2019, ENSEN CIENC, V37, P49, DOI 10.5565/rev/ensciencias.2668; Koulaidis V, 1999, SCI EDUC, V83, P559, DOI 10.1002/(SICI)1098-237X(199909)83:5&lt;559::AID-SCE4&gt;3.0.CO;2-E; Krosnick J.A., 1996, ADV SURVEY RES, P29, DOI [10.1002/ev.1033, DOI 10.1002/EV.1033]; Leal W, 2019, CLIM CHANG MANAG, P1, DOI 10.1007/978-3-030-32898-6_1; LeMaster R, 2011, El Efecto Invernadero (3.04.00) Simulacion en linea; Lewandowsky S, 2012, PSYCHOL SCI PUBL INT, V13, P106, DOI 10.1177/1529100612451018; Meira-Cartea P. A., 2018, Psyecology, V9, P301, DOI [10.1080/21711976.2018.1483569, DOI 10.1080/21711976.2018.1483569]; Milotay N., 2020, Next generation or lost generation? Children, young people and the pandemic; Monroe MC, 2019, ENVIRON EDUC RES, V25, P791, DOI 10.1080/13504622.2017.1360842; Moya-Segura A., 2011, Ensayos Pedagogicos, V6, P115, DOI [10.15359/rep.6-1.7, DOI 10.15359/REP.6-1.7]; Navarro-Díaz Miriam, 2020, RMIE, V25, P957; Özdem Y, 2014, INT RES GEOGR ENVIRO, V23, P294, DOI 10.1080/10382046.2014.946323; Pournelle G. H., 1953, Journal of Mammalogy, V34, P133, DOI 10.1890/0012-9658(2002)083[1421:SDEOLC]2.0.CO;2; Pruneau D., 2003, Environmental Education Research, V9, P429, DOI DOI 10.1080/1350462032000126096; Pruneau D., 2001, CAN J ENVIRON EDUC, V6, P58; Ranney MA, 2016, TOP COGN SCI, V8, P49, DOI 10.1111/tops.12187; Reinfried S, 2012, INT RES GEOGR ENVIRO, V21, P155, DOI 10.1080/10382046.2012.672685; Segado-Boj F, 2020, REV LAT COMUN SOC, P245, DOI 10.4185/RLCS-2020-1425; Shepardson DP, 2011, CLIMATIC CHANGE, V104, P481, DOI 10.1007/s10584-009-9786-9; Steentjes K., 2017, European perceptions of climate change (EPCC): Topline findings of a survey conducted in four European countries in 2016; Stevenson RB., 2017, Curriculum Perspectives, V37, P67, DOI [DOI 10.1007/S41297-017-0015-9, 10.1007/s41297-017-0015-9]; Summary for Policymakers, 2001, CLIMATE CHANGE 2001, P2; UNESCO, 2017, UNESCO at COP 23. Climate Change Education; UNESCO, 2020, Educacion para el desarrollo sostenible. Hoja de ruta; United States Global Change Research Program [USGCRP], 2009, Climate Literacy: The Essential Principles of Climate Science; van der Linden S, 2017, GLOB CHALL, V1, DOI 10.1002/gch2.201600008; Varela B, 2020, RES SCI EDUC, V50, P599, DOI 10.1007/s11165-018-9703-1; Wilks D.S., 2011, Statistical methods in the atmospheric sciences, V100, DOI DOI 10.1002/MET.16; Wolf J, 2011, WIRES CLIM CHANGE, V2, P547, DOI 10.1002/wcc.120; Wu JS, 2015, NAT CLIM CHANGE, V5, P413, DOI 10.1038/NCLIMATE2566</t>
  </si>
  <si>
    <t>UNIV CADIZ, DEPT DIDACTICA</t>
  </si>
  <si>
    <t>CADIZ</t>
  </si>
  <si>
    <t>FAC CIENCIAS EDUC, UNIV CADIZ, AVDA REPUBLICA SAHARAUI S-N, CADIZ, PUERTO REAL 11519, SPAIN</t>
  </si>
  <si>
    <t>1697-011X</t>
  </si>
  <si>
    <t>REV EUREKA ENSEN DIV</t>
  </si>
  <si>
    <t>Rev. Eureka Ensen. Divulg. Cienc.</t>
  </si>
  <si>
    <t>10.25267/Rev_Eureka_ensen_divulg_cienc.2023.v20.i3.3501</t>
  </si>
  <si>
    <t>X0WX2</t>
  </si>
  <si>
    <t>WOS:001095750900010</t>
  </si>
  <si>
    <t>Pazoto, CE; Duarte, MR; Silva, EP</t>
  </si>
  <si>
    <t>Pazoto, Carmen Edith; Duarte, Michelle Rezende; Silva, Edson Pereira</t>
  </si>
  <si>
    <t>Promoting ocean literacy among students in Brazilian schools</t>
  </si>
  <si>
    <t>Coastal environmental education; Education for sustainable development; Integrated intervention; Principles-concepts-dimension of ocean literacy; Teachers; Curricula</t>
  </si>
  <si>
    <t>MARINE; ENVIRONMENT; EDUCATION; TEACHERS</t>
  </si>
  <si>
    <t>Promoting the principles, concepts, and dimensions of Ocean Literacy (OL) among children and youth is essential for enhancing society's understanding of the ocean's complexity and the causes and consequences of its degradation. This study details a project conducted over a year with 235 students from a public school in Rio de Janeiro, Brazil, aged 8 to 15. Developed in partnership with schoolteachers, the activities encompassed theoretical lessons, laboratory experiments, field trips, and reading circles. These were grounded in the students' local context and integrated into the school curriculum. The project was evaluated through questionnaires and focus group interviews. Findings revealed not only learning and changes in attitude but also increased student engagement and a revitalized school environment. This project can be adapted for other regions and audiences.</t>
  </si>
  <si>
    <t>[Pazoto, Carmen Edith; Duarte, Michelle Rezende; Silva, Edson Pereira] Univ Fed Fluminense UFF, Dept Biol Marinha, Lab Genet Marinha &amp; Evolucao, Niteroi, RJ, Brazil</t>
  </si>
  <si>
    <t>Universidade Federal Fluminense</t>
  </si>
  <si>
    <t>Duarte, MR (corresponding author), Univ Fed Fluminense UFF, Dept Biol Marinha, Lab Genet Marinha &amp; Evolucao, Niteroi, RJ, Brazil.</t>
  </si>
  <si>
    <t>michellerezendeduarte@yahoo.com.br</t>
  </si>
  <si>
    <t>Pazoto, Carmen/KVY-7034-2024</t>
  </si>
  <si>
    <t>Silva, Edson/0000-0002-3210-1127; Pazoto, Carmen/0000-0001-5724-5939</t>
  </si>
  <si>
    <t>PDPA-FME; PDPA-FME Niteroi/UFF/FEC (Programa de Desenvolvimento de Projetos Aplicados-Fundacao Municipal de Educacao Niteroi/Universidade Federal Fluminense/Fundacao Euclides da Cunha)</t>
  </si>
  <si>
    <t>The authors would like to thank PDPA-FME for scholarships for MRD (Post-doctorate) . This article receives financial support from PDPA-FME Niteroi/UFF/FEC (Programa de Desenvolvimento de Projetos Aplicados-Fundacao Municipal de Educacao Niteroi/Universidade Federal Fluminense/Fundacao Euclides da Cunha) .</t>
  </si>
  <si>
    <t>[Anonymous], 2010, NMEA Special Report #3: The Ocean Literacy Campaign; Ballantyne R., 2004, GEO J, V60, P159, DOI [https://doi.org/10.1023/B:GEJO.0000033579.19277.ff, DOI 10.1023/B:GEJO.0000033579.19277.FF]; Barracosa H, 2019, FRONT MAR SCI, V6, DOI 10.3389/fmars.2019.00626; Boaventura D, 2021, FRONT MAR SCI, V8, DOI 10.3389/fmars.2021.675278; Boubonari T, 2013, J ENVIRON EDUC, V44, P232, DOI 10.1080/00958964.2013.785381; Brasil, 2016, Resolucao No 510; Brennan C, 2019, FRONT MAR SCI, V6, DOI 10.3389/fmars.2019.00360; Camargo B.V., 2013, Temas em psicologia, V21, P513, DOI [DOI 10.9788/TP2013.2-16, 10.9788/TP2013.2-16]; Salvador PTCD, 2017, REV BRAS ENFERM, V70, P572, DOI 10.1590/0034-7167-2016-0123; Castle Z, 2010, OCEAN YEARB, V24, P425, DOI 10.1163/22116001-90000066; Chang CC, 2021, SUSTAINABILITY-BASEL, V13, DOI 10.3390/su13084314; Cheimonopoulou M., 2022, P MARINE INLAND WATE, P271; Dupont S., 2017, Handbook on the Economics and Management of Sustainable Oceans, P519, DOI [10.4337/9781786430724, DOI 10.4337/9781786430724.00037]; Favero J.D., 2021, Suvaco no mundo dos corais; Ferreira JC, 2021, EDUC SCI, V11, DOI 10.3390/educsci11020062; Freitas C, 2022, FRONT MAR SCI, V9, DOI 10.3389/fmars.2022.883524; Ghilardi-Lopes N.P., 2019, Coastal and Marine Environmental Education, DOI [10.1007/978-3-030-05138-9_1, DOI 10.1007/978-3-030-05138-9_1]; Gil A.C., 2002, S O PAULO; Gough A, 2017, MAR POLLUT BULL, V124, P633, DOI 10.1016/j.marpolbul.2017.06.069; Hartley BL, 2015, MAR POLLUT BULL, V90, P209, DOI 10.1016/j.marpolbul.2014.10.049; IOC-UNESCO, 2022, A New Blue Curriculum-A toolkit for policy-makers; Kapoor A, 2023, INT J RES METHOD EDU, V46, P421, DOI 10.1080/1743727X.2023.2196065; Kollmuss A., 2002, ENVIRON EDUC RES, V8, P239, DOI [10.1080/13504620220145401, DOI 10.1080/13504620220145401]; McKinley E, 2023, MAR POLLUT BULL, V186, DOI 10.1016/j.marpolbul.2022.114467; McKinley E., 2020, Understanding Ocean Literacy and Ocean Climate-Related Behaviour Change in the UK-Work Package 1: Evidence Synthesis; McPherson K., 2018, Appl. Environ. Educ. Commun., V19, P129, DOI [10.1080/1533015X.2018.1533439, DOI 10.1080/1533015X.2018.1533439]; McPherson K., 2018, Int. J. Learn. Teach. Educ. Res., V17, P1, DOI [10.26803/ijlter.17.11.1, DOI 10.26803/IJLTER.17.11.1]; Mioni E, 2022, MEDITERR MAR SCI, V23, P405, DOI 10.12681/mms.27152; Mokos M., 2021, Ocean Literacy: Understanding the Ocean, DOI [10.1007/978-3-030-70155-0, DOI 10.1007/978-3-030-70155-0]; Mokos M, 2020, SUSTAINABILITY-BASEL, V12, DOI 10.3390/su122410647; Ocean Literacy Network, 2020, Ocean Literacy: The essential principles and fundamental concepts of ocean sciences for learners of all ages Version 3; Onocko-Campos RT, 2017, CAD SAUDE PUBLICA, V33, DOI [10.1590/0102-311X00187316, 10.1590/0102-311x00187316]; Payne D.L., 2021, Ocean Literacy: Understanding the Ocean, DOI [10.1007/978-3-030-70155-0, DOI 10.1007/978-3-030-70155-0]; Pazoto CE, 2021, OCEAN COAST RES, V69, DOI 10.1590/2675-2824069.21008cep; Phillippi J, 2018, QUAL HEALTH RES, V28, P381, DOI 10.1177/1049732317697102; Plankis B.J., 2010, INT ELECT J ENV ED, V1, P21; Riedinger K., 2019, Exemplary Practices in Marine Science Education, DOI [10.1007/978-3-319-90778-9_24, DOI 10.1007/978-3-319-90778-9_24]; Santoro F., 2017, Ocean Literacy for All - A toolkit, IOC/UNESCO UNESCO Venice Office; Santos CR, 2018, OCEAN COAST MANAGE, V164, P147, DOI 10.1016/j.ocecoaman.2017.08.011; Schoedinger S., 2010, NMEA Special Report, V3, P3; Steel BS, 2005, OCEAN COAST MANAGE, V48, P97, DOI 10.1016/j.ocecoaman.2005.01.002; Stefanelli-Silva G, 2019, FRONT MAR SCI, V6, DOI 10.3389/fmars.2019.00389; Stoll-Kleemann S, 2019, FRONT MAR SCI, V6, DOI 10.3389/fmars.2019.00273; Strang C., 2007, CURRENT J MARINE ED, V23, P7, DOI DOI 10.5281/ZENODO.30563</t>
  </si>
  <si>
    <t>10.1016/j.marpolbul.2023.115690</t>
  </si>
  <si>
    <t>Y4VW5</t>
  </si>
  <si>
    <t>WOS:001105263700001</t>
  </si>
  <si>
    <t>Financial Knowledge's Role in Portuguese Energy Literacy</t>
  </si>
  <si>
    <t>energy-related knowledge; financial knowledge; attitude; behavior; Portuguese energy literacy</t>
  </si>
  <si>
    <t>STUDENTS; BEHAVIOR; ATTITUDES</t>
  </si>
  <si>
    <t>Energy literacy is a concept which is not widely known by the public; however, it has captured the attention of several researchers in recent years. Concerning the assessment of energy and financial knowledge and people's attitudes, intentions and behavior, it provides a global view of people's knowledge, feelings, concerns and habits related to energy usage. Since energy is such an important resource in our daily lives, we can hardly imagine living without it. Moreover, considering that its production often requires the use of limited resources and leads to the worsening of already existing environmental problems, finding ways to alert consumers to the efficient management of their consumption is an urgent need. Therefore, in this article, we aimed to evaluate energy literacy levels, considering all the dimensions mentioned above, and search for the determinants of these levels. As an added novelty, we also aimed to determine the role of financial knowledge on energy literacy dimensions. After distributing a questionnaire to the university community in Portugal, we found good levels of energy literacy, despite moderate levels of energy and financial knowledge. Gender seems to be a determinant of all energy literacy dimensions, and financial knowledge has a positive and significant impact on energy knowledge.</t>
  </si>
  <si>
    <t>[Martins, Ana; Madaleno, Mara; Dias, Marta Ferreira] Univ Aveiro, Dept Econ Management Ind Engn &amp; Tourism DEGEIT, Res Unit Governance Competitiveness &amp; Publ Polici, Campus Univ Santiago, P-3810193 Aveiro, Portugal</t>
  </si>
  <si>
    <t>Universidade de Aveiro</t>
  </si>
  <si>
    <t>Dias, MF (corresponding author), Univ Aveiro, Dept Econ Management Ind Engn &amp; Tourism DEGEIT, Res Unit Governance Competitiveness &amp; Publ Polici, Campus Univ Santiago, P-3810193 Aveiro, Portugal.</t>
  </si>
  <si>
    <t>Ferreira Dias, Marta/0000-0002-6695-8479; Madaleno, Mara/0000-0002-4905-2771</t>
  </si>
  <si>
    <t>research unit on Governance, Competitiveness and Public Policy - national funds through FCT-Fundacao para a Ciencia e a Tecnologia [UIDB/04058/2020]</t>
  </si>
  <si>
    <t>research unit on Governance, Competitiveness and Public Policy - national funds through FCT-Fundacao para a Ciencia e a Tecnologia</t>
  </si>
  <si>
    <t>This work was supported by the research unit on Governance, Competitiveness and Public Policy (UIDB/04058/2020), funded by national funds through FCT-FundacAo para a Ciencia e a Tecnologia.</t>
  </si>
  <si>
    <t>AGUIRREBIELSCHO.I, 2015, ENVIRON EDUC RES, V23, P832, DOI DOI 10.1080/13504622.2015.1054267; [Anonymous], 2007, 2007 ANN C EXP; Armstrong J.B., 1991, The Journal of Environmental Education, V22, P36, DOI DOI 10.1080/00958964.1991.9943060; Ballantyne R., 2006, ENVIRON EDUC RES, V12, P413, DOI [10.1080/13504620600942972, DOI 10.1080/13504620600942972]; Barrow L.H., 1987, The Journal of Environmental Education, V18, P15; Blasch J, 2017, SSRN ELECT J, DOI [10.2139/ssrn.2940197, DOI 10.2139/SSRN.2940197]; Blasch J., 2018, SSRN Electron. J., DOI [10.2139/ssrn.3175874, DOI 10.2139/SSRN.3175874]; Blasch J, 2019, RESOUR ENERGY ECON, V56, P39, DOI 10.1016/j.reseneeco.2017.06.001; Blasch J, 2017, ENERG ECON, V68, P89, DOI 10.1016/j.eneco.2017.12.004; Bodzin A, 2012, INT J SCI EDUC, V34, P1255, DOI 10.1080/09500693.2012.661483; Boogen N, 2018, P 41 IAEE INT C TRAN; Brounen D, 2013, ENERG ECON, V38, P42, DOI 10.1016/j.eneco.2013.02.008; Brutscher P, 2011, PAYMENT MATTERS EXPL; Chen SJ, 2015, ENERG EFFIC, V8, P791, DOI 10.1007/s12053-015-9327-5; Cotton DRE, 2018, ENVIRON EDUC RES, V24, P1611, DOI 10.1080/13504622.2017.1395394; Cotton D, 2016, J CLEAN PROD, V129, P586, DOI 10.1016/j.jclepro.2016.03.136; Cotton DRE, 2015, INT J SUST HIGHER ED, V16, P456, DOI 10.1108/IJSHE-12-2013-0166; Danner UN, 2008, BRIT J SOC PSYCHOL, V47, P245, DOI 10.1348/014466607X230876; DeWaters J, 2013, J ENVIRON EDUC, V44, P56, DOI 10.1080/00958964.2012.682615; DeWaters JE, 2011, ENERG POLICY, V39, P1699, DOI 10.1016/j.enpol.2010.12.049; Dianshu F, 2010, ENERG POLICY, V38, P1202, DOI 10.1016/j.enpol.2009.11.012; do Paço A, 2013, APCBEE PROC, V5, P44, DOI 10.1016/j.apcbee.2013.05.009; Energia S, 2019, QUIZ ENERGIA; Filippini M., 2018, Final report; Filippini M., 2019, WORKING PAPER SERIES, V19; Gaies B, 2019, ENERG POLICY, V135, DOI 10.1016/j.enpol.2019.111000; Heutel G, 2019, J ENVIRON ECON MANAG, V96, P236, DOI 10.1016/j.jeem.2019.06.005; Kalmi P., 2017, P 15 IAEE EUR C VIEN; Kang NN, 2012, ENERG BUILDINGS, V46, P112, DOI 10.1016/j.enbuild.2011.10.039; Kumar N., 2018, DESCRIPTIVE OVERVIEW; Kumar N., 2019, SSRN J, V19/312, DOI [10.2139/ssrn.3328468, DOI 10.2139/SSRN.3328468]; Lee LS, 2017, ENVIRON EDUC RES, V23, P855, DOI 10.1080/13504622.2015.1068276; Lee LS, 2015, ENERG POLICY, V76, P98, DOI 10.1016/j.enpol.2014.11.012; Lusardi A, 2014, J ECON LIT, V52, P5, DOI 10.1257/jel.52.1.5; Maréchal K, 2010, ECOL ECON, V69, P1104, DOI 10.1016/j.ecolecon.2009.12.004; Martins A, 2020, ENERGY REP, V6, P454, DOI 10.1016/j.egyr.2019.09.007; Räty R, 2010, ENERG POLICY, V38, P646, DOI 10.1016/j.enpol.2009.08.010; Sovacool BK, 2015, ENVIRON SCI POLICY, V54, P304, DOI 10.1016/j.envsci.2015.07.011; Toth N, 2013, J ENVIRON PSYCHOL, V34, P36, DOI 10.1016/j.jenvp.2012.12.001; U.S. Department of Energy, 2017, EN LIT ESS PRINC FUN; van den Broek KL, 2019, ENERG POLICY, V129, P1297, DOI 10.1016/j.enpol.2019.03.033; Zografakis N, 2008, ENERG POLICY, V36, P3226, DOI 10.1016/j.enpol.2008.04.021</t>
  </si>
  <si>
    <t>10.3390/en13133412</t>
  </si>
  <si>
    <t>MT5ZG</t>
  </si>
  <si>
    <t>WOS:000555052500001</t>
  </si>
  <si>
    <t>McCaffrey, MS; Buhr, SM</t>
  </si>
  <si>
    <t>McCaffrey, Mark S.; Buhr, Susan M.</t>
  </si>
  <si>
    <t>CLARIFYING CLIMATE CONFUSION: ADDRESSING SYSTEMIC HOLES, COGNITIVE GAPS, AND MISCONCEPTIONS THROUGH CLIMATE LITERACY</t>
  </si>
  <si>
    <t>climate literacy; science education; misconceptions; standards; benchmarks</t>
  </si>
  <si>
    <t>MENTAL MODELS</t>
  </si>
  <si>
    <t>The challenge of significantly increasing the public's climate literacy is a daunting one. While polling research indicates that most American adults believe climate change is happening, the data also show there is widespread confusion about the causes of the change and the degree of scientific consensus around the human impacts on the climate system. Consumers and corporations, who may lack an understanding of the important role of carbon in the climate system, are encouraged to reduce carbon emissions, purchase carbon offsets, and consider carbon labels that show the amount of embedded greenhouse gases in products and services. Utility companies promoting the use of smart meters find that many consumers do not understand how their electricity is generated or the role played by fossil fuels, which are in effect concentrated forms of buried solar energy linking energy use today to past and future climates. While aggressive media, corporate, and political forces are often regarded as the primary cause of the public's climate confusion, a review of five decades of science education relating to climate in general and climate change in particular reveals that basic climate science has not been well addressed in national and state education standards or science education curricula. Moreover, key misconceptions and misinformation about basic climate science are strongly held by students, teachers, and public audiences. We review research on these misconceptions and call upon educators and communicators to address systemic holes and pedagogical gaps with high-quality resources and professional development. The recently developed Essential Principles of Climate Literacy provides an authoritative, comprehensive framework for educators and communicators to frame climate science. However, to be effectively used as a tool for increasing broad climate literacy, effective mental models to address misconceptions will need to be integral to the high-quality resources and professional development programs required to significantly increase climate literacy throughout society.</t>
  </si>
  <si>
    <t>[McCaffrey, Mark S.; Buhr, Susan M.] Univ Colorado, Cooperat Inst Res Environm Sci, Outreach &amp; Educ Grp, Boulder, CO 80309 USA</t>
  </si>
  <si>
    <t>University of Colorado System; University of Colorado Boulder</t>
  </si>
  <si>
    <t>McCaffrey, MS (corresponding author), Univ Colorado, Cooperat Inst Res Environm Sci, Outreach &amp; Educ Grp, Boulder, CO 80309 USA.</t>
  </si>
  <si>
    <t>*AAAS NSTA, 2007, ATL SCI LIT, V2; *ABC NEWS PLAN GRE, 2008, FUEL COSTS BOOST CON; American Association for the Advancement of Science (AAAS), 2007, Communicating and learning about global climate change: An abbreviated guide for teaching climate change, P18; [Anonymous], 1989, Science for all Americans; [Anonymous], DOEEIA0484; [Anonymous], 1996, NAT SCI ED STAND; Arrhenius S., 1896, PHILOS MAG, V5, P237, DOI DOI 10.1080/14786449608620846; Bord RJ, 2000, PUBLIC UNDERST SCI, V9, P205, DOI 10.1088/0963-6625/9/3/301; Botkin D., 1995, Environmental Science: Earth as a Living Planet; Boykoff MT, 2004, GLOBAL ENVIRON CHANG, V14, P125, DOI 10.1016/j.gloenvcha.2003.10.001; Chess C, 2007, CREATING A CLIMATE FOR CHANGE: COMMUNICATING CLIMATE CHANGE AND FACILITATING SOCIAL CHANGE, P223, DOI 10.1017/CBO9780511535871.017; Chi MTH, 2005, J LEARN SCI, V14, P161, DOI 10.1207/s15327809jls1402_1; Cordero EC, 2008, B AM METEOROL SOC, V89, P865, DOI 10.1175/2007BAMS2432.1; Cunningham WP., 2003, ENV SCI GLOBAL CONCE, VSeventh; Domingues CM, 2008, NATURE, V453, P1090, DOI 10.1038/nature07080; Gautier C., 2006, Journal of Geoscience Education, V54, P386; Gore Al., 1992, Earth in the Balance: Ecology and the Human Spirit; Gowda MVR, 1997, B AM METEOROL SOC, V78, P2232; Grotzer T, 2007, CREATING A CLIMATE FOR CHANGE: COMMUNICATING CLIMATE CHANGE AND FACILITATING SOCIAL CHANGE, P266, DOI 10.1017/CBO9780511535871.020; Hershey D.R., 2004, AVOID MISCONCEPTIONS; Hoffman M., 2007, REVOLUTIONIZING EART; Jeffries H., 2001, RES SCI TECHNOL EDUC, V19, P205, DOI DOI 10.1080/02635140120087731; KARL T, 2008, CLIMATE CHANGE SCI P; Kastens K., 2008, COMMUNICATING CLIMAT, P48; Krosnick JA, 2006, CLIMATIC CHANGE, V77, P7, DOI 10.1007/s10584-006-9068-8; Leiserowitz A., 2008, GLOBAL WARMINGS 6 AM; LYNDS S, 2007, FRAMEWORK CLIMATE WE; MADSEN J, 2007, EOS T AM GEOPHYS UNI, V88; Marland G., 2008, Trends: A Compendium of Data on Global Change; Milankovitch M., 1930, Handbuch der Klimatologie, V1; Miller G., 2004, Living in The Environment: Principles, Connection and Solutions; Morrow C.A., 2000, PHYS TEACH, V38, P252, DOI DOI 10.1119/1.880520; MOSER S, 2004, ENVIRONMENT, V46; Moser SC, 2007, CREATING A CLIMATE FOR CHANGE: COMMUNICATING CLIMATE CHANGE AND FACILITATING SOCIAL CHANGE, P64, DOI 10.1017/CBO9780511535871.006; *NAS, 1958, PLAN EARTH MYST 1000; *NAT MAR ED ASS CO, 2005, OC LIT ESS PRINC OC; *NAT SCI FDN, 2008, PUBL ATT SCI TECHN; *NRC, 2003, SAT OBS EARTHS ENV A; Rebich S., 2005, Journal of Geoscience Education, V53, P355, DOI DOI 10.5408/1089-9995-53.4.355; Rule A., 2005, Journal of Geoscience Education, V53, P309, DOI DOI 10.5408/1089-9995-53.3.309; RUSSELL A, 2004, BIOSCIENCE ED EJOURN, V3; SCHNEIDER S, 2008, MEDIALOGY; SCHNEPS P, 1985, PRIVATE UNIVERSE; Stein M., 2001, Reading and Writing Quarterly, P5, DOI DOI 10.1080/105735601455710; Sterman JD, 2008, SCIENCE, V322, P532, DOI 10.1126/science.1162574; Sterman JD, 2007, CLIMATIC CHANGE, V80, P213, DOI 10.1007/s10584-006-9107-5; Stroeve J, 2007, GEOPHYS RES LETT, V34, DOI 10.1029/2007GL029703; Tyndall J., 1863, Philosophical Magazine, V4, P200, DOI DOI 10.1080/14786446308643443; Weart Spencer., 2004, DISCOVERY GLOBAL WAR</t>
  </si>
  <si>
    <t>10.2747/0272-3646.29.6.512</t>
  </si>
  <si>
    <t>WOS:000264488400004</t>
  </si>
  <si>
    <t>Turner, M; Foreman, C; Perusich, K</t>
  </si>
  <si>
    <t>Turner, Matthew; Foreman, Chris; Perusich, Karl</t>
  </si>
  <si>
    <t>Development of an Electric Energy Literacy Survey</t>
  </si>
  <si>
    <t>2014 INTERNATIONAL ENERGY AND SUSTAINABILITY CONFERENCE (IESC)</t>
  </si>
  <si>
    <t>International Energy and Sustainability Conference</t>
  </si>
  <si>
    <t>International Energy Sustainability Conference</t>
  </si>
  <si>
    <t>OCT 23-24, 2014</t>
  </si>
  <si>
    <t>Farmingdale, NY</t>
  </si>
  <si>
    <t>electric energy literacy; electric energy education; public policy; electric energy survey</t>
  </si>
  <si>
    <t>SCIENTIFIC LITERACY</t>
  </si>
  <si>
    <t>The phrase scientific literacy is commonly used to describe what professional scientists think the general public should know about science to support a variety of aims: informed decision making, contributions to dialogue on public policy, recognition of the importance of science education and research, and enhancement of national security and economic development amongst others. Although no exact definition exists, a scientifically literate person can be thought of as one who possesses an understanding of the nature of science and its role in society and can apply this understanding to answer questions and solve challenges. Such literacy is especially germane to the electric power industry, as radical changes are currently taking place that can be significantly influenced by public opinion. This paper explores in depth the issue of electric energy literacy, i.e. the application of the concept of scientific literacy specifically to the electric power industry, including: basic physics, energy sources, transduction methods, efficiency, and end-use. Published literature in scientific and energy literacy is surveyed and synthesized to present a thorough understanding of the factors that contribute to and measurement of scientific literacy. Based on this review, the initial development of an electric energy literacy survey is presented as a measure of electric energy related knowledge, attitudes, and behaviors, with thorough justification for both the choice and range of survey questions. Additionally, we present a feedback form, by which conference attendees will serve as an expert validity panel, helping to review the survey and provide feedback. Through such a collaborative method, the survey can be utilized as the gold standard in assessment methodologies, establishing a formal set of criteria against which electric energy literacy can be objectively measured. Once developed, the survey will be distributed via a Human Intelligence Tasks service to measure electric energy literacy of the U.S. population aged 18+. The goal is to assess the sophistication of energy literacy in the U.S. as a gauge of how well our society is positioned to make informed decisions about the future of our electrical infrastructure</t>
  </si>
  <si>
    <t>[Turner, Matthew] Purdue Univ, Elect &amp; Comp Engn Technol, New Albany, IN 47907 USA; Purdue Univ, Elect &amp; Comp Engn Technol, W Lafayette, IN 47907 USA; Purdue Univ, Elect &amp; Comp Engn Technol, South Bend, IN USA</t>
  </si>
  <si>
    <t>Purdue University System; Purdue University; Purdue University System; Purdue University; Purdue University System; Purdue University</t>
  </si>
  <si>
    <t>Turner, M (corresponding author), Purdue Univ, Elect &amp; Comp Engn Technol, New Albany, IN 47907 USA.</t>
  </si>
  <si>
    <t>MattTurner@purdue.edu; jchrisf@purdue.edu; Perusich@purdue.edu</t>
  </si>
  <si>
    <t>*AM ASS ADV SCI NA, 2001, ATL SCI LIT PROJ 206; [Anonymous], TECHNICAL REPORT; [Anonymous], 1996, NAT SCI ED STAND; BERST J, SMARTGRIDCITY MELTDO; Bybee R, 2009, J RES SCI TEACH, V46, P865, DOI 10.1002/tea.20333; Casazza J., 2003, UNDERSTANDING ELECT, V13; DeBoer GE, 2000, J RES SCI TEACH, V37, P582, DOI 10.1002/1098-2736(200008)37:6&lt;582::AID-TEA5&gt;3.0.CO;2-L; DeBoer GeorgeE., 1991, A History of Ideas in Science Education: Implications for Practice; DeWaters J. E., 2007, P 2007 ASEE ANN C EX; DeWaters J, 2013, J ENVIRON EDUC, V44, P38, DOI 10.1080/00958964.2012.711378; DeWaters JE, 2011, ENERG POLICY, V39, P1699, DOI 10.1016/j.enpol.2010.12.049; *EL POW RES I, 2013, QUANT IMP TIM BAS RA; ELWART S, HLTH HAZARDS LINKED; *EXC EN, SMARTGRIDCITY DEM PR; GUERRINI F, 2014, FORBES MAGAZINE; HURD PD, 1958, EDUC LEADERSHIP, V16, P13; Jaffe M., 2012, Denver Post; Laugksch RC, 2000, SCI EDUC, V84, P71, DOI 10.1002/(SICI)1098-237X(200001)84:1&lt;71::AID-SCE6&gt;3.0.CO;2-C; Mah DNY, 2012, ENERG POLICY, V49, P204, DOI 10.1016/j.enpol.2012.05.055; MILLER JD, 1983, DAEDALUS, V112, P29; Miller JD, 1998, PUBLIC UNDERST SCI, V7, P203, DOI 10.1088/0963-6625/7/3/001; Muench S, 2014, ENERG POLICY, V73, P80, DOI 10.1016/j.enpol.2014.05.051; *NAT AC ENG, 2014, NAT AC ENG REV TOP E; NOVOSEL D, IEEE REPORT DOE QER; *OFF PRES US, POL FRAM 21 CENT GRI; Von Meier A., 2006, ELECT POWER SYSTEMS; EUR TECHN PLATF EL N</t>
  </si>
  <si>
    <t>2574-0555</t>
  </si>
  <si>
    <t>INT ENERG SUSTAIN</t>
  </si>
  <si>
    <t>Engineering, Electrical &amp; Electronic</t>
  </si>
  <si>
    <t>Engineering</t>
  </si>
  <si>
    <t>BF2CH</t>
  </si>
  <si>
    <t>WOS:000380455100004</t>
  </si>
  <si>
    <t>Wu, J; Otsuka, Y</t>
  </si>
  <si>
    <t>Wu, Jing; Otsuka, Yoshiki</t>
  </si>
  <si>
    <t>Exploring the climate literacy of high school students for better climate change education</t>
  </si>
  <si>
    <t>INTERNATIONAL JOURNAL OF GLOBAL WARMING</t>
  </si>
  <si>
    <t>climate literacy; climate change education; CCE; high school students; misconception; relevance</t>
  </si>
  <si>
    <t>To address climate change issues, international community is facing an overwhelming challenge: to create a climate-literate population by educating citizens. This study explores high school students' cognition, knowledge, attitudes, and behaviour in relation to climate change, based on a questionnaire survey of 657 high school students from Shanghai. The findings reveal that misconceptions and biased understandings of climate change persist; climate-related knowledge and attitudes are weakly associated with behaviour. However, the element of 'relevance', including a belief in individual lifestyle, appears to be actively linked to behaviour. As an initial investigation of climate literacy in mainland China, the results are expected to increase the existing knowledge of climate literacy and education, from both conceptual and geographical perspectives.</t>
  </si>
  <si>
    <t>[Wu, Jing; Otsuka, Yoshiki] Tokyo City Univ, Tsuzuki Ku, 3-3-1 Ushikubonishi, Yokohama, Kanagawa 2248551, Japan; [Wu, Jing] Minist Ecol &amp; Environm, Ctr Environm Educ &amp; Commun, 1 Yuhuinanlu, Beijing, Peoples R China</t>
  </si>
  <si>
    <t>Tokyo City University</t>
  </si>
  <si>
    <t>Otsuka, Y (corresponding author), Tokyo City Univ, Tsuzuki Ku, 3-3-1 Ushikubonishi, Yokohama, Kanagawa 2248551, Japan.</t>
  </si>
  <si>
    <t>wujing19@hotmail.com; otsuka@tcu.ac.jp</t>
  </si>
  <si>
    <t>Akerlof K, 2013, GLOBAL ENVIRON CHANG, V23, P81, DOI 10.1016/j.gloenvcha.2012.07.006; Ambusaidi A, 2012, INT RES GEOGR ENVIRO, V21, P21, DOI 10.1080/10382046.2012.639154; Andersson B, 2000, J RES SCI TEACH, V37, P1096, DOI 10.1002/1098-2736(200012)37:10&lt;1096::AID-TEA4&gt;3.0.CO;2-8; [Anonymous], 2009, Climate Literacy: The Essential Principles of Climate Science; [Anonymous], Special Report; [Anonymous], 2003, NEW VISTAS STAT PHYS; [Anonymous], 2011, DEV FRAMEWORK ASSESS; Azevedo J, 2017, INT J GLOBAL WARM, V12, P414, DOI 10.1504/IJGW.2017.10005893; Bain PG, 2012, NAT CLIM CHANGE, V2, P600, DOI 10.1038/NCLIMATE1532; Bamberg S, 2007, J ENVIRON PSYCHOL, V27, P14, DOI 10.1016/j.jenvp.2006.12.002; Bofferding L, 2015, ENVIRON EDUC RES, V21, P275, DOI 10.1080/13504622.2014.888401; Boyes E., 1997, RES SCI TECHNOL EDUC, V15, P19, DOI [https://doi.org/10.1080/0263514970150102, DOI 10.1080/0263514970150102]; Boyes E, 2009, RES SCI EDUC, V39, P661, DOI 10.1007/s11165-008-9098-5; Burgess J, 1998, ENVIRON PLANN A, V30, P1445, DOI 10.1068/a301445; Busch KC, 2019, ENVIRON EDUC RES, V25, P955, DOI 10.1080/13504622.2018.1514588; Center for Environmental Education and Communication (CEEC), EC SCH PROGR; China Center for Climate Change Communication (CCCC), 2017, CLIMATE CHANGE CHINE; China Meteorological Administration (CMA), 2019, BLUE BOOK CHINA CLIM; Cook J, 2016, ENVIRON RES LETT, V11, DOI 10.1088/1748-9326/11/4/048002; Duerden MD, 2010, J ENVIRON PSYCHOL, V30, P379, DOI 10.1016/j.jenvp.2010.03.007; Futerra, 2009, NEW CLIMATE MESSAGE; Gowda MVR, 1997, B AM METEOROL SOC, V78, P2232; Hovardas T, 2006, LEARN INSTR, V16, P416, DOI 10.1016/j.learninstruc.2006.09.003; Kaiser FG, 2003, APPL PSYCHOL-INT REV, V52, P598, DOI 10.1111/1464-0597.00153; Kollmuss A., 2002, ENVIRON EDUC RES, V8, P239, DOI [10.1080/13504620220145401, DOI 10.1080/13504620220145401]; Leiserowitz A., 2011, AM TEENSKNOWLEDGE CL; McBeth W, 2009, J ENVIRON EDUC, V41, P55, DOI 10.1080/00958960903210031; McNeal P, 2017, INT J SCI EDUC, V39, P1069, DOI 10.1080/09500693.2017.1315466; McNeill KL, 2012, RES SCI EDUC, V42, P373, DOI 10.1007/s11165-010-9202-5; Meng S.X., 2015, GEOGRAPHY TEACHING, V15, P11; Ministry of Education (MoE), 2018, CURRICULUM PROGRAM G; Nussbaum E.M., 2015, International Journal of Environmental Science Education, V10, P789, DOI [DOI 10.12973/IJESE.2015.277A, 10.12973/ijese.2015.a, DOI 10.12973/IJESE.2015.A]; Peng CYJ, 2002, J EDUC RES, V96, P3, DOI 10.1080/00220670209598786; Roth C.E., 1992, Environmental literacy: Its roots, evolution, and directions in the 1990; Shepardson DP, 2009, ENVIRON EDUC RES, V15, P549, DOI 10.1080/13504620903114592; UNESCO Climate Change Initiative, 2010, CLIMATE CHANGE ED SU; Wagner W, 1996, BRIT J SOC PSYCHOL, V35, P331, DOI 10.1111/j.2044-8309.1996.tb01101.x; Wibeck V, 2014, ENVIRON EDUC RES, V20, P387, DOI 10.1080/13504622.2013.812720</t>
  </si>
  <si>
    <t>INDERSCIENCE ENTERPRISES LTD</t>
  </si>
  <si>
    <t>GENEVA</t>
  </si>
  <si>
    <t>WORLD TRADE CENTER BLDG, 29 ROUTE DE PRE-BOIS, CASE POSTALE 856, CH-1215 GENEVA, SWITZERLAND</t>
  </si>
  <si>
    <t>1758-2083</t>
  </si>
  <si>
    <t>1758-2091</t>
  </si>
  <si>
    <t>INT J GLOBAL WARM</t>
  </si>
  <si>
    <t>Int. J. Glob. Warm.</t>
  </si>
  <si>
    <t>10.1504/IJGW.2021.112894</t>
  </si>
  <si>
    <t>QG6EZ</t>
  </si>
  <si>
    <t>WOS:000617677900005</t>
  </si>
  <si>
    <t>Chang, CC; Hirenkumar, TC; Wu, CK</t>
  </si>
  <si>
    <t>Chang, Cheng-Chieh; Hirenkumar, Thakkar Chandni; Wu, Chin-Kuo</t>
  </si>
  <si>
    <t>The Concept of Ocean Sustainability in Formal Education-Comparative Ocean Literacy Coverage Analysis of the Educational Standards of India and the USA</t>
  </si>
  <si>
    <t>ocean literacy; educational standards; coverage analysis; ocean sustainable; marine education; NGSS</t>
  </si>
  <si>
    <t>ENVIRONMENTAL-EDUCATION; NEXT-GENERATION; POLLUTION</t>
  </si>
  <si>
    <t>The concept of marine environmental sustainability is essential, and ocean literacy is currently at the core of its development. Comparing ocean literacy principles in curriculum standards is an important thing to do. Ocean literacy (OL) is a key and emerging topic, and its study has adopted a qualitative approach and follows the content analysis approach. It was observed that, on average, OL concepts covered in the educational standards of the USA (Next Generation Science Standards, NGSS) are higher than those of India (Indian National Standards, INSs). The study revealed that the 6th principle is highly accentuated in both countries' educational standards out of the seven essential principles. Moreover, the results indicate variation in OL alignment across India's grade bands and the USA's educational standards. Based on the results mentioned above, the proposed study intends to provide references to marine education researchers, curriculum developers, and educational policymakers in India to suitably adjust OL coverage concepts in schools to cultivate ocean-literate citizens.</t>
  </si>
  <si>
    <t>[Chang, Cheng-Chieh; Hirenkumar, Thakkar Chandni; Wu, Chin-Kuo] Natl Taiwan Ocean Univ, Dept Inst Educ, Keelung 20224, Taiwan; [Wu, Chin-Kuo] Natl Taiwan Ocean Univ, Ctr Teacher Educ, Keelung 20224, Taiwan</t>
  </si>
  <si>
    <t>Chang, CC; Hirenkumar, TC (corresponding author), Natl Taiwan Ocean Univ, Dept Inst Educ, Keelung 20224, Taiwan.</t>
  </si>
  <si>
    <t>changjac@email.ntou.edu.tw; halanic5@gmail.com; wuckuo@mail.ntou.edu.tw</t>
  </si>
  <si>
    <t>Almeida S, 2011, AUST J ENVIRON EDUC, V27, P122, DOI 10.1017/S0814062600000124; [Anonymous], 2014, J ED MEDIA MEMORY SO; [Anonymous], 2008, THESIS U S FLORIDA; [Anonymous], 1980, SCI CHILD; Bhatnagar A., 2016, INT J ECOL, V2016, P2915905, DOI [10.1155/2016/2915905, DOI 10.1155/2016/2915905]; British Council, 2014, INDIAN SCH ED SYSTEM; Bybee RW, 2014, J SCI TEACH EDUC, V25, P211, DOI 10.1007/s10972-014-9381-4; Cava F., 2005, Science Content and Standards for Ocean Literacy: A Report on Ocean Literacy, P1; Cheney G.R., 2005, A profile of the Indian education system; Clark-Carter D, 2018, Quantitative psychological research: The complete student's companion; Donert K., 2015, Review of marine formal education; Fortner R., 1980, SCI EDUC, V64, P717; Fortner R.W., 1991, Abstracts of research in marine and aquatic education; García-González JA, 2021, SUSTAINABILITY-BASEL, V13, DOI 10.3390/su13031159; Goldar B, 2004, J ENVIRON MANAGE, V73, P117, DOI 10.1016/j.jenvman.2004.06.008; Guest H, 2015, MAR POLICY, V58, P98, DOI 10.1016/j.marpol.2015.04.007; Hawthorne M, 1999, GLOBAL ENVIRON CHANG, V9, P25, DOI 10.1016/S0959-3780(98)00022-3; Hoffman M., 2007, REVOLUTIONIZING EART; Kaur H.h., 2016, INT J ADV RES COMPUT, V7, P246; Mogias A, 2015, J ENVIRON EDUC, V46, P251, DOI 10.1080/00958964.2015.1050955; Mokos M, 2020, SUSTAINABILITY-BASEL, V12, DOI 10.3390/su122410647; Naja M, 2004, INDIAN J MAR SCI, V33, P95; NCERT, 2005, ENV ED INF NCERT SYL; Patton M. Q., 2005, Qualitative Research, DOI DOI 10.1002/0470013192.BSA514; Plankis B.J., 2010, INT ELECT J ENV ED, V1, P21; Pruitt SL, 2014, J SCI TEACH EDUC, V25, P145, DOI 10.1007/s10972-014-9385-0; QASIM SZ, 1988, P INDIAN AS-ANIM SCI, V97, P117, DOI 10.1007/BF03179939; Reddy M. S., 2006, Lakes &amp; Reservoirs Research and Management, V11, P227, DOI 10.1111/j.1440-1770.2006.00311.x; Schoedinger S., 2010, NMEA Special Report, V3, P3; States NGSS, 2013, STATES NGSS 3 DIMENS; Steel BS, 2005, OCEAN COAST MANAGE, V48, P97, DOI 10.1016/j.ocecoaman.2005.01.002; Stemler S., 2001, Practical Assessment, Research Evaluation, V17, DOI [10.7275/Z6FM-2E34, DOI 10.7275/Z6FM-2E34, 10.7275/z6fm-2-34, DOI 10.7275/Z6FM-2-34, 10.7275/z6fm-2e34]; Yilmaz K, 2013, EUR J EDUC, V48, P311, DOI 10.1111/ejed.12014</t>
  </si>
  <si>
    <t>10.3390/su13084314</t>
  </si>
  <si>
    <t>RU8AV</t>
  </si>
  <si>
    <t>WOS:000645365100001</t>
  </si>
  <si>
    <t>Shafer, MA</t>
  </si>
  <si>
    <t>Shafer, Mark A.</t>
  </si>
  <si>
    <t>CLIMATE LITERACY AND A NATIONAL CLIMATE SERVICE</t>
  </si>
  <si>
    <t>climate literacy; utilization; decision-making; education; engagement; climate services; communication; barriers</t>
  </si>
  <si>
    <t>INFORMATION</t>
  </si>
  <si>
    <t>The effort to establish a National Climate Service would be incomplete without attention to climate literacy. Underpinning the demand for new services is a growing awareness of our collective vulnerability to climate variability and change. How that is portrayed is a challenging problem, one that cannot be answered through web-based delivery of products. Local, trusted sources of climate information are needed and these entities need to be supported as they engage those they serve in a sustained education process on climate. What is learned through this engagement relating to how information is presented and used will inform national efforts to increase services and relevance of climate information.</t>
  </si>
  <si>
    <t>Univ Oklahoma, Norman, OK 73019 USA</t>
  </si>
  <si>
    <t>University of Oklahoma System; University of Oklahoma - Norman</t>
  </si>
  <si>
    <t>Shafer, MA (corresponding author), Univ Oklahoma, Norman, OK 73019 USA.</t>
  </si>
  <si>
    <t>*AMS, 2003, IMPR RESP CLIM PRED; [Anonymous], 2007, OUR CHANGING PLANET; Benequista N., 1999, Pilot stakeholder assessment report; CRONBACH LJ, 1969, RES TOMORROWS SCH DI; deLeon P., 1988, Advice and consent: The development of the policy sciences; HILGARTNER S, 1988, AM J SOCIOL, V94, P53, DOI 10.1086/228951; JAMES TE, 2000, C 2 S ENV APPL LONG; KNOTT J, 1980, KNOWLEDGE CREATION D, V1, P421; Morin AlexanderJ., 1993, Science Policy and Politics; Morris DA, 2001, B AM METEOROL SOC, V82, P1911, DOI 10.1175/1520-0477(2001)082&lt;1911:OFAMIS&gt;2.3.CO;2; North D.C., 1990, I I CHANGE EC PERFOR, DOI DOI 10.1017/CBO9780511808678; *NRC, 2001, CLIM SERV VIS; SABATIER P, 1978, ADMIN SCI QUART, V23, P396, DOI 10.2307/2392417; SABATIER PA, 1988, POLICY SCI, V21, P123, DOI 10.1007/BF00136405; Simon Herbert A., 1947, ADM BEHAV STUDY DECI; Snow C.P., 1964, The Two Cultures, and a Second Look, V2nd; Stokes D.E., 1997, Pasteur's Quadrant: Basic Science and Technological Innovation; Walker J.L., 1981, New strategic perspectives on social policy, P75; Webber D., 1992, Advances in policy studies since 1950, P383; WEISS CH, 1979, PUBLIC ADMIN REV, V39, P426, DOI 10.2307/3109916</t>
  </si>
  <si>
    <t>10.2747/0272-3646.29.6.561</t>
  </si>
  <si>
    <t>WOS:000264488400007</t>
  </si>
  <si>
    <t>Langfitt, Q; Haselbach, L; Hougham, RJ</t>
  </si>
  <si>
    <t>Langfitt, Quinn; Haselbach, Liv; Hougham, R. Justin</t>
  </si>
  <si>
    <t>Artifact-Based Energy Literacy Assessment Utilizing Rubric Scoring</t>
  </si>
  <si>
    <t>JOURNAL OF PROFESSIONAL ISSUES IN ENGINEERING EDUCATION AND PRACTICE</t>
  </si>
  <si>
    <t>Assessment; Energy; Energy literacy; Scoring rubric</t>
  </si>
  <si>
    <t>STUDENTS; SCIENCE; PROJECT; AGREEMENT; EDUCATION</t>
  </si>
  <si>
    <t>This research focuses on the development of an energy literacy rubric for scoring project-type deliverables, an approach that has not been taken with respect to energy literacy assessment. The goal is to examine if a rubric-based rating approach is applicable for judging energy literacy based on competition or course deliverables or artifacts. The rubric was developed using a methodology involving related rubric review and adaptation, and an expert review. To examine if the rubric approach may be applicable, the rubric was applied to the Imagine Tomorrow competition, a high school energy competition, and trends in the results were examined to support rubric effectiveness. Competition deliverables include an abstract and a poster. Abstracts submitted to enter the competition from 5 years were available and evaluated for energy literacy and biofuel literacy by two raters. Posters were available only for 1 year and were rated by one rater. Besides identifying trends in the abstract scores, the abstract scores were used to test interrater reliability in which consistency was found to be high. Based on expected trends occurring in both the abstract and poster scores, and the high interrater consistency, it was determined that the rubric rating approach appears to be working effectively, at least for a preliminary evaluation. Future development and refinement of this type of energy literacy rubric may serve to enhance assessment of sustainability educational activity endeavors based purely on the artifacts involved. (C) 2014 American Society of Civil Engineers.</t>
  </si>
  <si>
    <t>[Langfitt, Quinn; Haselbach, Liv] Washington State Univ, Dept Civil &amp; Environm Engn, Pullman, WA 99164 USA; [Hougham, R. Justin] Univ Wisconsin, Madison, WI 53706 USA</t>
  </si>
  <si>
    <t>Washington State University; University of Wisconsin System; University of Wisconsin Madison</t>
  </si>
  <si>
    <t>Langfitt, Q (corresponding author), Washington State Univ, Dept Civil &amp; Environm Engn, Pullman, WA 99164 USA.</t>
  </si>
  <si>
    <t>quinn.langfitt@email.wsu.edu; haselbach@wsu.edu; justin@nararenewables.org</t>
  </si>
  <si>
    <t>Haselbach, Liv/0000-0001-6256-9890; Langfitt, Quinn/0000-0002-1925-6597</t>
  </si>
  <si>
    <t>Ecoworks; Bank of America; NARA; Boeing</t>
  </si>
  <si>
    <t>The authors would like to thank Ecoworks, the Bank of America, NARA, Boeing, and the many other sponsors of the Imagine Tomorrow Competition for their generous support. Appreciation is also for other members of the Imagine Tomorrow Competition steering committee, particularly Brian French for expertise in instrument assessment.</t>
  </si>
  <si>
    <t>[Anonymous], 2001, PRACTICAL ASSESSMENT; [Anonymous], 2000, PRACT ASSESS RES EVA, DOI DOI 10.7275/Q7RM-GG74; [Anonymous], 1983, SCHOOL SCI MATH, DOI DOI 10.1111/J.1949-8594.1983.TB10142.X; [Anonymous], AM LOW EN IQ RISK OU; [Anonymous], INNOVATIONS ED TEACH; Barrow L., 1989, Journal of Environmental Education, V20, P22, DOI [10.1080/00958964.1989.9943027, DOI 10.1080/00958964.1989.9943027]; BLUMENFELD PC, 1991, EDUC PSYCHOL, V26, P369, DOI 10.1207/s15326985ep2603&amp;4_8; Bodzin A, 2012, INT J SCI EDUC, V34, P1255, DOI 10.1080/09500693.2012.661483; Brewer R.S., 2011, 44th Hawaii International Conference on System Sciences (HICSS), P1; COHEN J, 1960, EDUC PSYCHOL MEAS, V20, P37, DOI 10.1177/001316446002000104; Cohen J., 1988, STAT POWER ANAL BEHA, V2nd, P75, DOI [10.1016/B978-0-12-179060-8.50008-6, DOI 10.1016/B978-0-12-179060-8.50008-6, DOI 10.1016/B978-0-12-179060-8.50012-8]; DeWaters JE, 2011, ENERG POLICY, V39, P1699, DOI 10.1016/j.enpol.2010.12.049; DeWaters JE., 2011, FRONTIERS ED C FIE 2, DOI DOI 10.1109/FIE.2011.6142961; Dias RA, 2004, ENERG POLICY, V32, P1339, DOI 10.1016/S0301-4215(03)00100-9; Gambro J.S., 1999, J ENVIRON EDUC, V30, P15, DOI DOI 10.1080/00958969909601866; Hofmann A., 2010, SCI WRITING COMMUNIC, P312; Kanter DE, 2010, SCI EDUC, V94, P525, DOI 10.1002/sce.20381; Kelly GJ, 2002, SCI EDUC, V86, P314, DOI 10.1002/sce.10024; LANDIS JR, 1977, BIOMETRICS, V33, P159, DOI 10.2307/2529310; Marx RW, 2004, J RES SCI TEACH, V41, P1063, DOI 10.1002/tea.20039; Oakleaf M, 2009, J AM SOC INF SCI TEC, V60, P969, DOI 10.1002/asi.21030; Pasten C, 2012, ENERG POLICY, V49, P468, DOI 10.1016/j.enpol.2012.06.051; Popham WJ, 1997, EDUC LEADERSHIP, V55, P72; Reddy YM, 2010, ASSESS EVAL HIGH EDU, V35, P435, DOI 10.1080/02602930902862859; Rhodes T., 2013, USING VALUE RUBRICS, P23; RubiStar, 2013, CREAT RUBR YOUR PROJ; Schneider RM, 2002, J RES SCI TEACH, V39, P410, DOI 10.1002/tea.10029; Stemler S., 2004, Pract Assess Res Evalu, V9, P1, DOI DOI 10.7275/96JP-XZ07; Tariq V., 1998, Assessment Evaluation in Higher Education, V23, P221; Timmerman BEC, 2011, ASSESS EVAL HIGH EDU, V36, P509, DOI 10.1080/02602930903540991; U.S. Department of Energy, 2013, EN LIT ESS PRINC FUN; Zografakis N, 2008, ENERG POLICY, V36, P3226, DOI 10.1016/j.enpol.2008.04.021</t>
  </si>
  <si>
    <t>ASCE-AMER SOC CIVIL ENGINEERS</t>
  </si>
  <si>
    <t>RESTON</t>
  </si>
  <si>
    <t>1801 ALEXANDER BELL DR, RESTON, VA 20191-4400 USA</t>
  </si>
  <si>
    <t>1052-3928</t>
  </si>
  <si>
    <t>1943-5541</t>
  </si>
  <si>
    <t>J PROF ISS ENG ED PR</t>
  </si>
  <si>
    <t>J. Prof. Issues Eng. Educ. Pract.</t>
  </si>
  <si>
    <t>C5014002</t>
  </si>
  <si>
    <t>10.1061/(ASCE)EI.1943-5541.0000210</t>
  </si>
  <si>
    <t>Education, Scientific Disciplines; Engineering, Multidisciplinary</t>
  </si>
  <si>
    <t>Education &amp; Educational Research; Engineering</t>
  </si>
  <si>
    <t>CE0DC</t>
  </si>
  <si>
    <t>WOS:000351473700003</t>
  </si>
  <si>
    <t>Fauville, G</t>
  </si>
  <si>
    <t>Fauville, Geraldine</t>
  </si>
  <si>
    <t>Questions as indicators of ocean literacy: students' online asynchronous discussion with a marine scientist</t>
  </si>
  <si>
    <t>INTERNATIONAL JOURNAL OF SCIENCE EDUCATION</t>
  </si>
  <si>
    <t>ICT &amp; education; scientific literacy; environmental education; ocean literacy</t>
  </si>
  <si>
    <t>SYSTEM THINKING SKILLS; VOICETHREAD; SCHOOL</t>
  </si>
  <si>
    <t>In this article, 61 high-school students learned about ocean acidification through a virtual laboratory followed by a virtual lecture and an asynchronous discussion with a marine scientist on an online platform: VoiceThread. This study focuses on the students' development of ocean literacy when prompted to ask questions to the scientist. The students' questions were thematically analysed to assess (1) the kind of reasoning that can be discerned as premises of the students' questions and (2) what possibilities for enhancing ocean literacy emerge in this instructional activity. The results show how interacting with a scientist gives the students an entry point to the world of natural sciences with its complexity, uncertainty and choices that go beyond the idealised form in which natural sciences often are presented in school. This activity offers an affordable way of bringing marine science to school by providing extensive expertise from a marine scientist. Students get a chance to mobilise their pre-existing knowledge in the field of marine science. The holistic expertise of the marine scientist allows students to explore and reason around a very wide range of ideas and aspect of natural sciences that goes beyond the range offered by the school settings.</t>
  </si>
  <si>
    <t>[Fauville, Geraldine] Univ Gothenburg, Dept Educ Commun &amp; Learning, Pedagogen House B,15 Laeroverksgatan,Box 300, S-40530 Gothenburg, Sweden</t>
  </si>
  <si>
    <t>University of Gothenburg</t>
  </si>
  <si>
    <t>Fauville, G (corresponding author), Univ Gothenburg, Dept Educ Commun &amp; Learning, Pedagogen House B,15 Laeroverksgatan,Box 300, S-40530 Gothenburg, Sweden.</t>
  </si>
  <si>
    <t>Fauville, Geraldine/0000-0001-5462-2591</t>
  </si>
  <si>
    <t>Knut and Alice Wallenberg Foundation; University of Gothenburg Learning and Media Technology Studio (LETStudio); Linnaeus Centre for Research on Learning, Interaction and Mediated Communication in Contemporary Society (LinCS)</t>
  </si>
  <si>
    <t>Knut and Alice Wallenberg Foundation(Knut &amp; Alice Wallenberg Foundation); University of Gothenburg Learning and Media Technology Studio (LETStudio); Linnaeus Centre for Research on Learning, Interaction and Mediated Communication in Contemporary Society (LinCS)</t>
  </si>
  <si>
    <t>The research has been funded by Knut and Alice Wallenberg Foundation, the University of Gothenburg Learning and Media Technology Studio (LETStudio) and of the Linnaeus Centre for Research on Learning, Interaction and Mediated Communication in Contemporary Society (LinCS).</t>
  </si>
  <si>
    <t>[Anonymous], 1989, Connect: UNESCO-UNEP Environmental Education Newsletter, V15, P1; [Anonymous], 2004, OC BLUEPR 21 CENT; Assaraf OBZ, 2005, J RES SCI TEACH, V42, P518, DOI 10.1002/tea.20061; Attride-Stirling J., 2001, QUALITATIVE RES, V1, P385, DOI [10.1177/146879410100100307, DOI 10.1177/146879410100100307]; Beach R, 2015, READ WRIT Q, V31, P119, DOI 10.1080/10573569.2014.962200; Bell B, 2001, SCI EDUC, V85, P536, DOI 10.1002/sce.1022.abs; Ben-zvi-Assarf O., 2005, J GEOSCIENCE ED, V53, P366, DOI [10.5408/1089-9995-53.4.366, DOI 10.5408/1089-9995-53.4.366]; Braun V, 2006, QUAL RES PSYCHOL, V3, P77, DOI [DOI 10.1191/1478088706QP063OA, 10.1191/1478088706qp063oa]; Cava F., 2005, Science Content and Standards for Ocean Literacy: A Report on Ocean Literacy, P1; Chin C, 2002, INT J SCI EDUC, V24, P521, DOI 10.1080/09500690110095249; Chin C, 2008, STUD SCI EDUC, V44, P1, DOI 10.1080/03057260701828101; Ching YH, 2013, KNOWL MANAG E-LEARN, V5, P298; Dewey John., 1938, Experience and Education, P1997; Dugartsyrenova VA, 2017, RECALL, V29, P59, DOI 10.1017/S0958344016000161; European Marine Board, 2013, 20 EUR MAR BOARD; Evagorou M, 2009, INT J SCI EDUC, V31, P655, DOI 10.1080/09500690701749313; Falloon G, 2013, J SCI EDUC TECHNOL, V22, P11, DOI 10.1007/s10956-012-9372-1; Fox OH, 2017, J PROF NURS, V33, P20, DOI 10.1016/j.profnurs.2016.08.009; Gee J.P., 1990, Social linguistics and literacies: Ideology in discourses; Gillis A, 2012, EARLY CHILD EDUC J, V40, P203, DOI 10.1007/s10643-012-0521-1; Gotensparre S. M., 2017, METAANALISYS CONSULT; Gyllenpalm J, 2010, INT J SCI EDUC, V32, P1151, DOI 10.1080/09500690902977457; Hmelo CE, 2000, J LEARN SCI, V9, P247, DOI 10.1207/S15327809JLS0903_2; KOCH A, 1991, INT J SCI EDUC, V13, P473, DOI 10.1080/0950069910130410; Lave J., 1991, SITUATED LEARNING LE; Lemke JL., 1990, TALKING SCI LANGUAGE; Lin VSY, 1997, SCIENCE, V278, P840, DOI 10.1126/science.278.5339.840; Macpherson AC, 2016, SCI EDUC, V100, P1062, DOI 10.1002/sce.21246; Markham A., 2012, ETHICAL DECISION MAK; McGinn M.K., 1999, Sage Journals Online, V28, P14, DOI DOI 10.3102/0013189X028003014; McKinley E, 2010, OCEAN COAST MANAGE, V53, P379, DOI 10.1016/j.ocecoaman.2010.04.012; MILLER JD, 1983, DAEDALUS, V112, P29; Oh EG, 2016, INT REV RES OPEN DIS, V17, P28; Osborne J., 2002, CAMB J EDUC, V32, P203, DOI DOI 10.1080/03057640220147559; Osborne R.J., 1985, STUD SCI EDUC, V12, P59, DOI [10.1080/03057268508559923, DOI 10.1080/03057268508559923]; Osborne R.J., 1983, SCI EDUC, V67, P489, DOI [10.1002/sce.3730670406, DOI 10.1002/SCE.3730670406]; Payne DL, 2010, ASTE SER SCI EDUC, P81, DOI 10.1007/978-90-481-9222-9_6; Riess W, 2010, INT J SCI EDUC, V32, P705, DOI 10.1080/09500690902769946; Sadler TD, 2009, STUD SCI EDUC, V45, P1, DOI 10.1080/03057260802681839; Säljö R, 2010, J COMPUT ASSIST LEAR, V26, P53, DOI 10.1111/j.1365-2729.2009.00341.x; Saljo R., 2005, Larande och kulturella redskap: om larprocesser och det kollektiva minnet; Schoedinger S., 2006, The Science Teacher, V73, P44; STERMAN JD, 1994, SYST DYNAM REV, V10, P291, DOI 10.1002/sdr.4260100214; Strang C., 2007, CURRENT J MARINE ED, V23, P7, DOI DOI 10.5281/ZENODO.30563; UNESCO, 1981, GUID UNESC PROF SCI; Vygotsky L. S., 1978, MIND SOC DEV HIGHER, DOI 10.2307/j.ctvjf9vz4; Wellington J., 2001, Language and literacy in science education; Wickman PO, 2004, SCI EDUC, V88, P325, DOI 10.1002/sce.10129</t>
  </si>
  <si>
    <t>0950-0693</t>
  </si>
  <si>
    <t>1464-5289</t>
  </si>
  <si>
    <t>INT J SCI EDUC</t>
  </si>
  <si>
    <t>Int. J. Sci. Educ.</t>
  </si>
  <si>
    <t>10.1080/09500693.2017.1365184</t>
  </si>
  <si>
    <t>FO4CR</t>
  </si>
  <si>
    <t>WOS:000416788500001</t>
  </si>
  <si>
    <t>Qu, YF; He, S; Tao, DY; Yu, WJ; Hu, X</t>
  </si>
  <si>
    <t>Qu, Yunfeng; He, Shuang; Tao, Deying; Yu, Wenjing; Hu, Xuan</t>
  </si>
  <si>
    <t>Dissecting ocean-friendly behavioral intention among college students: Incorporating ocean literacy and diversified incentive mechanism with the theory of planned behavior</t>
  </si>
  <si>
    <t>OCEAN &amp; COASTAL MANAGEMENT</t>
  </si>
  <si>
    <t>Theory of planned behavior; Ocean literacy; Diversified incentives; Ocean-friendly; Behavior change</t>
  </si>
  <si>
    <t>SELF-EFFICACY; CONSERVATION; METAANALYSIS; ENVIRONMENT; GREEN; MODEL</t>
  </si>
  <si>
    <t>Promoting lifestyle change is considered a low-cost and effective solution to address the detrimental impacts of human activity on the ocean environment. However, the prevailing study may fall short of offering nuanced insights into how to encourage such change: empirical evidence on how to foster behavioral changes in the ocean environment context remains limited. To address this gap, this study takes the lead in proposing a model that integrates ocean literacy and two incentives with the Theory of Planned Behavior (TPB) to dissect individuals' ocean-friendly behavioral intentions. The model is empirically validated through responses from 181 college students in three cities in China. The results of the multivariable analysis highlight that promoting ocean literacy is significantly and positively related to ocean-friendly behavioral inattention. In addition, the two incentives have demonstrated different influential mechanisms: for the high-attitude group, psychological recognition is more effective, whereas, for the low-attitude group, material rewards are most effective. These findings highlight that enhancing ocean literacy among college students is critical, while it is also necessary to provide diversified incentives relating to differences in attitudes to the ocean among individuals to promote behavioral change in more ocean-friendly forms.</t>
  </si>
  <si>
    <t>[Qu, Yunfeng] Hainan Univ, Sch Law, Haikou 570228, Peoples R China; [He, Shuang; Tao, Deying; Yu, Wenjing; Hu, Xuan] Chongqing Univ, Sch Publ Policy &amp; Adm, Chongqing 400044, Peoples R China</t>
  </si>
  <si>
    <t>Hainan University; Chongqing University</t>
  </si>
  <si>
    <t>Hu, X (corresponding author), Chongqing Univ, Sch Publ Policy &amp; Adm, Chongqing 400044, Peoples R China.</t>
  </si>
  <si>
    <t>hugoshawn@gmail.com</t>
  </si>
  <si>
    <t>Qu, Yunfeng/0000-0002-5226-6375; HU, Xuan/0000-0002-3432-8659</t>
  </si>
  <si>
    <t>National Natural Science Foundation of China [71904020]; Chongqing University [2019GGXY04]; Fundamental Research Funds for the Central Universities [2021CDJSKJC03]</t>
  </si>
  <si>
    <t>National Natural Science Foundation of China(National Natural Science Foundation of China (NSFC)); Chongqing University; Fundamental Research Funds for the Central Universities(Fundamental Research Funds for the Central Universities)</t>
  </si>
  <si>
    <t>This study is supported by the National Natural Science Foundation of China (71904020) , Chongqing University (2019GGXY04) and the Fundamental Research Funds for the Central Universities (2021CDJSKJC03) .</t>
  </si>
  <si>
    <t>Aiken Leona S., 1991, MULTIPLE REGRESSION; Ajzen I, 2002, J APPL SOC PSYCHOL, V32, P665, DOI 10.1111/j.1559-1816.2002.tb00236.x; AJZEN I, 1991, ORGAN BEHAV HUM DEC, V50, P179, DOI 10.1016/0749-5978(91)90020-T; Ajzen I., 2002, Constructing a TPB Questionnaire: Conceptual and Methodological Considerations, DOI DOI 10.1002/HEP.22759; [Anonymous], 2000, J ENVIRON EDUC, DOI [DOI 10.1080/00958960009598640, 10.1080/00958960009598640]; Ashley M, 2019, FRONT MAR SCI, V6, DOI 10.3389/fmars.2019.00288; Balmford A, 2006, CONSERV BIOL, V20, P692, DOI 10.1111/j.1523-1739.2006.00434.x; Bamberg S, 2007, J ENVIRON PSYCHOL, V27, P14, DOI 10.1016/j.jenvp.2006.12.002; BANDURA A, 1977, PSYCHOL REV, V84, P191, DOI 10.1037/0033-295X.84.2.191; Bennett NJ, 2017, BIOL CONSERV, V205, P93, DOI 10.1016/j.biocon.2016.10.006; Bhalla G., 1987, PSYCHOL MARKET, V4, P275, DOI DOI 10.1080/02642060701346425; Bolderdijk J.W., 2012, Environmental Psychology, P273, DOI [DOI 10.1002/9781119241072.CH, DOI 10.1002/9781119241072.CH27]; Boyce TE, 2001, ENVIRON BEHAV, V33, P107, DOI 10.1177/00139160121972891; Cava F., 2005, Science Content and Standards for Ocean Literacy: A Report on Ocean Literacy, P1; Costa S, 2018, MAR POLICY, V87, P149, DOI 10.1016/j.marpol.2017.10.022; Danish R.Q., 2010, INT J BUSINESS MANAG, V5, P159, DOI DOI 10.5539/IJBM.V5N2P159; De Leeuw A, 2015, J ENVIRON PSYCHOL, V42, P128, DOI 10.1016/j.jenvp.2015.03.005; Dupont S., 2017, HDB EC MANAGEMENT SU; Eddy TD, 2014, MAR POLICY, V46, P61, DOI 10.1016/j.marpol.2014.01.004; Fauville G, 2019, ENVIRON EDUC RES, V25, P238, DOI 10.1080/13504622.2018.1440381; Fletcher S, 2009, MAR POLICY, V33, P370, DOI 10.1016/j.marpol.2008.08.004; Gleckler PJ, 2012, NAT CLIM CHANGE, V2, P524, DOI 10.1038/NCLIMATE1553; Gronhoj A, 2012, J ECON PSYCHOL, V33, P292, DOI 10.1016/j.joep.2011.10.001; Guest H, 2015, MAR POLICY, V58, P98, DOI 10.1016/j.marpol.2015.04.007; Halpern BS, 2015, NAT COMMUN, V6, DOI 10.1038/ncomms8615; Haward M, 2018, NAT COMMUN, V9, DOI 10.1038/s41467-018-03104-3; Jackson JBC, 2001, SCIENCE, V293, P629, DOI 10.1126/science.1059199; Kelly R, 2022, REV FISH BIOL FISHER, V32, P123, DOI 10.1007/s11160-020-09625-9; Kline P, 2013, Handbook of psychological testing, DOI DOI 10.4324/9781315812274; Koulouri P, 2022, MEDITERR MAR SCI, V23, P289, DOI 10.12681/mms.26797; Kumar A, 2019, RESOUR CONSERV RECY, V141, P378, DOI 10.1016/j.resconrec.2018.10.013; Lehman P.K., 2004, BEHAV SOCIAL ISSUES, V13, P13, DOI [DOI 10.5210/BSI.V13I1.33, 10.5210/bsi.v13i1.33]; Maki A, 2016, J ENVIRON PSYCHOL, V47, P242, DOI 10.1016/j.jenvp.2016.07.006; Markos A, 2017, ENVIRON EDUC RES, V23, P231, DOI 10.1080/13504622.2015.1126807; Mishra D, 2014, COMPUT HUM BEHAV, V36, P29, DOI 10.1016/j.chb.2014.03.030; Mogias A, 2019, FRONT MAR SCI, V6, DOI 10.3389/fmars.2019.00396; Lopes JRN, 2019, RESOUR CONSERV RECY, V145, P268, DOI 10.1016/j.resconrec.2019.02.042; Nunnally J.C., 1967, PSYCHOMETRIC THEORY, DOI DOI 10.1037/018882; Olsen SB, 2003, OCEAN COAST MANAGE, V46, P347, DOI 10.1016/S0964-5691(03)00012-7; Paredes-Coral E, 2021, FRONT MAR SCI, V8, DOI 10.3389/fmars.2021.648492; Schultz PW, 2011, CONSERV BIOL, V25, P1080, DOI 10.1111/j.1523-1739.2011.01766.x; Shafiei A, 2020, GLOB ECOL CONSERV, V22, DOI 10.1016/j.gecco.2020.e00908; SNYDER D, 1977, AM SOCIOL REV, V42, P105, DOI 10.2307/2117734; Steel BS, 2005, OCEAN COAST MANAGE, V48, P97, DOI 10.1016/j.ocecoaman.2005.01.002; Stoll-Kleemann S, 2019, FRONT MAR SCI, V6, DOI 10.3389/fmars.2019.00273; Tsai LT, 2019, ENVIRON EDUC RES, V25, P264, DOI 10.1080/13504622.2018.1542487; Wang B, 2018, ENERG POLICY, V116, P68, DOI 10.1016/j.enpol.2018.01.055; WEIGEL R, 1978, ENVIRON BEHAV, V10, P3, DOI 10.1177/0013916578101001; Yoon C, 2018, COMPUT HUM BEHAV, V83, P129, DOI 10.1016/j.chb.2018.01.032; Yuriev A, 2020, RESOUR CONSERV RECY, V155, DOI 10.1016/j.resconrec.2019.104660</t>
  </si>
  <si>
    <t>0964-5691</t>
  </si>
  <si>
    <t>1873-524X</t>
  </si>
  <si>
    <t>OCEAN COAST MANAGE</t>
  </si>
  <si>
    <t>Ocean Coastal Manage.</t>
  </si>
  <si>
    <t>MAR 15</t>
  </si>
  <si>
    <t>10.1016/j.ocecoaman.2023.106494</t>
  </si>
  <si>
    <t>Oceanography; Water Resources</t>
  </si>
  <si>
    <t>Q5OP0</t>
  </si>
  <si>
    <t>WOS:001058018000001</t>
  </si>
  <si>
    <t>Decamp, E</t>
  </si>
  <si>
    <t>Decamp, Elise</t>
  </si>
  <si>
    <t>Integrating climate change across the disciplines: review of a faculty learning community and student climate literacy assessment model</t>
  </si>
  <si>
    <t>Climate change education; climate literacy; professional development; curriculum; learning community; SDG 13: Climate action</t>
  </si>
  <si>
    <t>HIGHER-EDUCATION; SUSTAINABLE DEVELOPMENT; KEY COMPETENCES; ACADEMIC STAFF; UNIVERSITY; FRAMEWORK</t>
  </si>
  <si>
    <t>This paper begins with a broader discussion of the current efforts to address the gap in integrating the topic of climate change across university curricula. This context informs the study's primary objective of evaluating the efficacy of a two-phase faculty learning community (FLC) and student climate literacy assessment model, designed and implemented as an exploratory case study at an American Midwestern university, in promoting (1) climate change pedagogy and (2) climate change literacy and engagement among students. Methods include: surveys of the FLC to assess how well it prepares faculty to add or revise climate change coverage in their courses, climate literacy and engagement tests of students in these courses, and faculty debrief reports at the conclusion of course revision implementation. Faculty surveys indicated appreciation of interdisciplinary dialogue and collaborative learning, though debrief reports highlighted a need for additional training on climate change and guidance in assignment design and assessment. Climate literacy and engagement surveys demonstrate improved scores among the student population in the assessed areas, and growth in levels of student engagement with the topic. The paper offers suggestions to address FLC time constraints and the reliability of the climate literacy results for those considering employing this model.</t>
  </si>
  <si>
    <t>[Decamp, Elise] Western Michigan Univ, Inst Intercultural &amp; Anthropol Studies, Kalamazoo, MI 49008 USA</t>
  </si>
  <si>
    <t>Western Michigan University</t>
  </si>
  <si>
    <t>Decamp, E (corresponding author), Western Michigan Univ, Inst Intercultural &amp; Anthropol Studies, Kalamazoo, MI 49008 USA.</t>
  </si>
  <si>
    <t>elise.decamp@wmich.edu</t>
  </si>
  <si>
    <t>Office of Faculty Development, Office for Sustainability; Assessment Mini Grant Program, Office of Institutional Effectiveness, Western Michigan University</t>
  </si>
  <si>
    <t>I wish to express my appreciation to the Office of Faculty Development, Office for Sustainability, and Climate Change Working Group, who provided the funding for the Climate Change Across the Curriculum faculty learning community. The data analysis of this model was supported by funds from the Assessment Mini Grant Program, Office of Institutional Effectiveness, Western Michigan University. I also thank Dr. Denise Keele, who co-facilitated and assisted in recruitment and supplying online resources for the learning community, and Dr. Paul Clements for his feedback on early drafts of the manuscript for this article.</t>
  </si>
  <si>
    <t>[Anonymous], 2009, Climate Literacy: The Essential Principles of Climate Science; Avery H, 2017, INT J SUST HIGHER ED, V18, P666, DOI 10.1108/IJSHE-03-2016-0039; Barth M, 2012, J CLEAN PROD, V26, P28, DOI 10.1016/j.jclepro.2011.12.011; Beck A., 2013, The International Journal of Climate Change: Impacts and Responses, V4, P1, DOI [DOI 10.18848/1835-7156/CGP/V04I04/37181, 10.18848/1835-7156/CGP/v04i04/37181]; Biasutti M, 2018, INT J SUST HIGHER ED, V19, P179, DOI 10.1108/IJSHE-11-2016-0214; Bloom M., 2019, EURASIA Journal of Mathematics, Science and Technology Education, V15, pem1699, DOI [https://doi.org/10.29333/ejmste/103571, DOI 10.29333/EJMSTE/103571]; Brundiers K, 2021, SUSTAIN SCI, V16, P13, DOI 10.1007/s11625-020-00838-2; Cebrián G, 2018, ENVIRON EDUC RES, V24, P153, DOI 10.1080/13504622.2016.1217395; Climate Literacy and Energy Awareness Network, 2021, Climate Literacy Quiz; Cox M. D., 2017, Communities of Practice, DOI [https://doi.org/10.1007/978-981-10-2879-3_3, DOI 10.1007/978-981-10-2879-3_3]; Cox M. D., 2013, Faculty Learning Community Planning Guide; Dontje J., 2017, InTeGrate (via SERC/Carleton); Eisen A., 2006, The Journal of Environmental Education, V38, P25, DOI DOI 10.3200/JOEE.38.1.25-36; Engell J, 2017, TEACHING CLIMATE CHANGE IN THE HUMANITIES, P24; Filho WL, 2021, ENVIRON SCI EUR, V33, DOI 10.1186/s12302-021-00552-5; Guggenheim D., 2006, An Inconvenient Truth [Filme]; Hess DJ, 2018, J CLEAN PROD, V170, P1451, DOI 10.1016/j.jclepro.2017.09.215; Holdsworth S., 2008, International Journal of Sustainability in Higher Education, V9, P131, DOI DOI 10.1108/14676370810856288; Kagawa F., 2010, ED CLIMATE CHANGE LI, DOI [https://doi.org/10.4324/9780203866399, DOI 10.4324/9780203866399]; Lans T, 2014, J CLEAN PROD, V62, P37, DOI 10.1016/j.jclepro.2013.03.036; Leiserowitz A., 2023, Climate Change in the American Mind: Politics Policy, December 2022; Liu SS, 2020, J TEACH EDUC, V71, P537, DOI 10.1177/0022487119886290; Mangan K., 2023, The Climate-Conscious College; Matthews H., 2016, Learning and Teaching in Action, V13, P97; Molera L, 2021, SUSTAINABILITY-BASEL, V13, DOI 10.3390/su13168844; Molthan-Hill P, 2019, J CLEAN PROD, V226, P1092, DOI 10.1016/j.jclepro.2019.04.053; Mulá I, 2017, INT J SUST HIGHER ED, V18, P798, DOI 10.1108/IJSHE-03-2017-0043; Ogunseitan OA, 2022, FRONT PUBLIC HEALTH, V10, DOI 10.3389/fpubh.2022.954025; Miguel NP, 2020, SUSTAINABILITY-BASEL, V12, DOI 10.3390/su12031014; Pinkerton K. E., 2020, Climate Change and Global Public Health, P565, DOI [https://doi.org/10.1007/978-3-030-54746-2_28, DOI 10.1007/978-3-030-54746-2_28]; Powers SE, 2021, SUSTAINABILITY-BASEL, V13, DOI 10.3390/su13179684; Ramos TB, 2015, J CLEAN PROD, V106, P3, DOI 10.1016/j.jclepro.2015.05.110; Scherak L, 2020, SUSTAINABILITY-BASEL, V12, DOI 10.3390/su122410336; Siegner A., 2023, Climate Literacy Assessment; Stapleton SR, 2019, ENVIRON EDUC RES, V25, P732, DOI 10.1080/13504622.2018.1472220; Stephens J.C., 2008, International Journal of Sustainability in Higher Education, V9, P317, DOI DOI 10.1108/14676370810885916; UNESCO, 2017, UNESCO at COP23. Climate Change Education; UNFCCC, 2015, The Paris Agreement | UNFCCC [WWW Document]; University Educators for Sustainable Development (UE4SD), 2014, State of the Art Report: Mapping opportunities for developing Education for Sustainable Development competences in the UE4SD partner countries; Wenger E., 1999, COMMUNITIES PRACTICE, DOI [10.1017/CBO9780511803932, DOI 10.1017/CBO9780511803932]; Wiek A, 2011, SUSTAIN SCI, V6, P203, DOI 10.1007/s11625-011-0132-6; Willats J., 2018, Implementing Sustainability in the Curriculum of Universities, P63</t>
  </si>
  <si>
    <t>2024 JAN 23</t>
  </si>
  <si>
    <t>10.1080/13504622.2024.2309588</t>
  </si>
  <si>
    <t>JAN 2024</t>
  </si>
  <si>
    <t>GO9F9</t>
  </si>
  <si>
    <t>WOS:001153722000001</t>
  </si>
  <si>
    <t>Energy literacy: What is out there to know?</t>
  </si>
  <si>
    <t>ENERGY REPORTS</t>
  </si>
  <si>
    <t>Article; Proceedings Paper</t>
  </si>
  <si>
    <t>6th International Conference on Energy and Environment Research (ICEER) - Energy and Environment - Challenges Towards Circular Economy</t>
  </si>
  <si>
    <t>JUL 22-25, 2019</t>
  </si>
  <si>
    <t>Univ Aveiro, Aveiro, PORTUGAL</t>
  </si>
  <si>
    <t>Univ Aveiro</t>
  </si>
  <si>
    <t>Attitude; Behavior; Decision making; Energy literacy; Knowledge</t>
  </si>
  <si>
    <t>STUDENTS; BEHAVIOR; ATTITUDES; CONSUMPTION; EFFICIENCY; KNOWLEDGE; MIDDLE</t>
  </si>
  <si>
    <t>Viewed as an essential tool, which sensitizes citizens to create sustainable energy consumption habits, energy literacy has attained a growing interest among researchers and policy makers in recent years. Energy literacy encompasses not only the cognitive domain, but also the affective and behavioral characteristics, enabling citizens to make appropriate decisions regarding energy. Considering its relevance, several studies have been carried out on this topic. In this paper, we seek to gather the main contributions of the existing literature on the subject, in order to concentrate and organize them. Most of the existent research seeks to assess the levels of literacy of the population, in the three dimensions - knowledge, affectivity and behavior -, to perceive the relationships between them, and which factors influence literacy levels. Recently another concept has emerged that relates energy literacy to financial literacy. Conciliating these two views, we present a proposal for a more comprehensive assessment of energy literacy levels, which includes the evaluation of financial and energy knowledge, without neglecting the evaluation of attitudes and behavior. This study will provide useful pointers to researchers and policy makers. (C) 2019 Published by Elsevier Ltd.</t>
  </si>
  <si>
    <t>[Martins, Ana; Madaleno, Mara; Dias, Marta Ferreira] Univ Aveiro, DEGEIT Dept Econ Management Ind Engn &amp; Tourism, Campus Univ Santiago, P-3810193 Aveiro, Portugal; [Madaleno, Mara; Dias, Marta Ferreira] Univ Aveiro, GOVCOPP Res Unit Governance Competitiveness &amp; Pub, Campus Univ Santiago, P-3810193 Aveiro, Portugal</t>
  </si>
  <si>
    <t>Martins, A (corresponding author), Univ Aveiro, DEGEIT Dept Econ Management Ind Engn &amp; Tourism, Campus Univ Santiago, P-3810193 Aveiro, Portugal.</t>
  </si>
  <si>
    <t>anapmartins@ua.pt</t>
  </si>
  <si>
    <t>Aguirre-Bielschowsky I, 2017, ENVIRON EDUC RES, V23, P832, DOI 10.1080/13504622.2015.1054267; Attari SZ, 2010, P NATL ACAD SCI USA, V107, P16054, DOI 10.1073/pnas.1001509107; Ballantyne R., 2006, ENVIRON EDUC RES, V12, P413, DOI [10.1080/13504620600942972, DOI 10.1080/13504620600942972]; Blasch J, 2018, EMPOWER CONSUMER ENE, V18; Bodzin A, 2012, INT J SCI EDUC, V34, P1255, DOI 10.1080/09500693.2012.661483; Bodzin AM, 2013, INT J SCI EDUC, V35, P1561, DOI 10.1080/09500693.2013.769139; Brent DA, 2018, J ENVIRON ECON MANAG, V90, P181, DOI 10.1016/j.jeem.2018.05.004; Brewer R.S., 2011, 44th Hawaii International Conference on System Sciences (HICSS), P1; Brounen D, 2013, ENERG ECON, V38, P42, DOI 10.1016/j.eneco.2013.02.008; Brutscher P.-B., 2011, PAYMENT MATTERS AN E; Carlsson-Kanyama A, 2007, ENERG POLICY, V35, P2163, DOI 10.1016/j.enpol.2006.06.018; Chen SJ, 2015, ENERG EFFIC, V8, P791, DOI 10.1007/s12053-015-9327-5; Costanza E, 2012, UBICOMP'12: PROCEEDINGS OF THE 2012 ACM INTERNATIONAL CONFERENCE ON UBIQUITOUS COMPUTING, P216; Cotton D, 2016, J CLEAN PROD, V129, P586, DOI 10.1016/j.jclepro.2016.03.136; DeWaters J, 2013, J ENVIRON EDUC, V44, P56, DOI 10.1080/00958964.2012.682615; DeWaters JE, 2011, ENERG POLICY, V39, P1699, DOI 10.1016/j.enpol.2010.12.049; DeWaters JE, 2007, 114 ANN ASEE C EXP C; Dianshu F, 2010, ENERG POLICY, V38, P1202, DOI 10.1016/j.enpol.2009.11.012; Dijkstra EM, 2012, ENVIRON EDUC RES, V18, P733, DOI 10.1080/13504622.2012.662213; do Paço A, 2013, APCBEE PROC, V5, P44, DOI 10.1016/j.apcbee.2013.05.009; Galesic M, 2011, MED DECIS MAKING, V31, P444, DOI 10.1177/0272989X10373805; Gambro J.S., 1994, A National Survey of Environmental Knowledge in High School Students: Levels of Knowledge and Related Variables; GELLER ES, 1981, J CONSUM RES, V8, P331, DOI 10.1086/208872; Herrmann MR, 2017, ENERG EFFIC, P1; Kumar N., 2019, MODEL BASED CLUSTERI, V19; Lee LS, 2015, ENERG POLICY, V76, P98, DOI 10.1016/j.enpol.2014.11.012; Murphy T.P., 2002, The Minnesota report card on environmental literacy; Räty R, 2010, ENERG POLICY, V38, P646, DOI 10.1016/j.enpol.2009.08.010; Sovacool BK, 2015, ENVIRON SCI POLICY, V54, P304, DOI 10.1016/j.envsci.2015.07.011; Staats HJ, 1996, J ENVIRON MANAGE, V46, P189, DOI 10.1006/jema.1996.0015; Trotta G., 2017, 15 IAEE EUR C; US Department of Energy (DOE), 2017, EN LIT ESS PRINC FUN; van der Horst D, 2016, J GEOGR HIGHER EDUC, V40, P67, DOI 10.1080/03098265.2015.1089477; Yeh SC, 2017, SUSTAINABILITY-BASEL, V9, DOI 10.3390/su9030423</t>
  </si>
  <si>
    <t>2352-4847</t>
  </si>
  <si>
    <t>ENERGY REP</t>
  </si>
  <si>
    <t>Energy Rep.</t>
  </si>
  <si>
    <t>10.1016/j.egyr.2019.09.007</t>
  </si>
  <si>
    <t>Science Citation Index Expanded (SCI-EXPANDED); Social Science Citation Index (SSCI); Conference Proceedings Citation Index - Science (CPCI-S)</t>
  </si>
  <si>
    <t>KS6ZI</t>
  </si>
  <si>
    <t>WOS:000518455400071</t>
  </si>
  <si>
    <t>Kavcic, ML; Drevensek, M; Rozman, R</t>
  </si>
  <si>
    <t>Jencic, I</t>
  </si>
  <si>
    <t>Kavcic, Melita Lenosek; Drevensek, Mojca; Rozman, Rok</t>
  </si>
  <si>
    <t>Improving Nuclear Energy Literacy Through e-Communication: The eWorld Web Project</t>
  </si>
  <si>
    <t>23RD INTERNATIONAL CONFERENCE NUCLEAR ENERGY FOR NEW EUROPE, (NENE 2014)</t>
  </si>
  <si>
    <t>23rd International Conference on Nuclear Energy for New Europe (NENE)</t>
  </si>
  <si>
    <t>SEP 08-11, 2014</t>
  </si>
  <si>
    <t>Portoroz, SLOVENIA</t>
  </si>
  <si>
    <t>The quality of life of individuals and societies is strongly affected by energy choices. Therefore it is of crucial importance to understand the nature and role of energy in the universe and in our lives and to develop the ability to draw from this understanding in answering questions and solving problems, especially regarding our energy future. Energy literacy is an important element of responsible and science-based decision-making about today's and tomorrow's energy supply. Existing energy literacy theoretical models, frameworks, research results and practical energy education experience from Slovenia and abroad have been used and adapted in developing a Slovenian Web project called eWorld (originally eSvet, where the e stands for energy), whose aim is to improve energy literacy among different groups of stakeholders (Web users). The paper presents a new energy literacy framework called 3+1 energy literacy framework, which draws from the authors' theoretical and practical work on the eWorld project. The 3+1 energy literacy framework combines the energy literacy fundamentals in the following three pillars: theoretical background of energy concepts (1st); energy systems perspective (2nd); and the social, environmental and economic impacts of energy issues, technologies and projects (3rd). Knowledge and understanding deriving from these three pillars and their intersections provide the necessary groundwork for discussing our possible future energy outlook in an energy-literate way (4th pillar). Given the central role nuclear energy plays in Slovenia's electricity production (in 2013, 33% of all consumed electricity came from this source), the paper focuses on how nuclear energy information is incorporated in the eWorld project's 3+ 1 energy literacy framework. It discusses the content and position of different nuclear energy topics in the eWorld's 3+1 energy literacy pillars. In this way, the authors suggest a nuclear literacy framework as a special topical framework which, properly adapted, can also be used for other nuclear communication channels and activities in Slovenia and abroad.</t>
  </si>
  <si>
    <t>[Kavcic, Melita Lenosek; Rozman, Rok] GEN Energija Doo, Vrbina 17, Krshko 8270, Slovenia; [Drevensek, Mojca] Consensus Commun, Ljubljana 1000, Slovenia</t>
  </si>
  <si>
    <t>Kavcic, ML (corresponding author), GEN Energija Doo, Vrbina 17, Krshko 8270, Slovenia.</t>
  </si>
  <si>
    <t>melita.kavcic@gen-energija.si; mojca.drevensek@consensus.si; rok.rozman@gen-energija.si</t>
  </si>
  <si>
    <t>Drevensek, Martina/S-2455-2018</t>
  </si>
  <si>
    <t>[Anonymous], 2014, PUBLIC OPINION POLL; [Anonymous], 2012, EN LIT ESS PRINC FUN; DeWaters JE, 2011, ENERG POLICY, V39, P1699, DOI 10.1016/j.enpol.2010.12.049; DeWaters Jan E., 2008, 38 ASEE IEEE FRONT E; Flynn J., 2001, RISK MEDIA STIGMA UN; Granger MM, 2002, RISK COMMUNICATION M; Harper Gavin D. J., 2009, HDB SUSTAINABILITY L; Jane Gregory, 1998, SCI PUBLIC COMMUNICA; Lay Y.-F., 2013, International Journal of Environmental ve Science Education, V8, P199; MACKAY D, 2009, SUSTAINABLE ENERGY H; Millar, 2005, 200511 U YORK DEP ED; Paisley WJ, 1998, SCI COMMUN, V20, P70, DOI 10.1177/1075547098020001009; Ropeik David, 2002, RISK PRACTICAL GUIDE; Slovic P., 2000, RISK PERCEPTION</t>
  </si>
  <si>
    <t>NUCLEAR SOCIETY SLOVENIA</t>
  </si>
  <si>
    <t>1001 LJUBLJANA</t>
  </si>
  <si>
    <t>JAMOVA 39, 1001 LJUBLJANA, SLOVENIA</t>
  </si>
  <si>
    <t>978-9-61-620737-9</t>
  </si>
  <si>
    <t>Nuclear Science &amp; Technology</t>
  </si>
  <si>
    <t>BG6CX</t>
  </si>
  <si>
    <t>WOS:000390002500006</t>
  </si>
  <si>
    <t>Mokos, M; Cheimonopoulou, MT; Koulouri, P; Previati, M; Realdon, G; Santoro, F; Mogias, A; Boubonari, T; Gazo, M; Satta, A; Ioakeimidis, C; Tojeiro, A; Chicote, CA; Papathanassiou, M; Kevrekidis, T</t>
  </si>
  <si>
    <t>Mokos, Melita; Cheimonopoulou, Maria Th; Koulouri, Panayota; Previati, Monica; Realdon, Giulia; Santoro, Francesca; Mogias, Athanasios; Boubonari, Theodora; Gazo, Manel; Satta, Alessio; Ioakeimidis, Christos; Tojeiro, Alba; Chicote, Carla A.; Papathanassiou, Martha; Kevrekidis, Theodoros</t>
  </si>
  <si>
    <t>Mediterranean Sea Literacy: When Ocean Literacy becomes region-specific</t>
  </si>
  <si>
    <t>Ocean Literacy; Mediterranean Sea Literacy; Environmental Education; Sustainable Development Goal 14; Mediterranean Sea</t>
  </si>
  <si>
    <t>PRESERVICE TEACHERS KNOWLEDGE; ATTITUDES</t>
  </si>
  <si>
    <t>Ocean Literacy (OL) has been defined as an understanding of the ocean's influence on people and their influence on the ocean. The OL movement was born in the US and its framework consisted of seven essential principles and 45 fundamental concepts; it is now largely accepted worldwide for use in both formal (schools and universities) and non-formal (research institutes, aquaria, museums, etc.) education settings. Based on this framework, marine scientists and educators developed the Mediterranean Sea Literacy (MSL) guide adapted to the specificities of the Mediterranean region, presented here. The MSL principles (7) and concepts (43), serving as guidance for research, education, informed decision-making, and improved citizens' lifestyles, aim to contribute to environmental protection, conservation, and restoration of the Mediterranean Sea as well as to help to achieve a blue innovative and sustainable economy.</t>
  </si>
  <si>
    <t>[Mokos, Melita] Univ Zadar, Dept Ecol Agron &amp; Aquaculture, Trg Kneza Viseslava 9, Zadar 23000, Croatia; [Cheimonopoulou, Maria Th] Minist Rural Dev &amp; Food, Hydrobiol Stn Pella, Pasa Tsair 58200, Edessa, Greece; [Koulouri, Panayota] Hellen Ctr Marine Res, Inst Marine Biol Biotechnol &amp; Aquaculture, Iraklion 71500, Crete, Greece; [Previati, Monica] Underwater Biocartog UBICA Srl, Via San Siro 6 Int 1, I-16124 Genoa, Italy; [Realdon, Giulia] Univ Camerino, Geol Sect, UNICAMearth Grp, Via Gentile 3 Da Varano, I-62032 Camerino, Italy; [Santoro, Francesca] UNESCO, Intergovt Oceanog Commiss, Paris, France; [Mogias, Athanasios; Boubonari, Theodora; Kevrekidis, Theodoros] Democritus Univ Thrace, Lab Environm Res &amp; Educ, Dept Primary Educ, GR-68100 Nea Chili, Alexandroupolis, Greece; [Gazo, Manel; Tojeiro, Alba; Chicote, Carla A.] SUBMON Awareness Study &amp; Conservat Marine Environ, Barcelona, Spain; [Satta, Alessio] Mediterranean Sea &amp; Coast Fdn, Cagliari, Italy; [Ioakeimidis, Christos; Papathanassiou, Martha] Hellen Ctr Marine Res, Inst Oceanog, 46-7 Km Athens Sounio Av, Anavyssos 19013, Greece</t>
  </si>
  <si>
    <t>University of Zadar; Hellenic Centre for Marine Research; University of Camerino; Democritus University of Thrace; Hellenic Centre for Marine Research</t>
  </si>
  <si>
    <t>Mokos, M (corresponding author), Univ Zadar, Dept Ecol Agron &amp; Aquaculture, Trg Kneza Viseslava 9, Zadar 23000, Croatia.</t>
  </si>
  <si>
    <t>yol72@hcmr.gr</t>
  </si>
  <si>
    <t>Realdon, Giulia/ABC-6270-2020; Gazo, Manel/F-6088-2012</t>
  </si>
  <si>
    <t>Realdon, Giulia/0000-0001-8269-4269; Gazo, Manel/0000-0003-1159-322X; Ioakeimidis, Christos/0000-0001-9932-7836; Koulouri, Panayota (Yolanda)/0000-0002-3418-7980; Mokos, Melita/0000-0002-9152-4971; Cheimonopoulou, Maria/0000-0002-2933-3285; Satta, Alessio/0000-0002-0664-1111</t>
  </si>
  <si>
    <t>[Anonymous], 2017, IOC MANUALS GUIDES; Bazairi H., 2010, The Mediterranean Sea Biodiversity: State of the Ecosystems, Pressures, Impacts and Future Priorities; Blondel J, 2010, MEDITERRANEAN REGION, DOI 10.1086/656852; Boubonari T, 2013, J ENVIRON EDUC, V44, P232, DOI 10.1080/00958964.2013.785381; Cava F., 2005, Science Content and Standards for Ocean Literacy: A Report on Ocean Literacy, P1; Cerrano C, 2019, EUR ZOOL J, V86, P370, DOI 10.1080/24750263.2019.1677790; Chappuis E, 2014, ESTUAR COAST SHELF S, V147, P113, DOI 10.1016/j.ecss.2014.05.031; Cheimonopoulou M.Th., 2019, 7 EUR MAR SCI ED ASS, P24; Coll M, 2012, GLOBAL ECOL BIOGEOGR, V21, P465, DOI 10.1111/j.1466-8238.2011.00697.x; Copejans E, 2012, J MARINE ED, V28, P43; Emig C.C., 2004, CARNETS GEOLOGY NOTE, V4; Fauville G, 2019, ENVIRON EDUC RES, V25, P238, DOI 10.1080/13504622.2018.1440381; Goffredo S, 2014, Mediterranean Sea: Its History and Present Challenges, P1, DOI 10.1007/978-94-007-6704-1; Guidetti P, 2014, PLOS ONE, V9, DOI 10.1371/journal.pone.0091841; Lascaratos A., 2001, ENCY OCEAN SCI, V1st; Lionello P, 2006, DEV EARTH ENV SCI, V4, P1, DOI 10.1016/s1571-9197(06)80003-0; Lopez Ornat A., 2006, GUIDELINES ESTABLISH; Lotze HK, 2006, SCIENCE, V312, P1806, DOI 10.1126/science.1128035; McIntosh A., 2017, Science and the Global environment: Case studies For Integrating Science and the Global Environment, VFirst; Mogias A, 2019, FRONT MAR SCI, V6, DOI 10.3389/fmars.2019.00396; Mogias A, 2015, J ENVIRON EDUC, V46, P251, DOI 10.1080/00958964.2015.1050955; National Oceanic and Atmospheric Administration [NOAA], 2013, OC LIT ESS PRINC FUN; Ohio Sea Grant, 2013, GREAT LAK LIT PRINC; Previati M., 2018, 6 EUR MAR SCI ED ASS, P11; Realdon G., 2019, 7 EUR MAR SCI ED ASS, P57; Realdon G., 2018, EUR GEOSC UN GEN ASS; Realdon G, 2019, REND ONLINE SOC GEOL, V49, P107, DOI 10.3301/ROL.2019.59; Strang C., 2007, CURRENT J MARINE ED, V23, P7, DOI DOI 10.5281/ZENODO.30563; Verheye W.H., 2005, ENCY LIFE SUPPORT SY, P96</t>
  </si>
  <si>
    <t>10.12681/mms.23400</t>
  </si>
  <si>
    <t>OR8AZ</t>
  </si>
  <si>
    <t>WOS:000589690900009</t>
  </si>
  <si>
    <t>Energy literacy assessment among Portuguese university members: Knowledge, attitude, and behavior</t>
  </si>
  <si>
    <t>7th International Conference on Energy and Environment Research (ICEER) - Driving Energy and Environment in 2020 Towards A Sustainable Future</t>
  </si>
  <si>
    <t>SEP 14-18, 2020</t>
  </si>
  <si>
    <t>P Porto, Sch Engn, ELECTR NETWORK</t>
  </si>
  <si>
    <t>P Porto, Sch Engn</t>
  </si>
  <si>
    <t>Energy literacy; Energy price awareness; Principal Component Analysis (PCA); University community</t>
  </si>
  <si>
    <t>STUDENTS</t>
  </si>
  <si>
    <t>Energy literacy is a useful tool that allows consumers to acquire the knowledge, desire, availability, and obliges to a personal commitment necessary for more efficient energy management. Knowledge about energy, the ability to perform financial calculations, attitude and behavior, all together allows evaluating the different aspects in which it may be necessary to intervene to make people more aware of the need to save energy and more available and receptive to change their energy consumption habits. Using Principal Component Analysis (PCA) we aim to create an energy literacy index, as well as the indices for each of the energy literacy dimensions and to determine which factors influence energy literacy levels. The results obtained allowed us to confirm the influence of gender in energy literacy, verifying that, although women have less knowledge, they demonstrate a more positive attitude and more correct behavior. (C) 2020 The Authors. Published by Elsevier Ltd.</t>
  </si>
  <si>
    <t>Martins, A (corresponding author), Univ Aveiro, Dept Econ Management Ind Engn &amp; Tourism DEGEIT, Res Unit Governance Competitiveness &amp; Publ Polici, Campus Univ Santiago, P-3810193 Aveiro, Portugal.</t>
  </si>
  <si>
    <t>Madaleno, Mara/A-6356-2018; Ferreira Dias, Marta/C-2023-2017</t>
  </si>
  <si>
    <t>Madaleno, Mara/0000-0002-4905-2771; Ferreira Dias, Marta/0000-0002-6695-8479; Martins, Ana Patricia/0000-0001-9801-7799</t>
  </si>
  <si>
    <t>research unit on Governance, Competitiveness and Public Policy, Portugal - FCT - Fundacao para a Ciencia e a Tecnologia, Portugal [UIDB/04058/2020]</t>
  </si>
  <si>
    <t>research unit on Governance, Competitiveness and Public Policy, Portugal - FCT - Fundacao para a Ciencia e a Tecnologia, Portugal</t>
  </si>
  <si>
    <t>This work was financially supported by the research unit on Governance, Competitiveness and Public Policy, Portugal (UIDB/04058/2020), funded by national funds through FCT - Fundacao para a Ciencia e a Tecnologia, Portugal. All authors have read and agreed to the published version of the manuscript.</t>
  </si>
  <si>
    <t>Ballantyne R., 2006, ENVIRON EDUC RES, V12, P413, DOI [10.1080/13504620600942972, DOI 10.1080/13504620600942972]; Blasch J., 2018, Econ. Work. Pap. Ser, V18, P289; Blasch J, 2019, RESOUR ENERGY ECON, V56, P39, DOI 10.1016/j.reseneeco.2017.06.001; Boogen N, 2018, 41 IAEE INT C TRANSF; Brutscher P-B, 2011, 1108 EPRG; Cotton DRE, 2018, ENVIRON EDUC RES, V24, P1611, DOI 10.1080/13504622.2017.1395394; Danner UN, 2008, BRIT J SOC PSYCHOL, V47, P245, DOI 10.1348/014466607X230876; DeWaters JE, 2011, ENERG POLICY, V39, P1699, DOI 10.1016/j.enpol.2010.12.049; Dianshu F, 2010, ENERG POLICY, V38, P1202, DOI 10.1016/j.enpol.2009.11.012; Filippini M., 2018, Final report; Filippini M, 2019, EVIDENCE NEPAL ECONO; Heutel G, 2019, J ENVIRON ECON MANAG, V96, P236, DOI 10.1016/j.jeem.2019.06.005; Kumar N., 2018, DESCRIPTIVE OVERVIEW; Kumar N., 2019, CER ETH CTR ECONOMIC, V19; Lee LS, 2017, ENVIRON EDUC RES, V23, P855, DOI 10.1080/13504622.2015.1068276; Maréchal K, 2010, ECOL ECON, V69, P1104, DOI 10.1016/j.ecolecon.2009.12.004; Martins A, 2020, ENERGIES, V13, DOI 10.3390/en13133412; Martins A, 2020, ENERGY REP, V6, P454, DOI 10.1016/j.egyr.2019.09.007; Räty R, 2010, ENERG POLICY, V38, P646, DOI 10.1016/j.enpol.2009.08.010; Sovacool BK, 2015, ENVIRON SCI POLICY, V54, P304, DOI 10.1016/j.envsci.2015.07.011; Toth N, 2013, J ENVIRON PSYCHOL, V34, P36, DOI 10.1016/j.jenvp.2012.12.001; US Department of Energy, 2017, ENERGY LITERACY ESSE; van den Broek KL, 2019, ENERG POLICY, V129, P1297, DOI 10.1016/j.enpol.2019.03.033</t>
  </si>
  <si>
    <t>10.1016/j.egyr.2020.11.117</t>
  </si>
  <si>
    <t>PN3HM</t>
  </si>
  <si>
    <t>WOS:000604373600038</t>
  </si>
  <si>
    <t>Challenges and prospects for teaching ocean literacy in Brazilian schools</t>
  </si>
  <si>
    <t>Marine science education; Schoolteachers; Formal education; Interviews; Iramuteq; Ocean literacy</t>
  </si>
  <si>
    <t>PRESERVICE TEACHERS KNOWLEDGE; MARINE-ENVIRONMENT; ATTITUDES; AWARENESS; EDUCATION; SCIENCES</t>
  </si>
  <si>
    <t>This study took as a case study the perspective of teachers working in the State of Rio de Janeiro by 53 interviews to investigate the challenges and prospects of including content about the ocean in Brazilian school classrooms. The data were subjected to content analysis and explored quantitatively using Descending Hierarchical Classification (DHC) and Factor Correspondence Analysis (FCA) of word and terms used by teachers in their discourse. The main difficulties reported in including themes related to the ocean and marine environments in classes were the absence of OL in the school curriculum and university education, as well as the limited time to work on these subjects in classes, which is in line with the challenges faced by teachers from other countries. On the other hand, Brazilian teachers cited particular problems of Brazilian formal education, such as the need for professional development, support for an education with an interdisciplinary emphasis, and provision of financial resources for schools. However, DHC analysis also indicates strong connection of the teachers with the ocean due to sea fascination (24% of the answers in the textual corpus), spiritual and emotional connection (26.7%), leisure (22.7%) and professional interest (26.7%). Furthermore, the textual corpus also identified that teachers recognize the importance of teaching marine topics due to: students live in coastal areas (32.2%), the provision of ecosystem services (19.9%), preservation issues (34.2%), and limited student knowledge on these themes (13.7%). These data can help formulate educational policies to mitigate OL teaching barriers in Brazilian schools.</t>
  </si>
  <si>
    <t>Project PDPA-UFF-PMN (TERMO DE CONVENIO) [002/2021, 002-2021/PT-UFF 61]; PDPA-FME Niteroi/UFF/FEC (Programa de Desenvolvimento de Projetos Aplicados - Fundacao Municipal de Educacao de Niteroi/Universidade Federal Fluminense/ Fundacao Euclides da Cunha)</t>
  </si>
  <si>
    <t>Project PDPA-UFF-PMN (TERMO DE CONVENIO); PDPA-FME Niteroi/UFF/FEC (Programa de Desenvolvimento de Projetos Aplicados - Fundacao Municipal de Educacao de Niteroi/Universidade Federal Fluminense/ Fundacao Euclides da Cunha)</t>
  </si>
  <si>
    <t>This article was developed as part of the Project PDPA-UFF-PMN (TERMO DE CONVENIO No 002/2021) 'Educacao Patrimonial, Cultura Oceanica e Cidadania: Usando Bens Naturais e Culturais como Recursos Educacionais na Construcao da Niteroi Que Queremos' (DO 18-05-2021-TERMO DE CONVENIO No 002-2021/PT-UFF 61 - Projeto FEC 4447). This article receives financial support from PDPA-FME Niteroi/UFF/FEC (Programa de Desenvolvimento de Projetos Aplicados - Fundacao Municipal de Educacao de Niteroi/Universidade Federal Fluminense/ Fundacao Euclides da Cunha)</t>
  </si>
  <si>
    <t>Ashley M, 2019, FRONT MAR SCI, V6, DOI 10.3389/fmars.2019.00288; Barbier EB, 2011, ECOL MONOGR, V81, P169, DOI 10.1890/10-1510.1; Bardin L, 2004, ANALISE CONTEUDO, P70, DOI DOI 10.1017/CBO9781107415324.004; Boubonari T, 2013, J ENVIRON EDUC, V44, P232, DOI 10.1080/00958964.2013.785381; Camargo B.V., 2013, Temas em psicologia, V21, P513, DOI [DOI 10.9788/TP2013.2-16, 10.9788/TP2013.2-16]; Castle Z, 2010, OCEAN YEARB, V24, P425, DOI 10.1163/22116001-90000066; Chang CC, 2021, SUSTAINABILITY-BASEL, V13, DOI 10.3390/su13084314; Chen CL, 2016, ENVIRON EDUC RES, V22, P958, DOI 10.1080/13504622.2015.1054266; Costanza R, 1999, ECOL ECON, V31, P199, DOI 10.1016/S0921-8009(99)00079-8; Dupont S., 2017, Handbook on the Economics and Management of Sustainable Oceans, P519, DOI [10.4337/9781786430724, DOI 10.4337/9781786430724.00037]; Eidietis L., 2011, Journal of Geoscience Education, V56, P242, DOI DOI 10.5408/1.3651406; Fauville G, 2018, MAR POLICY, V91, P85, DOI 10.1016/j.marpol.2018.01.034; Freitas C, 2022, FRONT MAR SCI, V9, DOI 10.3389/fmars.2022.883524; Gelcich S, 2014, P NATL ACAD SCI USA, V111, P15042, DOI 10.1073/pnas.1417344111; Gough A, 2017, MAR POLLUT BULL, V124, P633, DOI 10.1016/j.marpolbul.2017.06.069; Guest H, 2015, MAR POLICY, V58, P98, DOI 10.1016/j.marpol.2015.04.007; Halpern BS, 2015, NAT COMMUN, V6, DOI 10.1038/ncomms8615; Hartley BL, 2015, MAR POLLUT BULL, V90, P209, DOI 10.1016/j.marpolbul.2014.10.049; Hoffman M., 2007, REVOLUTIONIZING EART; Hynes S, 2014, MAR POLICY, V47, P57, DOI 10.1016/j.marpol.2014.02.002; INEP-MEC, 2021, Censo da Educacao Basica 2020-Resumo Tecnico; IOC-UNESCO, 2022, A New Blue Curriculum-A toolkit for policy-makers; Jouffray JB, 2020, ONE EARTH, V2, P43, DOI 10.1016/j.oneear.2019.12.016; Kim C., 2006, Journal of Environmental Education, V37, P15, DOI DOI 10.3200/JOEE.37.3.15-22; Koulouri P, 2022, MEDITERR MAR SCI, V23, P289, DOI 10.12681/mms.26797; Lin YL, 2020, SUSTAINABILITY-BASEL, V12, DOI 10.3390/su12177115; Lotze HK, 2018, OCEAN COAST MANAGE, V152, P14, DOI 10.1016/j.ocecoaman.2017.11.004; Markos A, 2017, ENVIRON EDUC RES, V23, P231, DOI 10.1080/13504622.2015.1126807; McCauley V, 2019, ENVIRON EDUC RES, V25, P280, DOI 10.1080/13504622.2018.1553234; McPherson K., 2018, Appl. Environ. Educ. Commun., V19, P129, DOI [10.1080/1533015X.2018.1533439, DOI 10.1080/1533015X.2018.1533439]; McPherson K., 2018, Int. J. Learn. Teach. Educ. Res., V17, P1, DOI [10.26803/ijlter.17.11.1, DOI 10.26803/IJLTER.17.11.1]; Mogias A, 2015, J ENVIRON EDUC, V46, P251, DOI 10.1080/00958964.2015.1050955; Mokos M., 2021, Ocean Literacy: Understanding the Ocean, P197, DOI [10.1007/978-3-030-70155-0_9, DOI 10.1007/978-3-030-70155-0_9]; Ocean Literacy Network, 2020, Ocean Literacy: The essential principles and fundamental concepts of ocean sciences for learners of all ages Version 3; Payne DL, 2010, ASTE SER SCI EDUC, P81, DOI 10.1007/978-90-481-9222-9_6; Pazoto CE, 2022, OCEAN COAST MANAGE, V219, DOI 10.1016/j.ocecoaman.2022.106047; Pazoto CE, 2021, OCEAN COAST RES, V69, DOI 10.1590/2675-2824069.21008cep; Ryabinin V, 2019, FRONT MAR SCI, V6, DOI 10.3389/fmars.2019.00470; Salviati M E., 2017, Manual do Aplicativo Iramuteq (versao 0; Schoedinger S., 2010, NMEA Special Report, V3, P3; Steel BS, 2005, OCEAN COAST MANAGE, V48, P97, DOI 10.1016/j.ocecoaman.2005.01.002; Summers M., 2000, Environmental Education Research, V6, P293, DOI [10.1080/713664700, DOI 10.1080/713664700]; UNESCO-IOC, 2021, Ocean Literacy Framework for the UN Decade of Ocean Science for Sustainable development 2021-2030; Visbeck M, 2018, NAT COMMUN, V9, DOI 10.1038/s41467-018-03158-3</t>
  </si>
  <si>
    <t>10.1016/j.marpol.2024.106220</t>
  </si>
  <si>
    <t>UR8X0</t>
  </si>
  <si>
    <t>WOS:001249888500001</t>
  </si>
  <si>
    <t>Alvisi, F; Baldrighi, E; Merlino, S; Locritani, M; Panfili, M; Colella, S; Bronco, S; Cicogna, F; Coiai, S; King, E</t>
  </si>
  <si>
    <t>Alvisi, Francesca; Baldrighi, Elisa; Merlino, Silvia; Locritani, Marina; Panfili, Monica; Colella, Sabrina; Bronco, Simona; Cicogna, Francesca; Coiai, Serena; King, Emily</t>
  </si>
  <si>
    <t>Walking on the Sea Traces: Developing a platform to bring Ocean Literacy and Citizen Science at Home</t>
  </si>
  <si>
    <t>Ocean Literacy; citizen science; freshwater; seafood; plastic; human impact; marine litter</t>
  </si>
  <si>
    <t>PUBLIC PERCEPTIONS; LITTER; CHALLENGES</t>
  </si>
  <si>
    <t>The process of the development of a citizen science platform on Ocean Literacy designed and implemented during the lock down period of 2020 is described. As restrictions due to the COVID-19 health emergency did not allow researchers to organise public events and field data collection activities related to Ocean Literacy, it was decided to take advantage of this situation by building an online platform to bring Ocean Literacy issues directly into citizens' homes. The massive use of digital tools by all civic communities during this time has enabled both the implementation of this idea and rendering it effective. The pandemic control measures then provided a unique opportunity to focus citizen attention on the collection of household data and information and to highlight the more or less direct connections between citizens' lifestyles and the eco-marine system. Short questionnaires were used to ascertain and highlight citizens' household behaviours and daily attitudes during the lockdown towards water use, seafood consumption and plastic material use and disposal. Data and information were also proposed, collected and analyzed in terms of: general environmental awareness of the respondents, perception regarding their purchasing choices during this particular period, as well as any changes in lifestyles and habits during the lockdown with respect to previous periods. The collected data enabled the improvement of our knowledge on some aspects of people's domestic habits as well as their perception vs. real knowledge about the proposed environmental issues. We also realized that it is increasingly crucial for scientists to directly and extensively involve people and schools in educational and outreach activities and events as a good practice of science-society interaction. But to achieve good results there is a need to develop appropriate communication tools and effective involvement strategies to promote their widespread participation in citizen science projects.</t>
  </si>
  <si>
    <t>[Alvisi, Francesca; Merlino, Silvia] Ist Sci Marine, Consiglio Nazl Ric, CNR, ISMAR, Venice, Italy; [Baldrighi, Elisa; Panfili, Monica; Colella, Sabrina] Ist Risorse Biol &amp; Biotecnol Marine, CNR, IRBIM, Ancona, Italy; [Locritani, Marina] INGV Ist Nazl Geofis &amp; Vulcanol INGV, Rome, Italy; [Alvisi, Francesca; Baldrighi, Elisa; Merlino, Silvia; Locritani, Marina; Panfili, Monica; Colella, Sabrina] Ocean Literacy Italian OLI, Milan, Italy; [Bronco, Simona] Ist &amp; Proc Chim Fis, CNR, IPCF, Pisa, Italy; [Cicogna, Francesca; Coiai, Serena] Ist Chim Composti Organometall, CNR, ICCOM, Sesto Fiorentino, Italy; [King, Emily] Xiamen Univ, COSEE China, State Key Lab, Xiamen, Peoples R China</t>
  </si>
  <si>
    <t>Consiglio Nazionale delle Ricerche (CNR); Istituto di Scienze Marine (ISMAR-CNR); Consiglio Nazionale delle Ricerche (CNR); Istituto per le Risorse Biologiche Biotecnologie Marine (IRBIM-CNR); Consiglio Nazionale delle Ricerche (CNR); Istituto per i Processi Chimico-Fisici (IPCF-CNR); Consiglio Nazionale delle Ricerche (CNR); Isituto di Chimica dei Composti Organometallici (ICCOM-CNR); Xiamen University</t>
  </si>
  <si>
    <t>Alvisi, F (corresponding author), Ist Sci Marine, Consiglio Nazl Ric, CNR, ISMAR, Venice, Italy.</t>
  </si>
  <si>
    <t>f.alvisi@ismar.cnr.it</t>
  </si>
  <si>
    <t>Cicogna, Francesca/F-9307-2019; Bronco, Simona/A-9287-2019; Merlino, Silvia/O-2325-2015; Panfili, Monica/AAL-4623-2020; Alvisi, Francesca/N-9618-2015</t>
  </si>
  <si>
    <t>Cicogna, Francesca/0000-0003-4432-0826; Panfili, Monica/0000-0002-8983-8875; Bronco, Simona/0000-0002-4832-7569; Alvisi, Francesca/0000-0003-1256-2257</t>
  </si>
  <si>
    <t>CNR - Communication and Public Relation Unit; University of Bolo-gna (Bologna-Italy)</t>
  </si>
  <si>
    <t>We wish to thank Francesca Messina, Luca Balletti and Daniela Gaggero, of the CNR - Communication and Public Relation Unit, for their help in the development of the website, graphic layout and dissemination via the CNR social network and website; Alessandro Frigato, a graduate student of the University of Milano Bicocca (Milan, Italy) , for the translation and editing of the web-site Ocean Literacy section; Lorenzo Savigni, a graduate student of the University of Bologna (Bologna, Italy) for his help in the restyling of the website. We wish also to thank Federico Plazzi and his classroom (Istituto Beata Vergine di San Luca-Bologna-Italy) , and Alessia Pre-ci, another graduate student of the University of Bolo-gna (Bologna-Italy) , for their important contribution in designing and implementing the first part of this project within the WaterWeWaste initiative.</t>
  </si>
  <si>
    <t>Ahmed AT, 2021, APPL WATER SCI, V11, DOI 10.1007/s13201-021-01505-2; Ashley M, 2019, FRONT MAR SCI, V6, DOI 10.3389/fmars.2019.00288; Borja A, 2016, FRONT MAR SCI, V3, DOI 10.3389/fmars.2016.00020; Cava F., 2005, Science Content and Standards for Ocean Literacy: A Report on Ocean Literacy, P1; Earp HS, 2020, YOUMARES 9 - THE OCEANS: OUR RESEARCH, OUR FUTURE, P1, DOI 10.1007/978-3-030-20389-4_1; Fletcher S, 2007, COAST MANAGE, V35, P511, DOI 10.1080/08920750701525818; Garcia-Soto C., 23 EUR MAR BOARD OST; General Assembly U.N, 2015, Transforming our world: the 2030 Agenda for Sustainable Development, P1; Gotensparre S.M., 2017, META ANAL CONSULTATI; Jefferson R, 2015, OCEAN COAST MANAGE, V115, P61, DOI 10.1016/j.ocecoaman.2015.06.014; Kelly R, 2020, PHILOS T R SOC B, V375, DOI 10.1098/rstb.2019.0461; Kelly R, 2019, ECOL SOC, V24, DOI 10.5751/ES-10704-240116; Korpinen S, 2016, FRONT MAR SCI, V3, DOI 10.3389/fmars.2016.00153; Krajhanzl J., 2010, SCH HLTH, V21, P251; Locritani M, 2019, MAR POLLUT BULL, V140, P320, DOI 10.1016/j.marpolbul.2019.01.023; Lotze HK, 2018, OCEAN COAST MANAGE, V152, P14, DOI 10.1016/j.ocecoaman.2017.11.004; Lucas S, 2021, J CLEAN PROD, V299, DOI 10.1016/j.jclepro.2021.126718; McKinley E, 2010, OCEAN COAST MANAGE, V53, P379, DOI 10.1016/j.ocecoaman.2010.04.012; Merlin S, 2015, MAR TECHNOL SOC J, V49, P99, DOI 10.4031/MTSJ.49.4.3; Merlino S, 2021, WATER-SUI, V13, DOI 10.3390/w13233349; Mioni E., 2015, BLUE PATHS SEACLEANE; Mogias A, 2019, FRONT MAR SCI, V6, DOI 10.3389/fmars.2019.00396; Nelms SE, 2022, ENVIRON SCI POLICY, V128, P14, DOI 10.1016/j.envsci.2021.11.002; Qian N, 2018, WATER-SUI, V10, DOI 10.3390/w10010059; Rambonnet L, 2019, MAR POLLUT BULL, V145, P271, DOI 10.1016/j.marpolbul.2019.05.056; Ronchi F, 2019, MAR POLICY, V100, P226, DOI 10.1016/j.marpol.2018.11.041; Santoro F., 2018, IOC MANUALS GUIDES, V80; Schoedinger S., 2006, SCI TEACHER, V73, P44; Selig E.R., 2018, CONSERV LETT, P2; Sonne C, 2019, MAR POLLUT BULL, V149, DOI 10.1016/j.marpolbul.2019.110591; Stefanelli-Silva G, 2019, FRONT MAR SCI, V6, DOI 10.3389/fmars.2019.00389; Stoll-Kleemann S, 2019, FRONT MAR SCI, V6, DOI 10.3389/fmars.2019.00273; Sullivan J, 2019, NEW SOLUT, V28, P570, DOI 10.1177/1048291118810871; Vincent ACJ, 2011, AQUAT CONSERV, V21, P495, DOI 10.1002/aqc.1226</t>
  </si>
  <si>
    <t>10.12681/mms.26931</t>
  </si>
  <si>
    <t>WOS:000782982600012</t>
  </si>
  <si>
    <t>Mokos, M; De-Bastos, ESR; Realdon, G; Wojcieszek, D; Papathanasiou, M; Tuddenham, P</t>
  </si>
  <si>
    <t>Mokos, Melita; De-Bastos, Eliane S. R.; Realdon, Giulia; Wojcieszek, Dominika; Papathanasiou, Martha; Tuddenham, Peter</t>
  </si>
  <si>
    <t>Navigating Ocean Literacy in Europe: 10 years of history and future perspectives</t>
  </si>
  <si>
    <t>Ocean literacy; sustainable development; Europe; UN Ocean Decade; SDG 14; EMSEA</t>
  </si>
  <si>
    <t>MARINE; ATTITUDES</t>
  </si>
  <si>
    <t>Ocean Literacy (OL) emerged in the USA in the 2000s as a concept developed for the education system aimed at teachers. In 2011, it gained the attention of European educators who formed the first OL network in Europe, the European Marine Science Educators Association (EMSEA). Parallel to that initiative, Portugal started the first initiative to adopt OL content into formal education. Since then, there has been a major shift towards a more literate society in Europe. This paper reviews the development of OL in Europe, elaborates the role of OL for the sustainable future of the European seas, and provides recommendations for OL actions.</t>
  </si>
  <si>
    <t>[Mokos, Melita; De-Bastos, Eliane S. R.; Realdon, Giulia; Wojcieszek, Dominika; Papathanasiou, Martha; Tuddenham, Peter] European Marine Sci Educators Assoc, Gentstr 29, B-9700 Oudenaarde, Belgium; [Mokos, Melita] Univ Zadar, Dept Ecol Agron &amp; Aquaculture, Trg Kneza Viseslava 9, Zadar 230007, Croatia; [De-Bastos, Eliane S. R.] Univ Bath, Dept Educ, 1 West North, Bath BA2 7AY, Avon, England; [Realdon, Giulia] Univ Camaino, UNICAMearth Grp, Geol Sect, Via Gentile III Da Varano, I-62032 Camerino, Italy; [Wojcieszek, Dominika] Natl Marine Fisheries Res Inst, Gdynia Aquarium, Ul Kollataja 1, PL-81332 Gdynia, Poland; [Papathanasiou, Martha] Indigo Med SMPC, 36-38 Ifikratous St, Athens, Greece; [Tuddenham, Peter] Coll Explorat, 230 Markwood Dr, Potomac Falls, VA 20165 USA; [Tuddenham, Peter] CoExploration Ltd, 2 Victoria Rd, Christchurch BH23 3LF, Dorset, England</t>
  </si>
  <si>
    <t>University of Zadar; University of Bath; National Marine Fisheries Research Institute</t>
  </si>
  <si>
    <t>Mokos, M (corresponding author), European Marine Sci Educators Assoc, Gentstr 29, B-9700 Oudenaarde, Belgium.;Mokos, M (corresponding author), Univ Zadar, Dept Ecol Agron &amp; Aquaculture, Trg Kneza Viseslava 9, Zadar 230007, Croatia.</t>
  </si>
  <si>
    <t>mmokos@unizd.hr</t>
  </si>
  <si>
    <t>Tuddenham, Peter/AAI-2531-2021; Realdon, Giulia/ABC-6270-2020</t>
  </si>
  <si>
    <t>Tuddenham, Peter/0000-0001-8441-1111; Realdon, Giulia/0000-0001-8269-4269; Mokos, Melita/0000-0002-9152-4971; Papathanasiou, Martha/0000-0002-1989-154X</t>
  </si>
  <si>
    <t>[Anonymous], 2020, OC LIT BALT EU4OC EV; [Anonymous], 2014, SCI YOU; Barracosa H, 2019, FRONT MAR SCI, V6, DOI 10.3389/fmars.2019.00626; Bennett NJ, 2021, MAR POLICY, V125, DOI 10.1016/j.marpol.2020.104387; Borja A, 2020, FRONT MAR SCI, V6, DOI 10.3389/fmars.2019.00837; Brennan C, 2019, FRONT MAR SCI, V6, DOI 10.3389/fmars.2019.00360; Buckley PJ, 2017, FRONT MAR SCI, V4, DOI 10.3389/fmars.2017.00206; CaNOE, 2014, WHAT GALW STAT MEANS; Cava F., 2005, Science Content and Standards for Ocean Literacy: A Report on Ocean Literacy, P1; Chambers R, 2019, FRONT MAR SCI, V6, DOI 10.3389/fmars.2019.00619; Cheimonopoulou M.Th., 2019, 7 EUR MAR SCI ED ASS, P7; Claudet J, 2020, ONE EARTH, V2, P34, DOI 10.1016/j.oneear.2019.10.012; Copejans E., 2012, CURRENT J MARINE ED, V28, P43; Copejans E., 2020, HDB TEACHERS; Dupont S., 2017, Handbook on the Economics and Management of Sustainable Oceans, P519, DOI [10.4337/9781786430724, DOI 10.4337/9781786430724.00037]; Ecorys Deltares Oecanic, 2012, BLUE GROWTH SCENARIO; Eparkhina D., OCEAN LITERACY EUROP; European Commission, 2019, COM2019640FINAL; Fauville G., 2019, Exemplary Practices in Marine Science Education; Fauville G., 2013, MARINE BIOL, V1, P30; Frederick J.A., 2019, EXEMPLARY PRACTICES, P257; French V., 2015, Review of Ocean Literacy in European Maritime Policy; Guest H, 2015, MAR POLICY, V58, P98, DOI 10.1016/j.marpol.2015.04.007; Hartley BL, 2015, MAR POLLUT BULL, V90, P209, DOI 10.1016/j.marpolbul.2014.10.049; HELCOM, 2010, Baltic Sea Environment Proceedings, V122; Hynes S, 2014, MAR POLICY, V47, P57, DOI 10.1016/j.marpol.2014.02.002; Joyce J., 2019, EXEMPLARY PRACTICES; Kelly R, 2022, REV FISH BIOL FISHER, V32, P123, DOI 10.1007/s11160-020-09625-9; Kopke K, 2019, FRONT MAR SCI, V6, DOI 10.3389/fmars.2019.00060; Lamy P., 2020, Mission Starfish 2030Restore Our Ocean and Waters. Report of the Mission Board Healthy Oceans, Seas, VVolume 92; Lubchenco J, 2019, SCIENCE, V364, P911, DOI 10.1126/science.aay2241; Marrero ME, 2019, FRONT MAR SCI, V6, DOI 10.3389/fmars.2019.00325; McKinley E., 2020, Understanding Ocean Literacy and Ocean Climate-Related Behaviour Change in the UK-Work Package 1: Evidence Synthesis; McKinley E, 2010, OCEAN COAST MANAGE, V53, P379, DOI 10.1016/j.ocecoaman.2010.04.012; Mogias A, 2019, FRONT MAR SCI, V6, DOI 10.3389/fmars.2019.00396; Mokos M., 2021, Ocean Literacy: Understanding the Ocean, P197, DOI [10.1007/978-3-030-70155-0_9, DOI 10.1007/978-3-030-70155-0_9]; Mokos M, 2020, SUSTAINABILITY-BASEL, V12, DOI 10.3390/su122410647; Mokos M, 2020, MEDITERR MAR SCI, V21, P592, DOI 10.12681/mms.23400; Niedoszytko G., 2019, EXEMPLARY PRACTICES, P123; Papamichail M, 2019, SCAND J SURG, V108, P194, DOI 10.1177/1457496918798213; Paredes-Coral E, 2021, FRONT MAR SCI, V8, DOI 10.3389/fmars.2021.648492; Potts T, 2016, MAR POLICY, V72, P59, DOI 10.1016/j.marpol.2016.06.012; Realdon G, 2019, REND ONLINE SOC GEOL, V49, P107, DOI 10.3301/ROL.2019.59; Ropelewski A., 2001, MORSKI INSTYTUT RYBA; Ryabinin V, 2019, FRONT MAR SCI, V6, DOI 10.3389/fmars.2019.00470; Santoro F., 2017, Ocean Literacy for All - A toolkit, IOC/UNESCO UNESCO Venice Office; Sayama H., 2015, J COMPLEX NETW, V2015, P1; Schoedinger S., 2010, PRINCIPLES SCOPE SEQ, V3; Stoll-Kleemann S, 2019, FRONT MAR SCI, V6, DOI 10.3389/fmars.2019.00273; UNESCO, 2017, IOC UNESCO SWED STRE; UNESCO-IOC, 2021, IOC OCEAN DECADE SER, V22; Visbeck M, 2018, NAT COMMUN, V9, DOI 10.1038/s41467-018-03158-3; Wulff A., 2019, Exemplary Practices in Marine Science Education, P363, DOI [10.1007/978-3-319-90778-9_20, DOI 10.1007/978-3-319-90778-9_20]</t>
  </si>
  <si>
    <t>10.12681/mms.26989</t>
  </si>
  <si>
    <t>WOS:000782982600002</t>
  </si>
  <si>
    <t>Meeson, BW; McDonnell, J; Parsons, C</t>
  </si>
  <si>
    <t>Meeson, Blanche W.; McDonnell, Janice; Parsons, Chris</t>
  </si>
  <si>
    <t>More than one-way to catch a fish: Use of effective translation of ocean science to promote ocean literacy</t>
  </si>
  <si>
    <t>2007 OCEANS, VOLS 1-5</t>
  </si>
  <si>
    <t>2007 OCEANS Conference</t>
  </si>
  <si>
    <t>SEP 29-OCT 04, 2007</t>
  </si>
  <si>
    <t>Vancouver, CANADA</t>
  </si>
  <si>
    <t>An understanding and appreciation of the ocean, Great Lakes and coasts' role in our lives (from commerce to recreation to weather) and our interdependence upon them is a chief goal of the Ocean Literacy Initiative. Today most Americans undervalue the ocean because few know and value the vital functions the ocean performs in service to our society and to each of us individually. One requisite for ocean literacy is the promotion of effective life-long learning of these vital functions and services through sustained communication that captures both our hearts and minds. Story development and data translation address one aspect of lifelong learning, the sustained supply of compelling and accurate science and technology stories about the ocean, coasts, and Great Lakes. Stories that educators and communication professionals can incorporate into all types of learning materials. Here we continue our examination of two models (Government Research Enterprise and an Academic Research Organization) that are case studies in developing and identifying highly effective story development and data translation practices.</t>
  </si>
  <si>
    <t>[Meeson, Blanche W.] NASA, Goddard Space Flight Ctr, Mailstop 610-2, Greenbelt, MD 20771 USA; [McDonnell, Janice] State Univ New Jersey, Marine &amp; Coastal Sci Inst, New Brunswick, NJ 08901 USA; [Parsons, Chris] Word Craft, Monterey, CA 93942 USA</t>
  </si>
  <si>
    <t>National Aeronautics &amp; Space Administration (NASA); NASA Goddard Space Flight Center; Rutgers University System; Rutgers University New Brunswick</t>
  </si>
  <si>
    <t>Meeson, BW (corresponding author), NASA, Goddard Space Flight Ctr, Mailstop 610-2, Greenbelt, MD 20771 USA.</t>
  </si>
  <si>
    <t>NASA</t>
  </si>
  <si>
    <t>NASA(National Aeronautics &amp; Space Administration (NASA))</t>
  </si>
  <si>
    <t>B.M. would like to gratefully acknowledge NASA's support for this work and the contribution of the entire Earth science story development and data translation team in the development of this case study. J.M, C.K. gratefully acknowledge NSF's support which has contributed to the development of the model outlined here.</t>
  </si>
  <si>
    <t>Coyle K., 2005, ENV LITERACY AM WHAT; KOHEN R, 2005, INTERP GUIDE PHILOS; MEESON B, 2006, MTSOCEANS2006 C P; MEESON B, COMMUNICATION; Steel BS, 2006, SEA TECHNOL, V47, P45; Tilden FreemanR. Bruce Craig Russell E. Dickenson., 2008, Interpreting Our Heritage, V4th; 2007, OCEAN LIT ESSENTIAL; 1999, HIGHLIGHTS NATL SURV; 2004, AAAS SURVEY REPORT</t>
  </si>
  <si>
    <t>978-0-933957-37-4</t>
  </si>
  <si>
    <t>Engineering, Marine; Oceanography; Remote Sensing; Telecommunications</t>
  </si>
  <si>
    <t>Engineering; Oceanography; Remote Sensing; Telecommunications</t>
  </si>
  <si>
    <t>BHU56</t>
  </si>
  <si>
    <t>WOS:000256526301043</t>
  </si>
  <si>
    <t>Bedford, D</t>
  </si>
  <si>
    <t>Bedford, Daniel</t>
  </si>
  <si>
    <t>Does Climate Literacy Matter? A Case Study of US Students' Level of Concern about Anthropogenic Global Warming</t>
  </si>
  <si>
    <t>JOURNAL OF GEOGRAPHY</t>
  </si>
  <si>
    <t>climate literacy; global warming; opinions</t>
  </si>
  <si>
    <t>SCIENTIFIC CONSENSUS; KNOWLEDGE; GENDER; VIEWS; GAP</t>
  </si>
  <si>
    <t>Educators seeking to address global warming in their classrooms face numerous challenges, including the question of whether student opinions about anthropogenic global warming (AGW) can change in response to increased knowledge about the climate system. This article analyzes survey responses from 458 students at a primarily undergraduate institution in the U.S.'s intermountain West, finding increased levels of concern with increased levels of climate literacy, including among students whose political affiliation might indicate skepticism about AGW. However, overall levels of climate literacy were found to be quite low for many students, allowing other factors, notably political affiliation, to become dominant predictors of AGW concern.</t>
  </si>
  <si>
    <t>[Bedford, Daniel] Weber State Univ, Dept Geog, Ogden, UT 84408 USA</t>
  </si>
  <si>
    <t>Utah System of Higher Education; Weber State University</t>
  </si>
  <si>
    <t>Bedford, D (corresponding author), Weber State Univ, Dept Geog, Ogden, UT 84408 USA.</t>
  </si>
  <si>
    <t>Bedford, Daniel/HMD-9572-2023</t>
  </si>
  <si>
    <t>Bedford, Daniel/0000-0002-9383-1705</t>
  </si>
  <si>
    <t>Anderegg WRL, 2010, P NATL ACAD SCI USA, V107, P12107, DOI 10.1073/pnas.1003187107; [Anonymous], CLIM LIT ESS PRINC C; Bord RJ, 1997, SOC SCI QUART, V78, P830; Brulle RJ, 2012, CLIMATIC CHANGE, V114, P169, DOI 10.1007/s10584-012-0403-y; Cook J, 2013, ENVIRON RES LETT, V8, DOI 10.1088/1748-9326/8/2/024024; Doran P.T., 2009, Eos, V90, P22, DOI [10.1029/2009EO030002, DOI 10.1029/2009EO030002]; Dunlap RE, 2008, ENVIRONMENT, V50, P26, DOI 10.3200/ENVT.50.5.26-35; Guy S, 2014, EUR J SOC PSYCHOL, V44, P421, DOI 10.1002/ejsp.2039; Hamilton LC, 2012, WEATHER CLIM SOC, V4, P236, DOI 10.1175/WCAS-D-12-00008.1; Hamilton LC, 2011, CLIMATIC CHANGE, V104, P231, DOI 10.1007/s10584-010-9957-8; Kahan D, 2012, NATURE, V488, P255, DOI 10.1038/488255a; Kahan DM, 2015, POLIT PSYCHOL, V36, P1, DOI 10.1111/pops.12244; Kahan DM, 2012, NAT CLIM CHANGE, V2, P732, DOI 10.1038/NCLIMATE1547; Leiserowitz A., 2010, KNOWLEDGE CLIMATE CH; Leiserowitz A., 2014, Climate change in the American mind: Americans' global warming beliefs and attitudes in November; Leiserowitz A., 2013, CLIMATE CHANGE INDIA; Maibach E.W., 2011, Global Warming's Six Americas screening tools: Survey instruments; instructions for coding and data treatment; and statistical program scripts; Maibach E, 2014, EARTHS FUTURE, V2, P295, DOI 10.1002/2013EF000226; Maibach EW, 2011, PLOS ONE, V6, DOI 10.1371/journal.pone.0017571; McCright AM, 2014, WEATHER CLIM SOC, V6, P194, DOI 10.1175/WCAS-D-13-00058.1; McCright AM, 2011, GLOBAL ENVIRON CHANG, V21, P1163, DOI 10.1016/j.gloenvcha.2011.06.003; McCright AM, 2010, POPUL ENVIRON, V32, P66, DOI 10.1007/s11111-010-0113-1; Moser SC, 2007, CREATING A CLIMATE FOR CHANGE: COMMUNICATING CLIMATE CHANGE AND FACILITATING SOCIAL CHANGE, P64, DOI 10.1017/CBO9780511535871.006; Moser SC, 2011, POLITICS OF CLIMATE CHANGE: A SURVEY, 1ST EDITION, P155; Nerlich B, 2010, WIRES CLIM CHANGE, V1, P97, DOI 10.1002/wcc.002; Oreskes N, 2004, SCIENCE, V306, P1686, DOI 10.1126/science.1103618; Roser-Renouf C., 2014, Global Warming's Six Americas, October, 2014: Perception of the Health Consequences of Global Warming and Update on Key Beliefs; Stoutenborough JW, 2014, ENVIRON SCI POLICY, V37, P23, DOI 10.1016/j.envsci.2013.08.002; Verheggen B, 2014, ENVIRON SCI TECHNOL, V48, P8963, DOI 10.1021/es501998e; Whitmarsh L, 2011, GLOBAL ENVIRON CHANG, V21, P690, DOI 10.1016/j.gloenvcha.2011.01.016; Xiao CY, 2015, ENVIRON BEHAV, V47, P17, DOI 10.1177/0013916513491571</t>
  </si>
  <si>
    <t>TAYLOR &amp; FRANCIS INC</t>
  </si>
  <si>
    <t>PHILADELPHIA</t>
  </si>
  <si>
    <t>530 WALNUT STREET, STE 850, PHILADELPHIA, PA 19106 USA</t>
  </si>
  <si>
    <t>0022-1341</t>
  </si>
  <si>
    <t>1752-6868</t>
  </si>
  <si>
    <t>J GEOGR</t>
  </si>
  <si>
    <t>J. Geogr.</t>
  </si>
  <si>
    <t>10.1080/00221341.2015.1105851</t>
  </si>
  <si>
    <t>Geography</t>
  </si>
  <si>
    <t>DX2SN</t>
  </si>
  <si>
    <t>WOS:000384221200001</t>
  </si>
  <si>
    <t>Leitao, R; Maguire, M; Turner, S; Arenas, F; Guimaraes, L</t>
  </si>
  <si>
    <t>Leitao, Rui; Maguire, Martin; Turner, Sarah; Arenas, Francisco; Guimaraes, Laura</t>
  </si>
  <si>
    <t>Ocean literacy gamified: A systematic evaluation of the effect of game elements on students' learning experience</t>
  </si>
  <si>
    <t>Gamification; ocean literacy; educational technologies; cognitive learning; motivation</t>
  </si>
  <si>
    <t>CLIMATE-CHANGE; GAMIFICATION; DESIGN; ENGAGEMENT; EDUCATION; BEHAVIOR</t>
  </si>
  <si>
    <t>Low levels of concern about anthropogenic climate change have been attributed to a range of factors, some of which relate to education. These include people's lack of understanding and engagement with the multifaceted nature and extent of the problem that it presents to current and future generations. Limited knowledge is also known to be an obstacle to individual behaviour change, with important implications for young people's perceptions of the urgency to act and awareness of the consequences of their own behaviours. In this study, we explored ways to address low levels of understanding about ocean science dimensions to climate change phenomena, cognisant of a growing awareness that formal education curricula do not adequately engage young people with developing ocean literacy. Participants were a sample of secondary school students (11 to 14 years) in Portugal and the UK. Using a gamified mobile application, it was examined relationships between the use of different game elements such as points, badges and leaderboards, and learning outcomes. Systematic evaluation of each element shows how different game features affected the participants' learning experience and learning outcomes. Implications for formal and informal marine education, climate education, and how to improve ocean literacy efforts, are also discussed.</t>
  </si>
  <si>
    <t>[Leitao, Rui; Maguire, Martin] Loughborough Univ, Sch Design &amp; Creat Arts, Epinal Way, Loughborough LE11 3TU, Leics, England; [Leitao, Rui; Arenas, Francisco; Guimaraes, Laura] Univ Porto, Interdisciplinary Ctr Marine &amp; Environm Res CIIMA, Porto, Portugal; [Turner, Sarah] Loughborough Univ, Ctr Acad Practice, Loughborough, Leics, England</t>
  </si>
  <si>
    <t>Loughborough University; Universidade do Porto; Loughborough University</t>
  </si>
  <si>
    <t>Leitao, R (corresponding author), Loughborough Univ, Sch Design &amp; Creat Arts, Epinal Way, Loughborough LE11 3TU, Leics, England.</t>
  </si>
  <si>
    <t>r.leitao@lboro.ac.uk</t>
  </si>
  <si>
    <t>Guimarães, Laura/AGD-8925-2022; Leitao, Rui/GQY-8640-2022; Arenas, Francisco/M-6367-2013</t>
  </si>
  <si>
    <t>Guimarães, Laura/0000-0003-3360-3783; Arenas, Francisco/0000-0001-6925-3805; Leitao, Rui/0000-0003-3971-3289</t>
  </si>
  <si>
    <t>Arts and Humanities Research Council Design Star CDT [AH/L503770/1]; project OceanClass -Do oceano para a sala de aula - Blue Growth Programme of EEA Grants Portugal [EEA.BG.SGS3.022.2019]; FCT (Foundation for the Science and Technology) [UIDB/04423/2020, UIDP/04423/2020]</t>
  </si>
  <si>
    <t>Arts and Humanities Research Council Design Star CDT(UK Research &amp; Innovation (UKRI)Arts &amp; Humanities Research Council (AHRC)); project OceanClass -Do oceano para a sala de aula - Blue Growth Programme of EEA Grants Portugal; FCT (Foundation for the Science and Technology)(Fundacao para a Ciencia e a Tecnologia (FCT))</t>
  </si>
  <si>
    <t>This research was supported by the Arts and Humanities Research Council Design Star CDT (AH/L503770/1). The research was also supported by project OceanClass -Do oceano para a sala de aula funded by the Blue Growth Programme of EEA Grants Portugal (EEA.BG.SGS3.022.2019), (2021-2023) and by national funds through FCT (Foundation for the Science and Technology) within the scope of UIDB/04423/2020 and UIDP/04423/2020.</t>
  </si>
  <si>
    <t>Ankamah-Yeboah I, 2020, FRONT MAR SCI, V7, DOI 10.3389/fmars.2020.00137; [Anonymous], 2018, DIGITAL EXPLORER; [Anonymous], 1971, SCI EDUC, DOI DOI 10.1002/SCE.3730550105; [Anonymous], 2015, NAT CURR ENGL SCI PR; [Anonymous], 2004, OC BLUEPR 21 CENT; [Anonymous], 2017, P ESERA 2017 C DUBL; [Anonymous], 2014, 1401 UND RISK RES GR; Barracosa H, 2019, FRONT MAR SCI, V6, DOI 10.3389/fmars.2019.00626; Bogost I, 2014, GAMEFUL WORLD: APPROACHES, ISSUES, APPLICATIONS, P65; Boudet H, 2020, NAT CLIM CHANGE, V10, P69, DOI 10.1038/s41558-019-0641-3; Çakiroglu O, 2017, COMPUT HUM BEHAV, V69, P98, DOI 10.1016/j.chb.2016.12.018; Cava F., 2005, Science Content and Standards for Ocean Literacy: A Report on Ocean Literacy, P1; Cheng KH, 2017, J EDUC COMPUT RES, V55, P820, DOI 10.1177/0735633116686082; Chou Y.-K., 2016, ACTIONABLE GAMIFICAT, DOI [10.1017/CBO9781107415324.004, DOI 10.1017/CBO9781107415324.004]; Ci?ncias Naturais. Documentos curriculares de refer?ncia, 2018, DOC CURR REF; Costa S, 2018, MAR POLICY, V87, P149, DOI 10.1016/j.marpol.2017.10.022; Cotton D., 2010, SUSTAINABILITY ED PE, P39, DOI DOI 10.4324/9781849776516; Cowburn B, 2018, MAR POLLUT BULL, V133, P956, DOI 10.1016/j.marpolbul.2018.04.065; Csikszentmihalyi M., 2014, Flow and the Foundations of Positive Psychology: The Collected Works of Mihaly Csikszentmihalyi, P209, DOI DOI 10.1007/978-94-017-9088-8_14; Dallmeyer E.D., 2003, INVOLVING PUBLIC COA; Deterding S., 2011, P 15 INT ACAD MINDTR, P9, DOI DOI 10.1145/2181037.2181040; Deterding S., 2011, CHI 2011; Dichev C, 2014, CYBERN INF TECHNOL, V14, P80, DOI 10.1515/cait-2014-0007; Dicheva D, 2018, IEEE INT CONF ADV LE, P408, DOI 10.1109/ICALT.2018.00102; Dicheva D, 2015, EDUC TECHNOL SOC, V18, P75; Dieleman H, 2006, J CLEAN PROD, V14, P837, DOI 10.1016/j.jclepro.2005.11.031; Drossel K, 2017, EDUC INF TECHNOL, V22, P551, DOI 10.1007/s10639-016-9476-y; Huynh D, 2016, LECT NOTES COMPUT SC, V10056, P268, DOI 10.1007/978-3-319-50182-6_24; Falasca-Zamponi, 2010, WASTE CONSUMPTION WA, DOI [10.4324/9780203834275, DOI 10.4324/9780203834275]; Fauville G, 2019, ENVIRON EDUC RES, V25, P238, DOI 10.1080/13504622.2018.1440381; Fegely, 2019, SYSTEMATIC EXPLORATI, P137, DOI [10.4018/978-1-5225-7473-6.ch007, DOI 10.4018/978-1-5225-7473-6.CH007]; Foster J., 2001, ENVIRON EDUC RES, V7, P153, DOI [10.1080/13504620120043162, DOI 10.1080/13504620120043162]; Frick J, 2004, PERS INDIV DIFFER, V37, P1597, DOI 10.1016/j.paid.2004.02.015; Goodale T.A., 2020, Journal of Education for Sustainable Development, V14, P5, DOI DOI 10.1177/0973408220934645; Gotensparre S.M., 2017, METAANALYSIS CONSULT; Guest H, 2015, MAR POLICY, V58, P98, DOI 10.1016/j.marpol.2015.04.007; Hanna L., 1997, interactions, V4, P9, DOI DOI 10.1145/264044.264045; Hartley BL, 2018, MAR POLICY, V96, P227, DOI 10.1016/j.marpol.2018.02.002; Hassler B, 2016, J COMPUT ASSIST LEAR, V32, P139, DOI 10.1111/jcal.12123; Irwin, 2018, INT C ADV LEARN TECH; Kelley C, 2017, DIS'17: PROCEEDINGS OF THE 2017 ACM CONFERENCE ON DESIGNING INTERACTIVE SYSTEMS, P69, DOI 10.1145/3064663.3064721; Kirillov AV., 2018, TURK ONLINE J DES AR, V8, P1044, DOI [10.7456/1080SSE/144, DOI 10.7456/1080SSE/144]; Kornevs M, 2019, INT J SERIOUS GAMES, V6, P23, DOI 10.17083/ijsg.v6i2.293; Leitao R, 2022, EDUC INF TECHNOL, V27, P1081, DOI 10.1007/s10639-021-10651-8; Leitao R, 2019, EDULEARN PROC, P3110; Leitao R, 2019, EDULEARN PROC, P5381; Leitao R, 2018, INTED PROC, P5058; Leitao R, 2017, ICERI PROC, P5156; Lin YL, 2020, SUSTAINABILITY-BASEL, V12, DOI 10.3390/su12177115; Lister M.C., 2015, Issues and Trends in Educational Technology, V3, P2, DOI DOI 10.2458/AZUITETV3I2LISTER; Liu D, 2017, MIS QUART, V41, P1011; Marrero M.E., 2012, INT ELECT J ENV ED, V1, P27; McGrath M., 2018, BBC News; Mensah, 2010, ELECT J RES SCI MATH, V1; Mercer TG, 2017, INT J SUST HIGHER ED, V18, P359, DOI 10.1108/IJSHE-03-2015-0064; O'Donnell EC, 2020, PHILOS T R SOC A, V378, DOI 10.1098/rsta.2019.0216; Ocean Literacy Network, 2013, OC LIT ESS PRINC OC; Pant E., 2019, International Information Library Review, V51, P247, DOI [10.1080/10572317.2019.1629067, DOI 10.1080/10572317.2019.1629067, https://doi.org/10.1080/10572317.2019.1629067]; Parr J, 2017, EGU GEN ASS C, P13965; Prensky M., 2001, DIGITAL GAME BASED L, V5, P5, DOI DOI 10.1016/J.IHEDUC.2004.12.001; Rebolledo-Mendez G., 2009, Proc. of the ACM SIGGRAPH Symp. on Video Games (Sandbox '09), P15, DOI [DOI 10.1145/1581073.1581076, 10.1145/1581073.1581076]; Rice JW, 2012, INT J GAMING COMPUT-, V4, P81, DOI 10.4018/jgcms.2012100106; Santoro F., 2017, Ocean Literacy for All - A toolkit, IOC/UNESCO UNESCO Venice Office; Schmeinck D., 2020, OCEAN LIT 21 CENTURY; Trenberth KE, 2018, EARTHS FUTURE, V6, P730, DOI 10.1029/2018EF000825; Tsai LT, 2019, SUSTAINABILITY-BASEL, V11, DOI 10.3390/su11205810; Turner, 2019, OCEAN LIT APP 6 5; Veronica R, 2020, IEEE ACCESS, V8, P196931, DOI 10.1109/ACCESS.2020.3034438; Visbeck M, 2018, NAT COMMUN, V9, DOI 10.1038/s41467-018-03158-3; Warmelink H, 2020, J BUS RES, V106, P331, DOI 10.1016/j.jbusres.2018.09.011; Werbach K., 2012, WIN GAME THINKING CA; Winks L, 2020, ENVIRON EDUC RES, V26, P969, DOI 10.1080/13504622.2020.1758631; Zichermann G., 2011, Gamification by Design: Implementing Game Mechanics in Web and Mobile Apps</t>
  </si>
  <si>
    <t>FEB 4</t>
  </si>
  <si>
    <t>10.1080/13504622.2021.1986469</t>
  </si>
  <si>
    <t>SEP 2021</t>
  </si>
  <si>
    <t>YU0YR</t>
  </si>
  <si>
    <t>Green Published, hybrid</t>
  </si>
  <si>
    <t>WOS:000707258700001</t>
  </si>
  <si>
    <t>Sayarkhalaj, H; Khesal, MF</t>
  </si>
  <si>
    <t>Sayarkhalaj, Hamed; Khesal, Majid Fatemi</t>
  </si>
  <si>
    <t>Investigating energy literacy and its structural model for citizens of Mashhad</t>
  </si>
  <si>
    <t>HELIYON</t>
  </si>
  <si>
    <t>Attitude; Energy literacy; Environment; Climate change; Knowledge</t>
  </si>
  <si>
    <t>BEHAVIOR; KNOWLEDGE; STUDENTS</t>
  </si>
  <si>
    <t>Today, one of the most crucial environmental problems is energy consumption. Excessive energy consumption has led to environmental damage such as climate change. Energy and climate change are interrelated. Energy literacy is one of the tools to achieve energy sustainability. Energy literacy can reduce energy consumption by citizens. This research aimed to a sociological analysis of energy literacy among the citizens of Mashhad. The research method is a survey in which 384 citizens of Mashhad were selected based on a multi-stage cluster sampling method and data gathered by a questionnaire. The results showed that knowledge of energy consumption and attitude and effectiveness towards energy have a significant and direct relationship with energy consumption behavior. The attitude and effectiveness towards energy have a significant and direct relationship with the knowledge of energy consumption. Estimating the goodness of fit indices and the structural and measurement coefficients confirmed the model. Teaching proper behavioral patterns in energy consumption at the family and school can effectively improve citizens' energy literacy.</t>
  </si>
  <si>
    <t>[Sayarkhalaj, Hamed] Univ Isfahan, Esfahan, Iran; [Khesal, Majid Fatemi] Ferdowsi Univ Mashhad, Mashhad, Iran</t>
  </si>
  <si>
    <t>University of Isfahan; Ferdowsi University Mashhad</t>
  </si>
  <si>
    <t>Sayarkhalaj, H (corresponding author), Univ Isfahan, Esfahan, Iran.</t>
  </si>
  <si>
    <t>Sayarkhalaj1368@gmail.com</t>
  </si>
  <si>
    <t>Sayarkhalaj, Hamed/0000-0002-9086-3170</t>
  </si>
  <si>
    <t>Abioye OF, 2019, ENERGIES, V12, DOI 10.3390/en12122380; Abu-Ashour G., 2018, THESIS U WATERLOO; Aguirre-Bielschowsky I, 2017, ENVIRON EDUC RES, V23, P832, DOI 10.1080/13504622.2015.1054267; AJZEN I, 1991, ORGAN BEHAV HUM DEC, V50, P179, DOI 10.1016/0749-5978(91)90020-T; Akitsu Y., 2017, Int. J. Environ. Sci. Educ., V12, P1067; Allcott H, 2012, J ECON PERSPECT, V26, P3, DOI 10.1257/jep.26.1.3; [Anonymous], 2022, Climate Change Performance Index; [Anonymous], 2007, 2007 ANN C EXP; Banerjee A., 2021, Agroecological Footprints Management for Sustainable Food System, P415; Bloom M, 2019, EURASIA J MATH SCI T, V15, P1; Bodzin AM, 2013, INT J SCI EDUC, V35, P1561, DOI 10.1080/09500693.2013.769139; Cepeliauskaite G, 2020, SUSTAINABILITY-BASEL, V12, DOI 10.3390/su12020720; Chen K.L., 2015, International Journal of Environmental and Science Education, V10, P201, DOI [DOI 10.12973/IJESE.2015.241A, 10.12973/ijese.2015.241a]; Chiu M.-S., 2018, J. Adv. Educ. Res., V3, P25, DOI [10.22606/jaer.2018.31003, DOI 10.22606/JAER.2018.31003]; Chodkowska-Miszczuk J, 2021, ENERGIES, V14, DOI 10.3390/en14092575; Cotton DRE, 2021, J CLEAN PROD, V278, DOI 10.1016/j.jclepro.2020.123876; De Cian E, 2019, ENVIRON RESOUR ECON, V72, P365, DOI 10.1007/s10640-017-0198-4; DeWaters J., 2008, 2008 38 ANN FRONTIER; DeWaters J, 2013, J ENVIRON EDUC, V44, P38, DOI 10.1080/00958964.2012.711378; DeWaters JE, 2011, ENERG POLICY, V39, P1699, DOI 10.1016/j.enpol.2010.12.049; DeWaters JE., 2011, FRONTIERS ED C FIE 2, DOI DOI 10.1109/FIE.2011.6142961; Dulebenets MA, 2018, INT J PROD ECON, V196, P293, DOI 10.1016/j.ijpe.2017.10.027; Elavarasan RM, 2020, APPL ENERG, V279, DOI 10.1016/j.apenergy.2020.115739; FORNELL C, 1981, J MARKETING RES, V18, P39, DOI 10.2307/3151312; Frick J, 2004, PERS INDIV DIFFER, V37, P1597, DOI 10.1016/j.paid.2004.02.015; Hair J.F., 2007, MULTIVARIATE DATA AN; Hamidi Razi D., 2021, ENV ENERGY EC RES, V5, P1; Henseler J, 2015, J ACAD MARKET SCI, V43, P115, DOI 10.1007/s11747-014-0403-8; Hungerford H.R., 1990, J ENVIRON EDUC, V21, P8, DOI [DOI 10.1080/00958964.1990.10753743, 10.1080/00958964.1990.10753743]; Ilham Z, 2022, ENVIRON EDUC RES, V28, P925, DOI 10.1080/13504622.2022.2031902; International Energy Agency, 2016, World Energy Outlook 2019; Izydorczyk G, 2021, ENVIRON RES, V197, DOI 10.1016/j.envres.2021.111050; Khan SAR, 2020, ENVIRON SCI POLLUT R, V27, P45675, DOI 10.1007/s11356-020-10410-1; Lee JWC, 2016, IOP C SER EARTH ENV, V40, DOI 10.1088/1755-1315/40/1/012087; Lee LS, 2019, ENERG POLICY, V135, DOI 10.1016/j.enpol.2019.111005; Lee LS, 2015, ENERG POLICY, V76, P98, DOI 10.1016/j.enpol.2014.11.012; Lee YF, 2022, ENVIRON EDUC RES, V28, P907, DOI 10.1080/13504622.2022.2034752; Liang XD, 2021, ENVIRON SCI POLLUT R, V28, P15838, DOI 10.1007/s11356-020-11632-z; Linden AL, 2006, ENERG POLICY, V34, P1918, DOI 10.1016/j.enpol.2005.01.015; Naderi A, 2017, Q SOC STUD RES IRAN, V6, P391; Pasha J, 2021, ADV ENG INFORM, V48, DOI 10.1016/j.aei.2021.101299; Pearson G., 2002, TECHNICALLY SPEAKING; Schultz P.W., 2002, NEW TOOLS ENV PROTEC; Semenza JC, 2008, AM J PREV MED, V35, P479, DOI 10.1016/j.amepre.2008.08.020; Setyowati D.L, 2019, INT J ENERGY ENVIR E, V13, P505; Stern PC, 2000, J SOC ISSUES, V56, P407, DOI 10.1111/0022-4537.00175; UNEP, 2012, DTI1538PA UNEP; Van den Broek K.L., 2016, THESIS U BATH; van Ruijven BJ, 2019, NAT COMMUN, V10, DOI 10.1038/s41467-019-10399-3; Viklund M, 2004, ENERG POLICY, V32, P1159, DOI 10.1016/S0301-4215(03)00079-X; Wang Q, 2020, SCI TOTAL ENVIRON, V728, DOI 10.1016/j.scitotenv.2020.138915; Zhang XY, 2021, J CLEAN PROD, V306, DOI 10.1016/j.jclepro.2021.127259</t>
  </si>
  <si>
    <t>2405-8440</t>
  </si>
  <si>
    <t>Heliyon</t>
  </si>
  <si>
    <t>e11449</t>
  </si>
  <si>
    <t>10.1016/j.heliyon.2022.e11449</t>
  </si>
  <si>
    <t>NOV 2022</t>
  </si>
  <si>
    <t>Multidisciplinary Sciences</t>
  </si>
  <si>
    <t>Science &amp; Technology - Other Topics</t>
  </si>
  <si>
    <t>7J1FO</t>
  </si>
  <si>
    <t>WOS:000904332400006</t>
  </si>
  <si>
    <t>Gladwin, D; Ellis, N</t>
  </si>
  <si>
    <t>Gladwin, Derek; Ellis, Naoko</t>
  </si>
  <si>
    <t>Energy literacy: towards a conceptual framework for energy transition</t>
  </si>
  <si>
    <t>Energy literacy; energy transition; energy epistemology and ontology; energy cultures; citizen-engagement; environmental and sustainability education</t>
  </si>
  <si>
    <t>Energy is fundamental to our existence. And yet, energy remains difficult to understand and discuss, particularly the impacts or limitations of certain energy systems and how energy functions in sociocultural contexts. Bridging theory and practice, energy literacy expands what we know about energy and how we may think about it in the world around us. Acknowledging how the world's energy supply and use directly connects to the climate emergency, this article demonstrates how energy literacy can offer environmental and sustainability education other ways of addressing the energy transition. Understanding the underpinnings of energy - with integrated aspects of epistemology, ontology, and application (i.e., what energy is, what energy is about, and what energy does) - leads to the question: what approach effectively translates these experiences and knowledges to a wide range of users, learners, and stakeholders? This article proposes a conceptual framework of energy literacy that considers theoretical ideas and concepts to translate complex systems and understand energy more holistically.</t>
  </si>
  <si>
    <t>[Gladwin, Derek] Univ British Columbia, Language &amp; Literacy Educ, Vancouver, BC, Canada; [Ellis, Naoko] Univ British Columbia, Chem &amp; Biol Engn, Vancouver, BC, Canada</t>
  </si>
  <si>
    <t>Gladwin, D (corresponding author), Univ British Columbia, Language &amp; Literacy Educ, Vancouver, BC, Canada.</t>
  </si>
  <si>
    <t>Aguirre-Bielschowsky I, 2017, ENVIRON EDUC RES, V23, P832, DOI 10.1080/13504622.2015.1054267; Akitsu Y., 2017, Int. J. Environ. Sci. Educ., V12, P1067; Ambrose A. S., 2021, WALKING ENERGY OVERC; [Anonymous], 2016, OIL; [Anonymous], 2014, UBC NEIGHB DISTR EN; Archibald JA, 2008, INDIGENOUS STORYWORK: EDUCATING THE HEART, MIND, BODY, AND SPIRIT, P1; Bellamy Brent Ryan., 2018, Mediations, V31, P1; Bioenergy Research Demonstration Facility, 2022, U BRIT COL VANC; British Columbia's Carbon Tax, 2022, PROV BRIT COL; Brounen D, 2013, ENERG ECON, V38, P42, DOI 10.1016/j.eneco.2013.02.008; Brown B, 2019, GLOBAL ENVIRON POLIT, V19, P149, DOI 10.1162/glep_a_00501; Burnett C., 2020, UNDOING DIGITAL SOCI; Butler T., 2012, THE ENERGY READER, P3; Campos I, 2020, ENERGY RES SOC SCI, V69, DOI 10.1016/j.erss.2020.101718; Chen K.L., 2015, International Journal of Environmental and Science Education, V10, P201, DOI [DOI 10.12973/IJESE.2015.241A, 10.12973/ijese.2015.241a]; Clean Energy Fund, 2015, F12016 U BRIT COL; Comeau L. A., 2015, 1501 U ALB AFF DEP R; Cope B., 1996, MULTILITERACIES LIT, P19; Crotty M., 2003, FDN SOCIAL RES, DOI DOI 10.4324/9781003115700; Cuesta-Claros A, 2022, SUSTAIN DEV, V30, P525, DOI 10.1002/sd.2247; Daggett CaraNew., 2019, The Birth of Energy: Fossil Fuels, Thermodynamics, and the Politics of Work; Das RR, 2022, CAN J SCI MATH TECHN, V22, P42, DOI 10.1007/s42330-022-00196-4; DeWaters J., 2021, SUSTAINABILITY-BASEL, V13, P9693, DOI [10.3390/su13179693, DOI 10.3390/SU13179693]; DeWaters J, 2013, J ENVIRON EDUC, V44, P38, DOI 10.1080/00958964.2012.711378; DeWaters JE, 2011, ENERG POLICY, V39, P1699, DOI 10.1016/j.enpol.2010.12.049; Dias RA, 2021, RENEW SUST ENERG REV, V141, DOI 10.1016/j.rser.2021.110845; Eisler D., 2016, SCH PUBLIC POLICY RE, V9, P1; Geels FW, 2010, RES POLICY, V39, P495, DOI 10.1016/j.respol.2010.01.022; Gladwin D., 2022, WORLD MALARIA REPORT, V22, P27, DOI [https://doi.org/10.33423/jhetp.v22i7, DOI 10.33423/JHETP.V22I7]; Gladwin D, 2022, J ENVIRON EDUC, V53, P251, DOI 10.1080/00958964.2022.2113019; Guba E. G., 1989, 4 GENERATION EVALUAT; Harrer BW, 2017, AM J PHYS, V85, P454, DOI 10.1119/1.4979538; Hecht E, 2019, AM J PHYS, V87, P495, DOI 10.1119/1.5109863; Hoople GD, 2020, SUSTAINABILITY-BASEL, V12, DOI 10.3390/su12219145; Horst R., 2022, Journal of Curriculum and Pedagogy, DOI [10.1080/15505170.2022.2094510, DOI 10.1080/15505170.2022.2094510]; Jabareen Y.R., 2009, INT J QUAL METH, V8, P49, DOI [10.1177/160940690900800406, DOI 10.1177/160940690900800406]; Jorgenson SN, 2019, J ENVIRON EDUC, V50, P160, DOI 10.1080/00958964.2019.1604478; Keirstead J., 2010, ATES 2010 1 INT WORK, P10; Keller C., 2012, School Library Monthly, V28, P10; Latter B., 2021, Front. Sustain., V2, DOI [10.3389/frsus.2021.660596, DOI 10.3389/FRSUS.2021.660596]; Lawrenz F., 1988, SCH SCI MATH, V88, P543, DOI [10.1111/j.1949-8594.1988.tb11852.x, DOI 10.1111/SSM.1988.88.ISSUE-7]; Lee YF, 2022, ENVIRON EDUC RES, V28, P907, DOI 10.1080/13504622.2022.2034752; Leminen S, 2012, TECHNOL INNOV MANAG, P6; Lennon B, 2019, ENERGY SUSTAIN SOC, V9, DOI 10.1186/s13705-019-0218-z; Leshem S, 2007, INNOV EDUC TEACH INT, V44, P93, DOI 10.1080/14703290601081407; Lord B., 2014, Art and energy: How culture changes; Lowan-Trudeau G, 2022, AUST J ENVIRON EDUC, V38, P58, DOI 10.1017/aee.2021.15; Martins A, 2020, ENERGY REP, V6, P454, DOI 10.1016/j.egyr.2019.09.007; Mascone CF, 2013, CHEM ENG PROG, V109, P3; McCaffrey M. S., 2015, CLIMATE SMART ENERGY; Michel H., 2020, Working Paper, WZB Discussion Paper; Montoya S., 2018, DEFINING LITERACY; Moore M., 2013, SCH PUBLIC POLICY RE, V6, P1; Morton Timothy., 2013, HYPEROBJECTS PHILOS, DOI DOI 10.5749/J.CTT4CGGM7; Nelson M., 2020, 2020 ASEE VIRTUAL AN; Pajouhesh S. P., 2016, THESIS U BRIT COLUMB; Reid A., 2021, BUILDING BETTER SCH, P247, DOI DOI 10.4324/9781003025955-33; Saul KM, 2022, J ENVIRON STUD SCI, V12, P149, DOI 10.1007/s13412-021-00730-0; Save P. W., 2014, UBC LIVING LAB INNOV; Scherr RE, 2012, AIP CONF PROC, V1413, P343, DOI 10.1063/1.3680065; Schuurman D., 2015, Open Living Lab Days; Serafini F., 2017, Remixing multiliteracies: Theory and practice from New London to New Times, P1; Shiva Vandana., 2015, SOIL NOT OIL ENV JUS; Smil V., 2016, Energy Transitions: Global and National Perspectives; Sovacool B.K., 2019, Visions of energy futures: Imagining and innovating low-carbon transitions; Szeman I, 2013, J CAN STUD, V47, P145; Szeman Imre, 2017, Energy Humanities: An Anthology, P486; Szeman Imre., 2017, Energy Humanities: An Anthology, P1; Szeman Imre., 2019, Energy Culture: Art and Theory on Oil and Beyond; Truman SE, 2019, STUD PHILOS EDUC, V38, P31, DOI 10.1007/s11217-018-9632-5; Urry J., 2016, WHAT IS FUTURE; Urry J., 2013, Societies beyond Oil: Oil Dregs And Social Futures; van der Horst D, 2016, J GEOGR HIGHER EDUC, V40, P67, DOI 10.1080/03098265.2015.1089477; Vasquez VM., 2019, Language Arts, V96, P300, DOI [DOI 10.58680/LA201930093, 10.58680/la201930093]; Wahlund M, 2022, ENERGY RES SOC SCI, V87, DOI 10.1016/j.erss.2021.102482; Watts L, 2018, INFRASTRUCT SER, P1; Wolsink M, 2012, RENEW SUST ENERG REV, V16, P822, DOI 10.1016/j.rser.2011.09.006; Yeh SC, 2017, SUSTAINABILITY-BASEL, V9, DOI 10.3390/su9030423</t>
  </si>
  <si>
    <t>OCT 3</t>
  </si>
  <si>
    <t>10.1080/13504622.2023.2175794</t>
  </si>
  <si>
    <t>CJ6A9</t>
  </si>
  <si>
    <t>WOS:000930861600001</t>
  </si>
  <si>
    <t>Baldrighi, E; Muzlovic, P; Annibaldi, A; Penna, A; Manini, E; Rosetti, E; Renzoni, EE; Grilli, F; Giacomini, G; Kristovic, I; Duracic, I; Krzelj, M; Ordulj, M; Bucan, M; Penna, P; Spada, V; Bilic, J; Marini, M; Susmel, S</t>
  </si>
  <si>
    <t>Baldrighi, Elisa; Muzlovic, Patricija; Annibaldi, Anna; Penna, Antonella; Manini, Elena; Rosetti, Elia; Renzoni, Enrico Esposito; Grilli, Federica; Giacomini, Gloria; Kristovic, Ivana; Duracic, Ivo; Krzelj, Maja; Ordulj, Marin; Bucan, Martin; Penna, Pierluigi; Spada, Vedrana; Bilic, Josipa; Marini, Mauro; Susmel, Sabina</t>
  </si>
  <si>
    <t>ADSWIM and WATERCARE Projects Meet Kids and Youth: The Challenge of Bringing the World of Research to School to Merge Research, Education and Communication</t>
  </si>
  <si>
    <t>good practice; ocean citizenship; communication plan; youth; water quality; wastewater management; Adriatic Sea; sustainability</t>
  </si>
  <si>
    <t>MEDITERRANEAN SEA REGION; OCEAN LITERACY; SCIENCE</t>
  </si>
  <si>
    <t>The transfer of communication and knowledge from science and research to the general public is a paramount step to raise people's awareness about environmental issues and their negative and positive impacts on each of us. Many projects and initiatives seek to raise awareness among citizens, with particular attention to young people, about the importance of maintaining clean and healthy oceans. With this paper, we aim to present the successful communication initiatives developed during two Interreg projects, AdSWiM and WATERCARE, with schools and educational organisations on the local and national levels in Italy and Croatia. Both projects make a special effort to realize dedicated communication strategies with the objective of raising the awareness of environmental topics and issues among young people (i.e., students of different school grades) and teachers. The promotion of ocean literacy among students is crucial, as children and young people represent the future citizens and consumers who will develop attitudes and make decisions that will inevitably affect the environment.</t>
  </si>
  <si>
    <t>[Baldrighi, Elisa; Manini, Elena; Rosetti, Elia; Grilli, Federica; Penna, Pierluigi; Marini, Mauro] CNR, IRBIM, Natl Res Council Italy, Inst Biol Resources &amp; Marine Biotechnol, I-60125 Ancona, Italy; [Muzlovic, Patricija] LETTERA B SAS, Via Galileo Galilei 22, I-33100 Udine, Italy; [Annibaldi, Anna] Univ Politecn Marche, Dipartimento Sci Vita &amp; Ambiente DISVA, I-60131 Ancona, Italy; [Annibaldi, Anna; Penna, Antonella] Interinst Ctr Res Marine Biodivers Resources &amp; Bi, Fano Marine Ctr, I-61032 Fano, Italy; [Penna, Antonella] Univ Urbino, Dept Biomol Sci, DISB, I-60129 Urbino, Italy; [Renzoni, Enrico Esposito; Giacomini, Gloria] ASET SpA, Via Luigi Einaudi, I-61032 Fano, Italy; [Kristovic, Ivana; Duracic, Ivo] Dubrovnik Neretva Reg, Dubrovnik 20000, Croatia; [Krzelj, Maja; Ordulj, Marin] Univ Split, Univ Dept Marine Studies, Split 21000, Croatia; [Bucan, Martin] Split Dalmacija Reg, Split 21000, Croatia; [Spada, Vedrana; Bilic, Josipa] Istrian Univ Appl Sci, METRIS Res Ctr, Pula 52100, Croatia; [Susmel, Sabina] Univ Udine, Dept Food Agr Environm &amp; Anim Sci Di4A, Via Sondrio 2-A, I-39100 Udine, Italy</t>
  </si>
  <si>
    <t>Consiglio Nazionale delle Ricerche (CNR); Istituto per le Risorse Biologiche Biotecnologie Marine (IRBIM-CNR); Marche Polytechnic University; University of Urbino; University of Split; University of Udine</t>
  </si>
  <si>
    <t>Baldrighi, E (corresponding author), CNR, IRBIM, Natl Res Council Italy, Inst Biol Resources &amp; Marine Biotechnol, I-60125 Ancona, Italy.;Muzlovic, P (corresponding author), LETTERA B SAS, Via Galileo Galilei 22, I-33100 Udine, Italy.;Susmel, S (corresponding author), Univ Udine, Dept Food Agr Environm &amp; Anim Sci Di4A, Via Sondrio 2-A, I-39100 Udine, Italy.</t>
  </si>
  <si>
    <t>elisa.baldrighi@irbim.cnr.it; adswimcommunication@gmail.com; a.annibaldi@staff.univpm.it; antonella.penna@uniurb.it; elena.manini@cnr.it; elia.rosetti@irbim.cnr.it; e.espostoRenzoni@asetservizi.it; federica.grilli@cnr.it; g.giacomini@asetservizi.it; ivana.kristovic@dnz.hr; ivo.duracic@dnz.hr; mkrzelj@unist.hr; mordulj@unist.hr; martin.bucan@dalmacija.hr; pierluigi.penna@cnr.it; vspada@iv.hr; jbilic@iv.hr; mauro.marini@cnr.it; sabina.susmel@uniud.it</t>
  </si>
  <si>
    <t>Bilić, Josipa/GLV-6165-2022; Špada, Vedrana/GLQ-6893-2022; Ordulj, Marin/F-2661-2017; susmel, Sabina/D-9835-2011; Marini, Mauro/AAE-9399-2020; Penna, Pierluigi/AAE-4307-2021; Manini, Elena/C-2032-2015</t>
  </si>
  <si>
    <t>Bilić, Josipa/0000-0001-8034-0539; Špada, Vedrana/0000-0002-2853-2661; Ordulj, Marin/0000-0001-9946-7943; Marini, Mauro/0000-0002-9674-7197; Penna, Pierluigi/0000-0003-1806-1576; Manini, Elena/0000-0002-8990-2929; SUSMEL, Sabina/0000-0002-6916-7373; ANNIBALDI, ANNA/0000-0002-7628-093X; Penna, Antonella/0000-0002-1880-9401; Grilli, Federica/0000-0003-4005-1278</t>
  </si>
  <si>
    <t>WATERCARE project (Water Management Solutions for Reducing Microbial Environment Impact in Coastal Areas) - European Union under the Interreg Italy-Croatia CBC Programme [10044130]; AdSWiM project (Managed Use of Wastewater for the Quality of the Adriatic Sea) - European Union under the Interreg Italy-Croatia VA CBC Programme 2014-2020 [10044146]</t>
  </si>
  <si>
    <t>WATERCARE project (Water Management Solutions for Reducing Microbial Environment Impact in Coastal Areas) - European Union under the Interreg Italy-Croatia CBC Programme; AdSWiM project (Managed Use of Wastewater for the Quality of the Adriatic Sea) - European Union under the Interreg Italy-Croatia VA CBC Programme 2014-2020</t>
  </si>
  <si>
    <t>This research was funded by the WATERCARE project (Water Management Solutions for Reducing Microbial Environment Impact in Coastal Areas, project ID 10044130, https://www.italycroatia.eu/web/watercare, accessed on 4 March 2022) funded by the European Union under the Interreg Italy-Croatia CBC Programme. This research was funded by the AdSWiM project (Managed Use of Wastewater for the Quality of the Adriatic Sea, project ID 10044146, https://www.italycroatia.eu/web/adswim, accessed on 4 March 2022) funded by the European Union under the Interreg Italy-Croatia VA CBC Programme 2014-2020.</t>
  </si>
  <si>
    <t>Andriopoulou A, 2022, MEDITERR MAR SCI, V23, P327, DOI 10.12681/mms.26942; [Anonymous], 2017, P EMSEA 2017 C BOOK; [Anonymous], About us; [Anonymous], 1996, NAT SCI ED STAND; Bedri Z, 2016, J ENVIRON MANAGE, V167, P49, DOI 10.1016/j.jenvman.2015.10.046; bit, MINISTERO ISTRUZIONE; bit, INTERREG NOLFI APOLL; bit, 2021, INTERREG SEMINARIO O; Fielding S, 2019, FRONT MAR SCI, V6, DOI 10.3389/fmars.2019.00340; Hartley BL, 2015, MAR POLLUT BULL, V90, P209, DOI 10.1016/j.marpolbul.2014.10.049; INDIRE, SCUOL 2030; Interreg, ENG SCH LIGHT POLL; Interreg, SOCIAL MEDIA CAMPAIG; Interreg, MAN US TREAT URB WAS; Interreg, VID PROJ ADSWIM; Interreg, INT PROJ SLAM 2021 C; Interreg, IMPROVING ENERGY EFF; Interreg, WAT MAN SOL RED MICR; Interreg, SCH MOBILITY CHALLEN; Interreg, VID PROJ WATERCARE; Koulouri P, 2022, MEDITERR MAR SCI, V23, P266, DOI 10.12681/mms.30099; Marini M, 2008, J GEOPHYS RES-OCEANS, V113, DOI 10.1029/2007JC004370; Mioni E, 2022, MEDITERR MAR SCI, V23, P405, DOI 10.12681/mms.27152; Mogias A, 2019, FRONT MAR SCI, V6, DOI 10.3389/fmars.2019.00396; Mogias A, 2015, J ENVIRON EDUC, V46, P251, DOI 10.1080/00958964.2015.1050955; Paredes-Coral E, 2022, MEDITERR MAR SCI, V23, P321, DOI 10.12681/mms.26608; Payne DL, 2022, MEDITERR MAR SCI, V23, P270, DOI 10.12681/mms.27410; Schoedinger S., 2010, NMEA Special Report, V3, P3; Stefanelli-Silva G, 2019, FRONT MAR SCI, V6, DOI 10.3389/fmars.2019.00389; Sullivan J, 2019, NEW SOLUT, V28, P570, DOI 10.1177/1048291118810871; United Nations, 2022, SUSTAINABLE DEV GOAL, DOI DOI 10.4324/9781003043614</t>
  </si>
  <si>
    <t>10.3390/w14121843</t>
  </si>
  <si>
    <t>2M4OA</t>
  </si>
  <si>
    <t>Green Submitted, gold</t>
  </si>
  <si>
    <t>WOS:000817679500001</t>
  </si>
  <si>
    <t>Cotton, DRE; Miller, W; Winter, J; Bailey, I; Sterling, S</t>
  </si>
  <si>
    <t>Cotton, Debby R. E.; Miller, Wendy; Winter, Jennie; Bailey, Ian; Sterling, Stephen</t>
  </si>
  <si>
    <t>Developing students' energy literacy in higher education</t>
  </si>
  <si>
    <t>INTERNATIONAL JOURNAL OF SUSTAINABILITY IN HIGHER EDUCATION</t>
  </si>
  <si>
    <t>Attitudes; Knowledge; Behaviour; Curriculum; Energy literacy</t>
  </si>
  <si>
    <t>ENVIRONMENTAL PARADIGM SCALE; SUSTAINABLE DEVELOPMENT; VALUES</t>
  </si>
  <si>
    <t>Purpose - This paper aims to investigate students' energy literacy at a UK university, and recommends ways in which it can be enhanced using a behaviour change model. Developing students' energy literacy is a key part of the greening agenda, yet little is known about how students develop their ideas about energy use and energy saving at a university. Design/methodology/approach - The research utilised a mixed-methods approach including an online survey (with 1,136 responses) and focus groups. Findings - The research identified strengths and weaknesses in students' energy literacy, and noted the relative influence of formal and informal curricula. The potential for aligning these curricula is highlighted through the 4Es model of enable, engage, exemplify and encourage. Research limitations/implications - The research involved a single instrumental case-study site. The wider applicability of the findings should therefore be tested further in other institutions. Practical implications - The research suggests ways in which universities might better support their students in making more sustainable energy-related behaviour choices, and it indicates the importance of knowledge as well as attitudes. Social implications - The research may have implications for the energy-saving behaviours of individuals in the wider society. Originality/value - Attempts to reduce energy use in higher education are widely seen in campus operations. This research provides an indication of the potential for enhancing energy-saving through different forms of curricula.</t>
  </si>
  <si>
    <t>[Cotton, Debby R. E.; Miller, Wendy; Winter, Jennie] Univ Plymouth, Pedag Res Inst &amp; Observ PedRIO, Plymouth PL4 8AA, Devon, England; [Bailey, Ian] Univ Plymouth, Sch Geog Earth &amp; Environm Sci, Plymouth PL4 8AA, Devon, England; [Sterling, Stephen] Univ Plymouth, Ctr Sustainable Futures, Plymouth PL4 8AA, Devon, England</t>
  </si>
  <si>
    <t>University of Plymouth; University of Plymouth; University of Plymouth</t>
  </si>
  <si>
    <t>Cotton, DRE (corresponding author), Univ Plymouth, Pedag Res Inst &amp; Observ PedRIO, Plymouth PL4 8AA, Devon, England.</t>
  </si>
  <si>
    <t>dcotton@plymouth.ac.uk</t>
  </si>
  <si>
    <t>Bailey, Ian/AGZ-8771-2022</t>
  </si>
  <si>
    <t>Bailey, Ian/0000-0002-6865-8306; Winter, Jennie/0000-0003-1713-3988; Cotton, Debby/0000-0001-7675-8211</t>
  </si>
  <si>
    <t>anable Jillianlane., 2006, EVIDENCE BASE REV PU; [Anonymous], 2008, P 2008 ASEE GULF SW; [Anonymous], 2013, SUST DEV HIGH ED CON; [Anonymous], ENERGY KNOWLEDGE ATT; [Anonymous], DEV ENERGY LITERACY; [Anonymous], SURVEY PUBLIC ATTITU; [Anonymous], 2013, SUSTAINABLE U PROGR; [Anonymous], STUDIES HIGHER ED; [Anonymous], 0602 U E ANGL CTR EN; [Anonymous], 44 HAW INT C SYST SC; [Anonymous], IEEE FRONT ED C 18 2; [Anonymous], 1989, J ENVIRON EDUC; [Anonymous], INT J SCI ED; [Anonymous], 2007, Int. J. Sustain. High. Educ, DOI [DOI 10.1108/14676370710817174, 10.1108/14676370710817174]; Attari SZ, 2010, P NATL ACAD SCI USA, V107, P16054, DOI 10.1073/pnas.1001509107; Barth M, 2013, INT J SUST HIGHER ED, V14, P160, DOI 10.1108/14676371311312879; Cotton D, 2009, STUD HIGH EDUC, V34, P719, DOI 10.1080/03075070802641552; Dahle M., 2001, INT J SUST HIGHER ED, V2, P139, DOI DOI 10.1108/14676370110388363; Dawe G., 2005, Sustainable development in higher education: Current practice and future developments; A report for the higher education academy; DEFRA Department for Environment Food and Rural Affairs, 2008, FRAM PROENV BEH; DEFRA Department for Environment Food and Rural Affairs, 2005, CHANG BEH POL MAK; DeWaters JE, 2011, ENERG POLICY, V39, P1699, DOI 10.1016/j.enpol.2010.12.049; Djordjevic A, 2011, INT J SUST HIGHER ED, V12, P381, DOI 10.1108/14676371111168296; Drayson R., 2012, Student attitudes towards and skills for sustainable development; Du Plessis A.J., 2012, WORLD REV BUSINESS R, V2, P43; Dunlap RE, 2000, J SOC ISSUES, V56, P425, DOI 10.1111/0022-4537.00176; Dunlap RE, 2008, J ENVIRON EDUC, V40, P3, DOI 10.3200/JOEE.40.1.3-18; Emanuel R, 2011, INT J SUST HIGHER ED, V12, P79, DOI 10.1108/14676371111098320; Giddens A., 1991, SELF SOC LATE MODERN, DOI [10.1111/1467-9566.ep11343722, DOI 10.1111/1467-9566.EP11343722]; Hammersley M., 1998, Reading ethnographic research: A critical guide, V2nd; Hawcroft LJ, 2010, J ENVIRON PSYCHOL, V30, P143, DOI 10.1016/j.jenvp.2009.10.003; HOLDEN CC, 1984, J RES SCI TEACH, V21, P187, DOI 10.1002/tea.3660210209; Hopkinson P, 2008, ENVIRON EDUC RES, V14, P435, DOI 10.1080/13504620802283100; Jucker R., 2002, OUR COMMON ILLITERAC; Kurland NB, 2011, INT J SUST HIGHER ED, V12, P395, DOI 10.1108/14676371111168304; Lipscombe BP, 2008, ENVIRON EDUC RES, V14, P455, DOI 10.1080/13504620802278803; Lundmark C., 2007, ENVIRON EDUC RES, V13, P329, DOI [DOI 10.1080/13504620701430448, https://doi.org/10.1080/13504620701430448]; Martin S, 2005, J GEOGR HIGHER EDUC, V29, P19, DOI 10.1080/03098260500030298; Martin S, 2006, DRIVERS BARRIERS IMP; O'Riordan T., 1981, Environmentalism; Orr D., 1994, EARTH MIND ED ENV HU; Shephard K, 2009, ENVIRON EDUC RES, V15, P571, DOI 10.1080/13504620903050523; Silverman D., 2005, DOING QUALITATIVE RE; Stake R.E., 1995, THOUSAND OAKS CA; Stewart M., 2010, Journal of Sustainability Education, V1, P195; Stibbe Arran., 2009, The Handbook of Sustainability Literacy: Skills for a Changing World; Tilbury D., 2011, HIGHER ED WORLD, V4, P18; Wiek A, 2011, SUSTAIN SCI, V6, P203, DOI 10.1007/s11625-011-0132-6; Winter J, 2012, ENVIRON EDUC RES, V18, P783, DOI 10.1080/13504622.2012.670207</t>
  </si>
  <si>
    <t>EMERALD GROUP PUBLISHING LTD</t>
  </si>
  <si>
    <t>BINGLEY</t>
  </si>
  <si>
    <t>HOWARD HOUSE, WAGON LANE, BINGLEY BD16 1WA, W YORKSHIRE, ENGLAND</t>
  </si>
  <si>
    <t>1467-6370</t>
  </si>
  <si>
    <t>1758-6739</t>
  </si>
  <si>
    <t>INT J SUST HIGHER ED</t>
  </si>
  <si>
    <t>Int. J. Sustain. High. Educ.</t>
  </si>
  <si>
    <t>10.1108/IJSHE-12-2013-0166</t>
  </si>
  <si>
    <t>Green &amp; Sustainable Science &amp; Technology; Education &amp; Educational Research</t>
  </si>
  <si>
    <t>Science &amp; Technology - Other Topics; Education &amp; Educational Research</t>
  </si>
  <si>
    <t>CM0TP</t>
  </si>
  <si>
    <t>Green Accepted, Green Submitted</t>
  </si>
  <si>
    <t>WOS:000357391700005</t>
  </si>
  <si>
    <t>Sun, H; Wu, SF; Zhang, BL</t>
  </si>
  <si>
    <t>Sun, Huan; Wu, Shaofeng; Zhang, Bolun</t>
  </si>
  <si>
    <t>Energy Literacy of Residents in Rural Communities: Comparison of Tourism and Non-Tourism Villages</t>
  </si>
  <si>
    <t>energy literacy; sustainable rural tourism; environmental awareness; rural community; environmental conservation</t>
  </si>
  <si>
    <t>LIVELIHOOD SUSTAINABILITY; EMISSIONS; STUDENTS; CONSUMPTION; INDICATORS; KNOWLEDGE; MIDDLE</t>
  </si>
  <si>
    <t>Energy is an essential topic owing to the severe environmental problems faced worldwide, especially in underdeveloped rural areas. Energy literacy is closely related to energy consumption and conservation behaviors in daily life. Although the energy attitudes and behaviors of communities can determine the sustainable development of rural tourism, less attention has been paid to the energy literacy of rural communities. This study adopted a measurable scale to compare the energy literacy levels between 188 questionnaires from rural residents in tourism communities and 195 questionnaires from non-tourism communities both in the Jizhou District, China. A theoretical model was constructed to investigate the relationships between the variables. Additionally, this study verified the influence of rural tourism activities on communities' energy literacy by comparing different villages. The results showed that rural communities have high levels of energy literacy in the knowledge, attitude, and behavioral sectors. Positive relationships between knowledge and attitude and between attitudes and behaviors were estimated. However, the positive impact of knowledge on behavior was inconspicuous. The most important theoretical contribution of this study is the confirmation of the significant differences in energy literacy between traditional and rural tourism destination communities, thus proving the improvement in communities' energy literacy induced by tourism development. Finally, this study presents practical implications for policymakers.</t>
  </si>
  <si>
    <t>[Sun, Huan; Zhang, Bolun] Tiangong Univ, Sch Econ &amp; Management, Tianjin 300160, Peoples R China; [Wu, Shaofeng] Hunan Normal Univ, Coll Tourism, Changsha 410081, Peoples R China; [Zhang, Bolun] Univ Sains Malaysia, Sch Art, George Town 11800, Malaysia</t>
  </si>
  <si>
    <t>Tiangong University; Hunan Normal University; Universiti Sains Malaysia</t>
  </si>
  <si>
    <t>Wu, SF (corresponding author), Hunan Normal Univ, Coll Tourism, Changsha 410081, Peoples R China.</t>
  </si>
  <si>
    <t>sunhuan@tiangong.edu.cn; wushaofeng@hunnu.edu.cn; zhangbolun@student.usm.my</t>
  </si>
  <si>
    <t>Zhang, Bolun/ADT-6343-2022</t>
  </si>
  <si>
    <t>Zhang, Bolun/0009-0004-4840-1409</t>
  </si>
  <si>
    <t>Natural Science Foundation of China [42001165]; Natural Science Foundation of Hunan Province of China [2021JJ40351]; China Scholarship Council [202106720023]</t>
  </si>
  <si>
    <t>Natural Science Foundation of China(National Natural Science Foundation of China (NSFC)); Natural Science Foundation of Hunan Province of China(Natural Science Foundation of Hunan Province); China Scholarship Council(China Scholarship Council)</t>
  </si>
  <si>
    <t>This research is supported by the Natural Science Foundation of China, grant number 42001165, Natural Science Foundation of Hunan Province of China, grant number 2021JJ40351, and China Scholarship Council No. 202106720023.</t>
  </si>
  <si>
    <t>Akitsu Y., 2017, Int. J. Environ. Sci. Educ., V12, P1067; Alvarez S, 2022, TOURISM MANAGE, V90, DOI 10.1016/j.tourman.2021.104469; Ana M., 2019, P 7 INT C TECHN EC E; Azam A, 2021, RENEW SUST ENERG REV, V150, DOI 10.1016/j.rser.2021.111460; Barrow L., 1989, Journal of Environmental Education, V20, P22, DOI [10.1080/00958964.1989.9943027, DOI 10.1080/00958964.1989.9943027]; Bialynicki-Birula P, 2022, ENERGIES, V15, DOI 10.3390/en15155368; Bodzin AM, 2013, INT J SCI EDUC, V35, P1561, DOI 10.1080/09500693.2013.769139; Chen KL, 2013, ENERG POLICY, V55, P396, DOI 10.1016/j.enpol.2012.12.025; Cotton DRE, 2021, J CLEAN PROD, V278, DOI 10.1016/j.jclepro.2020.123876; Dang Q, 2021, SUSTAINABILITY-BASEL, V13, DOI 10.3390/su13179865; DeWaters J, 2013, J ENVIRON EDUC, V44, P56, DOI 10.1080/00958964.2012.682615; DeWaters J, 2013, J ENVIRON EDUC, V44, P38, DOI 10.1080/00958964.2012.711378; DeWaters JE, 2011, ENERG POLICY, V39, P1699, DOI 10.1016/j.enpol.2010.12.049; Fatma M, 2016, J HOSP TOUR MANAG, V27, P39, DOI 10.1016/j.jhtm.2016.03.002; Fun FS, 2014, PROCD SOC BEHV, V144, P60, DOI 10.1016/j.sbspro.2014.07.274; Garau C, 2015, SUSTAINABILITY-BASEL, V7, P6412, DOI 10.3390/su7066412; Hussain S, 2023, TECHNOL SOC, V74, DOI 10.1016/j.techsoc.2023.102287; Jizhou District Financial Media Center, 2023, Jizhou Tourism Market Strong Recovery on May Dayholiday; Katircioglu ST, 2014, RENEW SUST ENERG REV, V29, P634, DOI 10.1016/j.rser.2013.09.004; Koçak E, 2020, TOUR MANAG PERSPECT, V33, DOI 10.1016/j.tmp.2019.100611; Lee JW, 2013, TOURISM MANAGE, V38, P69, DOI 10.1016/j.tourman.2013.02.016; Lee LS, 2017, ENVIRON EDUC RES, V23, P855, DOI 10.1080/13504622.2015.1068276; Lee LS, 2015, ENERG POLICY, V76, P98, DOI 10.1016/j.enpol.2014.11.012; Lee TH, 2013, TOURISM MANAGE, V34, P37, DOI 10.1016/j.tourman.2012.03.007; Martins A, 2020, ENERGY REP, V6, P243, DOI 10.1016/j.egyr.2020.11.117; Muresan IC, 2016, SUSTAINABILITY-BASEL, V8, DOI 10.3390/su8010100; Mwesiumo D, 2022, TOURISM MANAGE, V89, DOI 10.1016/j.tourman.2021.104456; Nepal R, 2019, TOURISM MANAGE, V72, P145, DOI 10.1016/j.tourman.2018.08.025; Panzer-Krause S, 2020, J RURAL STUD, V80, P235, DOI 10.1016/j.jrurstud.2020.09.013; Paramati SR, 2017, J TRAVEL RES, V56, P712, DOI 10.1177/0047287516667848; Paramati SR, 2017, TRANSPORT RES D-TR E, V50, P1, DOI 10.1016/j.trd.2016.10.034; Rasoolimanesh SM, 2023, J SUSTAIN TOUR, V31, P1497, DOI 10.1080/09669582.2020.1775621; Raza SA, 2017, CURR ISSUES TOUR, V20, P1768, DOI 10.1080/13683500.2016.1192587; Sayarkhalaj H, 2022, HELIYON, V8, DOI 10.1016/j.heliyon.2022.e11449; Su LJ, 2020, J BUS RES, V109, P557, DOI 10.1016/j.jbusres.2018.12.055; Su MM, 2019, TOURISM MANAGE, V71, P272, DOI 10.1016/j.tourman.2018.10.019; Su MM, 2016, J SUSTAIN TOUR, V24, P735, DOI 10.1080/09669582.2015.1085868; Teng CC, 2014, ASIA PAC J TOUR RES, V19, P451, DOI 10.1080/10941665.2013.764336; van den Broek KL, 2019, ENERGY RES SOC SCI, V57, DOI 10.1016/j.erss.2019.101256; Wang FW, 2023, PLOS ONE, V18, DOI 10.1371/journal.pone.0283048; Wu SF, 2023, ENERGIES, V16, DOI 10.3390/en16010259; Zhang JK, 2020, ASIA PAC J TOUR RES, V25, P441, DOI 10.1080/10941665.2020.1741410; Zhu JX, 2021, J RURAL STUD, V86, P473, DOI 10.1016/j.jrurstud.2021.07.010; Zhu L, 2020, BUILD ENVIRON, V176, DOI 10.1016/j.buildenv.2020.106841</t>
  </si>
  <si>
    <t>10.3390/en16207135</t>
  </si>
  <si>
    <t>X0FS5</t>
  </si>
  <si>
    <t>WOS:001095302400001</t>
  </si>
  <si>
    <t>Rohmatulloh; Hasanah, A; Sahlani, L; Zuhri, MT; Kholifah, N; Nurtanto, M</t>
  </si>
  <si>
    <t>Rohmatulloh, Aan; Hasanah, Aan; Sahlani, Lalan; Zuhri, M. Tajudin; Kholifah, Nur; Nurtanto, Muhammad</t>
  </si>
  <si>
    <t>A Systematic Review of Energy Literacy Programs at Primary and Middle Schools</t>
  </si>
  <si>
    <t>PEGEM EGITIM VE OGRETIM DERGISI</t>
  </si>
  <si>
    <t>Energy literacy; program; primary school; middle school</t>
  </si>
  <si>
    <t>CLIMATE-CHANGE; ENVIRONMENTAL-EDUCATION; STUDENTS KNOWLEDGE; BEHAVIOR; IMPACT</t>
  </si>
  <si>
    <t>Energy literacy is high on the agenda in the education sector, including in the contexts of primary and middle schools. It has the purpose of building awareness of wise energy use. A systematic review of various energy literacy studies in the period 2010-2021 was conducted to explore study trend, research methods, and adapted energy literacy programs. Data were sourced from Taylor &amp; Francis and ERIC databases. Using the PRISMA search method, 26 relevant articles were obtained out of 152 articles. The search results were analyzed using the NVivo application for description. The synthesized result is that energy literacy programs were carried out in a comprehensive, integrated manner in instructions at schools, at home, and within communities, involving all stakeholders. The programs were able to inspire a change in behavior toward energy saving through habituation in learning activities. Educational institutions are expected to develop awareness of environmental sustainability. It is recommended that future research develop energy literacy programs based on cultural and religious values-given that these values bear relevance to the lives of the learners-in instructions at schools, at home, and within communities.</t>
  </si>
  <si>
    <t>[Rohmatulloh, Aan] Inst Agama Islam An Nur Lampung, Lampung, Indonesia; [Hasanah, Aan; Zuhri, M. Tajudin] UIN Sunan Gunung Djati Bandung, Bandung, Indonesia; [Sahlani, Lalan] STAI Persis Bandung, Lengkong, Indonesia; [Kholifah, Nur] Yogyakarta State Univ, Yogyakarta, Indonesia; [Nurtanto, Muhammad] Univ Sultan Ageng Tirtayasa Banten, Banten, Indonesia</t>
  </si>
  <si>
    <t>Universitas Negeri Yogyakarta</t>
  </si>
  <si>
    <t>Rohmatulloh (corresponding author), Inst Agama Islam An Nur Lampung, Lampung, Indonesia.</t>
  </si>
  <si>
    <t>rohmatulloh@an-nur.ac.id</t>
  </si>
  <si>
    <t>Nurtanto, Muhammad/J-5095-2017; Rohmatulloh, Rohmatulloh/AAI-8527-2021; Rohmatulloh, Rohmatulloh/HDN-3639-2022</t>
  </si>
  <si>
    <t>Nurtanto, Muhammad/0000-0002-6357-7152; Rohmatulloh, Rohmatulloh/0000-0002-9375-8309</t>
  </si>
  <si>
    <t>Aguirre-Bielschowsky I, 2017, ENVIRON EDUC RES, V23, P832, DOI 10.1080/13504622.2015.1054267; Amrutha VN, 2020, J CLEAN PROD, V247, DOI 10.1016/j.jclepro.2019.119131; [Anonymous], 2011, Energy efficiency programs in K-12 schools: A guide to developing and implementing greenhouse gas reduction programs; [Anonymous], 2012, EN LIT ESS PRINC FUN; Asrial Syahrial, 2020, International Journal of Interactive Mobile Technologies, P125, DOI 10.3991/ijim.v14i15.12995; Avramides K, 2016, INTERACT LEARN ENVIR, V24, P33, DOI 10.1080/10494820.2013.817438; Aydin MK., 2019, INT J PROGR ED, V15, P108, DOI [10.29329/ijpe.2019.203.9, DOI 10.29329/IJPE.2019.203.9]; Barata R, 2017, ENVIRON EDUC RES, V23, P1322, DOI 10.1080/13504622.2016.1219317; Bergner RM, 2011, NEW IDEAS PSYCHOL, V29, P147, DOI 10.1016/j.newideapsych.2010.08.001; Bernstein D., 2014, Applied Environmental Education Communication, V13, P171, DOI [10.1080/1533015X.2014.961887, DOI 10.1080/1533015X.2014.961887]; Bezen S., 2017, EUROPEAN J SCI MATH, V5, P243; Bodzin AM, 2013, INT J SCI EDUC, V35, P1561, DOI 10.1080/09500693.2013.769139; Bryson J.M., 2004, STRATEGIC PLANNING P; Chalkiadaki A, 2018, INT J INSTR, V11, P1, DOI 10.12973/iji.2018.1131a; Chao Y.-L., 2017, SCI ED INT, V28, P30; Cho Y, 2018, ENVIRON EDUC RES, V24, P445, DOI 10.1080/13504622.2017.1279277; Chokriensukchai K., 2010, APPL ENV ED COMMUNIC, V9, P198, DOI DOI 10.1080/1533015X.2010.510028; Chou Y. C., 2015, INT J ENV SCI ED, V10, P39, DOI [10.12973/ijese.2015.229a, DOI 10.12973/IJESE.2015.229A]; Collins J.W., 2003, The Greenwood Dictionary of Education; Cronin Patricia, 2008, Br J Nurs, V17, P38; Dahlbom B., 2009, Changing Energy Behaviour, Guidelines for Behavioural Change Programmes; DeWaters J, 2013, J ENVIRON EDUC, V44, P56, DOI 10.1080/00958964.2012.682615; Diggs C.R., 2016, Middle Grades Review, V2, P1; Dwyer C., 2011, LOW CARBON EC, V2, P123, DOI 10.4236/lce.2011.23016; Ercan O., 2017, SCI ED INT, V28, P78; Erstad O, 2019, MIND CULT ACT, DOI 10.1080/10749039.2019.1646290; Fleming Paul, 2019, Applied Environmental Education &amp; Communication, V8, P166; Gyamfi SA, 2021, INT J EMERG TECHNOL, V16, P233, DOI 10.3991/ijet.v16i23.26675; Hestness E, 2019, ENVIRON EDUC RES, V25, P912, DOI 10.1080/13504622.2016.1266303; Hogan S., 2019, BUILDING AUSTR ENERG; Indonesian National energy Council, 2016, OUTLOOK ENERGI INDON; Iwasa N, 2017, J MORAL EDUC, V46, P58, DOI 10.1080/03057240.2016.1268112; Jorgenson SN, 2019, J ENVIRON EDUC, V50, P160, DOI 10.1080/00958964.2019.1604478; Kalogiannakis M, 2021, EDUC SCI, V11, DOI 10.3390/educsci11010022; Karpudewan M, 2015, INT J SCI EDUC, V37, P31, DOI 10.1080/09500693.2014.958600; Knowlton LW., 2012, The logic model guidebook: Better strategies for great results; Lee LS, 2017, ENVIRON EDUC RES, V23, P855, DOI 10.1080/13504622.2015.1068276; Lee LS, 2013, ENVIRON EDUC RES, V19, P620, DOI 10.1080/13504622.2012.727781; Lewis E., 2014, Applied Environmental Education and Communication, V13, P128; Lickona T., 1999, Action in Teacher Education: The Journal of the Association of Teacher Educators, V22, P77, DOI DOI 10.1080/01626620.1999.10462937; Lickona T., 2004, Character matters: How to help our children develop good judgment, integrity, and other essential virtues; Lickona Thomas., 1997, Journal of Catholic Education, P159, DOI DOI 10.15365/JOCE.0102051997; Maddock B., 2014, GEOGRAPHICAL ED, V27, P39; Retuerto DM, 2020, EUR J INVEST HEALTH, V10, P995, DOI 10.3390/ejihpe10040070; Meidl C, 2013, EDUC 3-13, V41, P178, DOI 10.1080/03004279.2011.566885; Menon S., 2009, HDB PLANNING MONITOR; Moher D, 2010, INT J SURG, V8, P336, DOI [10.1371/journal.pmed.1000097, 10.1016/j.ijsu.2010.02.007, 10.1136/bmj.b2535, 10.1016/j.ijsu.2010.07.299, 10.1136/bmj.b2700, 10.1136/bmj.i4086, 10.1186/2046-4053-4-1]; NERI, 2007, EN EFF SCH GUID TRUS; Nurtanto Muhammad, 2021, International Journal of Interactive Mobile Technologies, V15, P22, DOI 10.3991/ijim.v15i21.24381; Nurtanto M., 2020, International Journal of Evaluation and Research in Education, DOI [10.11591/ijere.v9i1.20447, DOI 10.11591/IJERE.V9I1.20447]; O'Flaherty J, 2018, ENVIRON EDUC RES, V24, P1031, DOI 10.1080/13504622.2017.1392484; Ojala M, 2012, ENVIRON EDUC RES, V18, P625, DOI 10.1080/13504622.2011.637157; Ouariachi T, 2019, ENVIRON EDUC RES, V25, P701, DOI 10.1080/13504622.2018.1545156; Palmer J., 1998, Environmental education in the 21st century: Theory, practice, progress and promise; Petticrew M, 2006, SYSTEMATIC REVIEWS IN THE SOCIAL SCIENCES: A PRACTICAL GUIDE, P1, DOI 10.1002/9780470754887; Quadri AT, 2021, INT J EMERG TECHNOL, V16, P4, DOI 10.3991/ijet.v16i23.27471; Qureshi HA, 2020, INT J QUAL METH, V19, DOI 10.1177/1609406920928188; Ratinen IJ, 2013, INT J SCI EDUC, V35, P929, DOI 10.1080/09500693.2011.587845; Rieckmann M., 2017, ED SUSTAINABLE DEV G; Rina Nofha, 2020, International Journal of Interactive Mobile Technologies, V14, P107, DOI 10.3991/ijim.v14i03.12111; Rohmatulloh, 2021, E3S Web of Conferences, V317, DOI 10.1051/e3sconf/202131703017; Samperiz A., 2018, Applied Environmental Education Communication, V17, P79, DOI [10.1080/1533015X.2017.1366881, DOI 10.1080/1533015X.2017.1366881]; Saripudin D., 2015, The New Educational Review, V39, P51, DOI [10.15804/tner.2015.39.1.04, DOI 10.15804/TNER.2015.39.1.04]; Seifert K., 2009, EDUC PSYCHOL-UK, DOI [10.1146/annurev.ps.06.020155.002243, DOI 10.1146/ANNUREV.PS.06.020155.002243]; Sellmann D, 2013, ENVIRON EDUC RES, V19, P415, DOI 10.1080/13504622.2012.700696; Sissamperi N., 2021, J TECHNOLOGY SCI ED, V11, P129, DOI [10.3926/jotse.1137, DOI 10.3926/JOTSE.1137]; Stufflebeam D., 2000, Evaluation Model. Viewpoint on educational and human services evaluation; Suhirman, 2020, INT J EMERG TECHNOL, V15, P183, DOI 10.3991/ijet.v15i06.12061; Sukardi I., 2016, TADIB J ISLAMIC ED, V21, P41, DOI [10.19109/td.v21i1.744, DOI 10.19109/TD.V21I1.744]; Suyatno, 2019, INT J INSTR, V12, P607, DOI 10.29333/iji.2019.12139a; Torgerson Carole., 2003, Systematic Reviews, DOI DOI 10.1017/CBO9781107415324.004; Tsai F.-H., 2013, J CURRICULUM TEACHIN, V2, P94, DOI [10.5430/jct.v2n2p94, DOI 10.5430/JCT.V2N2P94]; Veugelers W., 2003, Teach Teach Theor Pract, V9, P377, DOI [DOI 10.1080/1354060032000097262, 10.1080/1354060032000097262]; Walshe N, 2017, ENVIRON EDUC RES, V23, P1130, DOI 10.1080/13504622.2016.1221887; Wholey J.S., 2004, Handbook of Practical Program Evaluation; Zangori L, 2019, ENVIRON EDUC RES, V25, P1674, DOI 10.1080/13504622.2019.1662372; Zografakis N, 2008, ENERG POLICY, V36, P3226, DOI 10.1016/j.enpol.2008.04.021</t>
  </si>
  <si>
    <t>PEGEM AKAD YAYINCILIK EGITIM DANISMANLIK HIZMETLERI TIC LTD STI</t>
  </si>
  <si>
    <t>ANKARA</t>
  </si>
  <si>
    <t>MESRUTIYET CADDESI, NO 5, ANKARA, TURKIYE</t>
  </si>
  <si>
    <t>2148-239X</t>
  </si>
  <si>
    <t>PEGEM EGIT OGR DERG</t>
  </si>
  <si>
    <t>Pegem Egit. Ogr. Derg.</t>
  </si>
  <si>
    <t>10.47750/pegegog.13.01.17</t>
  </si>
  <si>
    <t>H8BV8</t>
  </si>
  <si>
    <t>Bronze</t>
  </si>
  <si>
    <t>WOS:000998160600016</t>
  </si>
  <si>
    <t>Murray, L; Breheny, M; Cumming, R; Erueti, B; Mooney, M; Nash, KL; Severinsen, C; Shanly, J</t>
  </si>
  <si>
    <t>Murray, Linda; Breheny, Mary; Cumming, Romilly; Erueti, Bevan; Mooney, Maureen; Nash, Kirsty L.; Severinsen, Christina; Shanly, James</t>
  </si>
  <si>
    <t>How does learning about the future of the ocean impact children's emotional wellbeing? Insights from ocean literacy educators in Aotearoa New Zealand</t>
  </si>
  <si>
    <t>PEOPLE AND NATURE</t>
  </si>
  <si>
    <t>child; climate change; environmental education; marine; mental health; ocean; youth</t>
  </si>
  <si>
    <t>CONNECTION; GREEN</t>
  </si>
  <si>
    <t>Four decades of research on the health effects of 'connection to nature' identifies many wellbeing advantages for young people. Yet this literature has developed largely without reference to biophysical evidence about mass biodiversity loss, the degradation of marine environments and climate change. As these interlocking planetary crises progress, children will be more likely to witness the marine environments they learn about degrade or disappear as they grow up. Improving ocean literacy is important to protect marine environments into the future. However little is known about how learning about ocean degradation affects young people's emotional wellbeing. We undertook qualitative research to investigate how ocean literacy educators in Aotearoa New Zealand view the content they deliver in relation to the emotional wellbeing of young people. Semi-structured interviews were conducted with 21 key informants from non-government organisations (NGOs), Ministry of Education funded programmes, university-community partnerships, youth-led initiatives and local and national museums and aquariums. Transcripts were analysed using the six steps of Braun and Clarke's (2022) reflexive thematic analysis. Ocean literacy education was described as positively affecting young people's emotional wellbeing through interactive experiences in coastal environments. These provided opportunities for experiencing wonder, curiosity and a shared sense of connection and belonging. Educators reported witnessing distress and overwhelm in young people when some information was delivered. This resulted in educators 'not focusing on the negative' and moving straight to solutions young people could take part in. Our findings provide opportunities for re-imagining ocean literacy education as a space for promoting mental wellbeing, especially when young people have the opportunity to be part of collective experiences that promote joy and wonder. Intergenerational solutions where young people can be supported to take action with adults who work in solidarity with them are also recommended. Further research into how educators can be resourced to acknowledge and facilitate support around young people's negative emotional responses (such as grief, overwhelm and anxiety) is required.</t>
  </si>
  <si>
    <t>[Murray, Linda; Cumming, Romilly; Erueti, Bevan; Severinsen, Christina; Shanly, James] Te Kunenga Ki Purehuroa Massey Univ, Coll Hlth, Aotearoa, New Zealand; [Murray, Linda; Nash, Kirsty L.] Univ Tasmania, Ctr Marine Socioecol, Hobart, Australia; [Breheny, Mary] Te Herenga Waka Victoria Univ Wellington, Sch Hlth, Aotearoa, New Zealand; [Mooney, Maureen] Te Kunenga Ki Purehuroa Massey Univ, Joint Ctr Disaster Management, Aotearoa, New Zealand</t>
  </si>
  <si>
    <t>University of Tasmania</t>
  </si>
  <si>
    <t>Murray, L (corresponding author), Te Kunenga Ki Purehuroa Massey Univ, Coll Hlth, Aotearoa, New Zealand.;Murray, L (corresponding author), Univ Tasmania, Ctr Marine Socioecol, Hobart, Australia.</t>
  </si>
  <si>
    <t>lmurray1@massey.ac.nz</t>
  </si>
  <si>
    <t>Murray, Linda/AAD-7634-2020</t>
  </si>
  <si>
    <t>Erueti, Bevan/0000-0003-0891-2891; Murray, Linda/0000-0001-7066-656X</t>
  </si>
  <si>
    <t>This research was funded by the College of Health, Massey University. We sincerely thank all the participants who generously gave their time and expertise to this project.; College of Health, Massey University</t>
  </si>
  <si>
    <t>This research was funded by the College of Health, Massey University. We sincerely thank all the participants who generously gave their time and expertise to this project.</t>
  </si>
  <si>
    <t>Amoly E, 2014, ENVIRON HEALTH PERSP, V122, P1351, DOI 10.1289/ehp.1408215; Baker C, 2021, ENVIRON EDUC RES, V27, P687, DOI 10.1080/13504622.2020.1828288; Beverland M. J. H., 2022, THESIS MASSEY U; Blomqvist I, 2019, EUR J PUBLIC HEALTH, V29, P925, DOI 10.1093/eurpub/ckz028; Blythe J, 2021, PEOPLE NAT, V3, P1284, DOI 10.1002/pan3.10253; Braun V., 2022, DOING REFLEXIVE TA, DOI DOI 10.1007/978-3-319-69909-7_3470-2; Braun V, 2022, QUAL RES PSYCHOL, V19, P424, DOI 10.1080/14780887.2019.1670765; Byrne D., 2022, Quality &amp; Quantity, V56, P1391, DOI [DOI 10.1007/S11135-021-01182-Y, 10.1007/s11135- 021-01182-y]; Chawla L, 2020, PEOPLE NAT, V2, P619, DOI 10.1002/pan3.10128; Choi A., 2018, Emotional Well-Being of Children and Adolescents: Recent Trends and Relevant Factors, DOI DOI 10.1787/41576FB2-EN; Curious Climate Schools, 2022, CUR CLIM SCH; Derr VictoriaLouise Chawla Mara Mintzer., 2018, PLACEMAKING CHILDREN; Díaz S, 2019, SCIENCE, V366, P1327, DOI 10.1126/science.aax3100; Durie M., 1994, WHAIORA MAORI HLTH D; Erueti B., 2023, KNOWLEDGE CULTURES, V11, P34, DOI [10.22381/kc11120233, DOI 10.22381/KC11120233]; Barrera-Hernández LF, 2020, FRONT PSYCHOL, V11, DOI 10.3389/fpsyg.2020.00276; Ferreira J.G., 2016, Environmental Education And Communication, V15, P291, DOI [10.1080/1533015X.2016.1237902, DOI 10.1080/1533015X.2016.1237902]; Freeman N, 2021, HEALTH PROMOT INT, V36, P846, DOI 10.1093/heapro/daaa106; Halpern BS, 2019, SCI REP-UK, V9, DOI 10.1038/s41598-019-47201-9; Harmsworth G., 2002, WAIAPU PROJECT MAORI; Hickman C, 2021, LANCET PLANET HEALTH, V5, pE863, DOI 10.1016/S2542-5196(21)00278-3; Hooper DU, 2012, NATURE, V486, P105, DOI 10.1038/nature11118; Intergovernmental Oceanographic Commission, 2021, OC LIT UN DEC OC SCI; Jouffray JB, 2020, ONE EARTH, V2, P43, DOI 10.1016/j.oneear.2019.12.016; Kahn P. H., 2017, CHILDREN YOUTH ENV, V27, P8; Kelly R., 2019, SOCIO-ECOL PRACT RES, V1, P149, DOI [10.1007/s42532-019-00018-2, DOI 10.1007/S42532-019-00018-2]; Kelly R, 2022, REV FISH BIOL FISHER, V32, P123, DOI 10.1007/s11160-020-09625-9; LANE JosephH., 2006, The Review of Politics, V68, P474; Leong LYC, 2014, J ENVIRON PSYCHOL, V40, P57, DOI 10.1016/j.jenvp.2014.03.007; Little S., 2020, ASSEMBLAGES CHILDHOO, P151; Louv R., 2005, LAST CHILD WOODS; Ma TY, 2022, SOC SCI MED, V301, DOI 10.1016/j.socscimed.2022.114888; Menzies R., 2020, YOUTH MENTAL HLTH AO; Ministry of Social Development, 2016, SOC REP 2016 PUR OR; Mitchell Richard J, 2015, Am J Prev Med, V49, P80, DOI 10.1016/j.amepre.2015.01.017; Moore KA, 2016, CHILD INDIC RES, V9, P299, DOI 10.1007/s12187-015-9324-4; Mustonen T, 2022, REV FISH BIOL FISHER, V32, P9, DOI 10.1007/s11160-021-09655-x; Nash KL, 2022, REV FISH BIOL FISHER, V32, P161, DOI 10.1007/s11160-021-09669-5; Nature Editorial, 2021, YOUNG PEOPL MENT HLT; Ojala M., 2016, CAN J ENVIRON EDUC, V21, P41; Palinkas LA, 2015, ADM POLICY MENT HLTH, V42, P533, DOI 10.1007/s10488-013-0528-y; Paradies Y, 2015, PLOS ONE, V10, DOI 10.1371/journal.pone.0138511; Petruccelli K, 2019, CHILD ABUSE NEGLECT, V97, DOI 10.1016/j.chiabu.2019.104127; Pihkala P, 2020, SUSTAINABILITY-BASEL, V12, DOI 10.3390/su122310149; Planetary Health Alliance, 2022, WHAT IS PLAN HLTH; Schoedinger S., 2010, 3 NMEA; Soares M., 1998, OCEAN OUR FUTURE; Sobko T, 2018, PLOS ONE, V13, DOI 10.1371/journal.pone.0207057; Tiatia J, 2023, CLIM DEV, V15, P655, DOI 10.1080/17565529.2022.2145171; Twenge JM, 2019, J ABNORM PSYCHOL, V128, P185, DOI 10.1037/abn0000410; United Nations, 2017, CLIMATE CHANGE SOCIA; United Nations Climate Change, 2022, WHAT IS TRIPL PLAN C; United Nations International Children's Emergency Fund (UNICEF), 2019, INCR CHILD AD MENT D; Whitmee S, 2015, LANCET, V386, P1973, DOI 10.1016/S0140-6736(15)60901-1; Whitten T, 2018, ECOPSYCHOLOGY, V10, P270, DOI 10.1089/eco.2018.0010; Wiens K, 2020, EPIDEMIOL PSYCH SCI, V29, DOI 10.1017/S2045796020000281; Williams M. N., 2020, PERCEPTIONS POWERLES; World Health Organization, 2020, CHILD MALTREATMENT; World Health Organization, 2022, Mental health: strengthening our response</t>
  </si>
  <si>
    <t>2575-8314</t>
  </si>
  <si>
    <t>PEOPLE NAT</t>
  </si>
  <si>
    <t>People Nat.</t>
  </si>
  <si>
    <t>10.1002/pan3.10528</t>
  </si>
  <si>
    <t>Biodiversity Conservation; Ecology</t>
  </si>
  <si>
    <t>Biodiversity &amp; Conservation; Environmental Sciences &amp; Ecology</t>
  </si>
  <si>
    <t>NH3T4</t>
  </si>
  <si>
    <t>WOS:001060910000001</t>
  </si>
  <si>
    <t>Martin, MJ</t>
  </si>
  <si>
    <t>Martin, Michiko J.</t>
  </si>
  <si>
    <t>Living classrooms: Teaching ocean education through NOAA's national marine sanctuaries</t>
  </si>
  <si>
    <t>The National Oceanic and Atmospheric Administration's (NOAA) national marine sanctuaries (NMS) are living classrooms where people can see, touch, and learn about America's ocean and Great Lakes treasures. The National Marine Sanctuary Program education mission is to enhance public awareness, understanding and appreciation of the marine environment. Including both formal and informal educational activities, the NMS Education Program teaches conservation and sustainable public uses of the sanctuaries in the classroom, at sea, and in the field. This paper describes various exciting ocean literacy initiatives that NOAA supports through its National Marine Sanctuary Program.</t>
  </si>
  <si>
    <t>Natl Ocean &amp; Atmospher Adm, Natl Marine Sanctuary Program, Silver Spring, MD 20910 USA</t>
  </si>
  <si>
    <t>Martin, MJ (corresponding author), Natl Ocean &amp; Atmospher Adm, Natl Marine Sanctuary Program, 1305 E-W Highway,N-ORM 63, Silver Spring, MD 20910 USA.</t>
  </si>
  <si>
    <t>[Anonymous], 1996, NAT SCI ED STAND; *DEP COMM, 2000, NAT MAR SANCT SYST E; DEVITT A, 2005, CURRENT J MARINE ED, V21; SALTZMAN J, 2005, CURRENT J MARINE ED, V21; SOUZA JN, 2005, CURRENT J MARINE ED, V21; U.S. Commission on Ocean Policy, 2004, OC BLUEPR 21 CENT FI; 2004, SANCTUARY WATCH, V5</t>
  </si>
  <si>
    <t>WOS:000238978700020</t>
  </si>
  <si>
    <t>van der Horst, D; Harrison, C; Staddon, S; Wood, G</t>
  </si>
  <si>
    <t>van der Horst, Dan; Harrison, Conor; Staddon, Sam; Wood, Georgina</t>
  </si>
  <si>
    <t>Improving energy literacy through student-led fieldwork - at home</t>
  </si>
  <si>
    <t>JOURNAL OF GEOGRAPHY IN HIGHER EDUCATION</t>
  </si>
  <si>
    <t>energy citizens; domestic energy use; pedagogy; Energy literacy; active learning; fieldwork</t>
  </si>
  <si>
    <t>Energy literacy is of great interest to those researching sustainable consumption, particularly with regard to its relationship to domestic energy use. This paper reflects on the pedagogic aspects of fieldwork recently carried out by undergraduate geography students in their own homes to assess energy-related technologies and practices, and how these come together into a singular, aggregated number produced by the energy meter. Conceptualising energy literacy as comprising cognitive, affective, and behavioral domains, we evaluate the experiences reported by the students, and discuss next steps in expanding the exercise and learning.</t>
  </si>
  <si>
    <t>[van der Horst, Dan; Staddon, Sam] Univ Edinburgh, Geog &amp; Lived Environm, Edinburgh, Midlothian, Scotland; [Harrison, Conor] Univ S Carolina, Dept Geog, Columbia, SC 29208 USA; [Wood, Georgina] Coventry Univ, Dept Civil Engn Architecture &amp; Bldg, Coventry, W Midlands, England</t>
  </si>
  <si>
    <t>University of Edinburgh; University of South Carolina System; University of South Carolina Columbia; Coventry University</t>
  </si>
  <si>
    <t>van der Horst, D (corresponding author), Univ Edinburgh, Geog &amp; Lived Environm, Edinburgh, Midlothian, Scotland.</t>
  </si>
  <si>
    <t>dan.vanderhorst@ed.ac.uk</t>
  </si>
  <si>
    <t>van der Horst, Dan/AGN-5512-2022</t>
  </si>
  <si>
    <t>van der Horst, Dan/0000-0002-9454-9664; Wernham, Georgina/0000-0002-3647-377X</t>
  </si>
  <si>
    <t>EPSRC (Engineering and Physical Sciences Research Council, UK) [EP/L013681/1, EP/K002716/1]; EPSRC [EP/L013681/1, EP/K002635/2, EP/K002716/1] Funding Source: UKRI</t>
  </si>
  <si>
    <t>EPSRC (Engineering and Physical Sciences Research Council, UK)(UK Research &amp; Innovation (UKRI)Engineering &amp; Physical Sciences Research Council (EPSRC)); EPSRC(UK Research &amp; Innovation (UKRI)Engineering &amp; Physical Sciences Research Council (EPSRC))</t>
  </si>
  <si>
    <t>This work was supported by the EPSRC (Engineering and Physical Sciences Research Council, UK) projects TEDDINET www.teddinet.org [grant number EP/L013681/1] and Smarter Households [grant number EP/K002716/1].</t>
  </si>
  <si>
    <t>[Anonymous], 2005, RESHAPING U NEW RELA, DOI DOI 10.1371/JOURNAL.PMED.0020124; Blunt A, 2006, KEY IDEAS GEOGR, P1; Brickell K, 2012, PROG HUM GEOG, V36, P225, DOI 10.1177/0309132511418708; Burgess J, 2008, ENERG POLICY, V36, P4454, DOI 10.1016/j.enpol.2008.09.039; Cutter-Mackenzie A., 2003, ENVIRON EDUC RES, V9, P497, DOI [10.1080/1350462032000126131, DOI 10.1080/1350462032000126131]; Davies AR, 2015, ANN ASSOC AM GEOGR, V105, P425, DOI 10.1080/00045608.2014.1000948; DeWaters JE, 2011, ENERG POLICY, V39, P1699, DOI 10.1016/j.enpol.2010.12.049; Dobson A, 2007, SUSTAIN DEV, V15, P276, DOI 10.1002/sd.344; Hargreaves T, 2010, ENERG POLICY, V38, P6111, DOI 10.1016/j.enpol.2010.05.068; Hein G.E., 1991, CONSTRUCTIVIST LEARN; Hmelo-Silver CE, 2007, EDUC PSYCHOL-US, V42, P99, DOI 10.1080/00461520701263368; Hope M, 2009, J GEOGR HIGHER EDUC, V33, P169, DOI 10.1080/03098260802276698; Kahn P., 2005, HDB ENQUIRY PROBLEM, P13; Kolb D.A., 2000, EXPERIENTIAL LEARNIN; Kollmuss A., 2002, ENVIRON EDUC RES, V8, P239, DOI [10.1080/13504620220145401, DOI 10.1080/13504620220145401]; Mezirow J., 2009, CONT THEORIES LEARNI, P90, DOI DOI 10.1037/H0039426; Pawson E, 2006, J GEOGR HIGHER EDUC, V30, P103, DOI 10.1080/03098260500499709; Shove E, 2014, J MAT CULT, V19, P113, DOI 10.1177/1359183514525084; St Clair R., 2003, NEW DIRECTIONS ADULT, V2003, P69, DOI [10.1002/(ISSN)1536-0717, DOI 10.1002/ACE.111]; van der Horst D, 2007, ENERG POLICY, V35, P2705, DOI 10.1016/j.enpol.2006.12.012; Wood G, 2014, TECHNOL ANAL STRATEG, V26, P1212, DOI 10.1080/09537325.2014.978277</t>
  </si>
  <si>
    <t>0309-8265</t>
  </si>
  <si>
    <t>1466-1845</t>
  </si>
  <si>
    <t>J GEOGR HIGHER EDUC</t>
  </si>
  <si>
    <t>J. Geogr. High. Educ.</t>
  </si>
  <si>
    <t>JAN 2</t>
  </si>
  <si>
    <t>10.1080/03098265.2015.1089477</t>
  </si>
  <si>
    <t>Education &amp; Educational Research; Geography</t>
  </si>
  <si>
    <t>DG2SU</t>
  </si>
  <si>
    <t>WOS:000371918900007</t>
  </si>
  <si>
    <t>Adams, J; Kenner, A; Leone, B; Rosenthal, A; Sarao, M; Boi-Doku, T</t>
  </si>
  <si>
    <t>Adams, James; Kenner, Alison; Leone, Briana; Rosenthal, Andrew; Sarao, Morgan; Boi-Doku, Taeya</t>
  </si>
  <si>
    <t>What is energy literacy? Responding to vulnerability in Philadelphia's energy ecologies</t>
  </si>
  <si>
    <t>Energy literacy; Energy vulnerability; Utility assistance; Energy ecologies; Service disruptions</t>
  </si>
  <si>
    <t>UNDERSTANDING ENERGY; FUEL POVERTY; ATTITUDES; BEHAVIOR; CONSERVATION; ETHNOGRAPHY; INSECURITY; EXPERIENCE; JUSTICE; POLICY</t>
  </si>
  <si>
    <t>Energy literacy scholarship has taken on the notable challenge of understanding and influencing the way people think about and consume energy to develop more sustainable energy systems. The idea is that information and understanding are the primary missing links between our current society and a future, more sustainable populace. Recent work in this field, however, has presented evidence to the contrary, throwing the value of current frames and programs of energy literacy into question. In this paper, we identify productive tensions and conceptual affinities between energy literacy and energy vulnerability and suggest, as a way forward, their exploration through the use and development of an energy ecology framework. The energy ecology framework focuses ethnographic and analytical attention to the place specific dynamics of energy infrastructures, access, and use that shape people's relationships to themselves, to other humans and non-human life, to materials and objects, and to their environment. This paper focuses on the energy literacy of more vulnerable energy users who experience inadequate access to affordable and reliable energy services, and also may have less financial and material resources to buffer harm. We use this data to argue that pinning energy literacy to energy vulnerability foregrounds how the knowledge, skills, and practices of relevance to energy literacy change over time and over the course of life, based upon one's changing position within different energy ecologies and also based upon changes in the relations within and across the open systems of which each energy ecology is composed.</t>
  </si>
  <si>
    <t>[Adams, James] Univ Calif Irvine, Irvine, CA 92697 USA; [Kenner, Alison; Leone, Briana; Rosenthal, Andrew; Sarao, Morgan; Boi-Doku, Taeya] Drexel Univ, Philadelphia, PA 19104 USA</t>
  </si>
  <si>
    <t>University of California System; University of California Irvine; Drexel University</t>
  </si>
  <si>
    <t>Adams, J (corresponding author), Univ Calif Irvine, Irvine, CA 92697 USA.</t>
  </si>
  <si>
    <t>jradams1@uci.edu; amk438@drexel.edu; bl539@dragons.drexel.edu; ajr387@dragons.drexel.edu; mas837@dragons.drexel.edu; tnb64@dragons.drexel.edu</t>
  </si>
  <si>
    <t>U.S. National Science Foundation [1849592]; Divn Of Social and Economic Sciences; Direct For Social, Behav &amp; Economic Scie [1849592] Funding Source: National Science Foundation</t>
  </si>
  <si>
    <t>U.S. National Science Foundation(National Science Foundation (NSF)); Divn Of Social and Economic Sciences; Direct For Social, Behav &amp; Economic Scie(National Science Foundation (NSF)NSF - Directorate for Social, Behavioral &amp; Economic Sciences (SBE))</t>
  </si>
  <si>
    <t>We are indebted to the Energy Coordinating Agency and the Neighborhood Energy Centers who collaborated with us on this project, as well as all the workshop participants who spoke with us. We want to give special thanks to BJ McDuffie, who facilitated many of the work- shops we observed and taught us much about energy education. We would also like to thank the editors of Energy Research and Social Sci- ence as well as two anonymous reviewers for their thorough and constructive feedback. Their involvement has improved this paper considerably. This work was supported by U.S. National Science Foun- dation: [Grant Number 1849592] .</t>
  </si>
  <si>
    <t>Ambrosio-Albala P, 2020, ENERGY RES SOC SCI, V70, DOI 10.1016/j.erss.2020.101765; Ariztia T, 2020, ENERGY RES SOC SCI, V69, DOI 10.1016/j.erss.2020.101540; Ariztia T, 2019, ENERGY RES SOC SCI, V47, P128, DOI 10.1016/j.erss.2018.08.023; Bidwell D, 2013, ENERG POLICY, V58, P189, DOI 10.1016/j.enpol.2013.03.010; Blasch J, 2019, RESOUR ENERGY ECON, V56, P39, DOI 10.1016/j.reseneeco.2017.06.001; Boardman B, 2010, FIXING FUEL POVERTY: CHALLENGES AND SOLUTIONS, P1; Boateng GO, 2020, SOC SCI MED, V258, DOI 10.1016/j.socscimed.2020.113068; Bouzarovski S, 2018, ANN AM ASSOC GEOGR, V108, P695, DOI 10.1080/24694452.2017.1373624; Bouzarovski S, 2014, WIRES ENERGY ENVIRON, V3, P276, DOI 10.1002/wene.89; Brewer R.S., 2011, 44th Hawaii International Conference on System Sciences (HICSS), P1; Brounen D, 2013, ENERG ECON, V38, P42, DOI 10.1016/j.eneco.2013.02.008; Brunner KM, 2012, ENERG POLICY, V49, P53, DOI 10.1016/j.enpol.2011.11.076; Buzar S, 2007, ENVIRON PLANN A, V39, P1908, DOI 10.1068/a38298; Chadwick K, 2022, ENERGY RES SOC SCI, V89, DOI 10.1016/j.erss.2022.102528; Chen SJ, 2015, ENERG EFFIC, V8, P791, DOI 10.1007/s12053-015-9327-5; Clarke AE, 2007, HANDBOOK OF SCIENCE AND TECHNOLOGY STUDIES, THIRD EDITION, P113; Cotton DRE, 2018, ENVIRON EDUC RES, V24, P1611, DOI 10.1080/13504622.2017.1395394; Day Rosie., 2013, Energy Justice in a Changing Climate: Social Equity and Low-carbon Energy, P14, DOI 10.5040/9781350219908.ch-001; DeWaters JE, 2011, ENERG POLICY, V39, P1699, DOI 10.1016/j.enpol.2010.12.049; Dillahunt T, 2009, UBICOMP'09: PROCEEDINGS OF THE 11TH ACM INTERNATIONAL CONFERENCE ON UBIQUITOUS COMPUTING, P255; Dwyer C., 2011, LOW CARBON EC, V2, P123, DOI 10.4236/lce.2011.23016; Fazey I, 2020, ENERGY RES SOC SCI, V70, DOI 10.1016/j.erss.2020.101724; Fortun K, 2012, CULT ANTHROPOL, V27, P446, DOI 10.1111/j.1548-1360.2012.01153.x; Foucault M., 1996, HIST SEXUALITY; Gillard R, 2017, ENERGY RES SOC SCI, V29, P53, DOI 10.1016/j.erss.2017.05.012; Goldstein CarolynM., 2012, CREATING CONSUMERS H; Goodman J, 2018, ENERGY RES SOC SCI, V45, P1, DOI 10.1016/j.erss.2018.08.010; Graff M, 2021, ENERGY RES SOC SCI, V79, DOI 10.1016/j.erss.2021.102144; Graff M, 2020, NAT ENERGY, V5, P352, DOI 10.1038/s41560-020-0620-y; HARAWAY D, 1988, FEMINIST STUD, V14, P575, DOI 10.2307/3178066; Hernández D, 2016, SOC SCI MED, V167, P1, DOI 10.1016/j.socscimed.2016.08.029; Hernández D, 2013, AM J PUBLIC HEALTH, V103, pE32, DOI 10.2105/AJPH.2012.301179; Hill Collins Patricia, 1991, Black feminist thought: knowledge, consciousness, and the politics of empowerment; Hirst E., 1976, ORNLCON2, DOI [10.2172/7328815, DOI 10.2172/7328815]; Kantenbacher J, 2021, ENERGY RES SOC SCI, V73, DOI 10.1016/j.erss.2021.101911; Keller L, 2022, ENERGIES, V15, DOI 10.3390/en15031118; Kenner A, 2020, ENVIRON JUSTICE, V13, P101, DOI 10.1089/env.2019.0033; Kline RonaldR., 2000, Consumers in the Country: Technology and Social Change in Rural America; Liedtke Michael, 2021, AP NEWS 0420; Longhurst N, 2019, ENERGY RES SOC SCI, V56, DOI 10.1016/j.erss.2019.05.017; Lowan-Trudeau G, 2022, AUST J ENVIRON EDUC, V38, P58, DOI 10.1017/aee.2021.15; Lundberg DC, 2019, ENERGY RES SOC SCI, V58, DOI 10.1016/j.erss.2019.101257; Marcus G.E., 1986, Anthropology as cultural critique: An experimental moment in the human sciences; Marcus GE, 2007, ANTHROPOL QUART, V80, P1127, DOI 10.1353/anq.2007.0059; Memmott T, 2021, NAT ENERGY, V6, P186, DOI 10.1038/s41560-020-00763-9; Middlemiss L, 2015, ENERGY RES SOC SCI, V6, P146, DOI 10.1016/j.erss.2015.02.001; Mills B, 2012, ENERG POLICY, V49, P616, DOI 10.1016/j.enpol.2012.07.008; Morton A, 2020, ENERGY RES SOC SCI, V70, DOI 10.1016/j.erss.2020.101772; Murphy T.P., 2002, The Minnesota report card on environmental literacy; Pearce H, 2020, ENERGY RES SOC SCI, V63, DOI 10.1016/j.erss.2019.101392; Petrova S, 2019, ENVIRON PLAN C-POLIT, V37, P1380, DOI 10.1177/2399654419831293; Pringle L., 1975, ENERGY POWER PEOPLE; Robinson C, 2018, ENERGY RES SOC SCI, V36, P79, DOI 10.1016/j.erss.2017.09.035; Royston S, 2014, ENERGY RES SOC SCI, V2, P148, DOI 10.1016/j.erss.2014.04.016; Sandri O, 2021, ENERGY RES SOC SCI, V79, DOI 10.1016/j.erss.2021.102179; Schwartz Judith, 2014, LOW INCOME DECISION; Semenza JC, 2008, AM J PREV MED, V35, P479, DOI 10.1016/j.amepre.2008.08.020; Shove E, 2010, ENVIRON PLANN A, V42, P1273, DOI 10.1068/a42282; Snow S, 2021, ENERGY RES SOC SCI, V80, DOI 10.1016/j.erss.2021.102225; Sovacool BK, 2019, ENERG POLICY, V128, P495, DOI 10.1016/j.enpol.2019.01.010; Sovacool BK, 2015, ENVIRON SCI POLICY, V54, P304, DOI 10.1016/j.envsci.2015.07.011; Stephenson J, 2010, ENERG POLICY, V38, P6120, DOI 10.1016/j.enpol.2010.05.069; Svangren Michae Kvistl, 2020, P 11 NORDIC C HUMAN, P1; Thomson H., 2016, PEOPLE PLACE POLICY, P5, DOI [10.3351/ppp.0010.0001.0002, DOI 10.3351/PPP.0010.0001.0002]; Thomson H, 2022, ENERGY RES SOC SCI, V87, DOI 10.1016/j.erss.2021.102475; van den Broek KL, 2019, ENERG POLICY, V132, P811, DOI 10.1016/j.enpol.2019.06.048; Wert Jonathan M., 1978, ENERGY SELECTED RESO; Yarbrough I, 2015, ENERG BUILDINGS, V91, P10, DOI 10.1016/j.enbuild.2014.11.052; Yoon H, 2019, ENERGY RES SOC SCI, V58, DOI 10.1016/j.erss.2019.101276</t>
  </si>
  <si>
    <t>10.1016/j.erss.2022.102718</t>
  </si>
  <si>
    <t>JUL 2022</t>
  </si>
  <si>
    <t>6I0YM</t>
  </si>
  <si>
    <t>WOS:000885853500008</t>
  </si>
  <si>
    <t>DeWaters, J; Qaqish, B; Graham, M; Powers, S</t>
  </si>
  <si>
    <t>DeWaters, Jan; Qaqish, Basil; Graham, Mary; Powers, Susan</t>
  </si>
  <si>
    <t>Designing an Energy Literacy Questionnaire for Middle and High School Youth</t>
  </si>
  <si>
    <t>energy education; energy literacy; energy questionnaire; survey</t>
  </si>
  <si>
    <t>ATTITUDE; BEHAVIOR; CRITERIA</t>
  </si>
  <si>
    <t>A measurement scale has been developed to assess secondary students' energy literacy-a citizenship understanding of energy that includes cognitive as well as affective and behavioral items. Instrument development procedures followed psychometric principles from educational and social psychology research. Initial exploration of the measure yielded promising results: internal consistencies for the cognitive, affective, and behavioral subscales, measured by Cronbach's alpha, ranged from 0.75 to 0.83; average discrimination indices ranged from 0.27 to 0.46. The instrument's validity was supported with contrasted-groups and developmental-age progression comparisons, as well as factor analyses. The energy literacy questionnaire provides an opportunity to measure baseline levels of energy literacy and to assess broader impacts of educational interventions.</t>
  </si>
  <si>
    <t>[DeWaters, Jan] Clarkson Univ, Wallace H Coulter Sch Engn, Potsdam, NY 13699 USA; [Qaqish, Basil] Univ N Carolina, Greensboro, NC 27412 USA</t>
  </si>
  <si>
    <t>Clarkson University; University of North Carolina; University of North Carolina Greensboro</t>
  </si>
  <si>
    <t>ABDELGAID S, 1986, J RES SCI TEACH, V23, P823, DOI 10.1002/tea.3660230907; Albright J., 2009, CONFIRMATORY FACTOR; [Anonymous], MIDDLE SCH REP UNPUB; [Anonymous], 2006, TRAINING DEV HUMAN S; [Anonymous], BENCHM SCI LIT 1; [Anonymous], HDB D MCKAY CO INC; [Anonymous], 1990, Qualitative Evaluation and Research Methods, DOI DOI 10.1002/NUR.4770140111; [Anonymous], EN KNOWL ATT NAT ASS; [Anonymous], ENERGYPULSE; [Anonymous], THESIS U WISCONSIN S; [Anonymous], EN LIT ADV; [Anonymous], ASSESSMENT ED LEADER; [Anonymous], SCI TEACHER; [Anonymous], LEARN STAND MATH SCI; [Anonymous], SOCIAL ED; [Anonymous], 1983, SCHOOL SCI MATH, DOI DOI 10.1111/J.1949-8594.1983.TB10142.X; [Anonymous], THESIS U WISCONSIN S; [Anonymous], ENERGY ENG OPINIONNA; [Anonymous], HIGH SCH J; [Anonymous], 1997, Psychological Testing; [Anonymous], ENV LITERACY F UNPUB; [Anonymous], NAAEE STANDARDS PROJ; [Anonymous], 1994, J SCI TEACH EDUC, DOI DOI 10.1007/BF02969146; [Anonymous], 1985, SCHOOL SCI MATH, DOI DOI 10.1111/J.1949-8594.1985.TB09612.X; [Anonymous], SEC EN POLL; [Anonymous], 2007, KNOWL SHAR I WASH DC; [Anonymous], 2001, ATL SCI LIT, V1; [Anonymous], J RES SCI TEACHING; [Anonymous], THESIS U WISCONSIN S; [Anonymous], ENV LITERACY U UNPUB; [Anonymous], 1989, PROJ 2061 SCI ALL AM; [Anonymous], 3 MINN POLL CONTR AG; [Anonymous], ENERGY SOC INVESTIGA; [Anonymous], OREILL EM TECHN C SA; [Anonymous], ENV ED LITARAC UNPUB; [Anonymous], ATL SCI LIT; [Anonymous], ENERGY PULSE SURVEY; [Anonymous], 200701 MIT LFEE WP; [Anonymous], DISS ABSTR INT; [Anonymous], AM LOW EN IQ RISK OU; [Anonymous], SCH SCI MATH; [Anonymous], THESIS U WISCONSIN S; [Anonymous], EN ED RES KIND 12 GR; [Anonymous], NEW DIRECTIONS ADULT; [Anonymous], 1979, SCI ED, DOI DOI 10.1002/SCE.3730630506; [Anonymous], LERT 5; [Anonymous], DISS ABSTR INT; [Anonymous], THESIS U WISCONSIN S; [Anonymous], ESSENTIAL READINGS E; [Anonymous], NAT PROJ EXC ENV ED; [Anonymous], 1987, J. Environ. Edu., DOI DOI 10.1080/00958964.1987.9943482; [Anonymous], 1996, NAT SCI ED STAND, DOI DOI 10.17226/4962; Armstrong J.B., 1991, The Journal of Environmental Education, V22, P36, DOI DOI 10.1080/00958964.1991.9943060; Bang HK, 2000, PSYCHOL MARKET, V17, P449, DOI 10.1002/(SICI)1520-6793(200006)17:6&lt;449::AID-MAR2&gt;3.0.CO;2-8; Barrow L., 1989, Journal of Environmental Education, V20, P22, DOI [10.1080/00958964.1989.9943027, DOI 10.1080/00958964.1989.9943027]; Barrow L.H., 1987, The Journal of Environmental Education, V18, P15; Bennett D.B., 1989, J ENVIRON EDUC, V20, P14, DOI [10.1080/00958964.1989.9943026, DOI 10.1080/00958964.1989.9943026]; BENSON J, 1982, AM J OCCUP THER, V36, P789, DOI 10.5014/ajot.36.12.789; Bittle S., 2009, The energy learning curve. Public Agenda; Blair D, 2009, J ENVIRON EDUC, V40, P15, DOI 10.3200/JOEE.40.2.15-38; Bloom B., 1984, Taxonomy of. Educational Objectives; CATTELL RB, 1966, MULTIVAR BEHAV RES, V1, P245, DOI 10.1207/s15327906mbr0102_10; COSTANZO M, 1986, AM PSYCHOL, V41, P521, DOI 10.1037/0003-066X.41.5.521; Crater HL., 1981, SCH SCI MATH, V81, P121, DOI DOI 10.1111/J.1949-8594.1981.TB09976.X; Culen G.R., 2003, The Journal of Environmental Education, V34, P26, DOI [10.1080/00958960309603484, DOI 10.1080/00958960309603484]; Culen G.R., 2000, The Journal of Environmental Education, V31, P9, DOI [10.1080/00958960009598633, DOI 10.1080/00958960009598633]; DeVellis RF., 2022, Scale development: Theory and applications, V5th; DeWaters J, 2013, J ENVIRON EDUC, V44, P38, DOI 10.1080/00958964.2012.711378; DeWaters JE, 2011, ENERG POLICY, V39, P1699, DOI 10.1016/j.enpol.2010.12.049; Edwards A.L., 1957, Techniques of attitude scale construction; Fabrigar LR, 1999, PSYCHOL METHODS, V4, P272, DOI 10.1037/1082-989X.4.3.272; FINEGOLD M, 1989, RES SCI ED, V19, P97, DOI 10.1007/BF02356850; Fowler J.M., 1976, Science Teacher, V43, P25; Gambro J.S., 1999, J ENVIRON EDUC, V30, P15, DOI DOI 10.1080/00958969909601866; GRAZIANO WG, 1987, DEV PSYCHOL, V23, P571, DOI 10.1037/0012-1649.23.4.571; Hanson R., 1993, Studies in Educational Evaluation, V19, P363; Hills J.R., 1976, Measurement and evaluation in the classroom; HOLDEN CC, 1984, J RES SCI TEACH, V21, P187, DOI 10.1002/tea.3660210209; Hoody L., 1995, ED EFFICACY ENV ED; Hu LT, 1999, STRUCT EQU MODELING, V6, P1, DOI 10.1080/10705519909540118; HUNGERFORD H, 1980, J ENVIRON EDUC, V11, P42, DOI 10.1080/00958964.1980.9941381; Leeming F.C., 1995, J ENVIRON EDUC, V26, P22, DOI [DOI 10.1080/00958964.1995.9941442, 10.1080/00958964.1995.9941442]; Leeming F.C., 1993, Journal of Environmental Education, V24, P8, DOI DOI 10.1080/00958964.1993.9943504; Linn R.L., 2000, MEASUREMENT ASSESSME, V8th; Marcinkowski T.J., 1995, Environmental Education Literacy/Needs Assessment Project: Assessing Environmental Literacy of Students and Environmental Education Needs of Teachers; Final Report for 1993-1995, P30; Marker G.W., 1991, SOC STUD, V82, P183; McBeth W., 2008, National environmental literacy assessment project: Year 1, national baseline study of middle grades students; McBeth W., 2011, National environmental literacy assessment, phase two: Measuring the effectiveness of North American environmental education programs with respect to the parameters of environmental literacy (final research report); Musser L.M., 1994, The Journal of Environmental Education, V25, P22, DOI DOI 10.1080/00958964.1994.9941954; MUTHEN B, 1984, PSYCHOMETRIKA, V49, P115, DOI 10.1007/BF02294210; Oppenheim A.N., 1992, Questionnaire design, interviewing and attitude measurement; Pearson G., 2002, TECHNICALLY SPEAKING; RAMSEY J, 1981, J ENVIRON EDUC, V13, P24, DOI 10.1080/00958964.1981.9943021; Ramsey J.M., 1993, J ENVIRON EDUC, V24, P31, DOI DOI 10.1080/00958964.1993.9943501; Ramsey JohnM., 1989, Journal of Environmental Education, V21, P26; Roth C., 1996, BENCHMARKS WAY ENV L; Roth C.E., 1992, Environmental literacy: Its roots, evolution, and directions in the 1990; Salmon J., 2000, The Journal of Environmental Education, V31, P4, DOI [10.1080/00958960009598645, DOI 10.1080/00958960009598645]; SHRIGLEY RL, 1984, J RES SCI TEACH, V21, P111, DOI 10.1002/tea.3660210203; Sia A., 1985, J ENVIRON EDUC, V17, P31; Simpson E.J., 1972, CLASSIFICATION ED OB; Singh C, 2003, AM J PHYS, V71, P607, DOI 10.1119/1.1571832; Solomon J., 1992, GETTING KNOW ENERGY; Sovacool BK, 2009, TECHNOL SOC, V31, P365, DOI 10.1016/j.techsoc.2009.10.009; Sovacool BK, 2009, ENERG POLICY, V37, P4500, DOI 10.1016/j.enpol.2009.05.073; Spisic D., 1997, PSYCHOMETRIKA, DOI [10.1007/s40429-017-0149-8, DOI 10.1007/S40429-017-0149-8]; Stern PC, 2000, J SOC ISSUES, V56, P407, DOI 10.1111/0022-4537.00175; STERN PC, 1992, AM PSYCHOL, V47, P1224, DOI 10.1037/0003-066X.47.10.1224; Swackhamer G., 2003, An energy concept inventory; Varma S., 2007, Preliminary item statistics using point-biserial correlation and p-values; Volk T.L., 2003, J ENVIRON EDUC, V34, P12, DOI [10.1080/00958960309603483, DOI 10.1080/00958960309603483]; Yergin Daniel., 2011, QUEST ENERGY SECURIT; Zelezny L., 1999, The Journal of Environmental Education, V31, P5, DOI [DOI 10.1080/00958969909598627, https://doi.org/10.1080/00958969909598627]; Zografakis N, 2008, ENERG POLICY, V36, P3226, DOI 10.1016/j.enpol.2008.04.021</t>
  </si>
  <si>
    <t>10.1080/00958964.2012.682615</t>
  </si>
  <si>
    <t>WOS:000311368400004</t>
  </si>
  <si>
    <t>Lin, KY; Lu, SC</t>
  </si>
  <si>
    <t>Lin, Kuen-Yi; Lu, Shao-Chuan</t>
  </si>
  <si>
    <t>EFFECTS OF PROJECT-BASED ACTIVITIES IN DEVELOPING HIGH SCHOOL STUDENTS' ENERGY LITERACY</t>
  </si>
  <si>
    <t>JOURNAL OF BALTIC SCIENCE EDUCATION</t>
  </si>
  <si>
    <t>Energy literacy; project-based activity; senior high school students; solar-powered insect trap</t>
  </si>
  <si>
    <t>TAIWAN; ATTITUDES; EDUCATION; KNOWLEDGE; BEHAVIOR</t>
  </si>
  <si>
    <t>Energy literacy is a key factor in ensuring the protection of the natural environment. Numerous studies on energy literacy have demonstrated the development of instructional methods to promote the willingness to save energy as a critical research subject. Through a project-based activity, this research explored how handson activities improve the energy literacy of students. A quasi-experimental design was adopted, namely a pre-test and posttest nonequivalent control group design. In total, 77 senior high school students participated in a 6-week teaching experiment. A single-factor analysis of covariance (ANCOVA) and multiple regression analyses were employed to analyze the collected data. The main findings were as follows: (1) Project-based hands-on activities helped improve the energy literacy of senior high school students; however, the effect was not statistically significant in both experimental and control groups. (2) The key factor influencing the energy conservation behavior of senior high school students was energy-related attitudes following the project-based learning process.</t>
  </si>
  <si>
    <t>[Lin, Kuen-Yi] Natl Taiwan Normal Univ, Dept Technol Applicat &amp; Human Resource Dev, Taipei 106, Taiwan; [Lu, Shao-Chuan] New Taipei Municipal Yong Ho Jr High Sch, New Taipei 234, Taiwan</t>
  </si>
  <si>
    <t>National Taiwan Normal University</t>
  </si>
  <si>
    <t>Lin, KY (corresponding author), Natl Taiwan Normal Univ, Dept Technol Applicat &amp; Human Resource Dev, Taipei 106, Taiwan.</t>
  </si>
  <si>
    <t>linkuenyi@ntnu.edu.tw; mrfpkimo@gmail.com</t>
  </si>
  <si>
    <t>Lin, Kuen-Yi/G-8650-2015</t>
  </si>
  <si>
    <t>Lin, Kuen-Yi/0000-0002-6250-0540</t>
  </si>
  <si>
    <t>Ministry of Science and Technology of Taiwan [NSC 102-3113-S-239 -001, MOST 105-2628-S-003 -001 -MY3]</t>
  </si>
  <si>
    <t>Ministry of Science and Technology of Taiwan(Ministry of Science and Technology, Taiwan)</t>
  </si>
  <si>
    <t>This research was supported by the Ministry of Science and Technology of Taiwan, under project number NSC 102-3113-S-239 -001 and MOST 105-2628-S-003 -001 -MY3.</t>
  </si>
  <si>
    <t>Al-Balushi SM, 2014, INT RES GEOGR ENVIRO, V23, P213, DOI 10.1080/10382046.2014.927167; [Anonymous], J ED PSYCHOL; Bilgin I, 2015, EURASIA J MATH SCI T, V11, P469; Can B, 2017, J BALT SCI EDUC, V16, P395; Chen K.L., 2015, International Journal of Environmental and Science Education, V10, P201, DOI [DOI 10.12973/IJESE.2015.241A, 10.12973/ijese.2015.241a]; Chen KL, 2013, ENERG POLICY, V55, P396, DOI 10.1016/j.enpol.2012.12.025; Chen SJ, 2015, ENERG EFFIC, V8, P791, DOI 10.1007/s12053-015-9327-5; Chiang T, 2014, ENERG BUILDINGS, V70, P507, DOI 10.1016/j.enbuild.2013.10.035; Cotton D, 2016, J CLEAN PROD, V129, P586, DOI 10.1016/j.jclepro.2016.03.136; Demeo A. E., 2013, J. Sustain. Educ., V4, P1; DeWaters J, 2013, J ENVIRON EDUC, V44, P38, DOI 10.1080/00958964.2012.711378; DeWaters JE, 2011, ENERG POLICY, V39, P1699, DOI 10.1016/j.enpol.2010.12.049; Han SY, 2015, INT J SCI MATH EDUC, V13, P1089, DOI 10.1007/s10763-014-9526-0; Karpudewan M, 2016, ASIA-PAC EDUC RES, V25, P229, DOI 10.1007/s40299-015-0256-z; Kokotsaki D, 2016, IMPROV SCH, V19, P267, DOI 10.1177/1365480216659733; Lee LS, 2017, ENVIRON EDUC RES, V23, P855, DOI 10.1080/13504622.2015.1068276; Lee LS, 2015, ENERG POLICY, V76, P98, DOI 10.1016/j.enpol.2014.11.012; Ntona E, 2015, RENEW SUST ENERG REV, V46, P1, DOI 10.1016/j.rser.2015.02.033; Useckiene L, 2005, J BALT SCI EDUC, V2, P68; Verbic G, 2017, IEEE T EDUC, V60, P221, DOI 10.1109/TE.2016.2639444; Yeh SC, 2017, SUSTAINABILITY-BASEL, V9, DOI 10.3390/su9030423</t>
  </si>
  <si>
    <t>SCI METHODICAL CTR-SCI EDUCOLOGICA</t>
  </si>
  <si>
    <t>SIAULIAI</t>
  </si>
  <si>
    <t>DONELAICIO ST 29, SIAULIAI, LT-78115, LITHUANIA</t>
  </si>
  <si>
    <t>1648-3898</t>
  </si>
  <si>
    <t>J BALT SCI EDUC</t>
  </si>
  <si>
    <t>J. Balt. Sci. Educ.</t>
  </si>
  <si>
    <t>GX0PX</t>
  </si>
  <si>
    <t>WOS:000447414500010</t>
  </si>
  <si>
    <t>Yusup, M; Setiawan, A; Rustaman, NY; Kaniawati, I</t>
  </si>
  <si>
    <t>Waris, A; Shin, B; Kondo, M; Buys, YF; Irwanto, D; Pramuditya, S</t>
  </si>
  <si>
    <t>Yusup, Muhamad; Setiawan, Agus; Rustaman, Nuryani Y.; Kaniawati, Ida</t>
  </si>
  <si>
    <t>Developing a Framework For The Assessment Of Pre-Service Physics Teachers' Energy Literacy</t>
  </si>
  <si>
    <t>INTERNATIONAL CONFERENCE ON ENERGY SCIENCES (ICES 2016)</t>
  </si>
  <si>
    <t>Journal of Physics Conference Series</t>
  </si>
  <si>
    <t>1st International Conference on Energy Sciences (ICES)</t>
  </si>
  <si>
    <t>JUL 25-27, 2016</t>
  </si>
  <si>
    <t>Bandung, INDONESIA</t>
  </si>
  <si>
    <t>EDUCATION; KNOWLEDGE; STUDENTS; BEHAVIOR</t>
  </si>
  <si>
    <t>Energy concept is one key component in physics education. Pre-service physics teachers are expected have energy literacy as their learning experience and for preparing their professional teaching. Measuring their energy literacy is therefore very important and its results are useful not only for faculty but also for national curriculum developers and policy makers. Yet there is no assessment instrument to measure how literate they are. In this paper, we develop an assessment framework to measure pre-service physics teachers' energy literacy.</t>
  </si>
  <si>
    <t>[Yusup, Muhamad; Setiawan, Agus; Rustaman, Nuryani Y.; Kaniawati, Ida] Univ Pendidikan Indonesia, Postgrad Sch, Bandung, Indonesia; [Yusup, Muhamad] Univ Sriwijaya, Phys Educ Dept, Palembang, Indonesia</t>
  </si>
  <si>
    <t>Universitas Pendidikan Indonesia; Universitas Sriwijaya</t>
  </si>
  <si>
    <t>Yusup, M (corresponding author), Univ Pendidikan Indonesia, Postgrad Sch, Bandung, Indonesia.;Yusup, M (corresponding author), Univ Sriwijaya, Phys Educ Dept, Palembang, Indonesia.</t>
  </si>
  <si>
    <t>yusufunsri@yahoo.com</t>
  </si>
  <si>
    <t>Samsudin, Achmad/E-5170-2015; Rustaman, Nuryani/GQQ-8050-2022; Setiawan, Agus/D-3464-2015; yusup, Muhamad/R-5287-2019</t>
  </si>
  <si>
    <t>Samsudin, Achmad/0000-0003-3564-6031; Yusup, Muhamad/0000-0003-3520-0371; Kaniawati, Ida/0000-0003-2787-7892</t>
  </si>
  <si>
    <t>Anderson J.R., 1990, ADAPTIVE CHARACTER T; Anderson L., 2009, TAXONOMY LEARNING TE; [Anonymous], 2003, STAND SCI TEACH PREP; [Anonymous], ENERGY EFFIC; [Anonymous], ENERGY RESOURCES SCI; [Anonymous], 2007, 2007 ANN C EXP; [Anonymous], 1994, J SCI TEACH EDUC, DOI DOI 10.1007/BF02969146; [Anonymous], 1964, Taxonomy of Educational Objectives. The Classification of Educational Goals, Handbook II: Affective Domain; [Anonymous], 2011, DEV FRAMEWORK ASSESS; [Anonymous], 2012, EN LIT ESS PRINC FUN; Biggs John B, 2014, Evaluating the quality of learning: The SOLO taxonomy; Bloom B., 1984, Taxonomy of. Educational Objectives; Bodzin AM, 2013, INT J SCI EDUC, V35, P1561, DOI 10.1080/09500693.2013.769139; Chen KL, 2013, ENERG POLICY, V55, P396, DOI 10.1016/j.enpol.2012.12.025; DeWaters J, 2013, J ENVIRON EDUC, V44, P38, DOI 10.1080/00958964.2012.711378; DeWaters JE, 2011, ENERG POLICY, V39, P1699, DOI 10.1016/j.enpol.2010.12.049; Foley RW, 2015, ASTE SER SCI EDUC, P49, DOI 10.1007/978-3-319-16411-3_4; Frick J, 2004, PERS INDIV DIFFER, V37, P1597, DOI 10.1016/j.paid.2004.02.015; Haladyna T.M., 1997, WRITING TEST ITEMS E; Hannah L.S., 1977, A comprehensive framework for instructional objectives: A guide to systematic planning and evaluation; Kandpal TC, 1999, APPL ENERG, V64, P71, DOI 10.1016/S0306-2619(99)00076-8; Lay Y.-F., 2013, International Journal of Environmental ve Science Education, V8, P199; Lee LS, 2015, ENERG POLICY, V76, P98, DOI 10.1016/j.enpol.2014.11.012; Marzano R.J., 2007, NEW TAXONOMY ED OBJE, V2nd; MORRISEY JT, 1984, SCI EDUC, V68, P365, DOI 10.1002/sce.3730680402; Shulman LS, 2019, PROFESORADO, V23, P269, DOI 10.30827/profesorado.v23i3.11230; Zografakis N, 2008, ENERG POLICY, V36, P3226, DOI 10.1016/j.enpol.2008.04.021</t>
  </si>
  <si>
    <t>IOP PUBLISHING LTD</t>
  </si>
  <si>
    <t>BRISTOL</t>
  </si>
  <si>
    <t>DIRAC HOUSE, TEMPLE BACK, BRISTOL BS1 6BE, ENGLAND</t>
  </si>
  <si>
    <t>1742-6588</t>
  </si>
  <si>
    <t>1742-6596</t>
  </si>
  <si>
    <t>J PHYS CONF SER</t>
  </si>
  <si>
    <t>10.1088/1742-6596/877/1/012014</t>
  </si>
  <si>
    <t>Energy &amp; Fuels; Physics, Applied; Physics, Multidisciplinary</t>
  </si>
  <si>
    <t>Energy &amp; Fuels; Physics</t>
  </si>
  <si>
    <t>BI7CT</t>
  </si>
  <si>
    <t>WOS:000414154800014</t>
  </si>
  <si>
    <t>Das, RR; Richman, R</t>
  </si>
  <si>
    <t>Das, Runa R.; Richman, Russell</t>
  </si>
  <si>
    <t>The Development and Application of a Public Energy Literacy Instrument</t>
  </si>
  <si>
    <t>CANADIAN JOURNAL OF SCIENCE MATHEMATICS AND TECHNOLOGY EDUCATION</t>
  </si>
  <si>
    <t>Energy literacy; Instrument development; Energy questionnaire; Measurement; Mixed methods study; Energy transitions</t>
  </si>
  <si>
    <t>COMPREHENSIVE SPSS PROGRAM; PRO-ENVIRONMENTAL BEHAVIOR; CONSERVATION BEHAVIOR; CLIMATE-CHANGE; PLANNED BEHAVIOR; KNOWLEDGE; TRANSITIONS; TECHNOLOGY; ATTITUDES; STUDENTS</t>
  </si>
  <si>
    <t>Few and fairly limited measures of public energy literacy exist, especially in the Canadian context. We argue that more needs to be known about the public with respect to their energy-related literacy, given their increasing involvement as informants to and participants in energy systems and sustainability transitions. In this article, we describe the development and application of a public energy literacy instrument measuring three recognized domains of energy literacy (cognition, attitudes, and behaviours) in an urban setting. Existing surveys, frameworks, and models from academic and grey literature were used to guide development. Mixed methods included pretesting, cognitive interviews, and quantitative and qualitative analysis. The resulting instrument is a 15-item, 5-item, and 9-item measure of energy-related knowledge, attitudes, and behaviours, respectively. The instrument was administered to 204 Torontonians, who demonstrated low knowledge but high attitude and behaviour scores. Results support a reliable instrument that can be used in further research as well as in the field.</t>
  </si>
  <si>
    <t>[Das, Runa R.] Royal Rd Univ, Coll Interdisciplinary Studies, Victoria, BC, Canada; [Richman, Russell] Ryerson Univ, Dept Architectural Sci, Toronto, ON, Canada</t>
  </si>
  <si>
    <t>Toronto Metropolitan University</t>
  </si>
  <si>
    <t>Das, RR (corresponding author), Royal Rd Univ, Coll Interdisciplinary Studies, Victoria, BC, Canada.</t>
  </si>
  <si>
    <t>runa.das@royalroads.ca</t>
  </si>
  <si>
    <t>Das, Runa/0000-0002-0692-5253</t>
  </si>
  <si>
    <t>Social Sciences and Humanities Research Council doctoral fellowship; Ryerson University Centre for Urban Energy, Hydro One Research Award</t>
  </si>
  <si>
    <t>Social Sciences and Humanities Research Council doctoral fellowship(Social Sciences and Humanities Research Council of Canada (SSHRC)); Ryerson University Centre for Urban Energy, Hydro One Research Award</t>
  </si>
  <si>
    <t>This work has been supported by a Social Sciences and Humanities Research Council doctoral fellowship and a Ryerson University Centre for Urban Energy, Hydro One Research Award awarded to the first author.</t>
  </si>
  <si>
    <t>Abrahamse W, 2005, J ENVIRON PSYCHOL, V25, P273, DOI 10.1016/j.jenvp.2005.08.002; Aguirre-Bielschowsky I, 2017, ENVIRON EDUC RES, V23, P832, DOI 10.1080/13504622.2015.1054267; AJZEN I, 1991, ORGAN BEHAV HUM DEC, V50, P179, DOI 10.1016/0749-5978(91)90020-T; Ajzen I, 1985, UNDERSTANDING ATTITU, P11, DOI [10.1007/978-3-642-69746-3_2, DOI 10.1007/978-3-642-69746-3_2]; Allen JB, 1999, ENVIRON BEHAV, V31, P338, DOI 10.1177/00139169921972137; Angus Reid Public Opinion, 2010, EN LIT SURV; [Anonymous], 2006, TRAINING DEV HUMAN S; [Anonymous], 2008, APPL ENV ED COMMUNIC, DOI DOI 10.1080/15330150802502130; Backhoff E., 2000, Rev Electronica Investig Educ, V2, P1; Barrow L., 1989, Journal of Environmental Education, V20, P22, DOI [10.1080/00958964.1989.9943027, DOI 10.1080/00958964.1989.9943027]; Bidwell D, 2013, ENERG POLICY, V58, P189, DOI 10.1016/j.enpol.2013.03.010; Bloom B. S., 1956, TAXONOMY ED OBJECTIV, P1, DOI DOI 10.1300/J104V03N01_03; Bozuwa J., 2019, Energy democracy: taking back power; Brounen D, 2013, ENERG ECON, V38, P42, DOI 10.1016/j.eneco.2013.02.008; Burgess J, 1998, ENVIRON PLANN A, V30, P1445, DOI 10.1068/a301445; Campos I, 2020, ENERGY RES SOC SCI, V69, DOI 10.1016/j.erss.2020.101718; CCS (Computing and Communications Services), GUID RES; Chadwick K, 2022, ENERGY RES SOC SCI, V89, DOI 10.1016/j.erss.2022.102528; Chan S., 2012, Applied Environmental Education Communication, V11, P9, DOI [DOI 10.1080/1533015X.2012, 10.1080/1533015X.2012.728060, DOI 10.1080/1533015X.2012.728060]; Chawla L., 1999, Journal of Environmental Education, V31, P15, DOI DOI 10.1080/00958969909598628; Chawla Louise., 1998, The Journal of Environmental Education, V29, P11, DOI [DOI 10.1080/1350462980040402, https://doi.org/10.1080/00958969809599114, DOI 10.1080/00958969809599114]; Chen K.L., 2015, International Journal of Environmental and Science Education, V10, P201, DOI [DOI 10.12973/IJESE.2015.241A, 10.12973/ijese.2015.241a]; Chen SJ, 2015, ENERG EFFIC, V8, P791, DOI 10.1007/s12053-015-9327-5; COHENHADRIA A, 2019, EUR SIGNAL PR CONF, pN1246; Collins D, 2003, QUAL LIFE RES, V12, P229, DOI 10.1023/A:1023254226592; Comeau L. A., 2015, 1501 U ALB DEP RES E; Cooke AN, 2016, ENVIRON EDUC RES, V22, P631, DOI 10.1080/13504622.2015.1054262; Creutzig F, 2016, ANNU REV ENV RESOUR, V41, P173, DOI 10.1146/annurev-environ-110615-085428; Crocker L, 2006, Introduction to classical and modern test theory; Czaja R, 2005, DESIGNING SURVEYS GU; Das R, 2018, ENERG EFFIC, V11, P465, DOI 10.1007/s12053-017-9578-4; DeVellis R.F., 2016, Scale development: Theory and applications, DOI DOI 10.1037/CCP0000482; DeWaters J, 2013, J ENVIRON EDUC, V44, P56, DOI 10.1080/00958964.2012.682615; DeWaters J, 2013, J ENVIRON EDUC, V44, P38, DOI 10.1080/00958964.2012.711378; DeWaters JE, 2011, ENERG POLICY, V39, P1699, DOI 10.1016/j.enpol.2010.12.049; Ebel, 1991, ESSENTIALS ED MEASUR; Feldpausch-Parker AM, 2019, FRONT COMMUN, V4, DOI 10.3389/fcomm.2019.00053; Fetscherin M, 2008, J ELECTRON COMMER RE, V9, P231; Field A., 2013, DISCOVERING STAT USI; Frick J, 2004, PERS INDIV DIFFER, V37, P1597, DOI 10.1016/j.paid.2004.02.015; Gadermann AM., 2012, PRACTICAL ASSESSMENT, V17, P1, DOI [10.7275/n560-j767, DOI 10.7275/N560-J767]; Gambro J.S., 1999, J ENVIRON EDUC, V30, P15, DOI DOI 10.1080/00958969909601866; Gardner GT, 2008, ENVIRONMENT, V50, P12, DOI 10.3200/ENVT.50.5.12-25; Geels FW, 2018, ENERGY RES SOC SCI, V40, P23, DOI 10.1016/j.erss.2017.11.003; GELLER ES, 1981, J CONSUM RES, V8, P331, DOI 10.1086/208872; Gill ZM, 2010, BUILD RES INF, V38, P491, DOI 10.1080/09613218.2010.505371; Godin G, 1996, AM J HEALTH PROMOT, V11, P87, DOI 10.4278/0890-1171-11.2.87; Grubler A, 2012, ENERG POLICY, V50, P8, DOI 10.1016/j.enpol.2012.02.070; Heffron RJ, 2014, APPL ENERG, V123, P435, DOI 10.1016/j.apenergy.2013.12.034; Hines J.M., 1987, J ENVIRON EDUC, V18, P1, DOI [DOI 10.1080/00958964.1987.9943482, 10.1080/00958964.1987.9943482]; HIRST E, 1983, J ENVIRON SYST, V12, P303; Hmelo-Silver CE, 2004, EDUC PSYCHOL REV, V16, P235, DOI 10.1023/B:EDPR.0000034022.16470.f3; Hofman H., 1980, School Science and Mathematics, V80, P467; Hoicka CE, 2014, ENERG POLICY, V65, P594, DOI 10.1016/j.enpol.2013.10.053; Holmes, 1978, NAEP08E01 ED COMM ST; Hungerford H.R., 1990, J ENVIRON EDUC, V21, P8, DOI [DOI 10.1080/00958964.1990.10753743, 10.1080/00958964.1990.10753743]; HUTTON RB, 1981, J CONSUM RES, V8, P291, DOI 10.1086/208867; IPCC, 2018, IPCC, DOI [DOI 10.1017/9781009157926.005, DOI 10.1017/CBO9781107415324]; Jenson B.B., 2002, ENVIRON EDUC RES, V8, P325, DOI [DOI 10.1080/13504620220145474, 10.1080/13504620220145474]; Jorgenson SN, 2019, J ENVIRON EDUC, V50, P160, DOI 10.1080/00958964.2019.1604478; Kaiser FG, 1999, EUR PSYCHOL, V4, P59, DOI 10.1027//1016-9040.4.2.59; Kashima Y, 2014, J ENVIRON PSYCHOL, V38, P64, DOI 10.1016/j.jenvp.2013.12.014; Kennedy EH, 2009, RURAL SOCIOL, V74, P309, DOI 10.1526/003601109789037268; Kline R.B., 2016, PRINCIPLES PRACTICE, DOI DOI 10.1126/SCITRANSLMED.3002085; Kollmuss A., 2002, ENVIRON EDUC RES, V8, P239, DOI [10.1080/13504620220145401, DOI 10.1080/13504620220145401]; Kormos C, 2015, ENVIRON BEHAV, V47, P479, DOI 10.1177/0013916513520416; Krathwohl D.R., 1973, TAXONOMY ED OBJECTIV; Lacroix K, 2018, ENVIRON BEHAV, V50, P749, DOI 10.1177/0013916517715296; Larson LR, 2015, J ENVIRON PSYCHOL, V43, P112, DOI 10.1016/j.jenvp.2015.06.004; LAW N, 2002, CAN J SCI MATH TECHN, V2, P151, DOI DOI 10.1080/14926150209556507; Lee LS, 2017, ENVIRON EDUC RES, V23, P855, DOI 10.1080/13504622.2015.1068276; Lee LS, 2015, ENERG POLICY, V76, P98, DOI 10.1016/j.enpol.2014.11.012; Lei PW, 2007, BEHAV RES METHODS, V39, P527, DOI 10.3758/BF03193021; Levy A, 2018, ENVIRON EDUC RES, V24, P307, DOI 10.1080/13504622.2016.1271865; Liobikiene G, 2019, SUSTAINABILITY-BASEL, V11, DOI 10.3390/su11123324; Lorenzo-Seva U, 2015, BEHAV RES METHODS, V47, P884, DOI 10.3758/s13428-014-0511-x; Lorenzo-Seva U, 2012, BEHAV RES METHODS, V44, P1191, DOI 10.3758/s13428-012-0200-6; Lucey TA, 2005, J FAM ECON ISS, V26, P283, DOI 10.1007/s10834-005-3526-8; MacArthur JL, 2020, ENERGY RES SOC SCI, V65, DOI 10.1016/j.erss.2020.101442; MADDEN TJ, 1992, PERS SOC PSYCHOL B, V18, P3, DOI 10.1177/0146167292181001; Magno C., 2009, The International Journal of Educational and Psychological Assessment, V7, P1; Mannetti L, 2004, J ENVIRON PSYCHOL, V24, P227, DOI 10.1016/j.jenvp.2004.01.002; McMakin AH, 2002, ENVIRON BEHAV, V34, P848, DOI 10.1177/001391602237252; Moore M., 2014, ABORIGINAL CANADIANS, V7; Moore M., 2013, ENERGY ENERGY LIT CA, V7; Natural Resources Canada, 2019, GEN EN; NEETF (National Environmental Education &amp; Training Foundation), 2002, AM LOW ENERGY IQ RIS; Parkins JR, 2018, ENERG POLICY, V114, P114, DOI 10.1016/j.enpol.2017.11.050; Rigdon E.E., 2010, ENCY RES DESIGN, V0th, P1046; Sabri Shafizan., 2013, International Journal of Education and Research, V1, P1; Schwartz SH., 1977, ADV EXPT SOCIAL PSYC, P221, DOI DOI 10.1016/S0065-2601(08)60358-5; Seto KC, 2016, ANNU REV ENV RESOUR, V41, P425, DOI 10.1146/annurev-environ-110615-085934; Siegel L, 2018, AUST J ENVIRON EDUC, V34, P189, DOI 10.1017/aee.2018.32; Simon Fraser University Centre for Dialogue, 2017, CIT DIAL CAN EN FUT; Simpson E.J., 1972, CLASSIFICATION ED OB; Solomon J., 1992, GETTING KNOW ENERGY; Southwell B. G., 2012, RR00181208; Sovacool BK, 2015, ENVIRON SCI POLICY, V54, P304, DOI 10.1016/j.envsci.2015.07.011; St Clair R., 2003, NEW DIRECTIONS ADULT, V2003, P69, DOI [10.1002/(ISSN)1536-0717, DOI 10.1002/ACE.111]; Statistics Canada, 2006, SURV HOUS EN US 2003; Steg L, 2015, FRONT PSYCHOL, V6, DOI 10.3389/fpsyg.2015.00805; Steg L, 2014, J ENVIRON PSYCHOL, V38, P104, DOI 10.1016/j.jenvp.2014.01.002; Steg L, 2009, J ENVIRON PSYCHOL, V29, P309, DOI 10.1016/j.jenvp.2008.10.004; Stern PC, 2014, ENERGY RES SOC SCI, V1, P41, DOI 10.1016/j.erss.2014.03.003; Stern PC, 2000, J SOC ISSUES, V56, P407, DOI 10.1111/0022-4537.00175; STERN PC, 1993, ENVIRON BEHAV, V25, P322, DOI 10.1177/0013916593255002; Stoutenborough JW, 2016, ENERG POLICY, V96, P206, DOI 10.1016/j.enpol.2016.05.031; Taber KS, 2018, RES SCI EDUC, V48, P1273, DOI 10.1007/s11165-016-9602-2; TASHCHIAN A, 1984, J PUBLIC POLICY MARK, V3, P134, DOI 10.1177/074391568400300110; Thogersen J, 2006, J ENVIRON PSYCHOL, V26, P247, DOI 10.1016/j.jenvp.2006.09.004; Turcotte A, 2012, ENERGY LIT CANADA, V5; Varma S., 2003, PRELIMINARY ITEM STA; Williams S, 2017, J ENVIRON EDUC, V48, P154, DOI 10.1080/00958964.2016.1256261; Wilson C, 2007, ANNU REV ENV RESOUR, V32, P169, DOI 10.1146/annurev.energy.32.053006.141137; Wolsink M, 2012, RENEW SUST ENERG REV, V16, P822, DOI 10.1016/j.rser.2011.09.006; Young W, 2010, SUSTAIN DEV, V18, P20, DOI 10.1002/sd.394</t>
  </si>
  <si>
    <t>ONE NEW YORK PLAZA, SUITE 4600, NEW YORK, NY, UNITED STATES</t>
  </si>
  <si>
    <t>1492-6156</t>
  </si>
  <si>
    <t>1942-4051</t>
  </si>
  <si>
    <t>CAN J SCI MATH TECHN</t>
  </si>
  <si>
    <t>Can. J. Sci. Math. Technol. Educ.</t>
  </si>
  <si>
    <t>10.1007/s42330-022-00196-4</t>
  </si>
  <si>
    <t>MAR 2022</t>
  </si>
  <si>
    <t>Education, Scientific Disciplines</t>
  </si>
  <si>
    <t>0Z0OX</t>
  </si>
  <si>
    <t>WOS:000773189600001</t>
  </si>
  <si>
    <t>Energy Literacy: knowledge, affect, and behavior of university members in Portugal</t>
  </si>
  <si>
    <t>2019 16TH INTERNATIONAL CONFERENCE ON THE EUROPEAN ENERGY MARKET (EEM)</t>
  </si>
  <si>
    <t>International Conference on the European Energy Market</t>
  </si>
  <si>
    <t>16th International Conference on the European Energy Market (EEM)</t>
  </si>
  <si>
    <t>SEP 18-20, 2019</t>
  </si>
  <si>
    <t>Ljubljana, SLOVENIA</t>
  </si>
  <si>
    <t>Energy literacy; Energy knowledge; Energy performance; Portugal; University members questionnaire</t>
  </si>
  <si>
    <t>STUDENTS; EFFICIENCY; ATTITUDES; CONSUMPTION; MIDDLE; POLICY</t>
  </si>
  <si>
    <t>Energy literacy can empower people to make thoughtful decisions and take responsible and consciousness actions. This concept involves the understanding of the nature and role of energy in the world, but also on daily lives. Nevertheless, this understanding should be followed by the ability to apply it to answer questions and solve problems related to the energy. Using a sample of members from Portuguese universities, energy literacy was measured in terms of knowledge, affect and behavior. Response patterns related to students' background and factors determining energy consumption behaviors were also studied. Statistically and in empirical terms, energy literacy levels were found, by questionnaire, as moderate, with no significative different impact and results depending on the background area, gender, and living conditions. Reasons for the findings and implications for energy education in the future are discussed.</t>
  </si>
  <si>
    <t>Madaleno, Mara/0000-0002-4905-2771; Ferreira Dias, Marta/0000-0002-6695-8479</t>
  </si>
  <si>
    <t>Aguirre-Bielschowsky I, 2017, ENVIRON EDUC RES, V23, P832, DOI 10.1080/13504622.2015.1054267; Allcott H, 2014, J PUBLIC ECON, V112, P72, DOI 10.1016/j.jpubeco.2014.01.004; Attari SZ, 2010, P NATL ACAD SCI USA, V107, P16054, DOI 10.1073/pnas.1001509107; Ballantyne R., 2006, ENVIRON EDUC RES, V12, P413, DOI [DOI 10.1080/1350462980040304, https://doi.org/10.1080/1350462980040304]; Blasch J., 2018, EMPOWER CONSUMER ENE; Bodzin A, 2012, INT J SCI EDUC, V34, P1255, DOI 10.1080/09500693.2012.661483; Bodzin AM, 2013, INT J SCI EDUC, V35, P1561, DOI 10.1080/09500693.2013.769139; Brewer R.S., 2011, 44th Hawaii International Conference on System Sciences (HICSS), P1; Brutscher P.-B., 2011, FACULTY EC; Carlsson-Kanyama A, 2007, ENERG POLICY, V35, P2163, DOI 10.1016/j.enpol.2006.06.018; Chen SJ, 2015, ENERG EFFIC, V8, P791, DOI 10.1007/s12053-015-9327-5; Costanza E, 2012, UBICOMP'12: PROCEEDINGS OF THE 2012 ACM INTERNATIONAL CONFERENCE ON UBIQUITOUS COMPUTING, P216; Cotton D, 2016, J CLEAN PROD, V129, P586, DOI 10.1016/j.jclepro.2016.03.136; DeWaters J., 2011, ENERGY LITERACY SECO; DeWaters J. E., 2007, 114 ANN ASEE C EXP H; DeWaters J, 2013, J ENVIRON EDUC, V44, P56, DOI 10.1080/00958964.2012.682615; DeWaters J, 2013, J ENVIRON EDUC, V44, P38, DOI 10.1080/00958964.2012.711378; DeWaters JE, 2011, ENERG POLICY, V39, P1699, DOI 10.1016/j.enpol.2010.12.049; Dianshu F, 2010, ENERG POLICY, V38, P1202, DOI 10.1016/j.enpol.2009.11.012; Dijkstra EM, 2012, ENVIRON EDUC RES, V18, P733, DOI 10.1080/13504622.2012.662213; do Paço A, 2013, APCBEE PROC, V5, P44, DOI 10.1016/j.apcbee.2013.05.009; FCT-Portuguese funding agency for science and technology, 2012, DOM CIENT AR CIENT; Gambro J.S., 1994, A National Survey of Environmental Knowledge in High School Students: Levels of Knowledge and Related Variables; GELLER ES, 1981, J CONSUM RES, V8, P331, DOI 10.1086/208872; Gillingham K, 2014, REV ENV ECON POLICY, V8, P18, DOI 10.1093/reep/ret021; Gillingham K, 2009, ANNU REV RESOUR ECON, V1, P597, DOI 10.1146/annurev.resource.102308.124234; Kumar N., 2019, 19312 CERETH; Lee LS, 2015, ENERG POLICY, V76, P98, DOI 10.1016/j.enpol.2014.11.012; Murphy T.P., 2008, 3 MINNESOTA REPORT C; Murphy T.P., 2002, The Minnesota report card on environmental literacy; Palmer K, 2013, ENERG EFFIC, V6, P271, DOI 10.1007/s12053-012-9178-2; Räty R, 2010, ENERG POLICY, V38, P646, DOI 10.1016/j.enpol.2009.08.010; Sovacool BK, 2015, ENVIRON SCI POLICY, V54, P304, DOI 10.1016/j.envsci.2015.07.011; Staats HJ, 1996, J ENVIRON MANAGE, V46, P189, DOI 10.1006/jema.1996.0015; Trotta G., 2017, 15 IAEE EUR C; U.S. Department of Energy, 2017, EN LIT ESS PRINC FUN; van der Horst D, 2016, J GEOGR HIGHER EDUC, V40, P67, DOI 10.1080/03098265.2015.1089477; Yeh SC, 2017, SUSTAINABILITY-BASEL, V9, DOI 10.3390/su9030423</t>
  </si>
  <si>
    <t>2165-4077</t>
  </si>
  <si>
    <t>978-1-7281-1257-2</t>
  </si>
  <si>
    <t>INT CONF EUR ENERG</t>
  </si>
  <si>
    <t>10.1109/eem.2019.8916458</t>
  </si>
  <si>
    <t>Energy &amp; Fuels; Engineering, Electrical &amp; Electronic</t>
  </si>
  <si>
    <t>Energy &amp; Fuels; Engineering</t>
  </si>
  <si>
    <t>BO6MY</t>
  </si>
  <si>
    <t>WOS:000521338300119</t>
  </si>
  <si>
    <t>Ocean Literacy and school: Teacher's perception about teaching marine environments related contents</t>
  </si>
  <si>
    <t>Coastal Marine Environmental Education; interviews; pedagogical practices</t>
  </si>
  <si>
    <t>EDUCATION; AWARENESS; SCIENCES</t>
  </si>
  <si>
    <t>Ocean Literacy concerns public knowledge on the ocean to citizenship on the use of marine environments and resources. To investigate how contents related to the ocean and marine environments are related to formal education, this study interviewed teachers of basic education in the city of Niteroi, Rio de Janeiro. The results indicated that teachers show connection and realize the importance of the theme for school and students, however, they reported a limited or indirect approach to these contents in the curriculum. Teachers feel willing to include this theme in their classes, however believe that training and connection of the theme to the curriculum are necessary and, above all, a society willing to value this knowledge.</t>
  </si>
  <si>
    <t>[Pazoto, Carmen Edith; Duarte, Michelle Rezende] Univ Fed Fluminense UFF, Dept Biol Marinha, Lab Genet Marinha &amp; Evolucao, Programa Posgrad Biol Marinha &amp; Ambientes Costeiro, Niteroi, RJ, Brazil; [Silva, Edson Pereira] Univ Fed Fluminense UFF, Dept Biol Marinha, Inst Biol, Niteroi, RJ, Brazil</t>
  </si>
  <si>
    <t>Universidade Federal Fluminense; Universidade Federal Fluminense</t>
  </si>
  <si>
    <t>Pazoto, CE (corresponding author), Univ Fed Fluminense UFF, Dept Biol Marinha, Lab Genet Marinha &amp; Evolucao, Programa Posgrad Biol Marinha &amp; Ambientes Costeiro, Niteroi, RJ, Brazil.</t>
  </si>
  <si>
    <t>carmenpazoto@gmail.com; michellerezendeduarte@yahoo.com.br; edsonpereirasilva@id.uff.br</t>
  </si>
  <si>
    <t>Anderson C, 2018, ENVIRON EDUC RES, V24, P1684, DOI 10.1080/13504622.2018.1477120; [Anonymous], 1999, Dispoe sobre a educacao ambiental, institui a Politica Nacional de Educacao Ambiental e da outras providencias; Barata G., 2021, Ciencia e Cultura, V73, P16, DOI [10.21800/2317-66602021000200005, DOI 10.21800/2317-66602021000200005]; BARDIN Laurence., 2006, Analise de Conteudo, P70; Barracosa H, 2019, FRONT MAR SCI, V6, DOI 10.3389/fmars.2019.00626; BENETTI Bernadete, 2002, P 10 S INT ORG SCI T; Berchez F., 2007, OLAM Ciencia Tecnologia, V7, P181; Berchez FAS, 2016, BRAZ J OCEANOGR, V64, DOI 10.1590/S1679-875920160932064sp2; BRASIL. [Base Nacional Curricular Comum, 2017, Base Nacional Comum Curricular: Educacao e a base; BRASIL. [Lei de diretrizes e bases, 1996, Lei de Diretrizes e Bases da Educacao Nacional; BRASIL. [Parametros Curriculares Nacionais, 1997, Parametros Curriculares Nacionais; Camargo B.V., 2013, Temas em psicologia, V21, P513, DOI [DOI 10.9788/TP2013.2-16, 10.9788/TP2013.2-16]; Salvador PTCD, 2017, REV BRAS ENFERM, V70, P572, DOI 10.1590/0034-7167-2016-0123; Castle Z, 2010, OCEAN YEARB, V24, P425, DOI 10.1163/22116001-90000066; Costa S, 2018, MAR POLICY, V87, P149, DOI 10.1016/j.marpol.2017.10.022; Eidietis L., 2011, Journal of Geoscience Education, V56, P242, DOI DOI 10.5408/1.3651406; FRIZZO Tais Cristine Ernst, 2018, Rev. Eletronica Mestr. Educ. Ambient., Rio Grande, P115, DOI DOI 10.14295/REMEA.V0I1.8567; Gelcich S, 2014, P NATL ACAD SCI USA, V111, P15042, DOI 10.1073/pnas.1417344111; GHILARDI-LOPES Natalia Pirani, 2022, Dialogos Socioambientais, V5, P43; GHILARDI-LOPES Natalia Pirani, 2019, Coastal and marine environmental education; Ghosn-Chelala M, 2021, ENVIRON EDUC RES, V27, P366, DOI 10.1080/13504622.2021.1879024; Gil A.C., 2002, S O PAULO; Gohn Maria da Glória, 2006, Ensaio: aval.pol.públ.Educ., V14, P27; Gough A, 2017, MAR POLLUT BULL, V124, P633, DOI 10.1016/j.marpolbul.2017.06.069; Guest H, 2015, MAR POLICY, V58, P98, DOI 10.1016/j.marpol.2015.04.007; Ham S., 1988, The Journal of Environmental Education, V19, P17, DOI [DOI 10.1080/00958964.1988.9942751, https://doi.org/10.1080/00958964.1988.9942751]; Kopke K, 2019, FRONT MAR SCI, V6, DOI 10.3389/fmars.2019.00060; LIBANEO JoseC., 1994, Didatica; Loureiro C.F. B., 2012, Sustentabilidade e Educacao: um olhar da ecologia politica; MARRERO Meghan, 2010, Electronic Journal of Science Education, Texas, V14, P1; McKinley E, 2010, OCEAN COAST MANAGE, V53, P379, DOI 10.1016/j.ocecoaman.2010.04.012; McPherson K., 2018, Appl. Environ. Educ. Commun., V19, P129, DOI [10.1080/1533015X.2018.1533439, DOI 10.1080/1533015X.2018.1533439]; McPherson K., 2018, Int. J. Learn. Teach. Educ. Res., V17, P1, DOI [10.26803/ijlter.17.11.1, DOI 10.26803/IJLTER.17.11.1]; Mogias A, 2015, J ENVIRON EDUC, V46, P251, DOI 10.1080/00958964.2015.1050955; MOLLOY Owen, 2021, Ocean Literacy: Understanding the ocean; OCEAN LITERACY NETWORK, Ocean literacy: the essential principles and fundamental concepts of ocean sciences for learners of all ages version 3; Payne DL, 2010, ASTE SER SCI EDUC, P81, DOI 10.1007/978-90-481-9222-9_6; Pazoto CE, 2021, OCEAN COAST RES, V69, DOI 10.1590/2675-2824069.21008cep; Pedrini A. G., 2010, Educacao ambiental marinha e costeira no Brasil; RESOLUCAO CNE-2 [Resolucao numero 2 Conselho Nacional de Educacao, 2012, Diretrizes Curriculares Nacionais para a Educacao Ambiental; Santos CR, 2018, OCEAN COAST MANAGE, V164, P147, DOI 10.1016/j.ocecoaman.2017.08.011; Sautu R., 2005, La construccion del marco teorico em la investigacion social, P29; Sauvé L, 2010, ENSEN CIENC, V28, P5; Schoedinger S., 2010, NMEA Special Report, V3, P3; Steel BS, 2005, OCEAN COAST MANAGE, V48, P97, DOI 10.1016/j.ocecoaman.2005.01.002; Stefanelli-Silva G, 2019, FRONT MAR SCI, V6, DOI 10.3389/fmars.2019.00389; Umuhire ML, 2016, MAR POLLUT BULL, V102, P289, DOI 10.1016/j.marpolbul.2015.07.067; Visbeck M, 2018, NAT COMMUN, V9, DOI 10.1038/s41467-018-03158-3</t>
  </si>
  <si>
    <t>R9MG6</t>
  </si>
  <si>
    <t>WOS:001067514700007</t>
  </si>
  <si>
    <t>Carvalho, SC; Braga, HO; de Santa-Maria, S; Fonte, B; Pereira, MJ; García-Vinuesa, A; Azeiteiro, UM</t>
  </si>
  <si>
    <t>Carvalho, Sara Costa; Braga, Heitor Oliveira; de Santa-Maria, Sofia; Fonte, Beatriz; Pereira, Mario Jorge; Garcia-Vinuesa, Antonio; Azeiteiro, Ulisses Miranda</t>
  </si>
  <si>
    <t>An Environmental Education and Communication Project on Migratory Fishes and Fishing Communities</t>
  </si>
  <si>
    <t>ocean and estuarine literacy; migratory fishing species; Minho River Estuary</t>
  </si>
  <si>
    <t>OCEAN LITERACY; SCIENTIFIC LITERACY; KNOWLEDGE; ATTITUDES</t>
  </si>
  <si>
    <t>This study aims at evaluating the environmental education (EE) and communication intervention for the valorization of migratory fish resources in an estuary of northern Portugal. The EE component intervention was implemented among Middle School pupils of that region. Students' knowledge was quantitatively evaluated with an experimental approach of pre-testing and post-testing, on the ocean and estuarine literacy (OEL) and biology of migratory species, such as sea lamprey. This study also analyzes the communication component developed via social media. Results of the EE component show an evident increment of OEL (p &lt; 0.05). It is also highlighted that students had previous knowledge on issues that are not covered in the curriculum. Social media has shown to be an effective communication tool mostly among the scientific community (e.g., Ethnobiology). The research has various implications to OEL since it brings a new perspective towards the integration of ocean literacy in formal education; as well as the valorization of Students' local ecological knowledge and of inter-generational dynamics. This study contributed to promoting local biodiversity, OEL, and participatory local governance of these ecosystems.</t>
  </si>
  <si>
    <t>[Carvalho, Sara Costa; Braga, Heitor Oliveira; Pereira, Mario Jorge; Azeiteiro, Ulisses Miranda] Univ Aveiro, Ctr Environm &amp; Marine Studies CESAM, Campus Univ Santiago, P-3810193 Aveiro, Portugal; [Carvalho, Sara Costa; Braga, Heitor Oliveira; de Santa-Maria, Sofia; Fonte, Beatriz; Pereira, Mario Jorge; Azeiteiro, Ulisses Miranda] Univ Aveiro, Dept Biol, Campus Univ Santiago, P-3810193 Aveiro, Portugal; [Braga, Heitor Oliveira] Minist Educ Brazil, CAPES Fdn, BR-70040020 Brasilia, DF, Brazil; [Garcia-Vinuesa, Antonio] Univ Santiago Compostela, Dept Educ Sci, SEPA Interea Res Grp, Santiago De Compostela 15782, Spain</t>
  </si>
  <si>
    <t>Universidade de Aveiro; Universidade de Aveiro; Coordenacao de Aperfeicoamento de Pessoal de Nivel Superior (CAPES); Universidade de Santiago de Compostela</t>
  </si>
  <si>
    <t>Carvalho, SC (corresponding author), Univ Aveiro, Ctr Environm &amp; Marine Studies CESAM, Campus Univ Santiago, P-3810193 Aveiro, Portugal.;Carvalho, SC (corresponding author), Univ Aveiro, Dept Biol, Campus Univ Santiago, P-3810193 Aveiro, Portugal.</t>
  </si>
  <si>
    <t>saradcarvalho@ua.pt; heitorob@ua.pt; sofiasm99@ua.pt; beatrizfonte@ua.pt; mverde@ua.pt; a.garcia.vinuesa@usc.es; ulisses@ua.pt</t>
  </si>
  <si>
    <t>li, chunlan/IUP-7784-2023; Azeiteiro, Ulisses Manuel de Miranda/C-5933-2008; García-Vinuesa, Antonio/AAI-2922-2020; De Oliveira Braga, Heitor/ABD-6331-2020</t>
  </si>
  <si>
    <t>Azeiteiro, Ulisses Manuel de Miranda/0000-0002-5252-1700; García-Vinuesa, Antonio/0000-0003-3969-4647; De Oliveira Braga, Heitor/0000-0002-9627-115X; Pereira, Mario J./0000-0003-1826-391X; Carvalho, Sara Costa/0000-0002-0954-8449</t>
  </si>
  <si>
    <t>Municipal Council of Vila Nova de Cerveira [5/2016]; CESAM [UID/AMB/50017/2019]; FCT/MCTES; FEDER, within the PT2020 Partnership Agreement; FEDER, within the Compete 2020; Fundacao para a Ciencia e Tecnologia [SFRH/BPD/116379/2016]; Resclima-EDU Project [RTI2018-094074-B-I00]; CAPES Foundation-Ministry of Education of Brazil [BEX: 8926/13-1]; Fundação para a Ciência e a Tecnologia [SFRH/BPD/116379/2016] Funding Source: FCT</t>
  </si>
  <si>
    <t>Municipal Council of Vila Nova de Cerveira; CESAM; FCT/MCTES(Fundacao para a Ciencia e a Tecnologia (FCT)); FEDER, within the PT2020 Partnership Agreement; FEDER, within the Compete 2020; Fundacao para a Ciencia e Tecnologia(Fundacao para a Ciencia e a Tecnologia (FCT)); Resclima-EDU Project; CAPES Foundation-Ministry of Education of Brazil(Coordenacao de Aperfeicoamento de Pessoal de Nivel Superior (CAPES)); Fundação para a Ciência e a Tecnologia(Fundacao para a Ciencia e a Tecnologia (FCT))</t>
  </si>
  <si>
    <t>The publication was carried out in the context of the provision of services called Valorization of the fishing production of the Minho River-contribution to the management and valorization of fishing products of the Minho River (COOPERMINHO)-Communication and socio-environmental training of the Local community for the valorization of the fish resources of the Minho River, financed, via the Municipal Council of Vila Nova de Cerveira, by the program Mar 2020-Programa Operacional Mar 2020 Aviso nffi5/2016. Thanks are due for the financial support to CESAM (UID/AMB/50017/2019), to FCT/MCTES through national funds, and the co-funding by the FEDER, within the PT2020 Partnership Agreement and Compete 2020. This work was also supported by the Fundacao para a Ciencia e Tecnologia under Grant SFRH/BPD/116379/2016; by the Resclima-EDU Project, funded in the 2018 Call of the State Program of I + D + I, oriented to the Challenges of the Society of the Government of Spain (ref. RTI2018-094074-B-I00). Braga HO thanks the CAPES Foundation-Ministry of Education of Brazil (BEX: 8926/13-1). Authors are grateful to students and teachers from the Escola Basica e Secundaria de Vila Nova de Cerveira who collaborated in the success of this research. The authors acknowledge Carlos Antunes for comments to improve the manuscript.</t>
  </si>
  <si>
    <t>Agrupamento de Escolas de Vila Nova de Cerveira, 2017, PERF REAL AMB AGR ES PERF REAL AMB AGR ES; Almeida P.R., 2018, SUSTAINABLE DEV OCEA, P189; Alves F, 2013, INT J INNOV SUSTAIN, V7, P111, DOI 10.1504/IJISD.2013.053323; [Anonymous], 2006, TRAINING DEV HUMAN S; [Anonymous], 2001, The Journal of Environmental Education, DOI DOI 10.1080/00958960109598658; APA-Agencia Portuguesa do Ambiente, 2017, ESTR NAC ED AMB 2020 ESTR NAC ED AMB 2020; Aquamuseu, 2020, AQ AQ RIO MINH AQ AQ RIO MINH; Azeiteiro UM, 2021, FISHES-BASEL, V6, DOI 10.3390/fishes6020021; Bisquerra R., 2000, METODOS INVESTIGACIO METODOS INVESTIGACIO; Braga HO, 2020, OCEAN COAST MANAGE, V198, DOI 10.1016/j.ocecoaman.2020.105345; Braga HO, 2019, J ETHNOBIOL ETHNOMED, V15, DOI 10.1186/s13002-019-0345-9; Camara Municipal de Vila Nova de Cerveira (CMVNC) [City Council of Vila Nova de Cerveira], 2012, ACTION PLAN ENERGY S; Carvalho S., 2011, JICZM J INTEGR COAST, V11, P433; Carvalho S.C., 2020, HDB RES CULTURAL HER; Carvalho S.C., 2018, APPL ENV ED COMMUN, V18, P266, DOI [10.1080/1533015X.2018.1467290, DOI 10.1080/1533015X.2018.1467290]; Chen SH, 2012, J CLIN NURS, V21, P2, DOI 10.1111/j.1365-2702.2011.03885.x; Clemens BJ, 2021, J GREAT LAKES RES, V47, pS129, DOI 10.1016/j.jglr.2020.09.005; Conselho Local de Acao Social [Local Social Action Council], 2018, DIAGN SOC VIL NOV CE DIAGN SOC VIL NOV CE; Costa S, 2018, MAR POLICY, V87, P149, DOI 10.1016/j.marpol.2017.10.022; Doney J, 2020, INFORM TECHNOL LIBR, V39, DOI 10.6017/ital.v39i3.12211; Eilam E, 2012, SUSTAINABILITY-BASEL, V4, P2210, DOI 10.3390/su4092210; Fauville G, 2015, COMPUT EDUC, V82, P60, DOI 10.1016/j.compedu.2014.11.003; Fauville G, 2018, MAR POLICY, V91, P85, DOI 10.1016/j.marpol.2018.01.034; Fauville G, 2017, INT J SCI EDUC, V39, P2151, DOI 10.1080/09500693.2017.1365184; Garcia-Vinuesa A., 2020, REV INVESTIG ED LATI, V57, P1, DOI [10.7764/PEL.57.2.2020.5, DOI 10.7764/PEL.57.2.2020.5]; Guest H, 2015, MAR POLICY, V58, P98, DOI 10.1016/j.marpol.2015.04.007; Instituto Nacional de Estatistica, 2013, EST TERR EST TERR; Kapelari S, 2020, SUSTAINABILITY-BASEL, V12, DOI 10.3390/su12041509; Kopke K, 2019, FRONT MAR SCI, V6, DOI 10.3389/fmars.2019.00060; Lambert J, 2006, INT J SCI EDUC, V28, P633, DOI 10.1080/09500690500339795; Lehtonen A, 2018, J CLEAN PROD, V199, P860, DOI 10.1016/j.jclepro.2018.07.186; Leitao R, 2018, INTED PROC, P5058; Lin YL, 2020, SUSTAINABILITY-BASEL, V12, DOI 10.3390/su12177115; Luepsen H, 2018, COMMUN STAT-SIMUL C, V47, P2547, DOI 10.1080/03610918.2017.1353613; Marrero ME, 2019, FRONT MAR SCI, V6, DOI 10.3389/fmars.2019.00325; Miller D. M, 2009, MEASUREMENT ASSESSME; Ministerio da Educacao [Ministry of Education], PERF AL SAID ESC OBR PERF AL SAID ESC OBR; Mogias A, 2015, J ENVIRON EDUC, V46, P251, DOI 10.1080/00958964.2015.1050955; Morales-Miranda J, 2006, AMBIENT SUSTENTABLE, V1, P209; Mota M, 2016, LIMNETICA, V35, P1; Realdon G, 2019, REND ONLINE SOC GEOL, V49, P107, DOI 10.3301/ROL.2019.59; Ryabinin V, 2019, FRONT MAR SCI, V6, DOI 10.3389/fmars.2019.00470; Sampieri R.H., 2006, METODOLOGIA INVESTIG METODOLOGIA INVESTIG; Baptista GCS, 2009, SCI EDUC-NETHERLANDS, V18, P503, DOI 10.1007/s11191-008-9173-3; Schoedinger S., 2010, NMEA Special Report, V3, P3; Schulz-Harder J., 2008, 5th International Conference on Integrated Power Electronics Systems, Nuremberg, Germany, P1, DOI DOI 10.1109/MILCOM.2008.4753118; Stratoudakis Y, 2020, MAR POLICY, V119, DOI 10.1016/j.marpol.2020.104049; United Nations Educational Scientific and Cultural Organization, 2018, ROADM UN DEC OC SCI ROADM UN DEC OC SCI; United Nations Educational Scientific and Cultural Organization, 2015, TRANSF OUR WORLD 203; United Nations Educational Scientific and Cultural Organization, 2017, DEC OC SCI SUST DEV DEC OC SCI SUST DEV; Visbeck M, 2018, NAT COMMUN, V9, DOI 10.1038/s41467-018-03158-3</t>
  </si>
  <si>
    <t>10.3390/educsci11070337</t>
  </si>
  <si>
    <t>TN5FH</t>
  </si>
  <si>
    <t>WOS:000676259700001</t>
  </si>
  <si>
    <t>Energy Literacy Among Middle and High School Youth</t>
  </si>
  <si>
    <t>FIE: 2008 IEEE FRONTIERS IN EDUCATION CONFERENCE, VOLS 1-3</t>
  </si>
  <si>
    <t>Frontiers in Education Conference</t>
  </si>
  <si>
    <t>IEEE Frontiers in Education Conference 2008</t>
  </si>
  <si>
    <t>OCT 22-25, 2008</t>
  </si>
  <si>
    <t>Saratoga Springs, NY</t>
  </si>
  <si>
    <t>Energy; Energy literacy; Education</t>
  </si>
  <si>
    <t>CONSERVATION; ATTITUDE</t>
  </si>
  <si>
    <t>An energy literacy survey for middle and high school students has been developed according to established psychometric principles and methodologies. The survey measures energy-related knowledge, attitudes and behaviors and is correlated to established benchmarks that define energy literacy as determined by a panel of energy- and energy-education specialists. Results from a pilot of the survey among 955 New York State students indicate low levels of energy-related knowledge, with fewer than 1% of the students scoring above 80%. Attitude and behavior scores are slightly better, suggesting that while students may recognize the existence of an energy problem, they generally lack the knowledge and capabilities to effectively contribute toward a solution. Results support the need for development and implementation of energy education programs as part of the regular school curriculum.</t>
  </si>
  <si>
    <t>[DeWaters, Jan; Powers, Susan] Clarkson Univ, Potsdam, NY 13676 USA</t>
  </si>
  <si>
    <t>dewaters@clarkson.edu; sep@clarkson.edu</t>
  </si>
  <si>
    <t>ABDELGAID S, 1986, J RES SCI TEACH, V23, P823, DOI 10.1002/tea.3660230907; [Anonymous], 2006, TRAINING DEV HUMAN S; [Anonymous], EN KNOWL ATT NAT ASS; [Anonymous], THESIS U WISCONSIN S; [Anonymous], AM LOW EN IQ RISK OU; [Anonymous], THESIS U WISCONSIN S; Barrow L., 1989, Journal of Environmental Education, V20, P22, DOI [10.1080/00958964.1989.9943027, DOI 10.1080/00958964.1989.9943027]; Barrow L.H., 1987, The Journal of Environmental Education, V18, P15; BENSON J, 1982, AM J OCCUP THER, V36, P789, DOI 10.5014/ajot.36.12.789; COSTANZO M, 1986, AM PSYCHOL, V41, P521, DOI 10.1037/0003-066X.41.5.521; DeVellis R.F., 2017, SCALE DEV THEORY APP; DeWaters J. E., 2007, P 2007 ASEE ANN C EX; HOLDEN CC, 1984, J RES SCI TEACH, V21, P187, DOI 10.1002/tea.3660210209; JACKSON E L, 1985, Journal of Environmental Education, V17, P23; *KEEP, 2003, K 12 EN ED PROGR CON; KOBALLA TR, 1984, J RES SCI TEACH, V21, P709, DOI 10.1002/tea.3660210705; *NEED PROJ, 2006, SEC EN POLL BLUEPR S, P39; *NOWCAST, 2005, AM METEROLOGICAL JUN, P775; Pearson G., 2002, TECHNICALLY SPEAKING; Roth C., 1996, BENCHMARKS WAY ENV L</t>
  </si>
  <si>
    <t>0190-5848</t>
  </si>
  <si>
    <t>978-1-4244-1969-2</t>
  </si>
  <si>
    <t>PROC FRONT EDUC CONF</t>
  </si>
  <si>
    <t>Education &amp; Educational Research; Education, Scientific Disciplines; Engineering, Electrical &amp; Electronic</t>
  </si>
  <si>
    <t>BMA59</t>
  </si>
  <si>
    <t>WOS:000271669200027</t>
  </si>
  <si>
    <t>Azevedo, J; Marques, M</t>
  </si>
  <si>
    <t>Azevedo, Jose; Marques, Margarida</t>
  </si>
  <si>
    <t>Climate literacy: a systematic review and model integration</t>
  </si>
  <si>
    <t>science literacy; science education; science communication; climate literacy; literature review</t>
  </si>
  <si>
    <t>SCIENCE-EDUCATION; SCIENTIFIC LITERACY; STUDENTS; COMMUNICATION; CHALLENGE; KNOWLEDGE</t>
  </si>
  <si>
    <t>Snow's division between cultures is visible in scientific literacy (SL) research: there is a gap between the science education and the science communication fields. We reflect on a way to end this critical disparity. The case of climate change was used as a situational prototype that helps to unite broad communication issues and established knowledge. The choice of this case is justified by the current international interest and calls for the development of a climate-literate public. Research has shown that misunderstandings about climate change can persist even after instruction and that some scepticism emerged in several developed countries. A literature review of climate literacy was conducted. The analysis resulted in a new integrative model for understanding literacy. We hope that the proposed model can be the basis for the re-emergence of science literacy as a key concept, of well-grounded practices and of accurate measurement tools.</t>
  </si>
  <si>
    <t>[Azevedo, Jose; Marques, Margarida] Univ Porto, Fac Arts, Via Panoramica S-N, P-4150564 Oporto, Portugal</t>
  </si>
  <si>
    <t>Universidade do Porto</t>
  </si>
  <si>
    <t>Azevedo, J (corresponding author), Univ Porto, Fac Arts, Via Panoramica S-N, P-4150564 Oporto, Portugal.</t>
  </si>
  <si>
    <t>azevedo@letras.up.pt; margmmarq@gmail.com</t>
  </si>
  <si>
    <t>Marques, Margarida Morais/A-1025-2011; Marques, Margarida/HGE-4934-2022; Azevedo, Jose/N-9854-2015</t>
  </si>
  <si>
    <t>Marques, Margarida Morais/0000-0002-4325-9122; Azevedo, Jose/0000-0002-6738-1827</t>
  </si>
  <si>
    <t>EEA Grants by the Portuguese Environment Agency, IP (APA, IP) through the Portuguese Carbon Fund</t>
  </si>
  <si>
    <t>This paper is published as part of the project Clima@EduMedia, which is co-financed by the EEA Grants at a rate of 85% and 15% by the Portuguese Environment Agency, IP (APA, IP) through the Portuguese Carbon Fund. The authors would like to thank the reviewers for their insightful comments on the manuscript, which led to an improvement of the paper.</t>
  </si>
  <si>
    <t>[Anonymous], 2011, AM TEENSKNOWLEDGE CL; [Anonymous], 2009, Climate Literacy: The essential Principles of Climate Science; [Anonymous], 1997, Education for a sustainable future: A transdisciplinary vision for concerted action; [Anonymous], 2014, Fifth assessment report (AR5). Synthesis Report; Arndt DS, 2008, PHYS GEOGR, V29, P487, DOI 10.2747/0272-3646.29.6.487; Baram-Tsabari A, 2015, J RES SCI TEACH, V52, P135, DOI 10.1002/tea.21202; Batteen M.L., 2008, FORUM PUBLIC POLICY, P1; Bauer MW, 2007, PUBLIC UNDERST SCI, V16, P79, DOI 10.1177/0963662506071287; Berbeco M., 2014, NEW TRENDS EARTH SCI, P155; Bodzin AM., 2014, Journal of Geoscience Education, V62, P417, DOI DOI 10.5408/13-042.1; Bogataj L.K., 2010, 14 IOSTE; Bybee R., 2014, Science/ Environment/ Health: Towards a Renewed Pedagogy for Science Education, P49, DOI DOI 10.1007/978-90-481-3949-1; Bybee R.W., 1997, SCI LITERACY, P37; Capstick S, 2015, WIRES CLIM CHANGE, V6, P35, DOI 10.1002/wcc.321; Carvalho A., 2011, As alteracoes climaticas, os media e os cidadaos; Collins H.M., 1982, Sociology of Scientific Knowledge: A Source Book; Colucci-Gray L, 2006, SCI EDUC, V90, P227, DOI 10.1002/sce.20109; Cooper CB, 2011, BIOSCIENCE, V61, P231, DOI 10.1525/bio.2011.61.3.8; DeWaters J.E., 2014, Journal of Geoscience Education, V62, P469; Dupigny-Giroux L.-A., 2012, Journal of Geoscience Education, V60, P133, DOI DOI 10.5408/11-238.1; Dupigny-Giroux LAL, 2010, GEOGR COMPASS, V4, P1203, DOI 10.1111/j.1749-8198.2010.00368.x; Dupigny-Giroux LAL, 2008, PHYS GEOGR, V29, P483, DOI 10.2747/0272-3646.29.6.483; Fauville G, 2015, COMPUT EDUC, V82, P60, DOI 10.1016/j.compedu.2014.11.003; Garfin G., 2011, PARK SCI, V28, P34; Gold A.U., 2015, J SUSTAINABILITY ED, V8; Hallar AG, 2011, B AM METEOROL SOC, V92, P909, DOI 10.1175/2011BAMS3026.1; Johnson R.M., 2008, AM GEOPH UN FALL M 2; Kelly L.-A.D., 2014, Journal of Geoscience Education, V62, P502, DOI DOI 10.5408/13-078.1; KEMPTON W, 1991, GLOBAL ENVIRON CHANG, V1, P183, DOI 10.1016/0959-3780(91)90042-R; Lambert JL, 2012, INT J SCI EDUC, V34, P1167, DOI 10.1080/09500693.2011.633938; Ledley T S., 2014, Journal of Geoscience Education, V62, P307, DOI DOI 10.5408/13-057.1; Lewenstein BV, 2015, J RES SCI TEACH, V52, P253, DOI 10.1002/tea.21201; Liu SY, 2014, GEOPHYS MONOGR SER, V203, P31; Lohr VI, 2014, HORTTECHNOLOGY, V24, P132, DOI 10.21273/HORTTECH.24.1.132; Lowrey JL, 2009, CLIM RES, V40, P103, DOI 10.3354/cr00827; McCaffrey M., 2015, J SUSTAINABILITY ED, V8; McCaffrey MS, 2008, PHYS GEOGR, V29, P512, DOI 10.2747/0272-3646.29.6.512; McNeal K.S., 2014, Journal of Geoscience Education, V62, P291, DOI DOI 10.5408/1089-9995-62.3.291; Milér T, 2011, PROCD SOC BEHV, V12, P150, DOI 10.1016/j.sbspro.2011.02.021; Correia PRM, 2010, J CLEAN PROD, V18, P678, DOI 10.1016/j.jclepro.2009.09.011; Niepold F, 2008, PHYS GEOGR, V29, P529, DOI 10.2747/0272-3646.29.6.529; Organisation for Economic Co-operation and Development/Programme for International Student Assessment (OECD/PISA), 2013, PISA 2015 S IN PRESS; Organisation for Economic Co-operation and Development/Programme for International Student Assessment (OECD/PISA), 2001, MEAS STUD KNOWL SKIL; Pidgeon N, 2011, NAT CLIM CHANGE, V1, P35, DOI [10.1038/NCLIMATE1080, 10.1038/nclimate1080]; Powers S.E., 2013, ASEE ANN C EXP ATL G; Reis J, 2014, GEOHERITAGE, V6, P217, DOI 10.1007/s12371-014-0105-0; Schuldt JP, 2011, PUBLIC OPIN QUART, V75, P115, DOI 10.1093/poq/nfq073; Seacrest S, 2000, J AM WATER RESOUR AS, V36, P253, DOI 10.1111/j.1752-1688.2000.tb04265.x; Shafer M., 2009, 18 S ED; Shafer MA, 2008, PHYS GEOGR, V29, P561, DOI 10.2747/0272-3646.29.6.561; Shepardson DP, 2011, CLIMATIC CHANGE, V104, P481, DOI 10.1007/s10584-009-9786-9; Snow C.P., 1956, New Statesman, V6, P413; Stevenson KT, 2014, CLIMATIC CHANGE, V126, P293, DOI 10.1007/s10584-014-1228-7; Uherek E, 2008, PHYS GEOGR, V29, P545, DOI 10.2747/0272-3646.29.6.545</t>
  </si>
  <si>
    <t>3-4</t>
  </si>
  <si>
    <t>10.1504/IJGW.2017.10005893</t>
  </si>
  <si>
    <t>FQ6RW</t>
  </si>
  <si>
    <t>WOS:000418492700007</t>
  </si>
  <si>
    <t>Kellberg, S; Keller, M; Nordine, J; Moser, S; Lewalter, D</t>
  </si>
  <si>
    <t>Kellberg, Sarah; Keller, Melanie; Nordine, Jeffrey; Moser, Stephanie; Lewalter, Doris</t>
  </si>
  <si>
    <t>Energy literacy for all? Exploring whether prior interest and energy knowledge mediate energy literacy development in a modern socio-scientific museum exhibition</t>
  </si>
  <si>
    <t>INTERNATIONAL JOURNAL OF SCIENCE EDUCATION PART B-COMMUNICATION AND PUBLIC ENGAGEMENT</t>
  </si>
  <si>
    <t>Energy literacy; socio-scientific issues; formal education; informal education; exhibition; conceptual energy knowledge</t>
  </si>
  <si>
    <t>SCIENCE; EDUCATION; EVOLUTION; HISTORY; POLICY</t>
  </si>
  <si>
    <t>Combining the inherent strengths of school teaching and museum exhibitions on socio-scientific issues could be a complementary approach to prepare students in a holistic and reasonably time-effective way for major future challenges. However, at present it is not known how effective these exhibitions really are, nor to what extent topic interest and school-based knowledge would prove useful for learning in such exhibitions. This study examines these questions in the context of the energy transition from fossil to sustainable energy-sources as a current socio-scientific issue. We investigated how a visit to a modern socio-scientific museum exhibition implementing a multitude of perspectives associated with the energy transition fosters students' critical energy literacy; and we explored how students' development of energy literacy was influenced by their prior interest in the topic of the energy transition and conceptual knowledge of energy. Results showed a partial but significant increase in students' critical energy literacy and that this increase was not related to prior topic interest but was mediated by students' conceptual knowledge of energy. These findings suggest that modern socio-scientific exhibitions can indeed be a valuable resource for students to develop their critical scientific literacy, building on the conceptual knowledge currently taught in the classroom.</t>
  </si>
  <si>
    <t>[Kellberg, Sarah; Moser, Stephanie; Lewalter, Doris] Tech Univ Munich, Sch Social Sci &amp; Technol, Dept Educ Sci, Munich, Germany; [Kellberg, Sarah; Keller, Melanie; Nordine, Jeffrey] IPN Leibniz Inst Sci &amp; Math Educ, Phys Educ, Kiel, Germany; [Nordine, Jeffrey] Univ Iowa, Coll Educ, Dept Teaching &amp; Learning, Iowa City, IA USA</t>
  </si>
  <si>
    <t>Technical University of Munich; Leibniz Institut fur die Padagogik der Naturwissenschaften und Mathematik an der Universitat Kiel (IPN); University of Iowa</t>
  </si>
  <si>
    <t>Kellberg, S (corresponding author), Tech Univ Munich, Sch Social Sci &amp; Technol, Dept Educ Sci, Munich, Germany.;Kellberg, S (corresponding author), IPN Leibniz Inst Sci &amp; Math Educ, Phys Educ, Kiel, Germany.</t>
  </si>
  <si>
    <t>kellberg@leibniz-ipn.de</t>
  </si>
  <si>
    <t>Nordine, Jeffrey/0000-0003-2279-0763</t>
  </si>
  <si>
    <t>Kiel Science Outreach Campus; Bavarian Ministry of State for Education and Culture, Science and Art</t>
  </si>
  <si>
    <t>We would like to thank the Bavarian Ministry of State for Education and Culture, Science and Art for approving this study and the Deutsches Museum for making this study possible as well as all students willing to participate in this educational research.</t>
  </si>
  <si>
    <t>Adams J, 2022, ENERGY RES SOC SCI, V91, DOI 10.1016/j.erss.2022.102718; Aikenhead G.S., 2006, SCI ED EVERYDAY LIFE; Bamberger Y, 2008, J SCI EDUC TECHNOL, V17, P274, DOI 10.1007/s10956-008-9097-3; Bell L, 2008, SCI COMMUN, V29, P386, DOI 10.1177/1075547007311971; Bosser U., 2018, Exploring the complexities of integrating socioscientific issues in science teaching, V304; Bottcher F., 2016, MNU Journal, V3, P150; Bransford J., 2006, Handbook of educational psychology, V2nd, P209; Bransford J.D., 2000, How People Learn: Brain, Mind, Experience, and School: Expanded Edition; Burke MJ, 2017, ENERGY RES SOC SCI, V33, P35, DOI 10.1016/j.erss.2017.09.024; Cameron F, 2005, MUS MANAG CURATORSHI, V20, P213, DOI 10.1016/j.musmancur.2005.05.002; Carman J, 2021, SCI EDUC, V105, P309, DOI 10.1002/sce.21610; Chen R.F., 2014, Teaching and learning of energy in K-12 education; DeWaters J. E., 2007, P 2007 ASEE ANN C EX; DoE. U.S. Department of Energy, 2014, Energy literacy: Essential principles and fundamental concepts for energy education. A framework for energy education for learners of all ages; Duan RJ, 2021, INT J SCI EDUC PART, V11, P191, DOI 10.1080/21548455.2021.1938740; Duit R., 2014, School Science Review, V596, P63; Dul J, 2016, ORGAN RES METHODS, V19, P10, DOI 10.1177/1094428115584005; Evans HJ, 2021, ENVIRON EDUC RES, V27, P1192, DOI 10.1080/13504622.2021.1893662; Falk JH, 2013, MUSEUM EXPERIENCE REVISITED, P1; Falk J. H., 2000, Learning from museums: Visitor experiences and the making of meaning; Falk JH, 2010, AM SCI, V98, P486, DOI 10.1511/2010.87.486; Falk John H., 2011, A Companion to Museum Studies, P323; Farla J, 2012, TECHNOL FORECAST SOC, V79, P991, DOI 10.1016/j.techfore.2012.02.001; Gladwin D, 2023, ENVIRON EDUC RES, V29, P1515, DOI 10.1080/13504622.2023.2175794; Harackiewicz Judith M, 2016, Policy Insights Behav Brain Sci, V3, P220, DOI 10.1177/2372732216655542; Herman BC., 2018, International perspectives on the theory and practice of environmental education: A reader, P145, DOI DOI 10.1007/978-3-319-67732; Herrmann-Abell CF, 2018, J RES SCI TEACH, V55, P68, DOI 10.1002/tea.21411; Hine A, 2015, JCOM-J SCI COMMUN, V14; Hodson D, 2003, INT J SCI EDUC, V25, P645, DOI 10.1080/09500690305021; Hohenstein J.M.N., 2018, MUSEUM LEARNING THEO; Jorgenson SN, 2019, J ENVIRON EDUC, V50, P160, DOI 10.1080/00958964.2019.1604478; Kellberg S., 2018, Science Museum Group Journal, V9, P1, DOI [https://doi.org/10.15180/180909, DOI 10.15180/180909]; Kellberg S, 2023, FRONT EDUC, V8, DOI 10.3389/feduc.2023.1081633; Kinsey AW, 2021, ETHNIC HEALTH, V26, P251, DOI 10.1080/13557858.2018.1493435; Knipfler K., 2009, Pro or con nanotechnology? Support for critical thinking and reflective judgement at science museums; Kollmann EK, 2013, J MUS EDUC, V38, P174, DOI 10.1080/10598650.2013.11510768; Koster EH, 1999, DAEDALUS-US, V128, P277; Krapp A, 2002, LEARN INSTR, V12, P383, DOI 10.1016/S0959-4752(01)00011-1; Lee O, 2022, J RES SCI TEACH, V59, P1301, DOI 10.1002/tea.21776; Lewalter D, 2021, EDUC RES REV-NETH, V34, DOI 10.1016/j.edurev.2021.100406; Liu X., 2014, Teaching and learning of energy in K-12 education, P175, DOI [https://doi.org/10.1007/978-3-319-05017-1_10, DOI 10.1007/978-3-319-05017-1_10]; Lowan-Trudeau G, 2022, AUST J ENVIRON EDUC, V38, P58, DOI 10.1017/aee.2021.15; Mayring P., 2000, FORUM QUALITATIVE SO, V1, P20, DOI DOI 10.17169/FQS-1.2.1089; McGhie H., 2018, Museums as key sites to accelerate climate change education, action, research and partnerships: Non-party stakeholder submission to the Talanoa Dialogue from the 'International Symposium on Climate Change and Museums'; McGhie H, 2020, MUS MANAGE CURATOR, V35, P653, DOI 10.1080/09647775.2020.1844589; Miller CA, 2013, SCI CULT-UK, V22, P135, DOI 10.1080/09505431.2013.786989; Natl Res Council, 2009, LEARNING SCIENCE IN INFORMAL ENVIRONMENTS: PEOPLE, PLACES, AND PURSUITS, P1; Natl Res Council, 2012, FRAMEWORK FOR K-12 SCIENCE EDUCATION: PRACTICES, CROSSCUTTING CONCEPTS, AND CORE IDEAS, P1; Neumann K, 2013, J RES SCI TEACH, V50, P162, DOI 10.1002/tea.21061; Newinger C., 2017, Energie.Wenden: Energy transitions as chance and challenge in our time; Nordine J., 2016, Teaching Energy Across the Sciences, K-12; OECD, 2019, PISA 2018 assessment and analytical framework, DOI [10.1787/b25efab8-en, DOI 10.1787/B25EFAB8-EN, 10.1787/b25-fab8-en, DOI 10.1787/B25-FAB8-EN]; Pedretti E., 2020, Controversy in science museums: Re-imagining exhibition spaces and practice; Presley M.L., 2013, SCI EDIT, V22, P26; Reimers Arias F., 2016, Teaching and learning for the twenty-first century: Educational goals, policies, and curricula from six nations; Renninger K. A., 2016, The Power of Interest for Motivation and Engagement, DOI [DOI 10.4324/9781315771045, 10.4324/9781315771045]; Renninger KA, 2015, EDUC PSYCHOL-US, V50, P58, DOI 10.1080/00461520.2014.999920; Roberts D.A., 2007, HDB RES SCI ED, P729, DOI DOI 10.4324/9780203824696; Sadler TD, 2007, RES SCI EDUC, V37, P371, DOI 10.1007/s11165-006-9030-9; Sadler TD, 2017, INT J EDUC MATH SCI, V5, P75, DOI 10.18404/ijemst.55999; Sadler TD, 2011, CONT TRENDS ISS SCI, V39, P1, DOI 10.1007/978-94-007-1159-4_1; Sjöström J, 2018, INNOV SCI EDUC TECHN, V24, P65, DOI 10.1007/978-3-319-66659-4_4; Sutton S, 2020, MUS MANAGE CURATOR, V35, P618, DOI 10.1080/09647775.2020.1837000; Sutton S, 2020, J MUS EDUC, V45, P1, DOI 10.1080/10598650.2020.1722513; Sutton SW, 2017, CURATOR, V60, P151, DOI 10.1111/cura.12200; Toplak ME, 2003, APPL COGNITIVE PSYCH, V17, P851, DOI 10.1002/acp.915; Tynan MC, 2020, LEARN INDIVID DIFFER, V77, DOI 10.1016/j.lindif.2019.101815; Valladares L, 2021, SCI EDUC-NETHERLANDS, V30, P557, DOI 10.1007/s11191-021-00205-2; Wang JC, 2023, HELIYON, V9, DOI 10.1016/j.heliyon.2023.e14058; World Economic Forum, 2020, The Global Risks Report 2020; Yun A, 2022, RES SCI EDUC, V52, P99, DOI 10.1007/s11165-020-09930-0; Zeidler D.L., 2019, DISCIPLINARY INTERDI, V1, P1, DOI DOI 10.1186/S43031-019-0008-7; Zeidler D. L., 2017, Using a socioscientific issues framework for climate change education: An ecojustice approach, P56, DOI [https://doi.org/10.4324/9781315629841-5, DOI 10.4324/9781315629841-5]</t>
  </si>
  <si>
    <t>2154-8455</t>
  </si>
  <si>
    <t>2154-8463</t>
  </si>
  <si>
    <t>INT J SCI EDUC PART</t>
  </si>
  <si>
    <t>Int. J. Sci. Educ. Part B-Commun. Public Engagem.</t>
  </si>
  <si>
    <t>2024 APR 23</t>
  </si>
  <si>
    <t>10.1080/21548455.2024.2344129</t>
  </si>
  <si>
    <t>APR 2024</t>
  </si>
  <si>
    <t>OO5A5</t>
  </si>
  <si>
    <t>WOS:001208217000001</t>
  </si>
  <si>
    <t>Yeh, SC; Huang, JY; Yu, HC</t>
  </si>
  <si>
    <t>Yeh, Shin-Cheng; Huang, Jing-Yuan; Yu, Hui-Ching</t>
  </si>
  <si>
    <t>Analysis of Energy Literacy and Misconceptions of Junior High Students in Taiwan</t>
  </si>
  <si>
    <t>energy literacy; misconception; conceptual logic map; junior high school; Taiwan</t>
  </si>
  <si>
    <t>CLIMATE-CHANGE; KNOWLEDGE; ATTITUDES; AWARENESS; EDUCATION; BEHAVIOR</t>
  </si>
  <si>
    <t>Decision-making regarding energy determines carbon emissions and the severity of climate change. Energy literacy plays a crucial role because well-informed citizens can support the design and implementation of smart and forward-looking policies. Research has shown that people hold misconceptions about energy, and for young students these may persist into adulthood. Thus, this study is to understand the energy literacy of junior high school students in Taiwan and what their misconceptions are as well as why and how they hold these. Energy literacy scales (ELS) were developed and served as the basis for a survey of 1652 students in five regions of Taiwan, in which most indicators for knowledge were designed corresponding to common misconceptions in the scientific and social context of energy issues. Through analyzing the survey questions and survey results, interview questions were designed and 10 students were interviewed to identify their misconceptions. A conceptual logic map model was developed for demonstrating the sources and patterns of misconceptions and their linkages. Potential educational strategies were then proposed, showing the applicability of the model. The combination of concept-oriented energy literacy surveys, interviews, and the conceptual logic map was proven to be an effective design for misconception identification and treatment.</t>
  </si>
  <si>
    <t>[Yeh, Shin-Cheng; Huang, Jing-Yuan] Natl Taiwan Normal Univ, Grad Inst Environm Educ, Taipei 11677, Taiwan; [Yu, Hui-Ching] Cheng Shiu Univ, Div Gen Educ, Kaohsiung 83347, Taiwan</t>
  </si>
  <si>
    <t>National Taiwan Normal University; Cheng Shiu University</t>
  </si>
  <si>
    <t>Yeh, SC (corresponding author), Natl Taiwan Normal Univ, Grad Inst Environm Educ, Taipei 11677, Taiwan.</t>
  </si>
  <si>
    <t>scyeh@ntnu.edu.tw; jyhuang@eeft.org.tw; huiching@csu.edu.tw</t>
  </si>
  <si>
    <t>YEH, SHIN-CHENG/JXN-5615-2024</t>
  </si>
  <si>
    <t>Ministry of Science and Technology of Taiwan [NSC-100-3113-S-003-002]</t>
  </si>
  <si>
    <t>Part of this research was supported by the National Science Council, now the Ministry of Science and Technology of Taiwan, under project number NSC-100-3113-S-003-002.</t>
  </si>
  <si>
    <t>[Anonymous], 2014, THESIS; Azevedo R., 2008, P M SOC COMP PSYCH C; Barke H. D., 2009, STUDENTS MISCONCEPTI, P21; Baron R., 2016, P 34 ROUND TABL SUST; Bethard S., 2012, Proceedings of the Seventh Workshop on Building Educational Applications Using NLP, P12; Bodzin AM, 2013, INT J SCI EDUC, V35, P1561, DOI 10.1080/09500693.2013.769139; Brewer R. S., 2011, P 44 HAW INT C SYST, P1; Brounen D, 2013, ENERG ECON, V38, P42, DOI 10.1016/j.eneco.2013.02.008; Carey S., 1985, CONCEPTUAL CHANGE CH; Chen K.L., 2015, International Journal of Environmental and Science Education, V10, P201, DOI [DOI 10.12973/IJESE.2015.241A, 10.12973/ijese.2015.241a]; Chen KL, 2013, ENERG POLICY, V55, P396, DOI 10.1016/j.enpol.2012.12.025; Chen S., 2002, THESIS; Chen SJ, 2015, ENERG EFFIC, V8, P791, DOI 10.1007/s12053-015-9327-5; Clair R.S., 2003, NEW DIR ADULT CONTIN, V2003, P69, DOI [10.1002/ace.111, DOI 10.1002/ACE.111]; Committee on Undergraduate Science Education National Research Council Science, 1997, TEACH REC HDB NAT; Cotton DRE, 2015, INT J SUST HIGHER ED, V16, P456, DOI 10.1108/IJSHE-12-2013-0166; Dagan I, 2006, LECT NOTES ARTIF INT, V3944, P177; DeWaters J. E., 2007, P 2007 ASEE ANN C EX; Dewaters J. E., 2008, P 38 ASEE IEEEE FRON; DeWaters J, 2013, J ENVIRON EDUC, V44, P38, DOI 10.1080/00958964.2012.711378; DeWaters JE, 2011, ENERG POLICY, V39, P1699, DOI 10.1016/j.enpol.2010.12.049; EGGEN P., 2004, Educational Psychology: Windows, Classrooms; Engström S, 2011, INT J SCI MATH EDUC, V9, P1281, DOI 10.1007/s10763-010-9260-1; Environmental Protection Administration Taiwan Greenhouse, 2015, GAS EM STAT; ESIOBU GO, 1995, J RES SCI TEACH, V32, P971, DOI 10.1002/tea.3660320908; Flener-Loyitt C, 2014, J CHEM EDUC, V91, P1587, DOI 10.1021/ed4006985; Gifford R, 2011, GLOBAL ENVIRON CHANG, V21, P1301, DOI 10.1016/j.gloenvcha.2011.06.004; Hancock C.H., 1940, Science Education, V24, P208, DOI DOI 10.1002/SCE.3730240409; Ho J. C, 2007, ACAD NEWSL FORMAL ED, V19, P277; IEA, 2016, TRACK CLEAN EN PROGR; International Energy Agency (IEA) Energy, 2016, CLIM CHANG ENV; Keramitsoglou KM, 2016, RENEW SUST ENERG REV, V59, P1159, DOI 10.1016/j.rser.2015.12.047; Kishove P., 2013, International Journal of Environmental Science Education, V8, P521; Kurt H, 2013, J BALT SCI EDUC, V12, P399; Lee C.K., 2014, Science Education International, V25, P417; Lee LS, 2015, ENERG POLICY, V76, P98, DOI 10.1016/j.enpol.2014.11.012; Lee RP, 2016, INT J SCI EDUC, V38, P1036, DOI 10.1080/09500693.2016.1176277; Lee RP, 2015, THESIS; Maddock B., 2014, GEOGRAPHICAL ED, V27, P39; Martin R., 2002, Teaching Science for all Children: Methods for Constructing Understanding; Mazur E., 1996, Conceptests; NEWBOROUGH M, 1994, APPL ENERG, V48, P243, DOI 10.1016/0306-2619(94)90013-2; Noe-Hays A, 2011, SYNERGY LEARN, V25, P1; Novak J.D., 1988, STUD SCI EDUC, V15, P77, DOI [DOI 10.1080/03057268808559949, 10.1080/03057268808559949]; Oliver B., 2013, POLICY MAG, V1, P51; Pachauri R.K., 2014, CLIMATE CHANGE 2014; Pecen R., 2012, Journal of STEM Education, V13, P62; Research Foundation of the State University of New York Solar Education for NY, 2016, EN MISC; Roth K., 1990, Dimensions of thinking and cognitive instruction, P139, DOI DOI 10.4324/9780203771686; Rule A.C., 2005, Journal of Geoscience Education, V53, P53; Shamshayooadeh G., 2011, INT J HUMANITIES SOC, V1, P273; Shan Y. F., 2010, THESIS; Smith MU, 2010, SCI EDUC-NETHERLANDS, V19, P539, DOI 10.1007/s11191-009-9216-4; Spiropoulou D., 2007, Journal of Science Education and Technology, V16, P443, DOI DOI 10.1007/S10956-007-9061-7; Sudol Leigh Ann, 2010, P 6 INT WORKSHOP COM, P31, DOI DOI 10.1145/1839594.1839601; Tatar E., 2007, INT J ENV SCI ED, V2, P79; Thompson F., 2006, INT EDUC J, V7, P553; Tortop HS, 2012, ENER EDUC SCI TECH-B, V4, P1829; Winter I., 1987, ENERGY RESOURCES SCI, P35; Yasri P., 2014, THESIS</t>
  </si>
  <si>
    <t>10.3390/su9030423</t>
  </si>
  <si>
    <t>ER3RA</t>
  </si>
  <si>
    <t>WOS:000398714100100</t>
  </si>
  <si>
    <t>Wang, M; Hou, GS; Wang, PM; You, ZL</t>
  </si>
  <si>
    <t>Wang, Min; Hou, Guisheng; Wang, Pengmin; You, Zhilong</t>
  </si>
  <si>
    <t>Research of energy literacy and environmental regulation research based on tripartite deterrence game model</t>
  </si>
  <si>
    <t>International Conference on Energy Engineering and Power Systems (EEPS)</t>
  </si>
  <si>
    <t>AUG 20-22, 2021</t>
  </si>
  <si>
    <t>Hangzhou, PEOPLES R CHINA</t>
  </si>
  <si>
    <t>Energy literacy; Environmental regulation; Environmental protection; Tripartite deterrence game</t>
  </si>
  <si>
    <t>KNOWLEDGE; BEHAVIOR</t>
  </si>
  <si>
    <t>Energy literacy was defended as the ability that people can understand the energy roles and energy knowledge in order to ensuring environmental sustainability. With the development of the economy and society, the increasingly prominent contradiction between economy and environmental protection. This study constructs a tripartite deterrence game model to analyze the dynamic environmental regulation which includes the government regulatory authorities, the enterprise, and the common people. The results highlight the necessary for common peoples' energy literacy. More education and publicity of the energy by the government is needed. Further research will focus on the cultural difference of the energy literacy. (C) 2021 The Author(s). Published by Elsevier Ltd.</t>
  </si>
  <si>
    <t>[Wang, Min; Hou, Guisheng; You, Zhilong] Shandong Univ Sci &amp; Technol, Coll Econ &amp; Management, Qingdao, Peoples R China; [Wang, Pengmin] Shandong Univ Sci &amp; Technol, Coll Comp Sci &amp; Engn, Qingdao, Peoples R China</t>
  </si>
  <si>
    <t>Shandong University of Science &amp; Technology; Shandong University of Science &amp; Technology</t>
  </si>
  <si>
    <t>Wang, M (corresponding author), Shandong Univ Sci &amp; Technol, Coll Econ &amp; Management, Qingdao, Peoples R China.</t>
  </si>
  <si>
    <t>wminedu@163.com</t>
  </si>
  <si>
    <t>National Natural Social Science Foundation of China [20FJYB031]</t>
  </si>
  <si>
    <t>National Natural Social Science Foundation of China</t>
  </si>
  <si>
    <t>This work was supported by the National Natural Social Science Foundation of China (Grant no. 20FJYB031).</t>
  </si>
  <si>
    <t>Andzans M., 2017, Journal on Baltic Security, V3, P29; Brounen D, 2013, ENERG ECON, V38, P42, DOI 10.1016/j.eneco.2013.02.008; Carlson LJ, 2006, CONFLICT MANAG PEACE, V23, P181, DOI 10.1080/07388940600666022; Ciliberto F, 2017, ECON INQ, V55, P319, DOI 10.1111/ecin.12381; DeWaters J, 2013, J ENVIRON EDUC, V44, P38, DOI 10.1080/00958964.2012.711378; DeWaters JE, 2011, ENERG POLICY, V39, P1699, DOI 10.1016/j.enpol.2010.12.049; Langfitt Q, 2015, J PROF ISS ENG ED PR, V141, DOI 10.1061/(ASCE)EI.1943-5541.0000210; Lee LS, 2015, ENERG POLICY, V76, P98, DOI 10.1016/j.enpol.2014.11.012; Martins A, 2020, ENERGY REP, V6, P243, DOI 10.1016/j.egyr.2020.11.117; Mason CF, 1998, J ECON BEHAV ORGAN, V37, P443, DOI 10.1016/S0167-2681(98)00113-9; Quackenbush SL, 2006, POLIT RES QUART, V59, P533, DOI 10.1177/106591290605900403; Reis IFG, 2021, ENERG EFFIC, V14, DOI 10.1007/s12053-021-09952-1; Statistics CNBo, 2021, YEAR DAT; ZAGARE FC, 1993, INT STUD QUART, V37, P1, DOI 10.2307/2600829; Zagare FC, 2003, INT STUD QUART, V47, P587, DOI 10.1046/j.0020-8833.2003.00280.x; Zagare Frank C., 2000, PERFECT DETERRENCE</t>
  </si>
  <si>
    <t>10.1016/j.egyr.2021.09.163</t>
  </si>
  <si>
    <t>DEC 2021</t>
  </si>
  <si>
    <t>ZB2SW</t>
  </si>
  <si>
    <t>WOS:000756699200100</t>
  </si>
  <si>
    <t>Lee, LS; Lee, YF; Altschuld, JW; Pan, YJ</t>
  </si>
  <si>
    <t>Lee, Lung-Sheng; Lee, Yi-Fang; Altschuld, James W.; Pan, Ying-Ju</t>
  </si>
  <si>
    <t>Energy literacy: Evaluating knowledge, affect, and behavior of students in Taiwan</t>
  </si>
  <si>
    <t>ENERGY POLICY</t>
  </si>
  <si>
    <t>Energy education; Energy literacy; Energy program performance</t>
  </si>
  <si>
    <t>EDUCATION</t>
  </si>
  <si>
    <t>Energy literacy that can empower people to make thoughtful decisions and take responsible actions is more important as energy shortages have become pressing issues in the world. Energy literacy was measured among a sample of 2400 secondary students involved in a national energy education program in Taiwan. Response patterns related to student background and factors determining energy consumption behaviors were also studied. Energy literacy was high and positive, with greater impact as expected by grade (senior high school students outscored junior high school ones) and there were some effects due to gender and socioeconomic status. Students' performance on energy knowledge was acceptable (over 60% correct across grades) while a notable discrepancy between affect and behavior was identified indicating that there might not be a correspondence between what people say they would do and what they actually do. Energy saving behavior was more closely associated with the affect than other variables. Reasons for the findings and implications for energy education in the future are discussed. (C) 2014 Elsevier Ltd. All rights reserved.</t>
  </si>
  <si>
    <t>[Lee, Lung-Sheng; Lee, Yi-Fang] Natl Taiwan Normal Univ, Taipei 10610, Taiwan; [Altschuld, James W.] Ohio State Univ, Dublin, OH 43017 USA; [Pan, Ying-Ju] Natl Chi Nan Univ, Nantao 545, Taiwan</t>
  </si>
  <si>
    <t>National Taiwan Normal University; University System of Ohio; Ohio State University; National Chi Nan University</t>
  </si>
  <si>
    <t>Lee, YF (corresponding author), Natl Taiwan Normal Univ, 162 HePing East Rd Sect 1, Taipei 10610, Taiwan.</t>
  </si>
  <si>
    <t>lslee@ntnu.edu.tw; ivana@ntnu.edu.tw; altschuld.1@osu.edu; lulu1017@ntnu.edu.tw</t>
  </si>
  <si>
    <t>Ministry of Science and Technology; Ministry of Education Grant in Taiwan</t>
  </si>
  <si>
    <t>Ministry of Science and Technology(Spanish Government); Ministry of Education Grant in Taiwan</t>
  </si>
  <si>
    <t>This study was supported under a Ministry of Science and Technology and Ministry of Education Grant in Taiwan.</t>
  </si>
  <si>
    <t>[Anonymous], 1983, SCHOOL SCI MATH, DOI DOI 10.1111/J.1949-8594.1983.TB10142.X; [Anonymous], 2007, 2007 ANN C EXP; [Anonymous], 1985, SCHOOL SCI MATH, DOI DOI 10.1111/J.1949-8594.1985.TB09612.X; Bamberg S, 2007, J ENVIRON PSYCHOL, V27, P14, DOI 10.1016/j.jenvp.2006.12.002; Barrow L., 1989, Journal of Environmental Education, V20, P22, DOI [10.1080/00958964.1989.9943027, DOI 10.1080/00958964.1989.9943027]; Bourdieu Pierre., 1984, DISTINCTION SOCIAL C; Chen J. M., 2005, STUDY IMPLEMENTATION; Chen KL, 2013, ENERG POLICY, V55, P396, DOI 10.1016/j.enpol.2012.12.025; Cohen J., 2013, STAT POWER ANAL BEHA; DeWaters J. E, 2008, P 38 ASEE IEE FRONT; DeWaters J, 2013, J ENVIRON EDUC, V44, P56, DOI 10.1080/00958964.2012.682615; DeWaters J, 2013, J ENVIRON EDUC, V44, P38, DOI 10.1080/00958964.2012.711378; DeWaters JE, 2011, ENERG POLICY, V39, P1699, DOI 10.1016/j.enpol.2010.12.049; Energy Center of Wisconsin, 1999, K 12 EN ED PROGR BAS; Fang D.L., 2008, 2008 SURVEY STUDY IM; Gambro J.S., 1999, J ENVIRON EDUC, V30, P15, DOI DOI 10.1080/00958969909601866; Gookin J., 2003, Wilderness Wisdom: Quotes for Inspirational Exploration; Hu Y. Z., 2011, 2011 US TAIW CLEAN E; Jenson B.B., 2002, ENVIRON EDUC RES, V8, P325, DOI [DOI 10.1080/13504620220145474, 10.1080/13504620220145474]; Kollmuss A., 2002, ENVIRON EDUC RES, V8, P239, DOI [10.1080/13504620220145401, DOI 10.1080/13504620220145401]; Lee L.S., 2011, INT C EN ENV ENTR IN; Lee L.S., 2013, ENER EDUC SCI TECH-B, V5, P257; Murphy T.P., 2008, 3 MINNESOTA REPORT C; Murphy T.P., 2002, The Minnesota report card on environmental literacy; National Energy Education Development Project, 2013, SEC EN POLL BLUEPR S; National Environmental Education and Training Foundation, 2002, AM LOW EN IQ RISK OU; NEWBOROUGH M, 1991, APPL ENERG, V40, P119, DOI 10.1016/0306-2619(91)90018-S; NEWBOROUGH M, 1994, APPL ENERG, V48, P243, DOI 10.1016/0306-2619(94)90013-2; NTET (Nurturing Talent for Energy Technology Program), 2013, BACKGR AND GOALS; Owens S, 2008, ENERG POLICY, V36, P4412, DOI 10.1016/j.enpol.2008.09.031; Rajecki D.W., 1982, Attitudes Themes and Advances; Rogers W. M., 2010, ENCY RES DESIGN, P996; STERN PC, 1992, AM PSYCHOL, V47, P1224, DOI 10.1037/0003-066X.47.10.1224; Taiwan Bureau of Energy, 2009, TAIW EN POL SUPPL DE; United States Global Change Research Program, 2012, EN LIT ESS PRINC FUN; Wisconsin K-12 Energy Education Program, 2013, RAT EN ED; Yeh K. L., 2013, INT C CONSTR UT ED D; Yergin D., 2008, WALL STREET J; Zografakis N, 2008, ENERG POLICY, V36, P3226, DOI 10.1016/j.enpol.2008.04.021</t>
  </si>
  <si>
    <t>0301-4215</t>
  </si>
  <si>
    <t>1873-6777</t>
  </si>
  <si>
    <t>ENERG POLICY</t>
  </si>
  <si>
    <t>Energy Policy</t>
  </si>
  <si>
    <t>10.1016/j.enpol.2014.11.012</t>
  </si>
  <si>
    <t>Economics; Energy &amp; Fuels; Environmental Sciences; Environmental Studies</t>
  </si>
  <si>
    <t>Business &amp; Economics; Energy &amp; Fuels; Environmental Sciences &amp; Ecology</t>
  </si>
  <si>
    <t>AY7SX</t>
  </si>
  <si>
    <t>WOS:000347760200010</t>
  </si>
  <si>
    <t>Cerovic, L; Malnar, A; Sincic, D</t>
  </si>
  <si>
    <t>Cerovic, Ljerka; Malnar, Ana; Sincic, Dorotea</t>
  </si>
  <si>
    <t>Energy Literacy of Economics Students in Rijeka: Knowledge, Attitudes, and Behavioral Approach</t>
  </si>
  <si>
    <t>energy; energy literacy; energy efficiency; economics students; energy policy</t>
  </si>
  <si>
    <t>HABITS; SCHOOL</t>
  </si>
  <si>
    <t>The research problem of this paper is related to numerous open questions in the field of energy, its understanding, its use, and the challenges of the energy future. After the introductory part, in which a brief historical overview of energy literacy is provided, the paper focuses on energy literacy, its emergence, and the different approaches to its definition and measurement. The paper analyzes the energy literacy of students at the Faculty of Economics in Rijeka based on their cognitive, affective, and behavioral skills. Their knowledge about energy, energy processes, and the energy efficiency of the objects they encounter on a daily basis is examined. Their personal attitudes and values are examined through various forms of personal initiatives and active participation in energy sustainability projects. Finally, the habits and behavioral patterns that the respondents have in their daily lives and their tendencies to save energy resources and find energy-efficient solutions are examined. Despite some positive findings, the current results are not satisfactory and point to the creation of adequate public policies with a particular focus on education and the role of the corrective mechanisms of the state, but also the need for joint negotiations between policy makers, regulators, scientists, representatives of civil society, and the business community. The particular contribution of this work is reflected in being the first research of its kind conducted among Croatian economics students, as well as among Croatian students in general; in the creation of a research instrument that is conceptually consistent with the findings from the existing literature, but with an original set of questions within each energy literacy skill adapted to the cultural and sociological background of the respondents; and in a kind of progress from previous research by taking into account the quantitative aspect (in addition to the qualitative) assessment of the respondents' energy literacy.</t>
  </si>
  <si>
    <t>[Cerovic, Ljerka; Malnar, Ana; Sincic, Dorotea] Univ Rijeka, Fac Econ &amp; Business, Ivana Filipovica 4, Rijeka 51000, Croatia</t>
  </si>
  <si>
    <t>University of Rijeka</t>
  </si>
  <si>
    <t>Malnar, A (corresponding author), Univ Rijeka, Fac Econ &amp; Business, Ivana Filipovica 4, Rijeka 51000, Croatia.</t>
  </si>
  <si>
    <t>ljerka.cerovic@efri.uniri.hr; ana.malnar@efri.uniri.hr; dorotea.sincic@gmail.com</t>
  </si>
  <si>
    <t>Aco Recycling Materials Which Have the Highest Efficiency on Recycling, 2022, High Tech Solutions for Environment; Andolina MW, 2003, PS-POLIT SCI POLIT, V36, P275, DOI 10.1017/S104909650300221X; Babao J.N.A., 2023, Int. J. Adv. Multidiscip, V2, P393, DOI [10.38035/ijam.v2i2.282, DOI 10.38035/IJAM.V2I2.282]; BAGOZZI RP, 1992, SOC PSYCHOL QUART, V55, P178, DOI 10.2307/2786945; Basu K, 1998, ECON J, V108, P1733, DOI 10.1111/1468-0297.00369; Bhutada G., 2022, World Economic Forum; Bialynicki-Birula P, 2022, ENERGIES, V15, DOI 10.3390/en15155368; Biller P., 1996, Heresy and Literacy; Biresselioglu ME, 2018, TRANSPORT RES A-POL, V109, P1, DOI 10.1016/j.tra.2018.01.017; Blasch J., 2018, Econ. Work. Pap. Ser, V18, P289; Bowman A., 1997, Literacy and Power in the Ancient World; Bozic L, 2021, MARK-TRZ, V33, P81, DOI 10.22598/mt/2021.33.spec-issue.81; Brounen D, 2013, ENERG ECON, V38, P42, DOI 10.1016/j.eneco.2013.02.008; Caperello ND, 2012, ENVIRON BEHAV, V44, P493, DOI 10.1177/0013916511402057; Caputo R.K., 2010, J. Sociol. Soc. Welf, V37, P35; DeWaters J., 2007, AM SOC ENG ED P 114; DeWaters J, 2013, J ENVIRON EDUC, V44, P56, DOI 10.1080/00958964.2012.682615; DeWaters J, 2013, J ENVIRON EDUC, V44, P38, DOI 10.1080/00958964.2012.711378; DeWaters JE, 2011, ENERG POLICY, V39, P1699, DOI 10.1016/j.enpol.2010.12.049; Domac J., 2004, Energija, V53, P165; El-Kanj H.I., 2022, Int. J. Appl. Eng. Res, V7, P1; eur-lex.europa, 2030 Climate Target Plan Impact Assessment; European Parliament, 2023, Gospodarenje Otpadom u EU-u. Vijesti; European Parliament Klimatske Promjene, 2023, Zdravim Sumama Protiv Emisija Staklenickih Plinova. Vijesti; Gammage E., 2021, Save Money Cut Carbon; Go Construct, 2020, Construction and the Environment; Ham M, 2009, MARK-TRZ, V21, P183; He HN, 2021, TRANSPORT RES D-TR E, V91, DOI 10.1016/j.trd.2021.102695; International Energy Agency, 2018, FUT COOL; Kalmi P., 2017, P 15 IAEE EUROPEAN E; Khuc QV, 2023, URBAN SCI, V7, DOI 10.3390/urbansci7010013; Kress Gunther., 2003, LITERACY NEW MEDIA A; Lee LS, 2019, ENERG POLICY, V135, DOI 10.1016/j.enpol.2019.111005; Man John., 2002, GUTENBERG REVOLUTION; Martins A, 2020, ENERGY REP, V6, P243, DOI 10.1016/j.egyr.2020.11.117; Martins A, 2019, TEEM'19: SEVENTH INTERNATIONAL CONFERENCE ON TECHNOLOGICAL ECOSYSTEMS FOR ENHANCING MULTICULTURALITY, P494, DOI 10.1145/3362789.3362938; National, Energy Literacy Survey Assessment Questionnaire; National Energy Foundation (NEF), about us; National Geographic Society, Sustainable Shopping-Which Bag Is Best?; Orlov A, 2019, J CLEAN PROD, V214, P816, DOI 10.1016/j.jclepro.2018.12.326; OSTROM TM, 1969, J EXP SOC PSYCHOL, V5, P12, DOI 10.1016/0022-1031(69)90003-1; Rayan RA, 2023, BIOSAF HEALTH, V5, P363, DOI 10.1016/j.bsheal.2023.10.005; Rezvani Z, 2015, TRANSPORT RES D-TR E, V34, P122, DOI 10.1016/j.trd.2014.10.010; Richter CP, 2011, INT J CONSUM STUD, V35, P180, DOI 10.1111/j.1470-6431.2010.00973.x; Rosenberg MJ., 1960, Attitude organization and change: An analysis of consistency among attitude components, P1; Segal E.A., 2012, Advances in Social Work, V13, P541, DOI DOI 10.18060/2042; Segal EA, 2011, J HUM BEHAV SOC ENVI, V21, P438, DOI 10.1080/10911359.2011.566445; Sutlovic I., 2018, Energetika: Povijest Koristenja Energije; Taylor S, 2018, INT J HOSP MANAG, V74, P45, DOI 10.1016/j.ijhm.2018.02.013; U.S. Global Change Research Program Partner Agencies, 2012, Energy Literacy: Essential Principles and Fundamental Concepts for Energy Education; UNESCO Institute for Statistics, ABOUT US; Union of Concerned Scientists, 2006, Reports &amp; Multimedia; van den Broek KL, 2019, ENERGY RES SOC SCI, V57, DOI 10.1016/j.erss.2019.101256; Varghese A.F., 2023, Greening Energy to Shape a Sustainable Future: Part of the Environmental Science and Engineering Book Series (ESE; World Bank, 2023, World Bank Education Statistics; Worldometer Energy Used Today in the World, 2024, Statistics Counters; Zhou YS, 2022, ENERGIES, V15, DOI 10.3390/en15196953</t>
  </si>
  <si>
    <t>10.3390/en17081840</t>
  </si>
  <si>
    <t>OX4B7</t>
  </si>
  <si>
    <t>WOS:001210552900001</t>
  </si>
  <si>
    <t>Papathanasiou, M; Tuddenham, P; Bishop, K; Keener, P; Otero, RF; Lago, LF</t>
  </si>
  <si>
    <t>Papathanasiou, Martha; Tuddenham, Peter; Bishop, Kristina; Keener, Paula; Fernandez Otero, Rosa; Fraga Lago, Lucia</t>
  </si>
  <si>
    <t>Ocean Literacy for Workforce Development in the Shipbuilding and Offshore Renewable Energy Sectors in Europe, in Support of the Blue Economy</t>
  </si>
  <si>
    <t>OCEANS 2018 MTS/IEEE CHARLESTON</t>
  </si>
  <si>
    <t>Conference on OCEANS MTS/IEEE Charleston</t>
  </si>
  <si>
    <t>OCT 22-25, 2018</t>
  </si>
  <si>
    <t>Charleston, SC</t>
  </si>
  <si>
    <t>blue growth; maritime professions; ocean literacy; industry; education and training systems; 21st century skills</t>
  </si>
  <si>
    <t>A new European Commission (EC) Erasmus+ funded project, MATES (Maritime Alliance for fostering the European Blue economy through a Marine Technology Skilling Strategy), aims at tackling the ensuing skill shortages in the maritime sectors of offshore renewable energy and shipbuilding, and in doing so, will contribute to a more resilient labour market. The project will embed the industrial perspective in ocean literacy initiatives, spreading an updated image for the maritime technologies in the blue economy, with a convincing message that the sector has a high-tech future with a long-term positive perspective. Ocean literacy will act for MATES project as a transversal and multidirectional content in all work packages, by boosting the transfer of scientific knowledge to the industry sectors, integrating the industrial perspective in literacy delivery and widening the industrial perspective about the new possibilities that 'MaritimIZED' CVs can yield for blue growth and jobs. Furthermore, it aims to raise awareness about the maritime industry's careers among society, research and education communities, in order to attract youngsters to select future maritime professions. The dissemination of marine sciences will complement the sectoral approach, as a transversal line of action.</t>
  </si>
  <si>
    <t>[Papathanasiou, Martha] Indigo Med, Athens, Greece; [Tuddenham, Peter] CoExplorat Ltd UK, Christchurch, Dorset, England; [Bishop, Kristina] Coll Explorat, Potomac Falls, VA USA; [Keener, Paula] NOAA, Ocean Explorat Educ Program, Charleston, SC USA; [Fernandez Otero, Rosa] Fdn CETMAR, Ctr Tecnol Mar, Technol Promot &amp; Transfer, Vigo, Spain; [Fraga Lago, Lucia] Fdn CETMAR, Ctr Tecnol Mar, Training Dept, Vigo, Spain</t>
  </si>
  <si>
    <t>Papathanasiou, M (corresponding author), Indigo Med, Athens, Greece.</t>
  </si>
  <si>
    <t>info@indigo-med.com</t>
  </si>
  <si>
    <t>European Project MATES: Maritime Alliance for fostering the European Blue economy through a Marine Technology Skilling Strategy; Erasmus+ Programme of the European Union</t>
  </si>
  <si>
    <t>European Project MATES: Maritime Alliance for fostering the European Blue economy through a Marine Technology Skilling Strategy; Erasmus+ Programme of the European Union(Erasmus+)</t>
  </si>
  <si>
    <t>This research was supported by the European Project MATES: Maritime Alliance for fostering the European Blue economy through a Marine Technology Skilling Strategy, co-funded by the Erasmus+ Programme of the European Union.</t>
  </si>
  <si>
    <t>Santoro F., 2017, Ocean Literacy for All - A toolkit, IOC/UNESCO UNESCO Venice Office</t>
  </si>
  <si>
    <t>978-1-5386-4814-8</t>
  </si>
  <si>
    <t>Engineering, Marine</t>
  </si>
  <si>
    <t>BM2QP</t>
  </si>
  <si>
    <t>WOS:000461320202109</t>
  </si>
  <si>
    <t>Ji, H; Coronado, AB; Mueller, MA; Esposito, LJ; Tait, D; Kim, HJ</t>
  </si>
  <si>
    <t>Ji, Hyunjung; Coronado, Alexandria B.; Mueller, Mark A.; Esposito, Laurel J.; Tait, Daniel; Kim, Hyun Jin</t>
  </si>
  <si>
    <t>A Learning Ecology Perspective of Energy Literacy among Youth: A Case Study from Alabama High Schools</t>
  </si>
  <si>
    <t>energy literacy; learning ecology; clean energy education for youth; family relationship; virtual platforms; STEM; disadvantaged communities</t>
  </si>
  <si>
    <t>CLIMATE-CHANGE; EDUCATION; SCIENCE; FAMILY; MOTIVATION; STUDENTS; CONTEXT; CAREER; CHOICE</t>
  </si>
  <si>
    <t>Developing energy literacy and pathways for youth to clean energy careers are vital for sustainable development, aligning with various Sustainable Development Goals (SDGs), from climate action to quality education. Despite the increasing focus on nurturing energy-literate youth, there is a lack of comprehensive insights into how students develop their energy literacy within diverse learning environments. This study addresses the research question of what factors across various learning environments play a significant role in the development of energy literacy among youth. To address the research question, we develop a conceptual framework for understanding the development of energy literacy among high school students based on a learning ecology perspective. Focusing on students' energy literacy, encompassing information search, attitudes, behaviors, and knowledge of energy, we examined the influence of school-based clean energy program participation, virtual information sources, and interactions with peers and family. Furthermore, we conducted an empirical analysis to identify factors associated with energy literacy among high school students from Alabama high schools. The student sample was intentionally recruited from case study high schools in Alabama that implemented a clean energy education pilot project. This sample includes both program participants and non-participants who completed pre- and post-program surveys, resulting in a total of 189 survey responses. Findings indicate a positive association between the school-based clean energy program and a significantly higher increase in energy-related information searches among program participants compared with non-participants. The virtual learning setting, especially video platforms, was also significantly associated with students' energy-related information searches and positive attitudes toward energy. Findings also indicate that family relationships and pre-existing STEM interests significantly determine youth energy literacy. These findings provide valuable insights for the development and expansion of future energy education programs. If the energy education program incorporates these crucial learning factors and establishes an interconnected learning environment, the convergence of multiple learning aspects within the program can foster a synergistic learning ecosystem for youth energy literacy.</t>
  </si>
  <si>
    <t>[Ji, Hyunjung; Coronado, Alexandria B.] Univ Alabama, Dept Polit Sci, Tuscaloosa, AL 35487 USA; [Mueller, Mark A.; Kim, Hyun Jin] Univ Alabama, Dept Mech Engn, Tuscaloosa, AL 35487 USA; [Esposito, Laurel J.; Tait, Daniel] Energy Alabama, Huntsville, AL 35807 USA</t>
  </si>
  <si>
    <t>University of Alabama System; University of Alabama Tuscaloosa; University of Alabama System; University of Alabama Tuscaloosa</t>
  </si>
  <si>
    <t>Ji, H (corresponding author), Univ Alabama, Dept Polit Sci, Tuscaloosa, AL 35487 USA.;Kim, HJ (corresponding author), Univ Alabama, Dept Mech Engn, Tuscaloosa, AL 35487 USA.</t>
  </si>
  <si>
    <t>hji4@ua.edu; abcoronado@crimson.ua.edu; mamueller1@crimson.ua.edu; esposito@energyalabama.org; dtait@energyalabama.org; hkim132@ua.edu</t>
  </si>
  <si>
    <t>Kim, Hyun Jin/AEG-4545-2022</t>
  </si>
  <si>
    <t>Kim, Hyun Jin/0000-0003-4185-7791</t>
  </si>
  <si>
    <t>United States Department of Energy's Inclusive Energy Innovation Prize</t>
  </si>
  <si>
    <t>United States Department of Energy's Inclusive Energy Innovation Prize(United States Department of Energy (DOE))</t>
  </si>
  <si>
    <t>We acknowledge all the college mentors who participated in the clean energy education program as instructors and mentors, the partner high schools, and Energy Alabama. We also thank Sally Grace Shettles for her excellent research assistantship.</t>
  </si>
  <si>
    <t>Aguirre-Bielschowsky I, 2017, ENVIRON EDUC RES, V23, P832, DOI 10.1080/13504622.2015.1054267; Akitsu Y., 2017, Int. J. Environ. Sci. Educ., V12, P1067; Alabama Department of Education, Alabama State Department of Education Report Card; Allen S, 2020, INT J SCI EDUC PART, V10, P17, DOI 10.1080/21548455.2019.1700317; Archer L, 2012, AM EDUC RES J, V49, P881, DOI 10.3102/0002831211433290; Archibald R., 2022, AL.com8 March; Ardoin NM, 2021, ENVIRON EDUC RES, V27, P1681, DOI 10.1080/13504622.2021.1992354; Barron B., 2009, International Journal of Learning and Media, V1, P55, DOI DOI 10.1162/IJLM.2009.0021; Barron B, 2006, HUM DEV, V49, P193, DOI 10.1159/000094368; Bathgate ME, 2014, SCI EDUC, V98, P189, DOI 10.1002/sce.21095; Bialynicki-Birula P, 2022, ENERGIES, V15, DOI 10.3390/en15155368; Blasch J, 2017, ENERG ECON, V68, P89, DOI 10.1016/j.eneco.2017.12.004; Chawla L., 2007, Environmental Education Research, V13, P437, DOI [10.1080/13504620701581539, DOI 10.1080/13504620701581539]; Chen K.L., 2015, International Journal of Environmental and Science Education, V10, P201, DOI [DOI 10.12973/IJESE.2015.241A, 10.12973/ijese.2015.241a]; Ching DX, 2016, HORIZON, V24, P296, DOI 10.1108/OTH-05-2016-0026; Chiu TKF, 2024, INSTR SCI, V52, P89, DOI 10.1007/s11251-023-09642-8; Council on Environmental Quality, 2022, Climate and economic justice screen tool (CJEST); Crowley K, 2002, LEARNING CONVERSATIONS IN MUSEUMS, P333; Department of Energy, 2020, U.S. Energy &amp; Employment Report; DeWaters JE, 2011, ENERG POLICY, V39, P1699, DOI 10.1016/j.enpol.2010.12.049; Dias RA, 2021, RENEW SUST ENERG REV, V141, DOI 10.1016/j.rser.2021.110845; Duarte R, 2017, ENVIRON EDUC RES, V23, P23, DOI 10.1080/13504622.2015.1074660; Gould RK, 2019, ENVIRON EDUC RES, V25, P314, DOI 10.1080/13504622.2018.1510903; Hallinan K., 2012, Mechanical and Aerospace Engineering Faculty Publications; Ingels S.J., 2011, High School Longitudinal Study of 2009 (HSLS:09). Base-year data file documentation; IPCC, 2018, GLOBAL WARMING 15C; Jennings P, 2009, RENEW ENERG, V34, P435, DOI 10.1016/j.renene.2008.05.005; Jorgenson SN, 2019, J ENVIRON EDUC, V50, P160, DOI 10.1080/00958964.2019.1604478; Kelly L.B., 2019, NABE J. Res. Pract, V9, P143, DOI DOI 10.1080/26390043.2019.1649511; Khuc QV, 2023, URBAN SCI, V7, DOI 10.3390/urbansci7010013; Lee LS, 2015, ENERG POLICY, V76, P98, DOI 10.1016/j.enpol.2014.11.012; Lee YF, 2022, ENVIRON EDUC RES, V28, P907, DOI 10.1080/13504622.2022.2034752; LENT RW, 1994, J VOCAT BEHAV, V45, P79, DOI 10.1006/jvbe.1994.1027; Lent RW, 2000, J COUNS PSYCHOL, V47, P36, DOI 10.1037/0022-0167.47.1.36; Lin VJ, 2023, J ENVIRON EDUC, V54, P72, DOI 10.1080/00958964.2022.2152411; Lucas H, 2018, SOL ENERGY, V173, P449, DOI 10.1016/j.solener.2018.07.061; Martins A., 2021, Int. J. Sustain. Energy Plan. Manag, V32, P37; Murley LD, 2017, J ENVIRON EDUC, V48, P121, DOI 10.1080/00958964.2016.1141747; Otchie WO, 2020, BULL TECH COMM LEARN, V20, P3; Pearson W., 2012, Peabody Journal of Education (0161956X), V87, P46, DOI DOI 10.1080/0161956X.2012.642270; Pozzi M, 2021, ROBOTICS, V10, DOI 10.3390/robotics10010038; Richards E., 2022, National Energy Literacy Among High School Seniors and Recent Graduates; Schelly C, 2012, J ENVIRON EDUC, V43, P143, DOI 10.1080/00958964.2011.631611; Shaby N, 2021, SCI EDUC, V105, P628, DOI 10.1002/sce.21621; Shepardson DP, 2014, ENVIRON EDUC RES, V20, P333, DOI 10.1080/13504622.2013.803037; Shepardson DP, 2012, ENVIRON EDUC RES, V18, P323, DOI 10.1080/13504622.2011.622839; Sun AN, 2016, J INF TECHNOL EDUC-R, V15, P157; Tainter JA, 2011, ENVIRON INNOV SOC TR, V1, P89, DOI 10.1016/j.eist.2010.12.001; UNESCO, 2019, P 40 SESS GEN C PAR; van den Broek KL, 2019, ENERGY RES SOC SCI, V57, DOI 10.1016/j.erss.2019.101256; Wang SK, 2006, ETR&amp;D-EDUC TECH RES, V54, P597, DOI 10.1007/s11423-006-0638-2; Wojcik DJ, 2021, ENVIRON EDUC RES, V27, P1263, DOI 10.1080/13504622.2021.1905779</t>
  </si>
  <si>
    <t>10.3390/su152216055</t>
  </si>
  <si>
    <t>Z7EG2</t>
  </si>
  <si>
    <t>WOS:001113662100001</t>
  </si>
  <si>
    <t>Pérez, ML; Sobrino, SV</t>
  </si>
  <si>
    <t>Lopera Perez, Marisol; Villagra Sobrino, Sara</t>
  </si>
  <si>
    <t>Climate literacy in initial and continuing teacher training</t>
  </si>
  <si>
    <t>UNI-PLURIVERSIDAD</t>
  </si>
  <si>
    <t>Spanish</t>
  </si>
  <si>
    <t>climate literacy; training teachers; design-based research; environmental education; training teacher experiences</t>
  </si>
  <si>
    <t>Climate change is an issue of a great relevance today, since in all contexts it is considered unavoidable to respond to the emerging tensions and associated problems. Therefore, this research is focused on the climate literacy of preservice and inservice teachers, through the design and iteration of a model that favors the development of training experiences (at the University of Valladolid and through the Center of Teacher Training and Educational Innovation -CFIE, Valladolid-). The process is understood as a design-based research, which had as a starting point a systematic review of the literature that allowed to design a new model and its iteration. Results are framed in two categories: environmental literacy and teacher professionalization. In relation to the first one, findings make visible the knowledge that the participants had about climate change and its restructuring based on the connection between different areas. Likewise, emotional, cognitive, and behavioral attitudes of the participants were described. Regarding teacher professionalization, results show an approach to different teaching and learning strategies that can be applied in teaching practice.</t>
  </si>
  <si>
    <t>[Lopera Perez, Marisol] Univ Antioquia, Medellin, Colombia; [Villagra Sobrino, Sara] Univ Valladolid, Valladolid, Spain</t>
  </si>
  <si>
    <t>Universidad de Antioquia; Universidad de Valladolid</t>
  </si>
  <si>
    <t>Pérez, ML (corresponding author), Univ Antioquia, Medellin, Colombia.</t>
  </si>
  <si>
    <t>marisol.loperap@udea.edu.co; sarena@pdg.uva.es</t>
  </si>
  <si>
    <t>Sobrino, Sara Villagrá/ABG-3325-2020</t>
  </si>
  <si>
    <t>Sobrino, Sara Villagrá/0000-0003-2516-0492</t>
  </si>
  <si>
    <t>[Anonymous], 1981, The Urban Climate; [Anonymous], INF FIN C MUND NEC E; [Anonymous], 1988, ENSEN CIENC; Azevedo J, 2017, INT J GLOBAL WARM, V12, P414, DOI 10.1504/IJGW.2017.10005893; Ballantyne R.R., 1995, International Journal of Environmental Education and Information, V14, P115; Bolivar A., 2005, Revista de Curriculum y Formacion del Profesorado, V9, P1; Canas AJ., 2015, Knowledge Management E-Learning: An International Journal, V7, P6, DOI [10.34105/j.kmel.2015.07.002, DOI 10.34105/J.KMEL.2015.07.002]; Gess-Newsome J., 2015, Re-examining Pedagogical Content Knowledge in Science Education, P28, DOI DOI 10.4324/9781315735665; Goldman D., 2006, The Journal of Environment Education, V38, P3, DOI [DOI 10.3200/JOEE.38.1.3-22, 10.3200/JOEE.38.1.3-22]; González Gaudiano Edgar J., 2020, Perfiles educativos, V42, P157, DOI 10.22201/iisue.24486167e.2020.168.59464; Kopen W, 1948, CLIMATOLOGIA; Krippendorff K., 2004, CONTENT ANAL INTRO I, DOI DOI 10.2307/2288384; Lopera-Perez M., 2019, THESIS; Nayan N., 2018, DEVELOPMENT, V7; Niepold F., 2007, 5 INT S DIG EARTH; Novak J. D., 2006, TECHNICAL REPORT IHM; Paramo P, 1997, REV LAT AM PSICOL, V29, P243; Payne P.G., 2006, J ENV ED CURRICULUM, V37, P25; Pérez-Rodríguez U, 2017, REV PSICODIDACT, V22, P60, DOI 10.1387/RevPsicodidact.15608; Plutzer E, 2016, SCIENCE, V351, P664, DOI 10.1126/science.aab3907; Pedrajas AP, 2016, PROFESORADO, V20, P452; Reeves T. C., 2005, Journal of Computing in Higher Education, V16, P96, DOI 10.1007/BF02961476; Sauve L., 1996, CAN J ENVIRON EDUC, V1, P7; Sauve L., 2005, CAN J ENVIRON EDUC, V10, P11; Shulman L. S., 1986, Educational researcher, V15, P4, DOI [10.30827/profesorado.v23i3.11230, DOI 10.30827/PROFESORADO.V23I3.11230, 10.3102/0013189X015002004, 10.2307/1175860, DOI 10.3102/0013189X015002004]; Tejada J., 2009, REV EDUC-MADRID, V349, P463; UNESCO, 1997, REC REL COND PERS DO; Vezub L., 2005, Tendencias internacionales de desarrollo profesional docente. La experiencia de Mexico, Colombia; Wang F, 2005, ETR&amp;D-EDUC TECH RES, V53, P5, DOI 10.1007/BF02504682</t>
  </si>
  <si>
    <t>UNIV ANTIOQUIA,GRUPO CHHES</t>
  </si>
  <si>
    <t>MEDELLIN</t>
  </si>
  <si>
    <t>CARRERA 51 D 62-29, MEDELLIN, 1226, COLOMBIA</t>
  </si>
  <si>
    <t>1657-4249</t>
  </si>
  <si>
    <t>2665-2730</t>
  </si>
  <si>
    <t>Uni-pluriversidad</t>
  </si>
  <si>
    <t>e2020104</t>
  </si>
  <si>
    <t>10.17533/udea.unipluri.20.1.05</t>
  </si>
  <si>
    <t>RQ3BC</t>
  </si>
  <si>
    <t>Green Submitted, Green Published</t>
  </si>
  <si>
    <t>WOS:000642296200005</t>
  </si>
  <si>
    <t>Boaventura, D; Neves, AT; Santos, J; Pereira, PC; Luís, C; Monteiro, A; Cartaxana, A; Hawkins, SJ; Caldeira, MF; de Carvalho, AP</t>
  </si>
  <si>
    <t>Boaventura, Diana; Neves, Ana Teresa; Santos, Jaime; Pereira, Paula Colares; Luis, Cristina; Monteiro, Antonio; Cartaxana, Alexandra; Hawkins, Stephen John; Caldeira, Maria Filomena; Ponces de Carvalho, Antonio</t>
  </si>
  <si>
    <t>Promoting Ocean Literacy in Elementary School Students Through Investigation Activities and Citizen Science</t>
  </si>
  <si>
    <t>Ocean Literacy; climate change; education; citizen science; elementary students; rocky shores</t>
  </si>
  <si>
    <t>CLIMATE-CHANGE; HABITAT</t>
  </si>
  <si>
    <t>To enable the process of energy transition towards carbon neutrality, it is important to educate the community on the need for social, economic, environmental and institutional transformation, and to educate and inform citizens to participate proactively in this change. This study evaluated the effectiveness of participation by elementary school students in educational activities and citizen science actions in enhancing their scientific knowledge and skills related to Ocean Literacy in the context of climate change. The activities were directed to children (aged 9-11) and involved pre-service teachers, in-service teachers and researchers, in formal and non-formal contexts. A total of 329 elementary school students participated in interdisciplinary science activities, focusing on the cause &amp; effect of climate change in the ocean. They learned to identify rocky shore marine species used to monitor climate change and acquired ICT skills by inserting species observations in a biodiversity mapping platform. Finally, students worked collaboratively to communicate to the community what they have learned through an exhibition at the Museum Joao de Deus. To assess the impact of the activities on acquisition of scientific knowledge and skills by the students, a mixed methodology was applied using pre and post-tests, analysis of the data inserted by students in the platform, and content analysis of the students' work for the museum exhibition. The results of pre and post-tests revealed a significant increase in knowledge of the effects of climate change on the rocky shore species distribution, as well as of the importance of monitoring these species distribution. The data from the online biodiversity platform showed that 42% of the species identifications made by the students were correct. The ability of the students to communicate their learning to the wider community was evaluated by the scientific content, structure, presentation and creativity and of posters, models, videos and games produced. Most of students focused their communications and creations on the greenhouse effect, cause &amp; effect of climate change in the ocean and biodiversity. This study reinforces the importance of addressing Ocean Literacy and climate change through formal and non-formal educational activities with an investigative nature.</t>
  </si>
  <si>
    <t>[Boaventura, Diana; Neves, Ana Teresa; Santos, Jaime; Pereira, Paula Colares; Caldeira, Maria Filomena; Ponces de Carvalho, Antonio] Ctr Invest &amp; Estudos Joao Deus, Escola Super Educ Joao de Deus, Lisbon, Portugal; [Boaventura, Diana] Univ Lisbon, MARE Marine &amp; Environm Sci Ctr, Lab Maritimo Guia, Fac Ciencias, Cascais, Portugal; [Neves, Ana Teresa] Univ Lisbon, Inst Educ, Lisbon, Portugal; [Luis, Cristina; Monteiro, Antonio; Cartaxana, Alexandra] Univ Lisbon, MUHNAC Museu Nacl Hist Nat &amp; Ciencia, Lisbon, Portugal; [Luis, Cristina] Univ Lisbon, CIUHCT Ctr Interuniv Hist Ciencias &amp; Tecnol, Fac Ciencias, Lisbon, Portugal; [Cartaxana, Alexandra] Univ Lisbon, MARE Marine &amp; Environm Sci Ctr, Lisbon, Portugal; [Hawkins, Stephen John] Univ Southampton, Natl Oceanog Ctr Southampton, Sch Ocean &amp; Earth Sci, Waterside Campus, Southampton, Hants, England; [Hawkins, Stephen John] Marine Biol Assoc UK, Plymouth, Devon, England; [Hawkins, Stephen John] Univ Plymouth, Sch Biol &amp; Marine Sci, Plymouth, Devon, England</t>
  </si>
  <si>
    <t>Universidade de Lisboa; Universidade de Lisboa; Universidade de Lisboa; Universidade de Lisboa; Universidade de Lisboa; University of Southampton; NERC National Oceanography Centre; Marine Biological Association United Kingdom; University of Plymouth</t>
  </si>
  <si>
    <t>Boaventura, D (corresponding author), Ctr Invest &amp; Estudos Joao Deus, Escola Super Educ Joao de Deus, Lisbon, Portugal.;Boaventura, D (corresponding author), Univ Lisbon, MARE Marine &amp; Environm Sci Ctr, Lab Maritimo Guia, Fac Ciencias, Cascais, Portugal.</t>
  </si>
  <si>
    <t>d.boaventura@netcabo.pt</t>
  </si>
  <si>
    <t>Luís, Cristina/AFF-4315-2022; Luís, Cristina/AAE-9871-2022; Boaventura, Diana/I-7191-2012</t>
  </si>
  <si>
    <t>Luís, Cristina/0000-0001-8005-9624; Luís, Cristina/0000-0001-8005-9624; Pereira Reis, Maria Paula/0000-0002-0690-7063; Santos, Jaime/0000-0002-6048-425X; Ponces de Carvalho, Antonio/0000-0003-0770-4572; Caldeira, Maria Filomena/0000-0001-9528-3426; Boaventura, Diana/0000-0002-3658-2925; Ferreira das Neves, Ana Teresa/0000-0001-5676-9482; Cartaxana, Alexandra/0000-0001-8624-2198</t>
  </si>
  <si>
    <t>Portuguese national funds through FCT -Fundacao IP [UIDB/04292/2020]; European Union [N810139, LISBOA-01-0145-FEDER-023480/CENTRO-01-0145-FEDER-023480]; Portugal 2020 [SAICT-POL/23480/2016]; Foundation for Science and Technology -FCT (PIDDAC); FCT [BIM/ESEJD/23480/2017, SFRH/BPD/100511/2014, SFRH/BGCT/106026/2015]; Fundação para a Ciência e a Tecnologia [SFRH/BGCT/106026/2015, SFRH/BPD/100511/2014] Funding Source: FCT</t>
  </si>
  <si>
    <t>Portuguese national funds through FCT -Fundacao IP(Fundacao para a Ciencia e a Tecnologia (FCT)); European Union(European Union (EU)); Portugal 2020; Foundation for Science and Technology -FCT (PIDDAC); FCT(Fundacao para a Ciencia e a Tecnologia (FCT)); Fundação para a Ciência e a Tecnologia(Fundacao para a Ciencia e a Tecnologia (FCT))</t>
  </si>
  <si>
    <t>This publication was financed by Portuguese national funds through FCT -Fundacao IP under project reference UIDB/04292/2020 and by the European Union's Horizon 2020 Research and Innovation Programme under grant agreement N810139: Project Portugal Twinning for Innovation and Excellence in Marine Science and Earth Observation PORTWIMS. This research was done under the project EDUcar para o MAR -EDUMAR (SAICT-POL/23480/2016), financially supported by Portugal 2020, Foundation for Science and Technology -FCT (PIDDAC) and by the European Union, through the European Regional Development Fund (LISBOA-01-0145-FEDER-023480/CENTRO-01-0145-FEDER-023480). Researcher fellowships were granted by FCT to AN (BIM/ESEJD/23480/2017), to CL (SFRH/BPD/100511/2014), and to AM (SFRH/BGCT/106026/2015).</t>
  </si>
  <si>
    <t>ALLEA, 2020, SNAPSH CLIM CHANG ED, DOI [10.26356/climateeducation, DOI 10.26356/CLIMATEEDUCATION]; Anderson A., 2012, Journal of Education for Sustainable Development, V6, P191, DOI [10.1177/0973408212475199, DOI 10.1177/0973408212475199]; [Anonymous], 2009, A CAISE Inquiry Group Report; [Anonymous], 2017, Education for Sustainable Development Goals: Learning Objectives, DOI [10.0978/-92-3-100209-0, DOI 10.31142/IJTSRD5889]; Barracosa H, 2019, FRONT MAR SCI, V6, DOI 10.3389/fmars.2019.00626; Bates AJ, 2015, URBAN ECOSYST, V18, P1477, DOI 10.1007/s11252-015-0470-8; Berchez FAS, 2016, BRAZ J OCEANOGR, V64, DOI 10.1590/S1679-875920160932064sp2; Boaventura D, 2020, INT J ENV SCI ED, V16, P2225, DOI [10.29333/ijese/8554, DOI 10.29333/IJESE/8554]; Borja A, 2020, FRONT MAR SCI, V6, DOI 10.3389/fmars.2019.00837; Burke SEL, 2018, CURR PSYCHIAT REP, V20, DOI 10.1007/s11920-018-0896-9; Cava F., 2005, Science Content and Standards for Ocean Literacy: A Report on Ocean Literacy, P1; Cummins S., 2000, Canadian Journal of Environmental Education, V5, P305; Dawson V, 2015, INT J SCI EDUC, V37, P1024, DOI 10.1080/09500693.2015.1015181; Doney SC, 2012, ANNU REV MAR SCI, V4, P11, DOI 10.1146/annurev-marine-041911-111611; Fauville G, 2013, MAR BIOL, V160, P1863, DOI 10.1007/s00227-012-1943-4; Fauville G, 2019, ENVIRON EDUC RES, V25, P238, DOI 10.1080/13504622.2018.1440381; Firth LB, 2011, J EXP MAR BIOL ECOL, V400, P1, DOI 10.1016/j.jembe.2011.02.001; Gaudiano E.G., 2009, ED CLIMATE CHANGE LI, P13; Gowda MVR, 1997, B AM METEOROL SOC, V78, P2232; Hallar AG, 2011, B AM METEOROL SOC, V92, P909, DOI 10.1175/2011BAMS3026.1; Hawkins SJ, 2009, MAR ECOL PROG SER, V396, P245, DOI 10.3354/meps08378; Hawkins SJ, 2019, SYST ASSOC SPEC VOL, V87, P7; Helmuth B, 2006, ANNU REV ECOL EVOL S, V37, P373, DOI 10.1146/annurev.ecolsys.37.091305.110149; Hiller SE, 2014, SCHOOL SCI MATH, V114, P302, DOI 10.1111/ssm.12081; IAP, 2017, INT PARTN STAT CLIM; IPCC, 2017, CLIM CHANG 2017 SYNT; Jordan RC, 2011, CONSERV BIOL, V25, P1148, DOI 10.1111/j.1523-1739.2011.01745.x; Körfgen A, 2017, SCI TOTAL ENVIRON, V580, P178, DOI [10.1016/j.scitotenv.2016.11.127, 10.1016/jscitotenv2016.11.127]; Kordas RL, 2011, J EXP MAR BIOL ECOL, V400, P218, DOI 10.1016/j.jembe.2011.02.029; Koulaidis V, 1999, SCI EDUC, V83, P559, DOI 10.1002/(SICI)1098-237X(199909)83:5&lt;559::AID-SCE4&gt;3.0.CO;2-E; Lima FP, 2007, GLOBAL CHANGE BIOL, V13, P2592, DOI 10.1111/j.1365-2486.2007.01451.x; Lopez-Redondo M., 2018, HANDS ON SCI ADV SCI, P194; McCright AM, 2013, NAT CLIM CHANGE, V3, P713, DOI [10.1038/NCLIMATE1844, 10.1038/nclimate1844]; Miller-Rushing A, 2012, FRONT ECOL ENVIRON, V10, P285, DOI 10.1890/110278; Mogias A, 2019, FRONT MAR SCI, V6, DOI 10.3389/fmars.2019.00396; Monroe MC, 2019, ENVIRON EDUC RES, V25, P791, DOI 10.1080/13504622.2017.1360842; National Oceanic and Atmospheric Administration [NOAA], 2013, OC LIT ESS PRINC FUN; OECD, 2018, CURR FLEX AUT PORT A; Oversby J, 2015, PROCD SOC BEHV, V167, P23, DOI 10.1016/j.sbspro.2014.12.637; Perkins KM, 2018, J CLEAN PROD, V200, P1043, DOI 10.1016/j.jclepro.2018.07.296; Pruneau D., 2001, CAN J ENVIRON EDUC, V6, P58; Ratinen I, 2013, RES SCI EDUC, V43, P1801, DOI 10.1007/s11165-012-9329-7; Santoro F., 2017, OCEAN LIT ALL TOOLKI; Saunders ME, 2018, AUSTRAL ECOL, V43, P635, DOI 10.1111/aec.12608; Schreck Reis C, 2013, INT J SCI EDUC, V35, P690, DOI 10.1080/09500693.2011.610379; Schreiner C., 2005, Studies in Science Education, V41, P3, DOI [DOI 10.1080/03057260508560213, 10.1080/03057260508560213, https://doi.org/10.1080/03057260508560213]; Shepardson DP, 2009, ENVIRON EDUC RES, V15, P549, DOI 10.1080/13504620903114592; SOUTHWARD AJ, 1980, NATURE, V285, P361, DOI 10.1038/285361a0; Stefanelli-Silva G, 2019, FRONT MAR SCI, V6, DOI 10.3389/fmars.2019.00389; Svihla V, 2012, INT J SCI EDUC, V34, P651, DOI 10.1080/09500693.2011.597453; Tolppanen S, 2018, J ENVIRON EDUC, V49, P375, DOI 10.1080/00958964.2017.1417816; Trott CD, 2020, SUSTAINABILITY-BASEL, V12, DOI 10.3390/su12166400; UNESCO (United Nations of Education Scientific and Cultural Organisation), 1975, INT WORKSH ENV ED FI; Uyarra MC, 2016, MAR POLLUT BULL, V104, P1, DOI 10.1016/j.marpolbul.2016.02.060; Varma K, 2012, J SCI EDUC TECHNOL, V21, P453, DOI 10.1007/s10956-011-9337-9; Vye SR, 2020, DIVERS DISTRIB, V26, P1357, DOI 10.1111/ddi.13118</t>
  </si>
  <si>
    <t>SEP 28</t>
  </si>
  <si>
    <t>10.3389/fmars.2021.675278</t>
  </si>
  <si>
    <t>WF3AY</t>
  </si>
  <si>
    <t>WOS:000706182700001</t>
  </si>
  <si>
    <t>Castañeda-Garza, G; Valerio-Ureña, G</t>
  </si>
  <si>
    <t>Castaneda-Garza, Gerardo; Valerio-Urena, Gabriel</t>
  </si>
  <si>
    <t>Energy literacy in elementary school textbooks in Mexico</t>
  </si>
  <si>
    <t>Elementary education; textbooks; curriculum research; sustainable development; education and society</t>
  </si>
  <si>
    <t>Recognizing the relevance of energy in our lives is essential for ensuring a sustainable future. The lessons offered by education systems could exert an impact throughout the lives of people. This study conducts a review of the content of elementary-level textbooks in Mexico to describe and analyze the scope of these materials and their depth from the perspective of energy literacy. Analysis considers the content of 44 textbooks published in 2014, and identifies 33 topics categorized based on the framework of energy literacy proposed by DeWaters (2011). The results show that energy-related issues were introduced to students earlier than expected by the government educational authority, energy-related contents were more extensive than expected across the textbooks, and offered a rich interdisciplinary perspective previously unrecognized by national educational guidelines. These findings suggest the need to update educational guidelines in Mexico to acknowledge the contents identified in this research, to support them with materials related to SDGs, and to understand better which energy education topics are being covered for future generations in other countries.</t>
  </si>
  <si>
    <t>[Castaneda-Garza, Gerardo] Tecnol Monterrey, Inst Future Educ, Monterrey 64700, Mexico; [Valerio-Urena, Gabriel] Tecnol Monterrey, Sch Humanities &amp; Educ, Monterrey, Mexico</t>
  </si>
  <si>
    <t>Tecnologico de Monterrey; Tecnologico de Monterrey</t>
  </si>
  <si>
    <t>Castañeda-Garza, G (corresponding author), Tecnol Monterrey, Inst Future Educ, Monterrey 64700, Mexico.</t>
  </si>
  <si>
    <t>g.castaneda@tec.mx</t>
  </si>
  <si>
    <t>Castañeda-Garza, Gerardo/AAX-7452-2020; Valerio, Gabriel/C-7213-2015</t>
  </si>
  <si>
    <t>Castañeda-Garza, Gerardo/0000-0003-3830-5232; Valerio, Gabriel/0000-0002-4446-6801</t>
  </si>
  <si>
    <t>Consejo Nacional de Ciencia y Tecnologia (CONACYT) [266632-CONACYT-SENER-S0019201401]</t>
  </si>
  <si>
    <t>Consejo Nacional de Ciencia y Tecnologia (CONACYT)(Consejo Nacional de Ciencia y Tecnologia (CONACyT))</t>
  </si>
  <si>
    <t>This work was supported by the Consejo Nacional de Ciencia y Tecnologia (CONACYT) under Grant 266632-CONACYT-SENER-S0019201401.</t>
  </si>
  <si>
    <t>Akitsu, 2018, STUDY ENERGY LITERAC, DOI [10.14989/doctor.k21188, DOI 10.14989/DOCTOR.K21188]; Akitsu Y., 2017, Int. J. Environ. Sci. Educ., V12, P1067; Paredes-Chi AA, 2018, ENVIRON EDUC RES, V24, P564, DOI 10.1080/13504622.2017.1333576; [Anonymous], 2018, The sustainable development goals report 2018; [Anonymous], 2021, UNO TV 0215; [Anonymous], 2021, BBC NEWS 0304; Casta?eda-Garza G., 2020, PROCEEDING 6 INT C E, V6, P01, DOI [10.17501/24246700.2020.6101, DOI 10.17501/24246700.2020.6101]; Cevera Cobos N.d.P., 2021, CIENCIAS NATURALES; Chavez J.C., 2021, ENERGIA HOY MAY; Comision Federal de Electricidad (CFE), 2017, 8460 CFE; Comision Nacional de Libros de Texto Gratuitos (CONALITEG), 2020, PRIM; Cullell J.M., 2021, EL PAIS 0303; DeWaters, 2011, ENERGY LITERACY BROA; DeWaters J, 2013, J ENVIRON EDUC, V44, P38, DOI 10.1080/00958964.2012.711378; Energy21, 2021, REDACCION ENERGY; Gobierno de Mexico, 2015, DIARIO OFICIAL FEDER; Guerra Ramos María Teresa, 2011, RMIE, V16, P441; Houston Independent School District (HISD), 2020, WELC EN I; Ishiwatari M, 2019, PROG DISASTER SCI, V1, DOI 10.1016/j.pdisas.2019.100007; Lee LS, 2017, ENVIRON EDUC RES, V23, P855, DOI 10.1080/13504622.2015.1068276; Lee LS, 2015, ENERG POLICY, V76, P98, DOI 10.1016/j.enpol.2014.11.012; M?rquez, 2019, REV FACULTAD DERECHO, V69, P592; Mart?nez Luna M.d.R., 2014, EXPLORACION NATURALE; Morales-Jurado H.A., 2019, FORBES MEXICO 1212; OBoyle, 2022, BLOOMBERG; Pianta M., 2021, CRIT GEN POL EC IN L; Romero-Hernandez S., 2012, RE ENERGIZING BORDER; Secretaria de Hacienda y Credito Publico (SHCP), 2015, CRIT GEN POL EC IN L; SEP, 2017, Aprendizajes clave para la Educacion Integral plan y programas de estudio para la educacion basica; United Nations (UN), 2015, OBJ; University of Texas, 2021, EN ED RES TEACH; US Department of Energy (DOE), 2017, EN LIT ESS PRINC FUN; Ureña GV, 2015, REV LAT COMUN SOC, V70, P110, DOI 10.4185/RLCS-2015-1037; Valle L., 2017, EL NORTE 0912; Vargas Rosio., 2015, Revista Problemas de Desarrollo, V180, P103, DOI [https://doi.org/10.1016/s0301-7036(15)72121-8, DOI 10.1016/S0301-7036(15)72121-8]; Webber M.E., 2017, ENERGY; World Wildlife Fund (WWF), 2020, DOES TURN YOUR LIGHT</t>
  </si>
  <si>
    <t>MAR 4</t>
  </si>
  <si>
    <t>10.1080/13504622.2022.2135687</t>
  </si>
  <si>
    <t>OCT 2022</t>
  </si>
  <si>
    <t>9F7AT</t>
  </si>
  <si>
    <t>WOS:000871375500001</t>
  </si>
  <si>
    <t>Abdullah, AG; Nandiyanto, EABD; Riza, LS; Riandi</t>
  </si>
  <si>
    <t>Yusup, M.; Setiawan, A.; Rustaman, N. Y.; Kaniawati, I.</t>
  </si>
  <si>
    <t>Assessing Pre-Service Physics Teachers' Energy Literacy: An Application of Rasch Measurement</t>
  </si>
  <si>
    <t>INTERNATIONAL CONFERENCE ON MATHEMATICS AND SCIENCE EDUCATION (ICMSCE)</t>
  </si>
  <si>
    <t>International Conference on Mathematics and Science Education (ICMScE)</t>
  </si>
  <si>
    <t>MAY 24, 2017</t>
  </si>
  <si>
    <t>CONCEPTIONS; KNOWLEDGE; STUDENTS</t>
  </si>
  <si>
    <t>This paper aims to present a summary of pre-service physics teachers' responses on energy literacy assessment. A total of 123 pre-service physics teacher in first through third year of education participated. Data were analyzed using Rasch modeling. Research findings indicate that pre-service physics teachers show their low self-system toward energy conservation. They were also still lack of metacognitive and cognitive competencies. These finding provide information for the future development of curriculum, teaching and learning that can improve pre-service physics teachers' energy literacy.</t>
  </si>
  <si>
    <t>[Yusup, M.; Setiawan, A.; Rustaman, N. Y.; Kaniawati, I.] Univ Pendidikan Indonesia, Sekolah Pascasarjana, Bandung, Indonesia; [Yusup, M.] Univ Sriwijaya, Program Studi Pendidikan Fis, Jalan Palembang Prabumulih KM 32, Indralaya Ogan Ilir Suma, Indonesia</t>
  </si>
  <si>
    <t>Yusup, M (corresponding author), Univ Pendidikan Indonesia, Sekolah Pascasarjana, Bandung, Indonesia.;Yusup, M (corresponding author), Univ Sriwijaya, Program Studi Pendidikan Fis, Jalan Palembang Prabumulih KM 32, Indralaya Ogan Ilir Suma, Indonesia.</t>
  </si>
  <si>
    <t>yusufipa@student.upi.edu</t>
  </si>
  <si>
    <t>Rustaman, Nuryani/GQQ-8050-2022; yusup, Muhamad/R-5287-2019; Samsudin, Achmad/E-5170-2015</t>
  </si>
  <si>
    <t>[Anonymous], ENV ED RES; [Anonymous], ENERGY EFFIC; [Anonymous], 1985, RES SCI EDUC, DOI DOI 10.1007/BF02356527; [Anonymous], 2015, APPLYING RASCH MODEL, DOI DOI 10.4324/9781315814698; [Anonymous], 1979, SCI ED, DOI DOI 10.1002/SCE.3730630506; Besson U., 2013, SCI ED; Chen K., ENERGY LITERACY SECO, P87; Chen K.L., 2015, International Journal of Environmental and Science Education, V10, P201, DOI [DOI 10.12973/IJESE.2015.241A, 10.12973/ijese.2015.241a]; Dewaters J., 2008, ENERGY LITERACY MIDD, P1; Fell M. J., 2013, ENERG POLICY, P1; Halder P, 2012, BIOENERG RES, V5, P247, DOI 10.1007/s12155-011-9121-y; KESIDOU S, 1993, J RES SCI TEACH, V30, P85, DOI 10.1002/tea.3660300107; KRUGER C, 1992, SCI EDUC, V76, P339, DOI 10.1002/sce.3730760402; Lay Y.-F., 2013, International Journal of Environmental ve Science Education, V8, P199; Lee LS, 2015, ENERG POLICY, V76, P98, DOI 10.1016/j.enpol.2014.11.012; Linacre J. M., 2016, WINSTEPS VERSION 3 9; Marzano R.J., 2007, NEW TAXONOMY ED OBJE, V2nd; MASTERS GN, 1982, PSYCHOMETRIKA, V47, P149, DOI 10.1007/BF02296272; Papadouris N., 2011, PHILOS INFORMED TEAC, P961; Shephard K., 2008, INT J SUST HIGHER ED, V9, P87, DOI DOI 10.1108/14676370810842201; Stephens J.C., 2008, International Journal of Sustainability in Higher Education, V9, P317, DOI DOI 10.1108/14676370810885916; Tatar E., 2007, INT J ENV SCI ED, V2, P79; Trumper R, 1997, INT J SCI EDUC, V19, P31, DOI 10.1080/0950069970190103; Trumper R., 2010, Science Education International, V21, P217; Watts D.M., 1983, PHYS EDUC, V18, P213, DOI DOI 10.1088/0031-9120/18/5/307; Yusup M., 2016, INT C EN SCI</t>
  </si>
  <si>
    <t>10.1088/1742-6596/895/1/012161</t>
  </si>
  <si>
    <t>Education, Scientific Disciplines; Mathematics; Physics, Multidisciplinary</t>
  </si>
  <si>
    <t>Education &amp; Educational Research; Mathematics; Physics</t>
  </si>
  <si>
    <t>BJ3ND</t>
  </si>
  <si>
    <t>WOS:000424025100161</t>
  </si>
  <si>
    <t>Applebaum, LR; Price, CA; Foster, AY</t>
  </si>
  <si>
    <t>Applebaum, Lauren R.; Price, C. Aaron; Foster, Anjylla Y.</t>
  </si>
  <si>
    <t>Collaboration and Competition in Exhibit Facilitation Around Energy Literacy</t>
  </si>
  <si>
    <t>JOURNAL OF MUSEUM EDUCATION</t>
  </si>
  <si>
    <t>Facilitation; interpretation; collaboration; competition; energy literacy</t>
  </si>
  <si>
    <t>Through an energy exhibit entitled Future Energy Chicago, we explore how using collaborative and competitive facilitation formats affect aspects of the energy literacy of guests. The study takes place in an interactive, hour-long museum experience led by a trained museum facilitator. Guests were assigned to attend either a collaborative or competitive version of the exhibit experience. We found that collaboration and competition conditions helped promote different types of energy literacy. Specifically, we found that guests in the collaboration condition showed stronger positive attitudes toward energy conservation and a greater willingness to change their energy behaviors than guests in the control condition. On the other hand, guests in the competition group showed the highest scores on the learning items. Interestingly, competition might be especially effective for female guests' learning. The results of our study provide a nuanced view of facilitation and contribute to the growing literature on live facilitation in museums.</t>
  </si>
  <si>
    <t>[Applebaum, Lauren R.] Museum Sci &amp; Ind, Chicago, IL 60637 USA; [Price, C. Aaron] Museum Sci &amp; Ind, Res &amp; Evaluat, Chicago, IL USA; [Foster, Anjylla Y.] Museum Sci &amp; Ind, Guests Experiences Dept, Chicago, IL USA</t>
  </si>
  <si>
    <t>Applebaum, LR (corresponding author), Museum Sci &amp; Ind, Chicago, IL 60637 USA.</t>
  </si>
  <si>
    <t>Price, Charles/0000-0002-8954-9758</t>
  </si>
  <si>
    <t>Allen S., 2009, CURATOR, V52, P289, DOI 10.1111/j.2151-6952.2009.tb00352.x; Anderson D., 2002, CURATOR, V43, P213, DOI DOI 10.1111/J.2151-6952.2002.TB00057.X; Chen JJ, 2018, REV EDUC RES, V88, P799, DOI 10.3102/0034654318791584; Dancstep T, 2018, CURATOR, V61, P485, DOI 10.1111/cura.12267; Dasgupta N, 2015, P NATL ACAD SCI USA, V112, P4988, DOI 10.1073/pnas.1422822112; DeWaters J., 2009, ENERGY LITERACY SURV; DeWaters JE, 2011, ENERG POLICY, V39, P1699, DOI 10.1016/j.enpol.2010.12.049; EREV I, 1993, J EXP SOC PSYCHOL, V29, P463, DOI 10.1006/jesp.1993.1021; Heemskerk I, 2012, INT J INCLUSIVE EDUC, V16, P155, DOI 10.1080/13603111003674560; Hwang GJ, 2011, COMPUT EDUC, V56, P1023, DOI 10.1016/j.compedu.2010.12.002; Jenson J., 2007, P 2007 C FUTURE PLAY, P9, DOI DOI 10.1145/1328202.1328205; Jenson J, 2010, SIMULAT GAMING, V41, P51, DOI 10.1177/1046878109353473; Ke FF, 2008, ETR&amp;D-EDUC TECH RES, V56, P539, DOI 10.1007/s11423-008-9086-5; Ke FF, 2007, BRIT J EDUC TECHNOL, V38, P249, DOI 10.1111/j.1467-8535.2006.00593.x; Kreijns K, 2013, EDUC PSYCHOL-US, V48, P229, DOI 10.1080/00461520.2012.750225; McCright AM, 2010, POPUL ENVIRON, V32, P66, DOI 10.1007/s11111-010-0113-1; Moser S., 2011, OXFORD HDB CLIMATE C, P161, DOI [DOI 10.1093/OXFORDHB/9780199566600.003.0011, 10.1093/oxfordhb/9780199566600.003.0011]; Nietfeld JL, 2014, J EDUC PSYCHOL, V106, P961, DOI 10.1037/a0037116; Nisbet MC, 2009, ENVIRONMENT, V51, P12, DOI 10.3200/ENVT.51.2.12-23; Owens S, 2000, ENVIRON PLANN A, V32, P1141, DOI 10.1068/a3330; Pattison SA, 2018, VISIT STUD, V21, P4, DOI 10.1080/10645578.2018.1503879; Price CA, 2015, J MUS EDUC, V40, P195, DOI 10.1179/1059865015Z.00000000095; Smith MK, 2009, SCIENCE, V323, P122, DOI 10.1126/science.1165919; Stevens R., 2008, ECOLOGY GAMES CONNEC, P41, DOI DOI 10.1162/DMAL.9780262693646.041</t>
  </si>
  <si>
    <t>1059-8650</t>
  </si>
  <si>
    <t>2051-6169</t>
  </si>
  <si>
    <t>J MUS EDUC</t>
  </si>
  <si>
    <t>J. Museum Education</t>
  </si>
  <si>
    <t>10.1080/10598650.2020.1858268</t>
  </si>
  <si>
    <t>QS5EW</t>
  </si>
  <si>
    <t>WOS:000625924400012</t>
  </si>
  <si>
    <t>Gladwin, D; Karsgaard, C; Shultz, L</t>
  </si>
  <si>
    <t>Gladwin, Derek; Karsgaard, Carrie; Shultz, Lynette</t>
  </si>
  <si>
    <t>Collaborative learning on energy justice: International youth perspectives on energy literacy and climate justice</t>
  </si>
  <si>
    <t>climate justice education; energy justice; energy literacy; energy transition; global education; youth</t>
  </si>
  <si>
    <t>To explore the complexities of energy literacy in a global educational context, this article draws on research from a 7-month collaborative educational research project titled International Youth Deliberation on Energy Futures (IYDEF), which engaged 207 high school students from 22 schools in 18 countries in developing the education needed to activate just and sustainable energy transitions. Key to student learning were activities to build an awareness of systemic global climate issues and to develop energy literacy to understand unsustainable energy legacies and envision alternative and equitable energy transitions and futures. Based upon research from this global classroom case study, this article argues for a collaborative, global effort to promote sociocultural aspects of energy literacy as an underlying framework for energy and climate justice.</t>
  </si>
  <si>
    <t>[Gladwin, Derek] Univ British Columbia, Vancouver, BC, Canada; [Karsgaard, Carrie] Arizona State Univ, Tempe, AZ USA; [Shultz, Lynette] Univ Alberta, Edmonton, AB, Canada</t>
  </si>
  <si>
    <t>University of British Columbia; Arizona State University; Arizona State University-Tempe; University of Alberta</t>
  </si>
  <si>
    <t>Gladwin, D (corresponding author), Univ British Columbia, Vancouver, BC, Canada.</t>
  </si>
  <si>
    <t>Hamilton, Sarah-Jane/GWV-2893-2022</t>
  </si>
  <si>
    <t>Shultz, Lynette/0000-0002-3875-6992; Karsgaard, Carrie/0000-0003-0954-9166; Gladwin, Derek/0000-0002-0053-4745</t>
  </si>
  <si>
    <t>Canada First Research Excellence Fund (University of Alberta's Future Energy Systems research initiative); Centre for Global Citizenship Education (Faulty of Education, University of Alberta); University Chair of Environmental Communication (University of Waterloo)</t>
  </si>
  <si>
    <t>This study is supported by Canada First Research Excellence Fund (University of Alberta's Future Energy Systems research initiative); Centre for Global Citizenship Education (Faulty of Education, University of Alberta); University Chair of Environmental Communication (University of Waterloo).</t>
  </si>
  <si>
    <t>Akiva T, 2017, J APPL DEV PSYCHOL, V53, P20, DOI 10.1016/j.appdev.2017.08.005; [Anonymous], 2016, OIL; [Anonymous], 1994, J SCI TEACH EDUC, DOI DOI 10.1007/BF02969146; Bret, 2014, ENERGY CLIMATE CONTI; Bright ML, 2022, AUST J ENVIRON EDUC, V38, P13, DOI 10.1017/aee.2021.22; Busch KC, 2019, ENVIRON EDUC RES, V25, P955, DOI 10.1080/13504622.2018.1514588; Butler T., 2012, THE ENERGY READER, P3; Casas EV Jr, 2021, J ENVIRON EDUC, V52, P314, DOI 10.1080/00958964.2021.1981205; Cohen L., 2011, RES METHODS ED, V7th; Coyne Christopher J., 2018, YOUTH CLIMATE CHANGE; Cozen B, 2018, ENVIRON COMMUN, V12, P289, DOI 10.1080/17524032.2017.1398176; Cresswell J.W., 2008, Research design: Qualitative, quantitative, and mixed methods approaches; DeWaters J, 2013, J ENVIRON EDUC, V44, P56, DOI 10.1080/00958964.2012.682615; DeWaters JE, 2011, ENERG POLICY, V39, P1699, DOI 10.1016/j.enpol.2010.12.049; Dias RA, 2021, RENEW SUST ENERG REV, V141, DOI 10.1016/j.rser.2021.110845; Dunlop L, 2021, CHILD GEOGR, V19, P291, DOI 10.1080/14733285.2020.1828827; Eaton EM, 2020, ENVIRON EDUC RES, V26, P457, DOI 10.1080/13504622.2019.1650164; Fridays for Future, 2019, OUR DEM; Ghosh Amitav., 1992, NEW REPUBLIC, V2, P29; IYDEF Collective, 2020, TOG WE CAN MAK CHANG; IYDEF Collective, 2020, GLOB YOUTH DEM EN JU; Jones J.L., 2019, RESILIENCE J ENV HUM, V6, P155, DOI [https://doi.org/10.5250/resilience.6.2-3.0155, DOI 10.5250/RESILIENCE.6.2-3.0155]; Karsgaard C, 2023, EDUC REV, V75, P74, DOI 10.1080/00131911.2021.1905611; Kluttz J, 2018, ADULT EDUC QUART, V68, P91, DOI 10.1177/0741713617751043; Krasny ME, 2019, ENVIRON EDUC RES, V25, P883, DOI 10.1080/13504622.2016.1196345; LeMenager Stephanie., 2014, LIVING OIL PETROLEUM; Martins A, 2020, ENERGY REP, V6, P454, DOI 10.1016/j.egyr.2019.09.007; McBride BB, 2013, ECOSPHERE, V4, DOI 10.1890/ES13-00075.1; McCaffrey M., 2015, J SUSTAINABILITY ED, V8; McCaffrey M. S., 2015, CLIMATE SMART ENERGY; Menton M, 2020, SUSTAIN SCI, V15, P1621, DOI 10.1007/s11625-020-00789-8; Misik M., 2021, ENERGY HUMANITIES CU; Monroe MC, 2019, ENVIRON EDUC RES, V25, P791, DOI 10.1080/13504622.2017.1360842; Ojala M, 2021, J ENVIRON EDUC, V52, P40, DOI 10.1080/00958964.2020.1845589; Ojala M, 2012, ENVIRON EDUC RES, V18, P625, DOI 10.1080/13504622.2011.637157; Siegner A, 2020, ENVIRON EDUC RES, V26, P511, DOI 10.1080/13504622.2019.1607258; Stapleton SR, 2019, ENVIRON EDUC RES, V25, P732, DOI 10.1080/13504622.2018.1472220; Svarstad H, 2021, INT STUD SOCIOL EDUC, V30, P214, DOI 10.1080/09620214.2020.1855463; Szeman I, 2013, J CAN STUD, V47, P145; Szeman Imre., 2010, POLYGRAPH, V22, P33; Szeman Imre., 2019, On Petrocultures: Globalization, Culture, and Energy, DOI DOI 10.1177/1368431016666087; Szeman Imre., 2017, Energy Humanities: An Anthology, P1; Waldron F, 2019, ENVIRON EDUC RES, V25, P895, DOI 10.1080/13504622.2016.1255876; Wals AEJ, 2020, EDUC PHILOS THEORY, V52, P825, DOI 10.1080/00131857.2019.1676490; WBGU, 2008, Climate Change as a Security Risk; Wellington J., 2015, Educational research, V2nd; White PJ, 2022, AUST J ENVIRON EDUC, V38, P26, DOI 10.1017/aee.2021.24; Wilson Sheena., 2018, MAT CRITIQUE ENERGY, P377; Wilson Sheena., 2017, Petrocultures: Oil, Politics, Culture; Yin RK., 2009, CASE STUDY RES DESIG, DOI DOI 10.1097/FCH.0B013E31822DDA9E</t>
  </si>
  <si>
    <t>OCT 26</t>
  </si>
  <si>
    <t>10.1080/00958964.2022.2113019</t>
  </si>
  <si>
    <t>AUG 2022</t>
  </si>
  <si>
    <t>5M8RC</t>
  </si>
  <si>
    <t>WOS:000842794700001</t>
  </si>
  <si>
    <t>Mehmood, A; Lin, RJ; Zhang, L; Lee, CKM; Ren, JZ</t>
  </si>
  <si>
    <t>Mehmood, Aamir; Lin, Ruojue; Zhang, Long; Lee, Carman K. M.; Ren, J. Z.</t>
  </si>
  <si>
    <t>Qualitative mapping of barriers to the renewables' development against energy literacy dimensions: A case study of Pakistan</t>
  </si>
  <si>
    <t>8th International Conference on Energy and Environment Research (ICEER) - Developing the World in 2021 with Clean and Safe Energy</t>
  </si>
  <si>
    <t>SEP 13-17, 2021</t>
  </si>
  <si>
    <t>Roma, ITALY</t>
  </si>
  <si>
    <t>Renewable energy; Barriers; Qualitative mapping; Energy literacy; Sustainability</t>
  </si>
  <si>
    <t>SUSTAINABLE DEVELOPMENT; FRAMEWORK</t>
  </si>
  <si>
    <t>The development of renewable energy (RE) has been recognized as a promising way for solving the energy security problems in future. However, there are various barriers that hinder the development of RE. The awareness of the decision-makers about these barriers can lead to designing the appropriate strategies for overcoming them using the focused index of energy literacy. Energy literacy is a critical component of the fourth sustainable development goal (SDG) for achieving social aspect of energy security (SDG-7). The purpose of this effort is to emphasize the critical nature of energy literacy in tackling the challenges to RE development. Thus, the barriers to the RE development in Pakistan are defined and classified according to their political, economic, social, technological, environmental, and legal dimensions. By holding focus group meetings with energy and outcomes-based education (OBE) theory specialists, these barriers are mapped with dimensions and sub-dimensions of energy literacy. The analysis of qualitative mapping reveals that the affective dimension of energy literacy is critical for overcoming the majority of the barriers encountered. It is manifested that energy literacy can play a critical role in building a sustainable future by positively tackling the barriers. (C) 2022 The Author(s). Published by Elsevier Ltd.</t>
  </si>
  <si>
    <t>[Mehmood, Aamir; Lin, Ruojue; Zhang, Long; Lee, Carman K. M.; Ren, J. Z.] Hong Kong Polytech Univ, Dept Ind &amp; Syst Engn, Hong Kong, Peoples R China</t>
  </si>
  <si>
    <t>Hong Kong Polytechnic University</t>
  </si>
  <si>
    <t>Ren, JZ (corresponding author), Hong Kong Polytech Univ, Dept Ind &amp; Syst Engn, Hong Kong, Peoples R China.</t>
  </si>
  <si>
    <t>aamir.mehmood@connect.polyu.hk; jzhren@polyu.edu.hk</t>
  </si>
  <si>
    <t>Zhang, Long/AAM-2252-2021</t>
  </si>
  <si>
    <t>Zhang, Long/0000-0002-4976-0428</t>
  </si>
  <si>
    <t>Research Grant Council-The Hong Kong; Research Committee of The Hong Kong Polytechnic University; Departmental General Research Funds of Department of Industrial and Systems Engineering, The Hong Kong Polytechnic University (G-UAFT)</t>
  </si>
  <si>
    <t>This work was firstly presented in `The 8th International Conference on Energy and Environment Research (ICEER 2021)' in the format of extended abstract and presentation. The work presented was supported by the grant from Research Grant Council-The Hong Kong Ph.D. Fellowship (Ph.D. Fellowship awardee: Aamir Mehmood), Research Committee of The Hong Kong Polytechnic University under student account code RLMD and the Departmental General Research Funds of Department of Industrial and Systems Engineering, The Hong Kong Polytechnic University (G-UAFT).</t>
  </si>
  <si>
    <t>Aamir Mehmood, 2021, 8 INT C EN ENV RES I, P107; Ahmad Usmani Rizwan, 2021, PSYCHOL ED J, V58, P8714; Ahmed W, 2020, SYMMETRY-BASEL, V12, DOI 10.3390/sym12081203; Ali S, 2021, ENVIRON DEV SUSTAIN, V23, P11881, DOI 10.1007/s10668-020-01147-5; Alipour M, 2017, ENERGY, V121, P388, DOI 10.1016/j.energy.2017.01.024; Calzadilla PV, 2018, J ENERGY NAT RESO LA, V36, P233, DOI 10.1080/02646811.2017.1377951; Cotton DRE, 2021, J CLEAN PROD, V278, DOI 10.1016/j.jclepro.2020.123876; DeWaters JE, 2011, ENERG POLICY, V39, P1699, DOI 10.1016/j.enpol.2010.12.049; Dongjun D., 2020, 2020 3 INT C COMPUTI, DOI [10.1109/iCoMET48670.2020.9073902, DOI 10.1109/ICOMET48670.2020.9073902]; Elavarasan RM, 2020, ENERGY REP, V6, P1838, DOI 10.1016/j.egyr.2020.07.007; Martins A, 2020, ENERGY REP, V6, P454, DOI 10.1016/j.egyr.2019.09.007; Shah SAA, 2019, ENVIRON SCI POLLUT R, V26, P29687, DOI 10.1007/s11356-019-06102-0; Shaheen S., 2019, INT J ENG EDUC, V1, P122, DOI [10.14710/ijee.1.2.122-129, DOI 10.14710/IJEE.1.2.122-129, https://doi.org/10.14710/ijee.1.2.122-129]; Solangi YA, 2021, RENEW ENERG, V173, P209, DOI 10.1016/j.renene.2021.03.141; Thakur V, 2021, J CLEAN PROD, V287, DOI 10.1016/j.jclepro.2020.125562; Wang Y, 2020, SUSTAIN CITIES SOC, V52, DOI 10.1016/j.scs.2019.101861; Zafar S.S., 2021, International Journal of Energy Economics and Policy, V11, P293, DOI [10.32479/ijeep.7599, DOI 10.32479/IJEEP.7599, 10.32479/IJEEP.7599]</t>
  </si>
  <si>
    <t>10.1016/j.egyr.2022.01.050</t>
  </si>
  <si>
    <t>FEB 2022</t>
  </si>
  <si>
    <t>Science Citation Index Expanded (SCI-EXPANDED); Conference Proceedings Citation Index - Science (CPCI-S)</t>
  </si>
  <si>
    <t>ZV8YN</t>
  </si>
  <si>
    <t>WOS:000770811000049</t>
  </si>
  <si>
    <t>Are the energy literacy, financial knowledge, and education level faces of the same coin?</t>
  </si>
  <si>
    <t>Education level; Energy literacy; Financial knowledge; Portugal</t>
  </si>
  <si>
    <t>Education, financial knowledge, and energy literacy are seen as powerful tools that empower citizens and help them make informed decisions. Considering that both education and financial knowledge are often associated with better levels of energy literacy, we consider it important to check if there are common determinants between these three variables. Using a questionnaire applied to Portuguese university members (students, teachers, and technicians), we also tried to infer whether the factors that influence these variables are common among men and women. The results show that energy knowledge has an influence, not only on the level of energy literacy but also on the level of education and the level of financial knowledge. (C) 2022 The Author(s). Published by Elsevier Ltd.</t>
  </si>
  <si>
    <t>[Martins, Ana; Madaleno, Mara; Dias, Marta Ferreira] Univ Aveiro, GOVCOPP Res Unit Governance Competitiveness &amp; Pub, DEGEIT, Campus Univ Santiago, P-3810193 Aveiro, Portugal</t>
  </si>
  <si>
    <t>Martins, A (corresponding author), Univ Aveiro, GOVCOPP Res Unit Governance Competitiveness &amp; Pub, DEGEIT, Campus Univ Santiago, P-3810193 Aveiro, Portugal.</t>
  </si>
  <si>
    <t>Research unit on Governance, Competitiveness and Public Policy, Portugal - national funds through FCT -Fundacao para a Ciencia e a Tecnologia, Portugal [UIDB/04058/2020, UIDP/04058/2020]</t>
  </si>
  <si>
    <t>Research unit on Governance, Competitiveness and Public Policy, Portugal - national funds through FCT -Fundacao para a Ciencia e a Tecnologia, Portugal</t>
  </si>
  <si>
    <t>This work was financially supported by the Research unit on Governance, Competitiveness and Public Policy, Portugal (UIDB/04058/2020)+(UIDP/04058/2020), funded by national funds through FCT -Fundacao para a Ciencia e a Tecnologia, Portugal.</t>
  </si>
  <si>
    <t>Aguirre-Bielschowsky I, 2017, ENVIRON EDUC RES, V23, P832, DOI 10.1080/13504622.2015.1054267; Blasch J., 2018, SSRN Electron. J., DOI [10.2139/ssrn.3175874, DOI 10.2139/SSRN.3175874]; Bodzin A, 2012, INT J SCI EDUC, V34, P1255, DOI 10.1080/09500693.2012.661483; Brutscher P.-B., 2011, Cambridge Working Papers in Economics (CWPE); Chen SJ, 2015, ENERG EFFIC, V8, P791, DOI 10.1007/s12053-015-9327-5; Cotton DRE, 2018, ENVIRON EDUC RES, V24, P1611, DOI 10.1080/13504622.2017.1395394; Cotton D, 2016, J CLEAN PROD, V129, P586, DOI 10.1016/j.jclepro.2016.03.136; Danner UN, 2008, BRIT J SOC PSYCHOL, V47, P245, DOI 10.1348/014466607X230876; DeWaters JE, 2011, ENERG POLICY, V39, P1699, DOI 10.1016/j.enpol.2010.12.049; Dianshu F, 2010, ENERG POLICY, V38, P1202, DOI 10.1016/j.enpol.2009.11.012; do Paço A, 2013, APCBEE PROC, V5, P44, DOI 10.1016/j.apcbee.2013.05.009; FCT Portuguese national funding agency for science research technology, 2012, DOM CIENT AR CIENT; Filippini M., 2018, Final report; Grilli L., 2014, Ordered Logit Model, DOI DOI 10.1007/978-94-007-0753-5_2023; Heutel G, 2019, J ENVIRON ECON MANAG, V96, P236, DOI 10.1016/j.jeem.2019.06.005; Huston SJ, 2010, J CONSUM AFF, V44, P296, DOI 10.1111/j.1745-6606.2010.01170.x; Kalmi P, 2017, PROCC 15 IAEE EUR C; Kumar N., 2019, SSRN J, V19/312, DOI [10.2139/ssrn.3328468, DOI 10.2139/SSRN.3328468]; Lee LS, 2017, ENVIRON EDUC RES, V23, P855, DOI 10.1080/13504622.2015.1068276; Lee LS, 2015, ENERG POLICY, V76, P98, DOI 10.1016/j.enpol.2014.11.012; Martins A, 2020, ENERGIES, V13, DOI 10.3390/en13133412; Räty R, 2010, ENERG POLICY, V38, P646, DOI 10.1016/j.enpol.2009.08.010; Sovacool BK, 2015, ENVIRON SCI POLICY, V54, P304, DOI 10.1016/j.envsci.2015.07.011; van den Broek KL, 2019, ENERG POLICY, V129, P1297, DOI 10.1016/j.enpol.2019.03.033</t>
  </si>
  <si>
    <t>10.1016/j.egyr.2022.01.082</t>
  </si>
  <si>
    <t>WOS:000770811000026</t>
  </si>
  <si>
    <t>Curran, MC; Ramsey, AL; Bower, AS</t>
  </si>
  <si>
    <t>Curran, Mary Carla; Ramsey, Andree L.; Bower, Amy S.</t>
  </si>
  <si>
    <t>Learning about ocean currents one track at a time</t>
  </si>
  <si>
    <t>SCIENCE ACTIVITIES-PROJECTS AND CURRICULUM IDEAS IN STEM CLASSROOMS</t>
  </si>
  <si>
    <t>Ocean circulation; thermohaline circulation; current; eddy; physical oceanography; climate change; Great Ocean Conveyor</t>
  </si>
  <si>
    <t>Oceans play an important role in weather and climate through transfers of heat and moisture to the atmosphere, and by moving heat and climate-relevant molecules like carbon dioxide around the globe. Energy also transfers from the atmosphere to the surface of the ocean, traveling down through the water column creating ocean currents that transport water with different temperatures, nutrients, and organisms from one part of the ocean to another. Students may not have known that there are ocean currents below the sea surface, but we provide methodology for sharing this information in a way that is accessible, including for the visually impaired. In addition to the Next Generation Science Standards (NGSS), Ocean Literacy Principles and The Essential Principles of Climate Literacy are addressed.</t>
  </si>
  <si>
    <t>[Curran, Mary Carla] Savannah State Univ, Marine Sci Program, Savannah, GA USA; [Ramsey, Andree L.; Bower, Amy S.] Woods Hole Oceanog Inst, Phys Oceanog Dept, Woods Hole, MA 02543 USA</t>
  </si>
  <si>
    <t>University System of Georgia; Savannah State University; Woods Hole Oceanographic Institution</t>
  </si>
  <si>
    <t>Curran, MC (corresponding author), Savannah State Univ, Box 20467, Savannah, GA 31404 USA.</t>
  </si>
  <si>
    <t>curranc@savannahstate.edu</t>
  </si>
  <si>
    <t>National Science Foundation [OCE-1756361]</t>
  </si>
  <si>
    <t>National Science Foundation(National Science Foundation (NSF))</t>
  </si>
  <si>
    <t>This work was generously provided by the National Science Foundation (Award Number OCE-1756361).</t>
  </si>
  <si>
    <t>Bashevkin SM, 2020, ECOSPHERE, V11, DOI 10.1002/ecs2.3015; Bower AS, 2009, NATURE, V459, P243, DOI 10.1038/nature07979; Broecker W.S, 1987, NATURAL HIST MAGAZIN, V97; Curran M.C., 2019, CURRENT J MARINE ED, V33; Curran MC, 2019, SCI ACT, V56, P77, DOI 10.1080/00368121.2019.1691968; Curran MC, 2017, SCI ACT, V54, P59, DOI 10.1080/00368121.2017.1322031; Etter RJ, 2015, DEEP-SEA RES PT I, V104, P159, DOI 10.1016/j.dsr.2015.06.009; Furey H.H., 2008, WHOI 09 06 EXPORT PA; Sukkestad K., 2012, NSTA SCI TEACHER, V79; Thompson C.A., 2016, CURRENT J MARINE ED, V30; Young CM, 2012, INTEGR COMP BIOL, V52, P483, DOI 10.1093/icb/ics090</t>
  </si>
  <si>
    <t>0036-8121</t>
  </si>
  <si>
    <t>1940-1302</t>
  </si>
  <si>
    <t>SCI ACT</t>
  </si>
  <si>
    <t>Sci. Act.</t>
  </si>
  <si>
    <t>MAR 31</t>
  </si>
  <si>
    <t>10.1080/00368121.2021.1885333</t>
  </si>
  <si>
    <t>RG8MI</t>
  </si>
  <si>
    <t>WOS:000629071500001</t>
  </si>
  <si>
    <t>Mogles, N; Walker, I; Ramallo-González, AP; Lee, J; Natarajan, S; Padget, J; Gabe-Thomas, E; Lovett, T; Ren, G; Hyniewska, S; O'Neill, E; Hourizi, R; Coley, D</t>
  </si>
  <si>
    <t>Mogles, Nataliya; Walker, Ian; Ramallo-Gonzalez, Alfonso P.; Lee, JeeHang; Natarajan, Sukumar; Padget, Julian; Gabe-Thomas, Elizabeth; Lovett, Tom; Ren, Gang; Hyniewska, Sylwia; O'Neill, Eamonn; Hourizi, Rachid; Coley, David</t>
  </si>
  <si>
    <t>How smart do smart meters need to be?</t>
  </si>
  <si>
    <t>BUILDING AND ENVIRONMENT</t>
  </si>
  <si>
    <t>Energy feedback; In-Home-Displays (IHDs); Internal values; Action prompts; Energy literacy; Smart meter</t>
  </si>
  <si>
    <t>HOUSEHOLD ELECTRICITY CONSUMPTION; ENERGY LITERACY; FEEDBACK; BEHAVIOR; VALUES</t>
  </si>
  <si>
    <t>Governments across the world are investing in smart metering devices that report energy use to the user with the aim of reducing consumption. However, the effectiveness of such In-Home Displays (IHDs) has been questioned, since savings are small. This is possibly because informing the consumer of their consumption in kWh, or monetary units, fails to give context, or inform of possible actions to reduce consumption. We investigate, for. the first time, the effect of replacing the simple statement of energy use an IHD gives, with a detailed array of information specifically designed to improve consumer energy literacy and suggest behaviour change through personalised actionable messages set against a series of psychological value systems for context, and which can identify potential profligacy. The results from a carefully controlled field experiment show: 1) value framing and action prompts have a significant effect on occupants' behaviour, with the mean temperature of homes being reduced from 22.4 degrees C to 21.7 degrees C, and a marked reduction in gas consumption -22.0% overall and 27.2% in high consumers; 2) energy literacy increasing from 0.52 to 1.28 (on a 0-4 scale); 3) it is possible to target potentially profligate households, without inappropriately messaging others; 4) engagement is high, with 82% of the participants finding the system useful. These results emphasize the necessity, of improving energy literacy when encouraging energy efficient behaviours and point to a new generation of smart meters with the potential to increase energy literacy, make much greater savings and impact climate change policy. (C) 2017 The Authors. Published by Elsevier Ltd.</t>
  </si>
  <si>
    <t>[Mogles, Nataliya; Lee, JeeHang; Padget, Julian; Lovett, Tom; Ren, Gang; Hyniewska, Sylwia; O'Neill, Eamonn; Hourizi, Rachid] Univ Bath, Dept Comp Sci, Bath, Avon, England; [Walker, Ian; Gabe-Thomas, Elizabeth] Univ Bath, Dept Psychol, Bath, Avon, England; [Ramallo-Gonzalez, Alfonso P.] Univ Murcia, Fac Comp Sci, Murcia, Spain; [Ramallo-Gonzalez, Alfonso P.; Natarajan, Sukumar; Coley, David] Univ Bath, Dept Architecture &amp; Civil Engn, Bath, Avon, England</t>
  </si>
  <si>
    <t>University of Bath; University of Bath; University of Murcia; University of Bath</t>
  </si>
  <si>
    <t>Coley, D (corresponding author), Univ Bath, Dept Architecture &amp; Civil Engn, Bath, Avon, England.</t>
  </si>
  <si>
    <t>d.a.coley@bath.ac.uk</t>
  </si>
  <si>
    <t>Padget, Julian/JOJ-9944-2023; Hyniewska, Sylwia/C-1858-2015</t>
  </si>
  <si>
    <t>Padget, Julian/0000-0003-1314-2094; Coley, David/0000-0001-5744-1809; Walker, Ian/0000-0002-0079-3149; Hyniewska, Sylwia/0000-0002-5241-3961; Lee, JeeHang/0000-0002-4337-2774; Gabe-Thomas, Elizabeth/0000-0003-3249-1011</t>
  </si>
  <si>
    <t>ENLITEN project - EPSRC [EP/K002724/1]; Exeter City Council; Consejeria de Educacion y Universidades of CARM, via Fundacion Seneca-Agenda de Ciencia y Tecnologia de la Region de Murcia [20035/SF/16]; EPSRC [EP/K002724/1] Funding Source: UKRI</t>
  </si>
  <si>
    <t>ENLITEN project - EPSRC(UK Research &amp; Innovation (UKRI)Engineering &amp; Physical Sciences Research Council (EPSRC)); Exeter City Council; Consejeria de Educacion y Universidades of CARM, via Fundacion Seneca-Agenda de Ciencia y Tecnologia de la Region de Murcia; EPSRC(UK Research &amp; Innovation (UKRI)Engineering &amp; Physical Sciences Research Council (EPSRC))</t>
  </si>
  <si>
    <t>This work was done under the auspices of the ENLITEN project, funded by EPSRC (grant reference EP/K002724/1). We thank Exeter City Council for their support provided during the project. The internal temperature and energy consumption data used for the analysis together with the energy literacy and usability surveys data can be found here: http://doi.org/10.15125/BATH-00256. Ramallo-Gonzalez would like to thank the program Saavedra Fajardo (20035/SF/16) funded by Consejeria de Educacion y Universidades of CARM, via Fundacion Seneca-Agenda de Ciencia y Tecnologia de la Region de Murcia.</t>
  </si>
  <si>
    <t>Abrahamse W, 2005, J ENVIRON PSYCHOL, V25, P273, DOI 10.1016/j.jenvp.2005.08.002; ADAIR JG, 1984, J APPL PSYCHOL, V69, P334, DOI 10.1037/0021-9010.69.2.334; Allcott H, 2011, J PUBLIC ECON, V95, P1082, DOI 10.1016/j.jpubeco.2011.03.003; [Anonymous], TECHNICAL REPORT; [Anonymous], 2013, P 4 INT C FUTURE ENE; [Anonymous], TECHNICAL REPORT; [Anonymous], 2014, TECHNICAL REPORT; [Anonymous], 2016, TECHNICAL REPORT; [Anonymous], LOCAL ENV; [Anonymous], FUTURE GENERAT COMPU; [Anonymous], OPEN J ENERGY EFFICI; [Anonymous], 2016, TECHNICAL REPORT; [Anonymous], S J BUILD P IN PRESS; [Anonymous], WILDAVSKI RISK CULTU; [Anonymous], ENV BEHAV; [Anonymous], TECHNICAL REPORT; [Anonymous], 2015, TECHNICAL REPORT; Brooke J., 1996, USABILITY EVALUATION, P189, DOI DOI 10.1201/9781498710411-35; Buchanan K, 2015, ENERG POLICY, V77, P89, DOI 10.1016/j.enpol.2014.12.008; Buchanan K, 2014, ENERG POLICY, V73, P138, DOI 10.1016/j.enpol.2014.05.008; Chiang T, 2012, ENERG BUILDINGS, V55, P471, DOI 10.1016/j.enbuild.2012.07.026; CIBSE, 2006, Guide A, environmental design; Corner A, 2014, WIRES CLIM CHANGE, V5, P411, DOI 10.1002/wcc.269; Cotton DRE, 2015, INT J SUST HIGHER ED, V16, P456, DOI 10.1108/IJSHE-12-2013-0166; D'Oca S, 2014, ENERGY RES SOC SCI, V3, P131, DOI 10.1016/j.erss.2014.07.015; Darby S, 2001, ENERGY EFFICIENCY IN HOUSEHOLD APPLIANCES AND LIGHTING, P685; Darby S, 2010, BUILD RES INF, V38, P442, DOI 10.1080/09613218.2010.492660; de Groot JIM, 2008, ENVIRON BEHAV, V40, P330, DOI 10.1177/0013916506297831; DeWaters J, 2013, J ENVIRON EDUC, V44, P38, DOI 10.1080/00958964.2012.711378; DeWaters JE, 2011, ENERG POLICY, V39, P1699, DOI 10.1016/j.enpol.2010.12.049; EIA International Energy Outlook, 2016, TECHNICAL REPORT; Faruqui A, 2010, ENERGY, V35, P1598, DOI 10.1016/j.energy.2009.07.042; Fischer C, 2008, ENERG EFFIC, V1, P79, DOI 10.1007/s12053-008-9009-7; Fitzpatrick G, 2009, IEEE PERVAS COMPUT, V8, P37, DOI 10.1109/MPRV.2009.17; Foulds C, 2017, ENERG POLICY, V104, P194, DOI 10.1016/j.enpol.2017.01.055; Froehlich Jon., 2009, PROC HCIC WORKSHOP, V9, P1; Hargreaves T, 2010, ENERG POLICY, V38, P6111, DOI 10.1016/j.enpol.2010.05.068; Harries T, 2013, EUR J MARKETING, V47, P1458, DOI 10.1108/EJM-10-2011-0568; Jensen T, 2016, ENERG BUILDINGS, V116, P151, DOI 10.1016/j.enbuild.2015.11.067; Kamilaris A, 2015, ENERG BUILDINGS, V104, P73, DOI 10.1016/j.enbuild.2015.07.010; Karatasou S, 2014, ADV BUILD ENERGY RES, V8, P137, DOI 10.1080/17512549.2013.809275; Karpudewan M, 2016, ASIA-PAC EDUC RES, V25, P229, DOI 10.1007/s40299-015-0256-z; Kosonen HK, 2017, FACILITIES, V35, P367, DOI 10.1108/F-04-2016-0044; Lee LS, 2015, ENERG POLICY, V76, P98, DOI 10.1016/j.enpol.2014.11.012; Papaioannou Thanasis G., 2017, 2017 GLOBAL INTERNET, P1; Schultz PW, 2007, PSYCHOL SCI, V18, P429, DOI 10.1111/j.1467-9280.2007.01917.x; Schultz PW, 2015, ENERGY, V90, P351, DOI 10.1016/j.energy.2015.06.130; SCHWARTZ SH, 1992, ADV EXP SOC PSYCHOL, V25, P1, DOI 10.1016/s0065-2601(08)60281-6; Simcock N, 2014, ENERG POLICY, V65, P455, DOI 10.1016/j.enpol.2013.10.038; Steg L, 2014, J ENVIRON PSYCHOL, V38, P104, DOI 10.1016/j.jenvp.2014.01.002; Vellei M, 2016, ENERG BUILDINGS, V123, P179, DOI 10.1016/j.enbuild.2016.03.045; Xingxing Zhang, 2019, Intelligent Buildings International, V11, P4, DOI [10.1109/ICFSP.2016.7802946, 10.1080/17508975.2016.1213694]</t>
  </si>
  <si>
    <t>0360-1323</t>
  </si>
  <si>
    <t>1873-684X</t>
  </si>
  <si>
    <t>BUILD ENVIRON</t>
  </si>
  <si>
    <t>Build. Environ.</t>
  </si>
  <si>
    <t>NOV 15</t>
  </si>
  <si>
    <t>10.1016/j.buildenv.2017.09.008</t>
  </si>
  <si>
    <t>Construction &amp; Building Technology; Engineering, Environmental; Engineering, Civil</t>
  </si>
  <si>
    <t>Construction &amp; Building Technology; Engineering</t>
  </si>
  <si>
    <t>FN7GE</t>
  </si>
  <si>
    <t>WOS:000416185900039</t>
  </si>
  <si>
    <t>Leve, AK; Michel, H; Harms, U</t>
  </si>
  <si>
    <t>Leve, Anna-Kathryn; Michel, Hanno; Harms, Ute</t>
  </si>
  <si>
    <t>Implementing climate literacy in schools - what to teach our teachers?</t>
  </si>
  <si>
    <t>CLIMATIC CHANGE</t>
  </si>
  <si>
    <t>Climate literacy; Teacher education; Climate change; Teaching strategies</t>
  </si>
  <si>
    <t>PROFESSIONAL KNOWLEDGE; STUDENTS CONCEPTIONS; SCIENCE LITERACY; CHANGE AWARENESS; DELPHI; RISK; LESSONS</t>
  </si>
  <si>
    <t>Climate literacy (CL) comprises knowledge, skills, and attitudes that enable individuals to counteract the global threat of anthropogenic climate change. Teachers' knowledge and pedagogy are main predictors of students' learning outcomes, but teachers are insufficiently prepared in the interdisciplinary field of CL. In a multilevel interrogation of experts in the fields of climate science, education research, and school, we derived 13 delineated themes describing necessary knowledge concerning the scientific background of climate change as well as pedagogy and teaching strategies. These themes indicate that teachers need a broad basis of understanding the climate system, climate science, causes of, impacts of, and dealing with climate change as well as the ability to convey this interdisciplinary content into teaching, by making the topic personally relevant and strengthening students' role as change agents. The findings underline the need to promote interdisciplinary ways of teaching towards CL and provide a baseline for the development of future teacher preparation.</t>
  </si>
  <si>
    <t>[Leve, Anna-Kathryn; Michel, Hanno; Harms, Ute] IPN Leibniz Inst Sci &amp; Math Educ, Olshausenstr 62, D-24118 Kiel, Germany</t>
  </si>
  <si>
    <t>Leibniz Institut fur die Padagogik der Naturwissenschaften und Mathematik an der Universitat Kiel (IPN)</t>
  </si>
  <si>
    <t>Leve, AK (corresponding author), IPN Leibniz Inst Sci &amp; Math Educ, Olshausenstr 62, D-24118 Kiel, Germany.</t>
  </si>
  <si>
    <t>leve@leibniz-ipn.de</t>
  </si>
  <si>
    <t>We thank all experts who took part in either one or several of the interrogation rounds. We would like to thank Carola Garrecht and our student assistants for assistance with data analysis and interpretation.</t>
  </si>
  <si>
    <t>[Anonymous], 2021, MAXQDA 2020; [Anonymous], 2013, Cognitive Activation in the Mathematics Classroom and Professional Competence of Teachers. Results from the COACTIV Project, DOI DOI 10.1007/978-1-4614-5149-5; Anyanwu Raymond, 2015, S. Afr. j. educ., V35, P1, DOI 10.15700/SAJE.V35N3A1160; Azevedo J, 2017, INT J GLOBAL WARM, V12, P414, DOI 10.1504/IJGW.2017.10005893; Berger P., 2015, Canadian Journal of Environmental Education, V20, P154; Boon HJ, 2010, AUST J TEACH EDUC, V35, P104, DOI 10.14221/ajte.2016v41n4.3; Busch KC, 2022, CLIMATIC CHANGE, V171, DOI 10.1007/s10584-022-03349-4; Competente RJT., 2019, IJERE, V8, P119, DOI [10.11591/ijere.v8i1.16923, DOI 10.11591/IJERE.V8I1.16923]; Crandon TJ, 2022, NAT CLIM CHANGE, V12, P123, DOI 10.1038/s41558-021-01251-y; DeBoer GE, 2000, J RES SCI TEACH, V37, P582, DOI 10.1002/1098-2736(200008)37:6&lt;582::AID-TEA5&gt;3.0.CO;2-L; Deeken C, 2020, INT J RES UN MATH ED, V6, P23, DOI 10.1007/s40753-019-00098-1; Demant-Poort L., 2021, Journal of Geoscience Education, V69, P207, DOI [10.1080/10899995.2020.1858265, DOI 10.1080/10899995.2020.1858265]; Dupigny-Giroux LAL, 2010, GEOGR COMPASS, V4, P1203, DOI 10.1111/j.1749-8198.2010.00368.x; Dupigny-Giroux LAL, 2008, PHYS GEOGR, V29, P483, DOI 10.2747/0272-3646.29.6.483; Ekborg M., 2006, NorDiNa, V5, P17; Ennes M, 2021, ENVIRON EDUC RES, V27, P762, DOI 10.1080/13504622.2021.1909708; *EUR COMM, 2021, SPEC EUR 513; Eze E, 2022, SCI EDUC, V106, P1535, DOI 10.1002/sce.21743; Favier T, 2021, J GEOGR HIGHER EDUC, V45, P594, DOI 10.1080/03098265.2021.1900080; Feierabend T, 2011, CHEM EDUC RES PRACT, V12, P85, DOI 10.1039/C1RP90011K; Grossschedl J, 2015, J SCI TEACH EDUC, V26, P291, DOI 10.1007/s10972-015-9423-6; Hannah AL, 2020, CLIMATIC CHANGE, V158, P377, DOI 10.1007/s10584-019-02590-8; Herman BC, 2017, INT J SCI MATH EDUC, V15, P451, DOI 10.1007/s10763-015-9706-6; Hestness E., 2014, Journal of Geoscience Education, V62, P319, DOI [DOI 10.5408/13-049.1, 10.5408/13-049.1]; Hoffmann R, 2022, NAT CLIM CHANGE, V12, DOI 10.1038/s41558-021-01263-8; Holthuis N., 2014, Journal of Geoscience Education, V62, P374, DOI [10.5408/13-036.1, DOI 10.5408/13-036.1]; Howard-Jones P, 2021, ENVIRON EDUC RES, V27, P1660, DOI 10.1080/13504622.2021.1937576; Johnson RM, 2008, PHYS GEOGR, V29, P500, DOI 10.2747/0272-3646.29.6.500; Kirk KarinB., 2014, J GEOSCIENCE ED, V62, P538, DOI DOI 10.5408/13-054; Kuckartz U, 2019, ICME-13 MONOGR, P181, DOI 10.1007/978-3-030-15636-7_8; Lambert JL, 2012, INT J SCI EDUC, V34, P1167, DOI 10.1080/09500693.2011.633938; Ledley TS., 2017, Oxford Research Encyclopedia of Environmental Science, DOI DOI 10.1093/ACREFORE/9780199389414.013.56; Lee K, 2022, NAT CLIM CHANGE, V12, P528, DOI 10.1038/s41558-022-01361-1; Lee TM, 2015, NAT CLIM CHANGE, V5, P1014, DOI 10.1038/NCLIMATE2728; Leiserowitz A., 2015, Climate Change in the American Mind: March 2015. Yale Project on Climate Change Communication; Libarkin JC, 2018, CLIMATIC CHANGE, V150, P403, DOI 10.1007/s10584-018-2279-y; Linstone HA., 1975, The Delphi Method: Techniques and Applications; Liu S., 2015, Science Educator, V24, P12; Mahler D, 2017, INT J SCI EDUC, V39, P213, DOI 10.1080/09500693.2016.1276641; Mayring P., 2014, QUALITATIVE CONTENT, DOI 10.1007/978-94-017-9181-6_13; McCaffrey MS, 2008, PHYS GEOGR, V29, P512, DOI 10.2747/0272-3646.29.6.512; McCuin J.L., 2014, J GEOSCIENCE ED, V62, P445, DOI [10.5408/13-068.1, DOI 10.5408/13-068.1]; McNeal K.S., 2014, J GEOSCIENCE ED, V62, P645, DOI [https://doi.org/10.5408/13-098.1, 10.5408/13-098, DOI 10.5408/13-098]; Milér T, 2011, PROCD SOC BEHV, V12, P150, DOI 10.1016/j.sbspro.2011.02.021; Niepold F, 2007, 5 INT S DIG EARTH U; Nyarko SC, 2021, INT J SCI EDUC, V43, P1554, DOI 10.1080/09500693.2021.1922779; OECD, 2022, Are Students Ready to Take on Environmental Challenges?, DOI [10.1787/8abe655c-en, DOI 10.1787/8ABE655C-EN]; Ogle Derek H, 2023, CRAN; Osborne J, 2003, J RES SCI TEACH, V40, P692, DOI 10.1002/tea.10105; Papadimitriou V., 2004, J SCI EDUC TECHNOL, V13, P299, DOI [10.1023/B:JOST.0000031268.72848.6d, https://doi.org/10.1023/B:JOST.0000031268.72848.6d, DOI 10.1023/B:JOST.0000031268.72848.6D]; Pournelle G. H., 1953, Journal of Mammalogy, V34, P133, DOI 10.1890/0012-9658(2002)083[1421:SDEOLC]2.0.CO;2; Powell C, 2003, J ADV NURS, V41, P376, DOI 10.1046/j.1365-2648.2003.02537.x; Pruim R, 2017, R J, V9, P77; Ratinen IJ, 2013, INT J SCI EDUC, V35, P929, DOI 10.1080/09500693.2011.587845; Shepardson DP, 2011, ENVIRON EDUC RES, V17, P1, DOI 10.1080/13504620903564549; Shepardson DP, 2011, CLIMATIC CHANGE, V104, P481, DOI 10.1007/s10584-009-9786-9; Shepardson DP, 2009, ENVIRON EDUC RES, V15, P549, DOI 10.1080/13504620903114592; SHULMAN LS, 1987, HARVARD EDUC REV, V57, P1, DOI 10.17763/haer.57.1.j463w79r56455411; Shwom R, 2017, FRONT ECOL ENVIRON, V15, P377, DOI 10.1002/fee.1519; Simpson NP, 2021, NAT CLIM CHANGE, V11, P937, DOI 10.1038/s41558-021-01171-x; Stevenson KT, 2014, CLIMATIC CHANGE, V126, P293, DOI 10.1007/s10584-014-1228-7; Jeong JS, 2021, EDUC SCI, V11, DOI 10.3390/educsci11020078; Sullivan S.M. B., 2014, Journal of Geoscience Education, V62, P550, DOI DOI 10.5408/12-304.1; Summary for Policymakers, 2001, CLIMATE CHANGE 2001, P2; Tolppanen S, 2022, J CLEAN PROD, V373, DOI 10.1016/j.jclepro.2022.133865; U.S. Global change Research Program, 2009, Climate literacy: the essential principles of climate science; Uherek E, 2008, PHYS GEOGR, V29, P545, DOI 10.2747/0272-3646.29.6.545; von der Gracht HA, 2012, TECHNOL FORECAST SOC, V79, P1525, DOI 10.1016/j.techfore.2012.04.013; Wickham H., 2016, GGPLOT2 ELEGANT GRAP, DOI [10.1007/978-3-319-24277-4, DOI 10.1007/978-3-319-24277-4]; Wickham H., 2021, dplyr: a grammar of data manipulation, V1, P1; Wise S., 2010, Journal of Geoscience Education, V58, P297, DOI DOI 10.5408/1.3559695</t>
  </si>
  <si>
    <t>0165-0009</t>
  </si>
  <si>
    <t>1573-1480</t>
  </si>
  <si>
    <t>Clim. Change</t>
  </si>
  <si>
    <t>10.1007/s10584-023-03607-z</t>
  </si>
  <si>
    <t>Environmental Sciences; Meteorology &amp; Atmospheric Sciences</t>
  </si>
  <si>
    <t>S8PZ1</t>
  </si>
  <si>
    <t>WOS:001073746100001</t>
  </si>
  <si>
    <t>Muchiri, CN; Opiyo, RO</t>
  </si>
  <si>
    <t>Muchiri, Christine Njuhi; Opiyo, Romanus Otieno</t>
  </si>
  <si>
    <t>Community adaptation strategies in Nairobi informal settlements: Lessons from Korogocho, Nairobi-Kenya</t>
  </si>
  <si>
    <t>FRONTIERS IN SUSTAINABLE CITIES</t>
  </si>
  <si>
    <t>climate shocks and stressors; disaster risk preparedness and response; collaboration; climate literacy; local experiential knowledge; community initiatives; mitigation and adaptation; transformative climate resilience</t>
  </si>
  <si>
    <t>CLIMATE LITERACY; RESILIENCE; MODEL</t>
  </si>
  <si>
    <t>Informal settlements are often the hotspots of vulnerability as evidenced by the recurrent environmental and climate-related shocks and stressors. Despite this exposure and susceptibility, their role in spearheading disaster risk preparedness and response is often overlooked. This exploratory research profiles four local community initiatives for climate mitigation and adaptation within Korogocho informal settlement in Kenya. Findings from 10 purposefully sampled key informants and 30 stratified sampled residents across nine villages within the informal settlement demonstrated the impact of locally led initiatives in creating awareness and developing the absorptive, adaptive and transformative capacity of communities for climate resilience. The research findings elaborate on the outstanding performance of community derived initiatives, whilst putting emphasis on the need for active dialogue and collaboration between communities, policy makers and practitioners. Additionally, the climate agenda ought to be able to simultaneously promote environmental benefits and the socio-economic wellbeing of the people. This study accentuates the role of smart approaches to climate literacy based on existing community structures that leverage on local experiential knowledge. These include digital storytelling, comics, art, music, local radio stations, community opinion leaders and chief barazas. A key takeaway is the significant role of children in transformative climate resilience. This is facilitated by the fact that they may comprehend climate change implications better than adults augmenting the possibility of human behavioral change toward pro-environmental deeds.</t>
  </si>
  <si>
    <t>[Muchiri, Christine Njuhi] Tech Univ Kenya, Dept Spatial Planning &amp; Design, Nairobi, Kenya; [Opiyo, Romanus Otieno] Univ Nairobi, Dept Urban &amp; Reg Planning, Nairobi, Kenya</t>
  </si>
  <si>
    <t>Technical University of Kenya; University of Nairobi</t>
  </si>
  <si>
    <t>Muchiri, CN (corresponding author), Tech Univ Kenya, Dept Spatial Planning &amp; Design, Nairobi, Kenya.</t>
  </si>
  <si>
    <t>chrissie.n.muchiri@gmail.com</t>
  </si>
  <si>
    <t>University of Toronto, Ontario, Canada</t>
  </si>
  <si>
    <t>University of Toronto, Ontario, Canada(University of Toronto)</t>
  </si>
  <si>
    <t>This work was funded by Amrita G Daniere University of Toronto Mississauga U OF T 3359 MISSISSAUGA RD UTM - OFF OF THE DEAN MISSISSAUGA ON L5L1C60000, Ontario, Canada.</t>
  </si>
  <si>
    <t>Azevedo J, 2017, INT J GLOBAL WARM, V12, P414, DOI 10.1504/IJGW.2017.10005893; Bahadur A, 2014, ENVIRON URBAN, V26, P200, DOI 10.1177/0956247814522154; Bene C., 2012, IDS WORKING PAPERS, P1; Castro-Arce K, 2020, J RURAL STUD, V74, P45, DOI 10.1016/j.jrurstud.2019.11.010; Cities Alliance, 2021, NO TIM LOS YOUTH AR; Climate Change Act, 2016, CAP 63; Cutter SL, 2008, GLOBAL ENVIRON CHANG, V18, P598, DOI 10.1016/j.gloenvcha.2008.07.013; Elfstrom E, 2021, ELEARNING FORUM; Fedele G, 2019, ENVIRON SCI POLICY, V101, P116, DOI 10.1016/j.envsci.2019.07.001; Forbers Africa, 2022, WHAT CAN BE DON ACH; Government of the Republic of Kenya, 2018, NATL CLIMATE CHANGE; Grant R., 2015, AFRICA GEOGRAPHIES C; Hegger DLT, 2017, ENVIRON POLICY GOV, V27, P336, DOI 10.1002/eet.1766; Heigl F, 2019, P NATL ACAD SCI USA, V116, P8089, DOI 10.1073/pnas.1903393116; HFHI, 2019, BUILD SOC NORM SHAP; Hubberstey C, 2015, CAN J PROGRAM EVAL, V30, P79, DOI 10.3138/cjpe.30.1.79; Kirkby P, 2018, CLIM DEV, V10, P577, DOI 10.1080/17565529.2017.1372265; Kituo cha sharia, 2016, KOR COMM JUST CTR; KNBS, 2019, 2019 Kenya Population and Housing Census: Volume 1; Lonsdale K., 2016, TRANSFORMATIVE ADAPT; Mbaabu E, 2017, THESIS U NAIROBI NAI; McNamara KE, 2020, NAT CLIM CHANGE, V10, P628, DOI 10.1038/s41558-020-0813-1; Milér T, 2011, PROCD SOC BEHV, V12, P150, DOI 10.1016/j.sbspro.2011.02.021; Ministry of Environment Forestry, 2010, NATL CLIMATE CHANGE; Mittenzwei D., 2019, EURASIA Journal of Mathematics, Science and Technology Education, V15, P1, DOI DOI 10.29333/EJMSTE/105637; Muchiri CN, 2022, FRONT SUSTAIN CITIES, V4, DOI 10.3389/frsc.2022.932046; Nairobi I FRA., 2011, Les Cahiers d'Afrique de l'Est/ The EastAfrican Review, P159, DOI DOI 10.4000/EASTAFRICA.541; O'Brien Susie., 2017, Resilience, V4, P43; Odhengo P., 2019, Climate finance in Kenya: review and future outlook; Omedo G., 2010, THESIS U NAIROBI KEN; Orindi V., 2020, COUNTY CLIMATE CHANG; Owuor D. S, 2010, CLIMATE CHANGE VULNE; Reid H., 2009, Participatory Learning and Action, V60, P11, DOI DOI 10.3200/ENV.51.4.22-31; Simpson NP, 2021, NAT CLIM CHANGE, V11, P937, DOI 10.1038/s41558-021-01171-x; The National Treasury, 2018, NAT POL CLIM FIN; Trundle A, 2019, ENVIRON URBAN, V31, P53, DOI 10.1177/0956247818816654; Wairimu C., 2020, KOMB GREEN SOLUTIONS; Walker B, 2004, ECOL SOC, V9; Welle T., 2014, ASSESSING MONITORING; Ziervogel G, 2017, ENVIRON URBAN, V29, P123, DOI 10.1177/0956247816686905</t>
  </si>
  <si>
    <t>2624-9634</t>
  </si>
  <si>
    <t>FRONT SUSTAIN CITIES</t>
  </si>
  <si>
    <t>Front. Sustain. Cities</t>
  </si>
  <si>
    <t>SEP 7</t>
  </si>
  <si>
    <t>10.3389/frsc.2022.932046</t>
  </si>
  <si>
    <t>Green &amp; Sustainable Science &amp; Technology; Environmental Sciences; Environmental Studies; Urban Studies</t>
  </si>
  <si>
    <t>Science &amp; Technology - Other Topics; Environmental Sciences &amp; Ecology; Urban Studies</t>
  </si>
  <si>
    <t>7Y1BJ</t>
  </si>
  <si>
    <t>WOS:000914623500001</t>
  </si>
  <si>
    <t>Chodkowska-Miszczuk, J; Kola-Bezka, M; Lewandowska, A; Martinat, S</t>
  </si>
  <si>
    <t>Chodkowska-Miszczuk, Justyna; Kola-Bezka, Maria; Lewandowska, Agata; Martinat, Stanislav</t>
  </si>
  <si>
    <t>Local Communities' Energy Literacy as a Way to Rural Resilience-An Insight from Inner Peripheries</t>
  </si>
  <si>
    <t>energy literacy; rural resilience; energy transition; local communities; Poland</t>
  </si>
  <si>
    <t>ENVIRONMENTAL KNOWLEDGE; BEHAVIOR; POLAND; EFFICIENCY; ATTITUDE; SYSTEMS; EUROPE</t>
  </si>
  <si>
    <t>Energy transition is surely not only about the technological change, but it also has to necessarily reflect socio-cultural and environmental transformations on the local level. Hence, local communities' energy literacy belongs to the crucial elements in designing successful energy transition and strengthening rural resilience. Energy literacy is a concept widely related to the multifaceted phenomenon of energy consumption, both in its individual and collective dimensions. Therefore, the aim of the present study is to analyse the level of energy literacy in rural conditions, considering its three key dimensions (awareness, attitude, and behaviour). Our reflective considerations about energy literacy build on the current knowledge that stress its importance for the reinforcement of rural resilience. The case study, Zlawies Wielka, in the north-central Poland, was selected where a social survey (N = 300) on the relation between energy literacy and rural resilience was conducted. By means of employing the cross-tabulations method for data analyses, our results signal that certain indications of the ecological awareness among the rural residents are being formed. Our findings clearly suggest that, on the one hand, the needs for more environmentally reasonable management with energy, including electricity and heat, come to the fore. On the other hand, various types of investments in improving the energy efficiency of residential buildings and utilising energy generation from renewable energy sources are observed. It seems that the surveyed community has a clear potential to become the vector for sustainable and just energy transition of the countryside. The essential conditions that urgently need to be implemented to ensure the viability of rural energy transition are the educational reinforcement within the community and more generous long-term institutional support from the central government, targeted on endogenous development and enhancing the local social capital.</t>
  </si>
  <si>
    <t>[Chodkowska-Miszczuk, Justyna] Nicolaus Copernicus Univ Torun, Fac Earth Sci &amp; Spatial Management, Dept Urban &amp; Reg Dev Studies, PL-87100 Torun, Poland; [Kola-Bezka, Maria] Nicolaus Copernicus Univ Torun, Fac Econ Sci &amp; Management, Dept Econ Policy &amp; Reg Studies, PL-87100 Torun, Poland; [Lewandowska, Agata] Nicolaus Copernicus Univ Torun, Fac Earth Sci &amp; Spatial Management, Students Sci Assoc Geographers, PL-87100 Torun, Poland; [Martinat, Stanislav] Univ Silesia Katowice, Inst Social &amp; Econ Geog &amp; Spatial Management, Fac Nat Sci, Bedzinska St 60, PL-41200 Sosnowiec, Poland</t>
  </si>
  <si>
    <t>Nicolaus Copernicus University; Nicolaus Copernicus University; Nicolaus Copernicus University; University of Silesia in Katowice</t>
  </si>
  <si>
    <t>Martinat, S (corresponding author), Univ Silesia Katowice, Inst Social &amp; Econ Geog &amp; Spatial Management, Fac Nat Sci, Bedzinska St 60, PL-41200 Sosnowiec, Poland.</t>
  </si>
  <si>
    <t>jchodkow@umk.pl; mkola@umk.pl; 301713@stud.umk.pl; stanislav.martinat@ugn.cas.cz</t>
  </si>
  <si>
    <t>Kola-Bezka, Maria/AAN-4899-2020; Chodkowska-Miszczuk, Justyna M./E-6019-2015; Martinat, Stanislav/H-9974-2013</t>
  </si>
  <si>
    <t>Kola-Bezka, Maria/0000-0001-9532-8540; Chodkowska-Miszczuk, Justyna M./0000-0002-4436-475X; Martinat, Stanislav/0000-0003-4060-2009; Lewandowska, Agata/0009-0001-2333-3233</t>
  </si>
  <si>
    <t>National Science Centre, Poland [2016/21/D/HS4/00714]</t>
  </si>
  <si>
    <t>National Science Centre, Poland(National Science Centre, Poland)</t>
  </si>
  <si>
    <t>This research was funded by The National Science Centre, Poland, Project no. 2016/21/D/HS4/00714: Biogas enterprises from the perspective of the embeddedness concept.</t>
  </si>
  <si>
    <t>Adger WN, 2005, SCIENCE, V309, P1036, DOI 10.1126/science.1112122; [Anonymous], 2020, Kapital Ludzki w Polsce w Latach 2014-2018. Glowny Urzad Statystyczny; [Anonymous], 2019, ZU YCIE ENERGII GOSP; Arsenopoulos A, 2020, SUSTAINABILITY-BASEL, V12, DOI 10.3390/su12124899; Babbie E., 2004, BADANIA SPO ECZNE PR; Beck U., 2004, SPO ECZE STWO RYZYKA; Blasch J., 2018, CER ETH EC WORK PAP, V18, P289, DOI [10.2139/ssrn.3175874, DOI 10.2139/SSRN.3175874]; Blasch J, 2019, RESOUR ENERGY ECON, V56, P39, DOI 10.1016/j.reseneeco.2017.06.001; Blasch J, 2017, ENERG ECON, V68, P89, DOI 10.1016/j.eneco.2017.12.004; Boguszewski R., 2018, Ubostwo energetyczne w Polsce; Bouzarovski Stefan, 2019, Transforming Energy Poverty Policies in the European Union: Second Annual Report of the European Union Energy Poverty Observatory; Brauers H, 2020, ENERG POLICY, V144, DOI 10.1016/j.enpol.2020.111621; Brounen D, 2013, ENERG ECON, V38, P42, DOI 10.1016/j.eneco.2013.02.008; Carlsson-Kanyama A, 2007, ENERG POLICY, V35, P2163, DOI 10.1016/j.enpol.2006.06.018; Carmi N, 2015, J ENVIRON EDUC, V46, P183, DOI 10.1080/00958964.2015.1028517; Chodkowska-Miszczuk J, 2019, ENERGY RES SOC SCI, V55, P134, DOI 10.1016/j.erss.2019.05.010; Chodkowska-Miszczuk J, 2016, ENERG ENVIRON-UK, V27, P713, DOI 10.1177/0958305X16666963; Coles T, 2016, J CLEAN PROD, V111, P399, DOI 10.1016/j.jclepro.2014.09.028; Dacko A., 2018, WIR, P49, DOI [10.53098/wir022018/03, DOI 10.53098/WIR022018/03]; DeWaters J, 2013, J ENVIRON EDUC, V44, P56, DOI 10.1080/00958964.2012.682615; DeWaters JE, 2011, ENERG POLICY, V39, P1699, DOI 10.1016/j.enpol.2010.12.049; Dylag A., 2014, BEZPIECZE STWO ENERG, P401; Echegaray F, 2017, J CLEAN PROD, V142, P180, DOI 10.1016/j.jclepro.2016.05.064; Folke C, 2006, GLOBAL ENVIRON CHANG, V16, P253, DOI 10.1016/j.gloenvcha.2006.04.002; Francis JJ, 2010, PSYCHOL HEALTH, V25, P1229, DOI 10.1080/08870440903194015; Frazier B.J., 2004, J DEV ENTREP, V9, P23; Gorard S, 2002, EDUC REV, V54, P231, DOI 10.1080/0013191022000016293; Gwiazda P.R.M., 2016, POLACY ZRODLACH ENER; Gwosdz K, 2020, MORAV GEOGR REP, V28, P124, DOI 10.2478/mgr-2020-0010; Henderson F, 2020, J RURAL STUD, V73, P225, DOI 10.1016/j.jrurstud.2019.11.004; Hess DJ, 2019, J CLEAN PROD, V228, P1157, DOI 10.1016/j.jclepro.2019.04.291; Kazukauskas A., 2017, P IAEE C VIENN; Kola-Bezka M, 2020, EKON PRAWO, V19, P505, DOI 10.12775/EiP.2020.034; Kola-Bezka M, 2020, BULL GEOGR SOCIO-ECO, V48, P35, DOI 10.2478/bog-2020-0012; Kythreotis AP, 2017, REG STUD, V51, P1530, DOI 10.1080/00343404.2016.1200719; Lee LS, 2019, ENERG POLICY, V135, DOI 10.1016/j.enpol.2019.111005; Lewandowska A, 2020, ENERGIES, V13, DOI 10.3390/en13215795; Lewandowski P., 2018, 022018 IBS; Mälkki H, 2017, RENEW SUST ENERG REV, V69, P218, DOI 10.1016/j.rser.2016.11.176; Martins A, 2020, ENERGY REP, V6, P243, DOI 10.1016/j.egyr.2020.11.117; Martins A, 2020, ENERGY REP, V6, P454, DOI 10.1016/j.egyr.2019.09.007; Mazur C, 2019, APPL ENERG, V235, P219, DOI 10.1016/j.apenergy.2018.10.129; McManus P, 2012, J RURAL STUD, V28, P20, DOI 10.1016/j.jrurstud.2011.09.003; Miller F, 2010, ECOL SOC, V15; Olave MS, 2020, REGULATION AND POLICY OF LATIN AMERICAN ENERGY TRANSITIONS, P209, DOI 10.1016/B978-0-12-819521-5.00012-7; Owczarek D., 2015, UB STWO ENERGETYCZNE; Perez C, 2015, GLOBAL ENVIRON CHANG, V34, P95, DOI 10.1016/j.gloenvcha.2015.06.003; Pothitou M, 2017, INT J SUSTAIN ENERGY, V36, P398, DOI 10.1080/14786451.2015.1032290; Pothitou M, 2016, APPL ENERG, V184, P1217, DOI 10.1016/j.apenergy.2016.06.017; Quinlan M, 2020, ECON LABOUR RELAT RE, V31, P444, DOI 10.1177/1035304620944301; Rapaport C, 2018, INT J DISAST RISK RE, V31, P470, DOI 10.1016/j.ijdrr.2018.05.020; Remund DL, 2010, J CONSUM AFF, V44, P276, DOI 10.1111/j.1745-6606.2010.01169.x; Robison R, 2020, 100 Social Sciences and Humanities priority research questions for smart consumption in Horizon Europe; Rosicki R., 2018, Kultury energetyczne Unii Europejskiej; Sato Y., 2004, International Transactions in Operational Research, V11, P77, DOI 10.1111/j.1475-3995.2004.00441.x; Schouten MAH, 2012, ECOL ECON, V81, P165, DOI 10.1016/j.ecolecon.2012.07.004; Schwarz N., 1987, Social information processing and survey methodology, P163, DOI DOI 10.1007/978-1-4612-4798-2_9; Simcock N, 2018, ROU EXPLOR ENERG ST, P1; Skerratt S, 2013, LOCAL ECON, V28, P320, DOI 10.1177/0269094212474241; Sokolowski J, 2020, ENERG SOURCE PART B, V15, P92, DOI 10.1080/15567249.2020.1742817; Sovacool BK, 2015, ENVIRON SCI POLICY, V54, P304, DOI 10.1016/j.envsci.2015.07.011; Sovacool BK, 2011, ENERG POLICY, V39, P7472, DOI 10.1016/j.enpol.2010.10.008; Strzelecka E., 2018, Barometr Regionalny, V16, P121; Umetsu C., 2010, VULNERABILITY RESILI; Vainio A, 2020, J CLEAN PROD, V245, DOI 10.1016/j.jclepro.2019.118801; van den Broek KL, 2019, ENERGY RES SOC SCI, V57, DOI 10.1016/j.erss.2019.101256; van der Heide M., 2007, 100 SEM 21 23 JUN 20; van der Horst D, 2014, MORAV GEOGR REP, V22, P66, DOI 10.2478/mgr-2014-0013; Vanschoenwinkel J, 2016, GLOBAL ENVIRON CHANG, V41, P74, DOI 10.1016/j.gloenvcha.2016.09.003; Zuk P, 2021, RESOUR POLICY, V71, DOI 10.1016/j.resourpol.2021.101987</t>
  </si>
  <si>
    <t>10.3390/en14092575</t>
  </si>
  <si>
    <t>SB7PL</t>
  </si>
  <si>
    <t>Green Published</t>
  </si>
  <si>
    <t>WOS:000650181000001</t>
  </si>
  <si>
    <t>Zapico, JL; Hedin, B</t>
  </si>
  <si>
    <t>Zapico, Jorge Luis; Hedin, Bjorn</t>
  </si>
  <si>
    <t>Energy Weight: Tangible Interface for Increasing Energy Literacy</t>
  </si>
  <si>
    <t>2017 FIFTH IFIP CONFERENCE ON SUSTAINABLE INTERNET AND ICT FOR SUSTAINABILITY (SUSTAINIT 2017)</t>
  </si>
  <si>
    <t>Sustainable Internet and ICT for Sustainability</t>
  </si>
  <si>
    <t>5th IFIP Conference on Sustainable Internet and ICT for Sustainability (SustainIT)</t>
  </si>
  <si>
    <t>DEC 06-07, 2017</t>
  </si>
  <si>
    <t>Funchal, PORTUGAL</t>
  </si>
  <si>
    <t>Sustainable HCI; Energy Literacy; Tangible interfaces; Technology Enhanced Learning; Work in Progress</t>
  </si>
  <si>
    <t>AWARENESS</t>
  </si>
  <si>
    <t>Increasing energy literacy has been identified as an important topic in order to help people understand their energy use and thereby enabling them to reduce their energy use. We have developed a tangible interface for helping people learn about energy by using wooden blocks as representation of several common cases of energy use. These are then placed on a digital scale connected to a computer which visualizes how many solar panels are required to power these.</t>
  </si>
  <si>
    <t>[Zapico, Jorge Luis] Linnaeus Univ, Media Technol, Vaxjo, Sweden; [Hedin, Bjorn] KTH Royal Inst Technol, Dept Media Technol &amp; Interact Design, Stockholm, Sweden</t>
  </si>
  <si>
    <t>Linnaeus University; Royal Institute of Technology</t>
  </si>
  <si>
    <t>Zapico, JL (corresponding author), Linnaeus Univ, Media Technol, Vaxjo, Sweden.</t>
  </si>
  <si>
    <t>jorgeluis.zapico@lnu.se; bjornh@kth.se</t>
  </si>
  <si>
    <t>Hedin, Björn/O-2779-2019</t>
  </si>
  <si>
    <t>Hedin, Björn/0000-0001-6457-5231</t>
  </si>
  <si>
    <t>Swedish Energy Agency as part of their Energy, Design and IT program</t>
  </si>
  <si>
    <t>This study has been funded by the Swedish Energy Agency as part of their Energy, Design and IT program.</t>
  </si>
  <si>
    <t>Brounen D, 2013, ENERG ECON, V38, P42, DOI 10.1016/j.eneco.2013.02.008; DeWaters JE, 2011, ENERG POLICY, V39, P1699, DOI 10.1016/j.enpol.2010.12.049; Hedin B, 2017, LECT NOTES COMPUT SC, V10171, P175, DOI 10.1007/978-3-319-55134-0_14; Shaer Orit, 2010, Foundations and Trends in Human-Computer Interaction, V3, P1, DOI 10.1561/1100000026; Zapico JL, 2011, PSYCHNOLOGY J, V9, P43</t>
  </si>
  <si>
    <t>2377-5580</t>
  </si>
  <si>
    <t>978-3-901882-99-9</t>
  </si>
  <si>
    <t>SUST INTERNET ICT</t>
  </si>
  <si>
    <t>Computer Science, Theory &amp; Methods; Engineering, Electrical &amp; Electronic</t>
  </si>
  <si>
    <t>Computer Science; Engineering</t>
  </si>
  <si>
    <t>BK4DO</t>
  </si>
  <si>
    <t>WOS:000436181400017</t>
  </si>
  <si>
    <t>Spoors, F; Leakey, CDB; James, MA</t>
  </si>
  <si>
    <t>Spoors, Felicity; Leakey, Chris D. B.; James, Mark A.</t>
  </si>
  <si>
    <t>Piloting a Regional Scale Ocean Literacy Survey in Fife</t>
  </si>
  <si>
    <t>Ocean Literacy; public awareness; behavioural change; climate-related behaviours; marine planning tools; Scotland</t>
  </si>
  <si>
    <t>PUBLIC AWARENESS; MARINE; ISSUES</t>
  </si>
  <si>
    <t>Ocean Literacy (OL) encapsulates the journey of improved awareness of marine and coastal issues, to the adoption of clear values and attitudes based on that knowledge, and intentional lifestyle and other personal choices at an individual and societal level. Understanding a community or group's position in this transition enables institutions, such as universities, charities or civil society organisations, to target their public engagement efforts to make progress toward a healthier marine environment. To gather a baseline of OL in Fife, Scotland, an online survey was launched to residents of the Local Authority Area, between the 8th May and 30th June 2021. Responses indicated widespread uncertainty about solutions to marine and coastal problems, prompting the promotion of a solutions-based focus for public engagement efforts, particularly regarding local issues. While there was common agreement that the government, businesses and citizens could be doing more to advance the health of the marine environment and climate, only 55% of respondents had already made some changes to their lifestyles with the intention to continue at the point of survey. Some barriers evidently remain. Concern for the marine environment, climate and future generations largely govern the desire to alter behaviour to reap the desired benefits which include the enjoyment of nature, cultural heritage and aids to mental health. Taking a nested approach to OL surveying (regional surveys within a national framework) is likely to improve response rates and amplify the voices of rural and coastal communities. Furthermore, the OL surveying platform may opportunistically serve as a useful tool for investigating public priorities in the early stages of marine planning and policy development.</t>
  </si>
  <si>
    <t>[Spoors, Felicity; Leakey, Chris D. B.; James, Mark A.] Univ St Andrews, Scottish Oceans Inst, St Andrews, Fife, Scotland</t>
  </si>
  <si>
    <t>University of St Andrews</t>
  </si>
  <si>
    <t>Spoors, F (corresponding author), Univ St Andrews, Scottish Oceans Inst, St Andrews, Fife, Scotland.</t>
  </si>
  <si>
    <t>fjs8@st-andrews.ac.uk</t>
  </si>
  <si>
    <t>Leakey, Chris/GYU-6305-2022; James, Mark/E-5432-2018</t>
  </si>
  <si>
    <t>Wilson, Felicity/0000-0002-5547-9595; James, Mark/0000-0002-7182-1725</t>
  </si>
  <si>
    <t>St Andrews Restarting Interdisciplinary Research Fund as part of the broader Fife Sustainable Natural and Cultural Coastal Zone Project [SES0-XRR074]</t>
  </si>
  <si>
    <t>St Andrews Restarting Interdisciplinary Research Fund as part of the broader Fife Sustainable Natural and Cultural Coastal Zone Project</t>
  </si>
  <si>
    <t>This research was funded by the St Andrews Restarting Interdisciplinary Research Fund as part of the broader Fife Sustainable Natural and Cultural Coastal Zone Project (Grant code: SES0-XRR074). The Article Processing Charge was kindly covered by the University of St Andrews' Institutional Open Access Fund (IOAF).</t>
  </si>
  <si>
    <t>Astell-Burt T, 2021, INT J ENV RES PUB HE, V18, DOI 10.3390/ijerph18052757; Brennan C, 2019, FRONT MAR SCI, V6, DOI 10.3389/fmars.2019.00360; Defra, 2021, OC LIT ENGL WAL HEAD; Duffy P, 2018, POPUL SPACE PLACE, V24, DOI 10.1002/psp.2097; Fife Biodiversity Partnership, 2013, FIF LOC BIOD ACT PLA, V4th, P2013; Fletcher S, 2007, COAST MANAGE, V35, P511, DOI 10.1080/08920750701525818; Fletcher S, 2009, MAR POLICY, V33, P370, DOI 10.1016/j.marpol.2008.08.004; Gelcich S, 2014, P NATL ACAD SCI USA, V111, P15042, DOI 10.1073/pnas.1417344111; Greenhill L, 2020, MARIT STUD, V19, P299, DOI 10.1007/s40152-020-00171-5; IOC-UNESCO, 2019, SUMM REP 1 GLOB PLAN; Jefferson RL, 2014, MAR POLICY, V43, P327, DOI 10.1016/j.marpol.2013.07.004; Jellard S, 2021, EMOT SPACE SOC, V40, DOI 10.1016/j.emospa.2021.100818; Lokhorst A., 2011, CLIMATE CHANGE SOCIO, DOI [10.5772/25121, DOI 10.5772/25121]; Marine Scotland, 2015, SCOTL NAT MAR PLAN S; Marine Scotland, 2019, SCOTT SEA FISH STAT; Marrero ME, 2019, FRONT MAR SCI, V6, DOI 10.3389/fmars.2019.00325; McKinley E., 2020, Understanding Ocean Literacy and Ocean Climate-Related Behaviour Change in the UK-Work Package 1: Evidence Synthesis; MSC, 2020, STAT OC LIT UK TEACH; NOAA, 2020, Ocean literacy: the essential principles and fundamental concepts of ocean sciences for learners of all ages; Potts T, 2016, MAR POLICY, V72, P59, DOI 10.1016/j.marpol.2016.06.012; Pournelle G. H., 1953, Journal of Mammalogy, V34, P133, DOI 10.1890/0012-9658(2002)083[1421:SDEOLC]2.0.CO;2; Qualtrics, 2005, QUALTR; Rousseau S, 2020, ENVIRON RESOUR ECON, V76, P1149, DOI 10.1007/s10640-020-00445-w; Spoors F., 2021, COAST OCEAN FIFE EYE, DOI [10.15664/10023.23981, DOI 10.15664/10023.23981]; Steel BS, 2005, OCEAN COAST MANAGE, V48, P97, DOI 10.1016/j.ocecoaman.2005.01.002; Stoll-Kleemann S, 2019, FRONT MAR SCI, V6, DOI 10.3389/fmars.2019.00273; Vanclay JK, 2011, J CONSUM POLICY, V34, P153, DOI 10.1007/s10603-010-9140-7; Wallen KE, 2016, N AM J FISH MANAGE, V36, P852, DOI 10.1080/02755947.2016.1165764; White MP, 2020, ENVIRON RES, V191, DOI 10.1016/j.envres.2020.110169; Wild Labs, 2018, ACC OC LIT UK CULT; Wilson V., 2018, SCOTLANDS PEOPLE NAT; Wynes S, 2019, PLOS ONE, V14, DOI 10.1371/journal.pone.0218305</t>
  </si>
  <si>
    <t>MAR 9</t>
  </si>
  <si>
    <t>10.3389/fmars.2022.858937</t>
  </si>
  <si>
    <t>1K6PJ</t>
  </si>
  <si>
    <t>WOS:000798719900001</t>
  </si>
  <si>
    <t>Brounen, D; Kok, N; Quigley, JM</t>
  </si>
  <si>
    <t>Brounen, Dirk; Kok, Nils; Quigley, John M.</t>
  </si>
  <si>
    <t>Energy literacy, awareness, and conservation behavior of residential households</t>
  </si>
  <si>
    <t>ENERGY ECONOMICS</t>
  </si>
  <si>
    <t>Energy efficiency; Financial literacy; Consumer behavior</t>
  </si>
  <si>
    <t>FINANCIAL LITERACY; ECONOMICS</t>
  </si>
  <si>
    <t>The residential sector accounts for one-fifth of global energy consumption, resulting from the requirements to heat, cool, and light residential dwellings. It is therefore not surprising that energy efficiency in the residential market has gained importance in recent years. In this paper, we examine awareness, literacy and behavior of households with respect to their residential energy expenditures. Using a detailed survey of 1721 Dutch households, we measure the extent to which consumers are aware of their energy consumption and whether they have taken measures to reduce their energy costs. Our results show that energy literacy and awareness among respondents is low: just 56% of the respondents are aware of their monthly charges for energy consumption, and 40% do not appropriately evaluate investment decisions in energy efficient equipment. We document that demographics and consumer attitudes towards energy conservation, but not energy literacy and awareness, have direct effects on behavior regarding heating and cooling of the home. The impact of a moderating factor, measured by thermostat settings, ultimately results in strong variation in the energy consumption of private consumers. (C) 2013 Published by Elsevier B.V.</t>
  </si>
  <si>
    <t>[Brounen, Dirk] Tilburg Univ, Tilburg, Netherlands; [Kok, Nils] Maastricht Univ, Maastricht, Netherlands; [Quigley, John M.] Univ Calif Berkeley, Berkeley, CA 94720 USA</t>
  </si>
  <si>
    <t>Tilburg University; Maastricht University; University of California System; University of California Berkeley</t>
  </si>
  <si>
    <t>Kok, N (corresponding author), Maastricht Univ, Maastricht, Netherlands.</t>
  </si>
  <si>
    <t>d.brounen@uvt.nl; n.kok@maastrichtuniversity.nl</t>
  </si>
  <si>
    <t>Kok, Nils/0000-0003-0764-9649</t>
  </si>
  <si>
    <t>Allcott H, 2010, SCIENCE, V327, P1204, DOI 10.1126/science.1180775; [Anonymous], WORKING PAPER; [Anonymous], EUROSTAT STAT FOCUS; Brounen D, 2012, EUR ECON REV, V56, P931, DOI 10.1016/j.euroecorev.2012.02.007; Brounen D, 2011, J ENVIRON ECON MANAG, V62, P166, DOI 10.1016/j.jeem.2010.11.006; Curto V., 2012, WORKING PAPER; Deng Y., 2002, WOODHEAD BEHAV PRICI; Eichholtz P, 2013, REV ECON STAT, V95, P50, DOI 10.1162/REST_a_00291; FRITZSCHE DJ, 1981, J MARKETING RES, V18, P227, DOI 10.2307/3150956; HALVORSEN R, 1975, REV ECON STAT, V57, P12, DOI 10.2307/1937858; HECKMAN JJ, 1979, ECONOMETRICA, V47, P153, DOI 10.2307/1912352; HOROWITZ MJ, 1990, ENERG ECON, V12, P122, DOI 10.1016/0140-9883(90)90046-I; Houthakker H. S., 1951, J R STAT SOC A 3, V359-371, pCXIV; JAFFE AB, 1994, RESOUR ENERGY ECON, V16, P91, DOI 10.1016/0928-7655(94)90001-9; Kahn ME, 2007, J ENVIRON ECON MANAG, V54, P129, DOI 10.1016/j.jeem.2007.05.001; Karjalainen S, 2007, BUILD ENVIRON, V42, P1594, DOI 10.1016/j.buildenv.2006.01.009; KEMPTON W, 1994, ENERG POLICY, V22, P857, DOI 10.1016/0301-4215(94)90145-7; Krosnick J., 2003, NATL SURVEYS V UNPUB; Lusardi A, 2008, AM ECON REV, V98, P413, DOI 10.1257/aer.98.2.413; Lusardi A, 2007, J MONETARY ECON, V54, P205, DOI 10.1016/j.jmoneco.2006.12.001; Muehlfeld K, 2013, J ECON PSYCHOL, V34, P195, DOI 10.1016/j.joep.2012.09.014; Nyhus E., 1996, 42 TILB U; Reiss PC, 2005, REV ECON STUD, V72, P853, DOI 10.1111/0034-6527.00354; Shih A., 2009, EVIDENCE 2 LARGE FIE, P15386; van Rooij M, 2011, J FINANC ECON, V101, P449, DOI 10.1016/j.jfineco.2011.03.006; WHITE H, 1980, ECONOMETRICA, V48, P817, DOI 10.2307/1912934</t>
  </si>
  <si>
    <t>0140-9883</t>
  </si>
  <si>
    <t>1873-6181</t>
  </si>
  <si>
    <t>ENERG ECON</t>
  </si>
  <si>
    <t>Energy Econ.</t>
  </si>
  <si>
    <t>10.1016/j.eneco.2013.02.008</t>
  </si>
  <si>
    <t>Economics</t>
  </si>
  <si>
    <t>Business &amp; Economics</t>
  </si>
  <si>
    <t>153XS</t>
  </si>
  <si>
    <t>WOS:000319636700006</t>
  </si>
  <si>
    <t>Opoku, RA; Adom, PK</t>
  </si>
  <si>
    <t>Opoku, Rhoda Akua; Adom, Philip Kofi</t>
  </si>
  <si>
    <t>Energy literacy levels and energy investment choices of faith-based organisations in Accra Metropolitan Assembly, Ghana: Implications for energy conservation</t>
  </si>
  <si>
    <t>CLEANER AND RESPONSIBLE CONSUMPTION</t>
  </si>
  <si>
    <t>Faith-based organisation; Energy literacy; Energy investment choices; Energy conservation</t>
  </si>
  <si>
    <t>CONSUMPTION; EFFICIENCY; BEHAVIOR; TECHNOLOGIES; KNOWLEDGE; AWARENESS; FIRMS</t>
  </si>
  <si>
    <t>Achieving energy literacy is now considered both a necessary and sufficient condition to ensure strict adherence to energy conservation/efficiency programs. While the existing literature has considered the energy literacy level of different end-users, a gap exists in the literature on energy literacy levels of faith-based organisations and how they impact energy conservation in faith-based organisations. This study surveyed responses of church leaders connected to energy decision-making in the church from randomly selected 44 faith-based organisations in the Accra Metropolitan Assembly (AMA), Ghana, to explore energy literacy levels (i.e. multifaceted and individual dimensions) of these leaders, how it connects with energy expenditures of churches and what influences energy appliance investment choices among faith-based organisations. Lighting and cooling appliance of churches were generally found to be inefficient, and churches consider the brand name of the appliance as the most important factor when making energy appliance investment decision. The findings also demonstrate that, generally, church leaders have very low multifaceted energy literacy levels, but are much more promising in action energy literacy with a mean score of about 66 percent. Finally, churches with energy-literate leaders experience a lower risk of high electricity expenditure compared to their compatriots who are energy illiterate. Specifically, leaders with action energy literacy exert a statistically significant and negative effect on electricity expenditure of churches. In addition, churches with utility committees experience a lower risk of higher electricity expenditure, but the size of the church positively correlates with electricity expenditure. Our findings demonstrate the need to strengthen energy education in faith-based organisations.</t>
  </si>
  <si>
    <t>[Opoku, Rhoda Akua] Ghana Inst Management &amp; Publ Adm, Sch Liberal Arts &amp; Social Sci, Dept Econ &amp; Hospitality, Accra, Ghana; [Adom, Philip Kofi] Ghana Inst Management &amp; Publ Adm, Dept Dev Policy, Sch Publ Serv &amp; Governance, Accra, Ghana</t>
  </si>
  <si>
    <t>Adom, PK (corresponding author), Ghana Inst Management &amp; Publ Adm, Dept Dev Policy, Sch Publ Serv &amp; Governance, Accra, Ghana.</t>
  </si>
  <si>
    <t>rhodaopoku13@gmail.com; adomonline@yahoo.co.uk</t>
  </si>
  <si>
    <t>ADOM, Prof. PHILIP KOFI/K-4651-2017</t>
  </si>
  <si>
    <t>ADOM, Prof. PHILIP KOFI/0000-0001-8135-7260</t>
  </si>
  <si>
    <t>Environment for Development (EFD) Ghana and Global Hub; Sustainable Energy Transition Initiative (SETI) , Duke University</t>
  </si>
  <si>
    <t>The authors benefited from the useful comments of two anonymousreviewers. The authors also acknowledge the support of Environment for Development (EFD) Ghana and Global Hub and Sustainable Energy Transition Initiative (SETI) , Duke University. The usual disclaimer applies.</t>
  </si>
  <si>
    <t>Agrafiotis C, 2001, APPL THERM ENG, V21, P1231, DOI 10.1016/S1359-4311(01)00006-0; Akitsu Y., 2018, International Journal of Educational Methodology, V4, P161; Alghamdi A.K., 2019, J TURKISH SCI ED, V16, P521; Amoah A, 2018, ENERGY SUSTAIN SOC, V8, DOI 10.1186/s13705-018-0159-y; [Anonymous], 2010, 2010 INTERNET THINGS; [Anonymous], 1978, 08E01 NAT ASS ED PRO; Asamoah M.K., 2013, EUR J BUS SOC SCI, V2, P59; Augustin S., 2013, CHI 2013; Baidoo A.N.M., 2022, ADV SOCIAL SCI HUMAN, DOI [10.31124/advance.19322447.v2, DOI 10.31124/ADVANCE.19322447.V2]; BAIRD JC, 1981, J APPL PSYCHOL, V66, P90; Bawa J, 2021, J RELIG AFR, V51, P150, DOI 10.1163/15700666-BJA10046; Blasch J, 2019, RESOUR ENERGY ECON, V56, P39, DOI 10.1016/j.reseneeco.2017.06.001; Brounen D, 2013, ENERG ECON, V38, P42, DOI 10.1016/j.eneco.2013.02.008; Chisik Y, 2011, LECT NOTES COMPUT SC, V6949, P100, DOI 10.1007/978-3-642-23768-3_9; Coles T, 2016, J CLEAN PROD, V111, P399, DOI 10.1016/j.jclepro.2014.09.028; Cotton DRE, 2021, J CLEAN PROD, V278, DOI 10.1016/j.jclepro.2020.123876; Darby S, 2008, BUILD RES INF, V36, P499, DOI 10.1080/09613210802028428; de Groot HLF, 2001, ENERG ECON, V23, P717, DOI 10.1016/S0140-9883(01)00083-4; DeCanio SJ, 1998, REV ECON STAT, V80, P95, DOI 10.1162/003465398557366; DeWaters J, 2013, J ENVIRON EDUC, V44, P38, DOI 10.1080/00958964.2012.711378; DeWaters JE., 2011, FRONTIERS ED C FIE 2, DOI DOI 10.1109/FIE.2011.6142961; Duran E, 2015, ENERG POLICY, V86, P552, DOI 10.1016/j.enpol.2015.07.033; Dwyer C., 2011, Low Carbon Economy, V2, P123, DOI [10.4236/lce.2011.23016, DOI 10.4236/LCE.2011.23016]; Frick J, 2004, PERS INDIV DIFFER, V37, P1597, DOI 10.1016/j.paid.2004.02.015; Fuerst F., 2020, Z IMMOBILIENOKONOMIE, V6, P65, DOI [10.1365/s41056-019-00027-y, DOI 10.1365/S41056-019-00027-Y]; Gambro J.S., 1999, J ENVIRON EDUC, V30, P15, DOI DOI 10.1080/00958969909601866; Gaskell G., 1983, Journal of Consumer Policy, V6, P285, DOI DOI 10.1007/BF00411397; Ghana Statistical Service GSS, 2021, REL GROUPS GHAN; Golebiowska B, 2020, EKON SROD, V2, P121, DOI 10.34659/2020/2/20; Grantee T.C., 2018, GHANAS CHURCHES INSI; Gyimah K.A., 2014, INT J RES IJR, V1, P404; Hanson R., 1993, Studies in Educational Evaluation, V19, P363; Hasanbeigi A, 2012, RENEW SUST ENERG REV, V16, P6220, DOI 10.1016/j.rser.2012.07.019; HAYES SC, 1977, J APPL BEHAV ANAL, V10, P425, DOI 10.1901/jaba.1977.10-425; International Energy Agency, 2022, Global Energy Review: CO2 Emissions in 2021; Kalmi P, 2021, J CONSUM AFF, V55, P1062, DOI 10.1111/joca.12395; Keller L, 2022, ENERGIES, V15, DOI 10.3390/en15031118; Le TH, 2021, ENERGY RES SOC SCI, V77, DOI 10.1016/j.erss.2021.102093; Mansouri I, 1996, APPL ENERG, V54, P211, DOI 10.1016/0306-2619(96)00001-3; Martins A, 2020, ENERGY REP, V6, P243, DOI 10.1016/j.egyr.2020.11.117; Martins A, 2019, TEEM'19: SEVENTH INTERNATIONAL CONFERENCE ON TECHNOLOGICAL ECOSYSTEMS FOR ENHANCING MULTICULTURALITY, P494, DOI 10.1145/3362789.3362938; Martins A, 2020, ENERGY REP, V6, P454, DOI 10.1016/j.egyr.2019.09.007; Mills B., 2012, ENERGY POL, V49, P6; Owusu-Manu DG, 2022, INT J ENERGY SECT MA, V16, P1130, DOI 10.1108/IJESM-09-2021-0010; Pierce J., 2010, Proceedings of the 8th ACM Conference on Designing Interactive Systems, P113, DOI DOI 10.1145/1858171; Preston JL, 2021, CURR OPIN PSYCHOL, V40, P145, DOI 10.1016/j.copsyc.2020.09.013; Rohmatulloh, 2021, E3S Web of Conferences, V317, DOI 10.1051/e3sconf/202131703017; Rosenow J, 2019, ENERG EFFIC, V12, P1379, DOI 10.1007/s12053-018-9766-x; Society of Catholic Social Scientists (Scss), 2019, GHAN CHAPT TECHN RUR; Sovacool BK, 2011, ENERG POLICY, V39, P7472, DOI 10.1016/j.enpol.2010.10.008; The National Environmental Education and Training Foundation, 2002, AM LOW EN IQ RISK OU; Turcotte A., 2012, ENERGY LITERACY CANA, V5; US Department of Energy, 2017, Energy literacy: Essential principles and fundamental concepts for energy education; van den Broek KL, 2019, ENERGY RES SOC SCI, V57, DOI 10.1016/j.erss.2019.101256; Wood G, 2003, ENERG BUILDINGS, V35, P821, DOI 10.1016/S0378-7788(02)00241-4; Yoon HS, 2015, RENEW SUST ENERG REV, V48, P870, DOI 10.1016/j.rser.2015.03.100</t>
  </si>
  <si>
    <t>2666-7843</t>
  </si>
  <si>
    <t>CLEAN RESPONS CONSUM</t>
  </si>
  <si>
    <t>Clean Responsible Consum.</t>
  </si>
  <si>
    <t>10.1016/j.clrc.2023.100100</t>
  </si>
  <si>
    <t>M7IN9</t>
  </si>
  <si>
    <t>WOS:001031917200001</t>
  </si>
  <si>
    <t>Teitelbaum, A; Militz, TA; Southgate, PC</t>
  </si>
  <si>
    <t>Teitelbaum, Antoine; Militz, Thane A.; Southgate, Paul C.</t>
  </si>
  <si>
    <t>STOMATOPOD (GONODACTYLACEUS FALCATUS) PREDATION OF THE AKOYA PEARL OYSTER (PINCTADA FUCATA) IN OCEAN CULTURE</t>
  </si>
  <si>
    <t>JOURNAL OF SHELLFISH RESEARCH</t>
  </si>
  <si>
    <t>Gonodactylaceus falcatus; Pinciada fucata; Gonodactylidae; predation; pearl oyster; nursery culture; Australia</t>
  </si>
  <si>
    <t>NURSERY CULTURE; WILD SPAT; MARGARITIFERA; GROWTH; COLLECTION; JUVENILES; PTERIIDAE</t>
  </si>
  <si>
    <t>Crustaceans of the family Gonodactylidae (Order Stomatopoda) are potential predators of cultured pearl oysters in ocean-culture systems, yet they have not previously been implicated in contributing to on-farm mortality of culture stock. Improved knowledge of the threat posed by stomatopods to pearl oyster survival in ocean-culture systems, as well as possible influencing factors, is necessary to determine whether stomatopod predation merits concern and for prioritizing efforts to prevent and control predator incursions. The aims of this study were, therefore, to determine if the presence of stomatopods within culture units significantly affects cultured pearl oyster survival in an ocean-culture system, and whether predator or prey size exert influencing effects. Mortality of Akoya pearl oysters (Pinctada fucata) over a 6-wk culture period ranged from zero to 33.3% among individual culture units containing a single stomatopod (Gonodactylaceusfalcatus) at the study site in north Queensland, Australia. An interaction between stomatopod size and their time at liberty within culture units, as well as an interaction between stomatopod size and pearl oyster size, explained 84.1% of the variance in pearl oyster survival among culture units. Most prominently, small stomatopods (total length: 37.0 +/- 0.9 rum) caused minimal mortality of culture stock (4.6% +/- 1.1%), whereas large stomatopods (total length: 69.0 +/- 1.1 mm) had a significantly greater impact (20.8% +/- 2.1% mortality) over the 6-wk period (P &lt; 0.05). Given the potential for a single G. falcatus to cause up to 33.3% mortality of culture stock within a culture unit, the threat from stomatopod predation during ocean culture of pearl oysters could be significant and collection of site-specific information to assess this threat is recommended.</t>
  </si>
  <si>
    <t>[Teitelbaum, Antoine] Aquarium Fish NC, Mt Dore 98809, New Caledonia; [Militz, Thane A.; Southgate, Paul C.] Univ Sunshine Coast, Australian Ctr Pacific Isl Res, 90 Sippy Downs Dr, Sippy Downs, Qld 4556, Australia; [Militz, Thane A.; Southgate, Paul C.] Univ Sunshine Coast, Sch Sci Technol &amp; Engn, 90 Sippy Downs Dr, Sippy Downs, Qld 4556, Australia</t>
  </si>
  <si>
    <t>University of the Sunshine Coast; University of the Sunshine Coast</t>
  </si>
  <si>
    <t>Southgate, PC (corresponding author), Univ Sunshine Coast, Australian Ctr Pacific Isl Res, 90 Sippy Downs Dr, Sippy Downs, Qld 4556, Australia.;Southgate, PC (corresponding author), Univ Sunshine Coast, Sch Sci Technol &amp; Engn, 90 Sippy Downs Dr, Sippy Downs, Qld 4556, Australia.</t>
  </si>
  <si>
    <t>psouthgate@usc.edu.au</t>
  </si>
  <si>
    <t>Militz, Thane/0000-0002-6476-8559</t>
  </si>
  <si>
    <t>James Cook University</t>
  </si>
  <si>
    <t>We thank support staff of the James Cook University Orpheus Island Research Station and Dr. Josiah Pit for technical support during this study. This study was funded by a James Cook University Merit Research Grant to the corresponding author.</t>
  </si>
  <si>
    <t>Ahyong S. T, 2001, REVISION AUSTR S S26; Appukuttan K.K., 1987, CMFRI Bulletin, P54; AquaMaps, 2019, COMP GEN DISTR MAPS; Beer AC, 2000, J SHELLFISH RES, V19, P821; BENJAMINI Y, 1995, J R STAT SOC B, V57, P289, DOI 10.1111/j.2517-6161.1995.tb02031.x; Bolker B., 2022, BBMLE TOOLS GEN MAXI; CHELLAM A, 1983, Indian Journal of Fisheries, V30, P337; Chung WH, 2021, FOOD CONTROL, V129, DOI 10.1016/j.foodcont.2021.108241; Claverie T, 2011, EVOLUTION, V65, P443, DOI 10.1111/j.1558-5646.2010.01133.x; Crane RL, 2018, J EXP BIOL, V221, DOI 10.1242/jeb.176099; Cropp D., 2011, 2007216 FRDC; CROSSLAND C., 1957, AUSTRALIAN JOUR MARINE AND FRESHWATER RES, V8, P111; Crossland C, 1911, P ZOOL SOC LOND, V1911, P1057; deVries MS, 2017, BIOL LETTERS, V13, DOI 10.1098/rsbl.2017.0055; Dharmaraj S., 1987, CMFRI Bulletin, V39, P92; DINGLE H, 1973, OECOLOGIA, V13, P55, DOI 10.1007/BF00379618; DINGLE H, 1969, BEHAVIOUR, V33, P115, DOI 10.1163/156853969X00341; Friedman KJ, 1999, J SHELLFISH RES, V18, P159; Friedman KJ, 1998, AQUACULTURE, V167, P283, DOI 10.1016/S0044-8486(98)00286-5; Friedman KJ, 1996, J SHELLFISH RES, V15, P535; FULL RJ, 1989, ETHOLOGY, V81, P134; Gervis M H., 1992, The Biology and Culture of Pearl Oysters (Bivalvia Pteriidae); Gordon SE, 2020, J SHELLFISH RES, V39, P58, DOI 10.2983/035.039.0106; Govan H., 1995, CYMATIUM MURICINUM O; Hothorn T, 2008, BIOMETRICAL J, V50, P346, DOI 10.1002/bimj.200810425; Humphrey JD, 2008, PEARL OYSTER, P367, DOI 10.1016/B978-0-444-52976-3.00011-5; Johnston W, 2020, AQUACULT REP, V17, DOI 10.1016/j.aqrep.2020.100347; Logan T., 2017, ABC RURAL; O'Connor WA, 2004, AQUACULTURE, V229, P493, DOI 10.1016/S0044-8486(03)00400-9; OConnor W, 2003, NSW FISHERIES FINAL, V42; Otter LM, 2017, GEMS GEMOL, V53, P423, DOI 10.5741/GEMS.53.4.423; Pit J. H., 2004, THESIS J COOK U TOWN; Pit JH, 2003, AQUACULT INT, V11, P545, DOI 10.1023/B:AQUI.0000013310.17400.97; Pournelle G. H., 1953, Journal of Mammalogy, V34, P133, DOI 10.1890/0012-9658(2002)083[1421:SDEOLC]2.0.CO;2; REAKA ML, 1980, EVOLUTION, V34, P1019, DOI 10.1111/j.1558-5646.1980.tb04041.x; Sarver D. J., 1998, SPC PEARL OYSTER INF, V11, P31; Scoones R. J. S., 1990, RES PRACTICES W AUST; Shanbhogue S.L., 1983, Journal of the Marine Biological Association of India, V20, P86; Southgate P. C., MOLLUSCAN SHELLFISH, P205; Southgate P. C., 2019, FINAL REPORT PEARL I; Southgate PC, 2008, PEARL OYSTER, P303, DOI 10.1016/B978-0-444-52976-3.00009-7; Southgate PC, 2008, PEARL OYSTER, P231, DOI 10.1016/B978-0-444-52976-3.00007-3; Southgate PC, 1997, J SHELLFISH RES, V16, P561; Southgate PC, 2000, AQUACULTURE, V187, P97, DOI 10.1016/S0044-8486(99)00392-0; Taylor JJ, 1997, AQUACULTURE, V153, P31, DOI 10.1016/S0044-8486(97)00014-8; Teitelbaum A, 2021, J SHELLFISH RES, V40, P549, DOI 10.2983/035.040.0311; TRANTER D. J., 1959, AUSTRALIAN JOUR MARINE AND FRESHWATER RES, V10, P45; Velasco LA, 2010, J WORLD AQUACULT SOC, V41, P281, DOI 10.1111/j.1749-7345.2010.00371.x; Wada KT, 2008, PEARL OYSTER, P37, DOI 10.1016/B978-0-444-52976-3.00002-4</t>
  </si>
  <si>
    <t>NATL SHELLFISHERIES ASSOC</t>
  </si>
  <si>
    <t>GROTON</t>
  </si>
  <si>
    <t>C/O DR. SANDRA E. SHUMWAY, UNIV CONNECTICUT, 1080 SHENNECOSSETT RD, GROTON, CT 06340 USA</t>
  </si>
  <si>
    <t>0730-8000</t>
  </si>
  <si>
    <t>1943-6319</t>
  </si>
  <si>
    <t>J SHELLFISH RES</t>
  </si>
  <si>
    <t>J. Shellfish Res.</t>
  </si>
  <si>
    <t>10.2983/035.041.0102</t>
  </si>
  <si>
    <t>0P1HA</t>
  </si>
  <si>
    <t>WOS:000783972100002</t>
  </si>
  <si>
    <t>Costa, D; Screpanti, L; Scaradozzi, D</t>
  </si>
  <si>
    <t>Costa, Daniele; Screpanti, Laura; Scaradozzi, David</t>
  </si>
  <si>
    <t>Disseminating STEM Subjects and Ocean Literacy through a Bioinspired Toolkit</t>
  </si>
  <si>
    <t>BIOMIMETICS</t>
  </si>
  <si>
    <t>STEM education; ocean literacy; educational robotics; robotic fish; robotic toolkit</t>
  </si>
  <si>
    <t>EDUCATIONAL ROBOTICS</t>
  </si>
  <si>
    <t>Over the last decade, education has been evolving to equip students with the fundamental skills required to cope with the challenges of sustainability and inclusivity, such as quality education, access to clean water, cultural heritage preservation and protection of marine life. Technology supports the learning process by providing useful tools that enrich the learning environment, encourage active participation, improve collaboration and prepare students for their future life. Educational Robotics is one of the most popular innovative methodologies that supports the development of many skills by assembling and programming robots in a meaningful way. In this paper, the authors aim at advancing their previous work in the field of Educational Robotics applied to the marine environment by proposing a novel bioinspired educational toolkit whose design and features support activities concerning sustainability, ocean literacy, as well as STEM subjects in kindergarten through to grade twelve education. Exploiting the established educational theories and methodologies underpinning Educational Robotics, the toolkit allows for marine-themed activities, as well promoting activities concerning STEM subjects. To explain the relevance of the toolkit, the authors present the robot design, the workshops that every teacher or student can explore as an Open Educational Resource (OERs), and the results of a case study. Interestingly, the latter shows that the use of the toolkit seems to have complemented the students' initial keen interest in technology itself, with awareness about urgent issues related to the climate and the environment.</t>
  </si>
  <si>
    <t>[Costa, Daniele] Univ Politecn Marche, DIISM Dept Ind Engn &amp; Math Sci, I-60131 Ancona, Italy; [Screpanti, Laura; Scaradozzi, David] Univ Politecn Marche, DII Dept Informat Engn, I-60131 Ancona, Italy</t>
  </si>
  <si>
    <t>Marche Polytechnic University; Marche Polytechnic University</t>
  </si>
  <si>
    <t>Costa, D (corresponding author), Univ Politecn Marche, DIISM Dept Ind Engn &amp; Math Sci, I-60131 Ancona, Italy.</t>
  </si>
  <si>
    <t>d.costa@univpm.it; l.screpanti@univpm.it; d.scaradozzi@univpm.it</t>
  </si>
  <si>
    <t>SCARADOZZI, DAVID/AFK-3149-2022; Screpanti, Laura/J-9860-2019</t>
  </si>
  <si>
    <t>SCARADOZZI, DAVID/0000-0001-9346-2113; Screpanti, Laura/0000-0003-4765-8427; Costa, Daniele/0000-0002-7485-5402</t>
  </si>
  <si>
    <t>ancybernetics.it, ANC SRL; [Anonymous], 2002, RIGS UNDERWATER VEHI; Antonelli G., 2008, UNDERWATER ROBOTS MO; Armstrong L, 2023, TECHTRENDS, V67, P14, DOI 10.1007/s11528-022-00816-8; Arnett M, 2020, ACMIEEE INT CONF HUM, P615, DOI 10.1145/3371382.3379462; BANDURA A, 1977, PSYCHOL REV, V84, P191, DOI 10.1037/0033-295X.84.2.191; Clarke L., 2020, CURR J MAR ED, V34, P28, DOI [10.5334/cjme.29, DOI 10.5334/CJME.29]; Costa Daniele, 2019, Advances in Italian Mechanism Science. Proceedings of the Second International Conference of IFToMM Italy. Mechanisms and Machine Science (MMS 68), P240, DOI 10.1007/978-3-030-03320-0_26; Costa D, 2020, BIOMIMETICS-BASEL, V5, DOI 10.3390/biomimetics5040046; Crittenden WF, 2019, J MARKET EDUC, V41, P5, DOI 10.1177/0273475318820895; Cufí X, 2021, SUSTAINABILITY-BASEL, V13, DOI 10.3390/su13158657; Daniela L, 2019, TECHNOL KNOWL LEARN, V24, P219, DOI 10.1007/s10758-018-9397-5; Daniela L, 2018, INNOVATIONS, TECHNOLOGIES AND RESEARCH IN EDUCATION, P148; Ferreira Fausto, 2020, Curr Robot Rep, V1, P169, DOI 10.1007/s43154-020-00022-5; Garcia-Langley A, 2022, OCEANS-IEEE, DOI 10.1109/OCEANS47191.2022.9977015; Goel A., 2021, P OCEANS 2021, P1; Gottschalk F., 2019, IMPACTS TECHNOLOGY U, DOI [DOI 10.1787/8296464E-EN, 10.1787/19939019, DOI 10.1787/19939019]; Harel I., 1991, Constructionism; Ihamäki P, 2024, INFORM SYST FRONT, V26, P25, DOI 10.1007/s10796-021-10175-z; Ioannou A, 2018, EDUC INF TECHNOL, V23, P2531, DOI 10.1007/s10639-018-9729-z; Kitts C., 2010, CURR J MAR ED, V26, P7; Kucuk Sevda, 2020, International Journal of Child-Computer Interaction, V23, P35, DOI 10.1016/j.ijcci.2020.100167; Laut J, 2015, IEEE T EDUC, V58, P48, DOI 10.1109/TE.2014.2324533; Lin XW, 2022, IET CYBER-SYST ROBOT, V4, P86, DOI 10.1049/csy2.12050; Nelson SG, 2015, OCEANS 2015 - GENOVA, DOI 10.1109/OCEANS-Genova.2015.7271419; Patterson M.R., 2022, P 2012 OCEANS, P1; Pedersen BKMK, 2021, IEEE ROMAN, P865, DOI 10.1109/RO-MAN50785.2021.9515538; Phamduy P, 2015, IEEE ROBOT AUTOM MAG, V22, P90, DOI 10.1109/MRA.2015.2443991; robopisces.eu, ABOUT US; Vicente FR, 2020, SUSTAINABILITY-BASEL, V12, DOI 10.3390/su12229696; Scaradozzi D, 2016, P ICERI2016 P SEV SP, P750; Scaradozzi D., 2019, Smart Learning with Educational Robotics: Using Robots to Scaffold Learning Outcomes, P199; Scaradozzi D, 2017, OCEAN ENG, V130, P437, DOI 10.1016/j.oceaneng.2016.11.055; Sfakiotakis M, 1999, IEEE J OCEANIC ENG, V24, P237, DOI 10.1109/48.757275; Talib C.A., 2020, Solid state technology, V63, P767; United Nations, 2023, THE 17 GOALS | Sustainable Development; Benitti FBV, 2012, COMPUT EDUC, V58, P978, DOI 10.1016/j.compedu.2011.10.006; Vygotsky L. S., 1978, MIND SOC DEV HIGHER, DOI 10.2307/j.ctvjf9vz4; Zande J, 2008, IEEE ROBOT AUTOM MAG, V15, P18, DOI 10.1109/M-RA.2007.914923; Zhang FM, 2015, IEEE ROBOT AUTOM MAG, V22, P14, DOI 10.1109/MRA.2014.2385561; Zhang YJ, 2021, J EDUC COMPUT RES, V59, P1450, DOI 10.1177/0735633121994070; Zhong BH, 2020, INT J SCI MATH EDUC, V18, P79, DOI 10.1007/s10763-018-09939-y; Ziouzios D, 2021, ELECTRONICS-SWITZ, V10, DOI 10.3390/electronics10192389</t>
  </si>
  <si>
    <t>2313-7673</t>
  </si>
  <si>
    <t>BIOMIMETICS-BASEL</t>
  </si>
  <si>
    <t>Biomimetics</t>
  </si>
  <si>
    <t>10.3390/biomimetics8020161</t>
  </si>
  <si>
    <t>Engineering, Multidisciplinary; Materials Science, Biomaterials</t>
  </si>
  <si>
    <t>Engineering; Materials Science</t>
  </si>
  <si>
    <t>K1LK1</t>
  </si>
  <si>
    <t>WOS:001014126600001</t>
  </si>
  <si>
    <t>Harker-Schuch, IEP; Mills, FP; Lade, SJ; Colvin, RM</t>
  </si>
  <si>
    <t>Harker-Schuch, Inez E. P.; Mills, Franklin P.; Lade, Steven J.; Colvin, Rebecca M.</t>
  </si>
  <si>
    <t>CO2peration-Structuring a 3D interactive digital game to improve climate literacy in the 12-13-year-old age group</t>
  </si>
  <si>
    <t>COMPUTERS &amp; EDUCATION</t>
  </si>
  <si>
    <t>Climate literacy; Environmental science education; Instructional design; Knowledge domains; Serious game</t>
  </si>
  <si>
    <t>SERIOUS GAMES; KNOWLEDGE; EDUCATION; SCIENCE; PERCEPTIONS; ENGAGEMENT; VISUALIZATION; OPPORTUNITIES; ADOLESCENCE; COGNITION</t>
  </si>
  <si>
    <t>Preparing students for their future and qualifying them to enter public life is the essential role of the public-school system. As such, an understanding of climate science ought to be an essential-and significant component of that preparation. This research proposes a novel pathway to teach climate science via a 3D interactive digital game and examines the potential of 12-13-year olds as a prepatent group for climate science interventions. After playing a proof-of-concept climate science game that covers the physical causes and mechanisms of climate change, 401 students in Austria and Australia were tested with a climate literacy questionnaire. Our results indicate that climate literacy can be improved in this age group via the digital game. In addition, we found further evidence of established climate science 'knowledge domains' in this age group that form a natural 'increased levels of complexity' scaffold that can be used to design curricula such as that in the digital game. These four 'knowledge domains' are (in brief): Earth in the solar system; gravity and its effect on the atmosphere; albedo and solar radiation, and; greenhouse gases and their warming potential.</t>
  </si>
  <si>
    <t>[Harker-Schuch, Inez E. P.; Mills, Franklin P.] Australian Natl Univ, Fenner Sch Environm &amp; Soc, B141,B48,B48A Linnaeus Way, Acton, ACT 2601, Australia; [Lade, Steven J.] Stockholm Univ, Stockholm Resilience Ctr, Kraftriket 2B, SE-10691 Stockholm, Sweden; [Colvin, Rebecca M.] Australian Natl Univ, Crawford Sch Publ Policy, Resources Environm &amp; Dev Grp, Lennox Crossing, ACT 2600, Australia</t>
  </si>
  <si>
    <t>Australian National University; Stockholm University; Australian National University</t>
  </si>
  <si>
    <t>Harker-Schuch, IEP (corresponding author), Australian Natl Univ, Fenner Sch Environm &amp; Soc, B141,B48,B48A Linnaeus Way, Acton, ACT 2601, Australia.</t>
  </si>
  <si>
    <t>inez.harker-schuch@anu.edu.au; Frank.Mills@anu.edu.au; steven.lade@su.se; rebecca.colvin@anu.edu.au</t>
  </si>
  <si>
    <t>Colvin, Rebecca/H-6589-2015; Lade, Steven/AAH-2699-2019; Mills, Franklin/A-1361-2013; Harker-Schuch, Inez/I-6740-2015</t>
  </si>
  <si>
    <t>Colvin, Rebecca/0000-0002-2011-5433; Mills, Franklin/0000-0002-4270-7333; Harker-Schuch, Inez/0000-0003-2721-8598; Lade, Steven/0000-0001-9719-9826</t>
  </si>
  <si>
    <t>Australian Government Research Training Program (RTP) Scholarship; Swedish Research Council FORMAS [2014-589]</t>
  </si>
  <si>
    <t>Australian Government Research Training Program (RTP) Scholarship(Australian GovernmentDepartment of Industry, Innovation and Science); Swedish Research Council FORMAS(Swedish Research Council Formas)</t>
  </si>
  <si>
    <t>Inez Harker-Schuch was supported by an Australian Government Research Training Program (RTP) Scholarship.; Dr Steven J Lade receives support from the Swedish Research Council FORMAS (Project Grant 2014-589).</t>
  </si>
  <si>
    <t>Adamson MA, 2018, J PSYCHOSOC NURS MEN, V56, P29, DOI 10.3928/02793695-20171027-03; Aldrich C., 2009, Simulations serious games: How the most valuable content will be created in the age beyond Gutenberg to Google; Annetta LA, 2010, REV GEN PSYCHOL, V14, P105, DOI 10.1037/a0018985; [Anonymous], 2015, P 5 INT C CONV SEC, DOI DOI 10.1109/ICITCS.2015.7292992; [Anonymous], 2013, P 35 ANN M COGNITIVE; Australian Curriculum, 2015, SEN SEC CLIM CHANG; Azevedo J, 2017, INT J GLOBAL WARM, V12, P414, DOI 10.1504/IJGW.2017.10005893; Baer P, 2000, SCIENCE, V289, P2287, DOI 10.1126/science.289.5488.2287; Barnett J, 2007, POLIT GEOGR, V26, P639, DOI 10.1016/j.polgeo.2007.03.003; Bell Kathleen P., 2013, Lakes &amp; Reservoirs Research and Management, V18, P5, DOI 10.1111/lre.12018; Bellotti F, 2013, ADV HUM-COMPUT INTER, V2013, DOI 10.1155/2013/136864; Bieler A., 2017, Journal of Education for Sustainable Development, V11, P63, DOI [DOI 10.1177/0973408218754625, https://doi.org/10.1177/0973408218754625]; Biggs J., 1982, EVALUATING QUALITY L, DOI [DOI 10.1016/C2013-0-10375-3, 10.1016/C2013-0-10375-3]; Bloom BS, 1968, Eval Comment, V1, pn2, DOI DOI 10.1021/ED063P318; Bodzin AM, 2014, J SCI EDUC TECHNOL, V23, P575, DOI 10.1007/s10956-013-9478-0; Bouchard Stephane, 2006, Technol Health Care, V14, P19; Canhoto AI, 2016, J MARKET EDUC, V38, P98, DOI 10.1177/0273475316643746; Case R., 1985, INTELLECTUAL DEV BIR; Church W, 2010, J SUSTAINABILITY ED, V1, P163; Colvin RM, 2015, GLOBAL ENVIRON CHANG, V34, P237, DOI 10.1016/j.gloenvcha.2015.07.011; Conforti P., 2011, LOOKING AHEAD WORLD; Corner A, 2015, WIRES CLIM CHANGE, V6, P523, DOI 10.1002/wcc.353; Csikszentmihalyi M., 1997, FINDING FLOW PSYCHOL; Dahlstrom MF, 2014, P NATL ACAD SCI USA, V111, P13614, DOI 10.1073/pnas.1320645111; Davidson CathyN., 2009, The Future of Learning Institutions in a Digital Age; Denevi BW, 2018, SPACE SCI REV, V214, DOI 10.1007/s11214-017-0440-y; Dobson JL, 2008, ADV PHYSIOL EDUC, V32, P297, DOI 10.1152/advan.90162.2008; Erhel S, 2013, COMPUT EDUC, V67, P156, DOI 10.1016/j.compedu.2013.02.019; Fath BD, 2015, ECOL SOC, V20, DOI 10.5751/ES-07467-200224; Freeman D, 2020, LANG TEACH RES, V24, P5, DOI 10.1177/1362168818777534; Goktas Y, 2013, COMPUT EDUC, V68, P211, DOI 10.1016/j.compedu.2013.05.002; Goswami U., 2016, EC TIMES NOV; Guskey T., 2015, International Encyclopedia of the Social and Behavioral Sciences, V2, P752, DOI [DOI 10.1016/B978-0-08097086-8.26039-X, 10.1016/B978-0-08-097086-8.26039-X, DOI 10.1016/B978-0-08-097086-8.26039-X]; Guy S, 2014, EUR J SOC PSYCHOL, V44, P421, DOI 10.1002/ejsp.2039; Harker-Schuch I, 2019, SCI ED UNPUB; Harker-Schuch I, 2019, AMBIO UNPUB; Harker-Schuch I, 2019, CLIMATE CHANGE ROLE; Harker-Schuch I, 2013, AMBIO, V42, P755, DOI 10.1007/s13280-013-0388-4; Hattie JAC, 2009, VISIBLE LEARNING: A SYNTHESIS OF OVER 800 META-ANALYSES RELATING TO ACHIEVEMENT, P1; Hawkins SE, 2007, SPACE SCI REV, V131, P247, DOI [10.1007/s11214-007-9266-3, 10.1007/sl11214-007-9266-3]; Hayhoe K, 2013, B ATOM SCI, V69, P1, DOI 10.1177/0096340213485947; Hazel P, 2008, INTERACT LEARN ENVIR, V16, P199, DOI 10.1080/10494820802113947; Hess DJ, 2018, J CLEAN PROD, V170, P1451, DOI 10.1016/j.jclepro.2017.09.215; Homer BD, 2018, COMPUT EDUC, V117, P50, DOI 10.1016/j.compedu.2017.09.011; Ivory J.D., 2006, MASS COMMUNICATION S, V9, P103, DOI [DOI 10.1207/S15327825MCS09016, 10.1207/s15327825mcs0901_6, DOI 10.1207/S15327825MCS0901_6]; Jensen F., 2015, The teenage brain: A neuroscientist's survival guide to raising adolescents and young adults; Kahan DM, 2011, J RISK RES, V14, P147, DOI 10.1080/13669877.2010.511246; Kiparsky M, 2012, ANNU REV ENV RESOUR, V37, P163, DOI 10.1146/annurev-environ-050311-093931; Lamb RL, 2018, COMPUT HUM BEHAV, V80, P158, DOI 10.1016/j.chb.2017.10.040; Lee I., 2003, Assessing Writing, V8, P216; Lester JC, 2013, AI MAG, V34, P31, DOI 10.1609/aimag.v34i4.2488; Lester JC, 2014, INFORM SCIENCES, V264, P4, DOI 10.1016/j.ins.2013.09.005; Lewandowsky S, 2012, PSYCHOL SCI PUBL INT, V13, P106, DOI 10.1177/1529100612451018; Lim ChapSam., 2012, DRILL PRACTICE LEARN, P1040, DOI DOI 10.1007/978-1-4419-1428-6_706; Loh C. S., 2015, Serious Games Analytics: Methodologies for Performance Measurement, Assessment, and Improvement, P3, DOI [DOI 10.1007/978-3-319-05834-41, DOI 10.1007/978-3-319-05834-4, 10.1007/978-3-319-05834-4_1, DOI 10.1007/978-3-319-05834-4_1]; Ma M, 2014, SERIOUS GAMES DEV AP, P134, DOI [10.1007/978-3-319-11623-5, DOI 10.1007/978-3-319-11623-5]; McBeth B., 2011, NATL ENV LITERACY AS; McElhaney KW, 2015, STUD SCI EDUC, V51, P49, DOI 10.1080/03057267.2014.984506; McQuiggan SW, 2008, LECT NOTES COMPUT SC, V5091, P530; Milér T, 2011, PROCD SOC BEHV, V12, P150, DOI 10.1016/j.sbspro.2011.02.021; Moezzi M, 2017, ENERGY RES SOC SCI, V31, P1, DOI 10.1016/j.erss.2017.06.034; Moreno-Ger P, 2009, SIMULAT GAMING, V40, P669, DOI 10.1177/1046878109340294; Nash Roderick Frazier., 1989, RIGHTS NATURE HIST E; Ojala M., 2012, International Journal of Environmental &amp; Science Education, V7, P537; Ojala M, 2012, J ENVIRON PSYCHOL, V32, P225, DOI 10.1016/j.jenvp.2012.02.004; Piaget I, 2008, HUM DEV, V51, P40, DOI 10.1159/000112531; Plutzer E, 2016, MIXED MESSAGES CLIMA, V99; Plutzer E, 2016, SCIENCE, V351, P664, DOI 10.1126/science.aab3907; Porter D, 2012, ENVIRON EDUC RES, V18, P665, DOI 10.1080/13504622.2011.640750; Potter E, 2008, MEDIA INT AUST, P116, DOI 10.1177/1329878X0812700115; Rappaport N. J., 1997, MGN 5 RDRS SPHERICAL; Rappaport NJ, 1999, ICARUS, V139, P19, DOI 10.1006/icar.1999.6081; Reese G, 2016, CLIMATIC CHANGE, V134, P521, DOI 10.1007/s10584-015-1548-2; Renault H., 2018, ABC NEWS; Ripple WJ, 2017, BIOSCIENCE, V67, P1026, DOI 10.1093/biosci/bix125; Scannell L, 2013, ENVIRON BEHAV, V45, P60, DOI 10.1177/0013916511421196; Schroth O, 2014, ENVIRON COMMUN, V8, P413, DOI 10.1080/17524032.2014.906478; Shepardson DP, 2011, CLIMATIC CHANGE, V104, P481, DOI 10.1007/s10584-009-9786-9; Sheppard SRJ, 2005, ENVIRON SCI POLICY, V8, P637, DOI 10.1016/j.envsci.2005.08.002; Sheppard SRJ, 2011, FUTURES, V43, P400, DOI 10.1016/j.futures.2011.01.009; Shi J, 2016, NAT CLIM CHANGE, V6, P759, DOI [10.1038/nclimate2997, 10.1038/NCLIMATE2997]; Shi J, 2015, RISK ANAL, V35, P2183, DOI 10.1111/risa.12406; Shute V.J., 2009, Melding the power of serious games and embedded assessment to monitor and foster learning: Flow and grow; Smith DE, 2001, J GEOPHYS RES-PLANET, V106, P23689, DOI 10.1029/2000JE001364; Solomon SC, 2001, PLANET SPACE SCI, V49, P1445, DOI 10.1016/S0032-0633(01)00085-X; Southgate E, 2017, 7 PRESS PLAY LEARNIN, V42; Stevenson KT, 2014, CLIMATIC CHANGE, V126, P293, DOI 10.1007/s10584-014-1228-7; Sturgis P, 2004, PUBLIC UNDERST SCI, V13, P55, DOI 10.1177/0963662504042690; Su Chung-Ho., 2013, TURK ONLINE J EDUC T, V12, P1; Tang YC, 2013, PROCEEDINGS OF 2013 IEEE INTERNATIONAL CONFERENCE ON MEDICAL IMAGING PHYSICS AND ENGINEERING (ICMIPE), P6, DOI 10.1109/ICMIPE.2013.6864492; Twining P, 2009, BRIT J EDUC TECHNOL, V40, P496, DOI 10.1111/j.1467-8535.2009.00963.x; Tyner K.R., 1998, Literacy in a digital world; Unsworth K, 2014, ITS POLITICAL SALIEN; van Basshuysen P, 2018, ENVIRON RES LETT, V13, DOI 10.1088/1748-9326/aab213; Vollebergh WAM, 2001, J MARRIAGE FAM, V63, P1185, DOI 10.1111/j.1741-3737.2001.01185.x; Whitehouse H., 2019, TEACHING CLIMATE CHA, V3-6; Wibeck V, 2013, SUSTAINABILITY-BASEL, V5, P4760, DOI 10.3390/su5114760; Wolf J, 2011, WIRES CLIM CHANGE, V2, P547, DOI 10.1002/wcc.120; Wray-Lake L, 2010, ENVIRON BEHAV, V42, P61, DOI 10.1177/0013916509335163; Wu HK, 2013, COMPUT EDUC, V62, P41, DOI 10.1016/j.compedu.2012.10.024; Wu JS, 2015, NAT CLIM CHANGE, V5, P413, DOI 10.1038/NCLIMATE2566; 2018, NATURE, V554, P465, DOI DOI 10.1038/D41586-018-02185-W</t>
  </si>
  <si>
    <t>0360-1315</t>
  </si>
  <si>
    <t>1873-782X</t>
  </si>
  <si>
    <t>COMPUT EDUC</t>
  </si>
  <si>
    <t>Comput. Educ.</t>
  </si>
  <si>
    <t>10.1016/j.compedu.2019.103705</t>
  </si>
  <si>
    <t>Computer Science, Interdisciplinary Applications; Education &amp; Educational Research</t>
  </si>
  <si>
    <t>JP5TW</t>
  </si>
  <si>
    <t>WOS:000498327800014</t>
  </si>
  <si>
    <t>Wu, SF; Li, YN; Fang, CG; Ju, P</t>
  </si>
  <si>
    <t>Wu, Shaofeng; Li, Yanning; Fang, Changgan; Ju, Peng</t>
  </si>
  <si>
    <t>Energy Literacy of Residents and Sustainable Tourism Interaction in Ethnic Tourism: A Study of the Longji Terraces in Guilin, China</t>
  </si>
  <si>
    <t>Longji; ethnic areas; environment; ecological balance; tourism</t>
  </si>
  <si>
    <t>CARBON LITERACY; AIR-POLLUTION; BEHAVIOR; STUDENTS; PERCEPTIONS; CONSUMPTION; DETERMINANTS; ENVIRONMENT; DEFINITION; MECHANISMS</t>
  </si>
  <si>
    <t>Energy and environment form a nexus in which residents are the owners of tourism energy resources. Only a few studies have focused on the energy literacy of residents in ethnic tourism destinations and its impact on sustainable tourism. Using a qualitative research approach through field works and in-depth interviews in the Ping'an Village, Longji Terraces Scenic Area, this study explored the relationships between the energy literacy of residents and sustainable tourism in ethnic areas. The result showed that the energy literacy of the ethnic residents of Pingan village in terms of knowledge, attitude, and behavior has increased in line with the development of tourism, and both external and internal factors contribute to the improvement. Besides, the promotion of energy literacy among the residents not only has a positive impact on the tourists' behavior but also brings about effective improvements in the local energy use structure and infrastructure, thus contributing to the sustainable development of tourism. This research extends the understanding of energy literacy from the perspective of ethnic residents and changes in energy literacy in remote ethnic villages under tourism development. The results also deepen our understanding of such changes in the behavior of tourists and tourism destination sustainability and enrich the empirical research to promote energy conservation and sustainable tourism development in ethnic areas.</t>
  </si>
  <si>
    <t>[Wu, Shaofeng] Hunan Normal Univ, Coll Tourism, Changsha 410081, Peoples R China; [Li, Yanning] Univ Surrey, Sch Hospitality &amp; Tourism Management, Guildford GU2 7XH, England; [Fang, Changgan] Wuzhou Univ, Sci Res Off, Wuzhou 543002, Peoples R China; [Ju, Peng] Jinan Univ, Shenzhen Tourism Coll, Shenzhen 518053, Peoples R China</t>
  </si>
  <si>
    <t>Hunan Normal University; University of Surrey; Wuzhou University; Jinan University</t>
  </si>
  <si>
    <t>Fang, CG (corresponding author), Wuzhou Univ, Sci Res Off, Wuzhou 543002, Peoples R China.;Ju, P (corresponding author), Jinan Univ, Shenzhen Tourism Coll, Shenzhen 518053, Peoples R China.</t>
  </si>
  <si>
    <t>ff2986@163.com; jupeng@sz.jnu.edu.cn</t>
  </si>
  <si>
    <t>wu, shaofeng/GZL-5418-2022</t>
  </si>
  <si>
    <t>LI, YANNING/0000-0002-0677-9997</t>
  </si>
  <si>
    <t>Natural Science Foundation of China Study Foundation of China; Natural Science Foundation of Hunan Province of China; Hunan Education Department Scientific Research Project; Humanities and Social Sciences Project of the Training Plan for 1000 Young and Middle-aged Key Teachers in Guangxi Universities; [42001165]; [2021JJ40351]; [19B336]; [2021QGRW061]</t>
  </si>
  <si>
    <t>Natural Science Foundation of China Study Foundation of China; Natural Science Foundation of Hunan Province of China(Natural Science Foundation of Hunan Province); Hunan Education Department Scientific Research Project; Humanities and Social Sciences Project of the Training Plan for 1000 Young and Middle-aged Key Teachers in Guangxi Universities; ; ; ;</t>
  </si>
  <si>
    <t>This research was funded by the Natural Science Foundation of China Study Foundation of China, grant number 42001165, Natural Science Foundation of Hunan Province of China, grant number 2021JJ40351, the Hunan Education Department Scientific Research Project, grant number 19B336, and the Humanities and Social Sciences Project of the Training Plan for 1000 Young and Middle-aged Key Teachers in Guangxi Universities (2021QGRW061).</t>
  </si>
  <si>
    <t>Adams J, 2022, ENERGY RES SOC SCI, V91, DOI 10.1016/j.erss.2022.102718; Alcock I, 2017, GLOBAL ENVIRON CHANG, V42, P136, DOI 10.1016/j.gloenvcha.2016.11.005; Alp E, 2008, ENVIRON EDUC RES, V14, P129, DOI 10.1080/13504620802051747; [Anonymous], 1985, RES SCI EDUC, DOI DOI 10.1007/BF02356527; BAIRD JC, 1981, J APPL PSYCHOL, V66, P90; Baker MA, 2014, CORNELL HOSP Q, V55, P89, DOI 10.1177/1938965513504483; Becken S, 2003, TOURISM MANAGE, V24, P267, DOI 10.1016/S0261-5177(02)00066-3; Becken S, 2002, TOURISM MANAGE, V23, P343, DOI 10.1016/S0261-5177(01)00091-7; Bialynicki-Birula P, 2022, ENERGIES, V15, DOI 10.3390/en15155368; Bodzin AM, 2013, INT J SCI EDUC, V35, P1561, DOI 10.1080/09500693.2013.769139; Butler L, 2008, RENEW ENERG, V33, P1854, DOI 10.1016/j.renene.2007.10.008; CHAIKEN S, 1980, J PERS SOC PSYCHOL, V39, P752, DOI 10.1037/0022-3514.39.5.752; Chen MF, 2010, ENVIRON BEHAV, V42, P824, DOI 10.1177/0013916509352833; Chen SJ, 2015, ENERG EFFIC, V8, P791, DOI 10.1007/s12053-015-9327-5; Cole V, 2002, MT RES DEV, V22, P132, DOI 10.1659/0276-4741(2002)022[0132:MTEFOA]2.0.CO;2; Cotton DRE, 2015, INT J SUST HIGHER ED, V16, P456, DOI 10.1108/IJSHE-12-2013-0166; Cowen L, 2017, J ENVIRON PSYCHOL, V54, P103, DOI 10.1016/j.jenvp.2017.10.002; de Vita G, 2015, ENVIRON SCI POLLUT R, V22, P16652, DOI 10.1007/s11356-015-4861-4; Devine-Wright P., 2007, GOVERNING TECHNOLOGY, P63, DOI DOI 10.4324/9781849771511; DeWaters J, 2013, J ENVIRON EDUC, V44, P38, DOI 10.1080/00958964.2012.711378; DeWaters JE, 2011, ENERG POLICY, V39, P1699, DOI 10.1016/j.enpol.2010.12.049; Edwards JA, 1996, ANN TOURISM RES, V23, P341, DOI 10.1016/0160-7383(95)00067-4; Ervin M, 2000, APPL ANTHROPOL, P142; Esparon M, 2014, J SUSTAIN TOUR, V22, P148, DOI 10.1080/09669582.2013.802325; Fedyk W, 2020, SUSTAINABILITY-BASEL, V12, DOI 10.3390/su12051783; Frantál B, 2017, CURR ISSUES TOUR, V20, P1395, DOI 10.1080/13683500.2014.987734; Frantál B, 2011, ANN TOURISM RES, V38, P499, DOI 10.1016/j.annals.2010.10.007; Fraser R, 2020, INT J HERIT STUD, V26, P178, DOI 10.1080/13527258.2019.1620830; Frew EA, 2008, ADV CULT TOUR HOSP R, V2, P27, DOI 10.1016/S1871-3173(08)02002-8; Frick J, 2004, PERS INDIV DIFFER, V37, P1597, DOI 10.1016/j.paid.2004.02.015; Gatersleben B, 2002, ENVIRON BEHAV, V34, P335, DOI 10.1177/0013916502034003004; Gössling S, 2013, ENERG POLICY, V59, P433, DOI 10.1016/j.enpol.2013.03.058; Han H, 2021, J SUSTAIN TOUR, V29, P1021, DOI 10.1080/09669582.2021.1903019; Horng JS, 2013, TOURISM MANAGE, V35, P255, DOI 10.1016/j.tourman.2012.08.001; Howell RA, 2018, CARBON MANAG, V9, P25, DOI 10.1080/17583004.2017.1409045; Hua HL, 2012, ENRGY PROCED, V17, P273, DOI 10.1016/j.egypro.2012.02.094; Hungerford H.R., 1990, J ENVIRON EDUC, V21, P8, DOI [DOI 10.1080/00958964.1990.10753743, 10.1080/00958964.1990.10753743]; Jaimangal-Jones D, 2014, INT J EVENT FESTIV M, V5, P39, DOI 10.1108/IJEFM-09-2012-0030; John U., 1990, TOURIST GAZE LEISURE; Johnson PC, 2014, ANN TOURISM RES, V44, P255, DOI 10.1016/j.annals.2013.10.006; Juvan E, 2014, ANN TOURISM RES, V48, P76, DOI 10.1016/j.annals.2014.05.012; Kelly J., 2007, Journal of Sustainable Tourism, V15, P67, DOI 10.2167/jost609.0; Kempton W., 1985, Families and the Energy Transition, P115, DOI DOI 10.1300/J002V09N01_07; Kollmuss A., 2002, ENVIRON EDUC RES, V8, P239, DOI [10.1080/13504620220145401, DOI 10.1080/13504620220145401]; Kozinets R.V., 2015, Netnography: Redefined; Kyriazi P., 2013, DEV INSTRUMENT MEASU, V17, P2015; Ladenburg J, 2013, ENERGY, V54, P45, DOI 10.1016/j.energy.2013.02.021; Lee LS, 2017, ENVIRON EDUC RES, V23, P855, DOI 10.1080/13504622.2015.1068276; Lee TH, 2013, TOURISM MANAGE, V36, P454, DOI 10.1016/j.tourman.2012.09.012; Li S., 2022, ENERGIES, V15, P69, DOI [10.3390/en16010069, DOI 10.3390/EN16010069]; Lilley MB, 2010, ENERGIES, V3, P1, DOI 10.3390/en3010001; Linden AL, 2006, ENERG POLICY, V34, P1918, DOI 10.1016/j.enpol.2005.01.015; Liu XF, 2005, J RES SCI TEACH, V42, P493, DOI 10.1002/tea.20060; Luo F, 2018, TOURISM MANAGE, V65, P1, DOI 10.1016/j.tourman.2017.09.012; Mbzibain A, 2013, BIOMASS BIOENERG, V49, P28, DOI 10.1016/j.biombioe.2012.11.028; Miles Matthew B., 2014, QUALITATIVE DATA ANA; Mogles N, 2018, USER MODEL USER-ADAP, V28, P1, DOI 10.1007/s11257-017-9199-9; Molnarova K, 2012, APPL ENERG, V92, P269, DOI 10.1016/j.apenergy.2011.11.001; Mou NX, 2022, TOURISM MANAGE, V88, DOI 10.1016/j.tourman.2021.104418; Nepal SK, 2008, TOURISM MANAGE, V29, P89, DOI 10.1016/j.tourman.2007.03.024; Otgaar A, 2012, TOUR MANAG PERSPECT, V4, P86, DOI 10.1016/j.tmp.2012.05.004; Patton MQ, 2002, QUALITATIVE RES EVAL; Poujade B, 2002, EUR J APPL PHYSIOL, V87, P1, DOI 10.1007/s00421-001-0564-2; Qin Q, 2022, TOURISM MANAGE, V92, DOI 10.1016/j.tourman.2022.104561; Qureshi MI, 2015, ENVIRON SCI POLLUT R, V22, P3467, DOI 10.1007/s11356-014-3584-2; Reid IR, 2009, CLIN REV BONE MINER, V7, P207, DOI 10.1007/s12018-009-9045-7; Remund DL, 2010, J CONSUM AFF, V44, P276, DOI 10.1111/j.1745-6606.2010.01169.x; Rioux L, 2011, ENVIRON EDUC RES, V17, P353, DOI 10.1080/13504622.2010.543949; Ritchie J., 1994, Qualitative data analysis for applied policy research, DOI DOI 10.4324/9780203413081_CHAPTER_9; Saenz-de-Miera O, 2014, TOURISM MANAGE, V40, P273, DOI 10.1016/j.tourman.2013.06.012; Teng CC, 2014, ASIA PAC J TOUR RES, V19, P451, DOI 10.1080/10941665.2013.764336; Tian B, 2023, TOURISM GEOGR, V25, P552, DOI 10.1080/14616688.2021.1938657; van den Broek KL, 2019, ENERGY RES SOC SCI, V57, DOI 10.1016/j.erss.2019.101256; van den Broek KL, 2019, ENERG POLICY, V129, P1297, DOI 10.1016/j.enpol.2019.03.033; van der Horst D, 2007, ENERG POLICY, V35, P2705, DOI 10.1016/j.enpol.2006.12.012; Westerberg V, 2013, TOURISM MANAGE, V34, P172, DOI 10.1016/j.tourman.2012.04.008; Wood G, 2003, ENERG BUILDINGS, V35, P821, DOI 10.1016/S0378-7788(02)00241-4; Wu JL, 2021, J TRAVEL RES, V60, P735, DOI 10.1177/0047287520910787; Wu Z., 2014, J GUANGXI U NATL PHI, V03, P54; Zhang J, 2017, CURR ISSUES TOUR, V20, P724, DOI 10.1080/13683500.2016.1178218; Zhang JK, 2020, ASIA PAC J TOUR RES, V25, P441, DOI 10.1080/10941665.2020.1741410</t>
  </si>
  <si>
    <t>10.3390/en16010259</t>
  </si>
  <si>
    <t>7Q3KT</t>
  </si>
  <si>
    <t>WOS:000909294500001</t>
  </si>
  <si>
    <t>Heck, N; Petersen, KL; Potts, DC; Haddad, B; Paytan, A</t>
  </si>
  <si>
    <t>Heck, Nadine; Petersen, Karen Lykkebo; Potts, Donald C.; Haddad, Brent; Paytan, Adina</t>
  </si>
  <si>
    <t>Predictors of coastal stakeholders' knowledge about seawater desalination impacts on marine ecosystems</t>
  </si>
  <si>
    <t>SCIENCE OF THE TOTAL ENVIRONMENT</t>
  </si>
  <si>
    <t>Ocean literacy; Seawater desalination; Marine protected area; Stakeholders</t>
  </si>
  <si>
    <t>ENVIRONMENTAL-IMPACT; OCEAN LITERACY; MANAGEMENT; PERCEPTIONS; AUSTRALIA; RESERVES; AREA</t>
  </si>
  <si>
    <t>This study investigates variables that shape coastal stakeholders' knowledge about marine ecosystems and impacts of seawater desalination. The influence of trans-situational and situation-specific variables on self-assessed and factual knowledge among coastal residents and commercial marine stakeholders. Data were collected using a questionnaire based survey administered to a random sample of coastal residents and commercial marine stakeholders in eight communities in central California. Knowledge of biological features was higher than knowledge of physical and chemical processes. Both trans-situational and situation-specific variables were significant predictors of knowledge, in particular gender, education, and ocean use patterns. TV and social media were the only information sources that correlated negatively with knowledge. Predictors for distinct types of knowledge were different and provide insights that could help target specific ocean literacy gaps. The study also finds that commercial marine stakeholders were more knowledgeable than other coastal residents. Having an economic stake in the marine environment appears to be a strong motivation to be more educated about the ocean. (C) 2018 Elsevier B.V. All rights reserved.</t>
  </si>
  <si>
    <t>[Heck, Nadine] Univ Calif Santa Cruz, Ocean Sci, 1156 High St, Santa Cruz, CA 95064 USA; [Paytan, Adina] Univ Calif Santa Cruz, Inst Marine Sci, 1156 High St, Santa Cruz, CA 95064 USA; [Petersen, Karen Lykkebo; Paytan, Adina] Univ Calif Santa Cruz, Dept Earth &amp; Planetary Sci, 1156 High St, Santa Cruz, CA 95064 USA; [Potts, Donald C.] Univ Calif Santa Cruz, Dept Ecol &amp; Evolutionary Biol, 1156 High St, Santa Cruz, CA 95064 USA; [Haddad, Brent] Univ Calif Santa Cruz, Environm Studies, 1156 High St, Santa Cruz, CA 95064 USA</t>
  </si>
  <si>
    <t>University of California System; University of California Santa Cruz; University of California System; University of California Santa Cruz; University of California System; University of California Santa Cruz; University of California System; University of California Santa Cruz; University of California System; University of California Santa Cruz</t>
  </si>
  <si>
    <t>Heck, N (corresponding author), Univ Calif Santa Cruz, Ocean Sci, 1156 High St, Santa Cruz, CA 95064 USA.</t>
  </si>
  <si>
    <t>nheck@ucsc.edu; kalpeter@ucsc.edu; potts@ucsc.edu; bhaddad@ucsc.edu; apaytan@ucsc.edu</t>
  </si>
  <si>
    <t>Heck, Nadine/0000-0003-4658-418X</t>
  </si>
  <si>
    <t>National Science Foundation Coastal SEES Program [1325649]; Division Of Ocean Sciences; Directorate For Geosciences [1325649] Funding Source: National Science Foundation</t>
  </si>
  <si>
    <t>National Science Foundation Coastal SEES Program(National Science Foundation (NSF)NSF - Directorate for Biological Sciences (BIO)); Division Of Ocean Sciences; Directorate For Geosciences(National Science Foundation (NSF)NSF - Directorate for Geosciences (GEO))</t>
  </si>
  <si>
    <t>The study was funded by the National Science Foundation Coastal SEES Program, award 1325649 to A.R., D.P., and B.H. We thank Brolin Mirza and Sarah Faraola for their help in the field.</t>
  </si>
  <si>
    <t>Abd el Wahab M, 2012, THALASSAS, V28, P27; Beldon R. S., 1999, COMMUNICATING OCEANS; Capstick SB, 2016, NAT CLIM CHANGE, V6, P763, DOI [10.1038/NCLIMATE3005, 10.1038/nclimate3005]; Cicin-Sain Biliana., 2000, FUTURE US OCEAN POLI; Compas E, 2007, MAR POLICY, V31, P691, DOI 10.1016/j.marpol.2007.03.001; Einav R, 2003, DESALINATION, V152, P141, DOI 10.1016/S0011-9164(02)01057-3; Fauville G, 2015, COMPUT EDUC, V82, P60, DOI 10.1016/j.compedu.2014.11.003; Fletcher S, 2009, MAR POLICY, V33, P370, DOI 10.1016/j.marpol.2008.08.004; Fung A, 2015, PUBLIC ADMIN REV, V75, P513, DOI 10.1111/puar.12361; Guest H, 2015, MAR POLICY, V58, P98, DOI 10.1016/j.marpol.2015.04.007; Guzman G, 2009, J KNOWL MANAG, V13, P86, DOI 10.1108/13673270910971851; Jefferson RL, 2014, MAR POLICY, V43, P327, DOI 10.1016/j.marpol.2013.07.004; Jones N, 2011, OCEAN COAST MANAGE, V54, P577, DOI 10.1016/j.ocecoaman.2011.05.001; Lattemann S, 2008, DESALINATION, V220, P1, DOI 10.1016/j.desal.2007.03.009; Lattemann S, 2009, GREEN ENERGY TECHNOL, P273, DOI 10.1007/978-3-642-01150-4_11; Levine M, 2015, J CHEM EDUC, V92, P1639, DOI 10.1021/ed500945g; Liu TK, 2013, DESALINATION, V326, P10, DOI 10.1016/j.desal.2013.07.003; LOVRICH NP, 1984, COMMUN RES, V11, P415, DOI 10.1177/009365084011003005; Fuentes-Bargues JL, 2014, DESALINATION, V347, P166, DOI 10.1016/j.desal.2014.05.032; Marre JB, 2016, J ENVIRON MANAGE, V173, P141, DOI 10.1016/j.jenvman.2016.01.025; National Ocean Council, 2013, NAT OC POL IMPL PLAN; NOAA, 2010, GUID DES PLANTS MONT; NOAA, 2017, MON BAY NAT MAR SANC; O'Bryhim JR, 2015, MAR POLICY, V56, P43, DOI 10.1016/j.marpol.2015.02.007; Perry EE, 2014, OCEAN COAST MANAGE, V95, P107, DOI 10.1016/j.ocecoaman.2014.04.011; Pierce J., 1992, CITIZENS POLITICAL C; Rogers AA, 2013, LAND ECON, V89, P346, DOI 10.3368/le.89.2.346; Steel B, 2005, COAST MANAGE, V33, P37, DOI 10.1080/08920750590883105; STEEL BS, 1990, SOC NATUR RESOUR, V3, P331, DOI 10.1080/08941929009380730; Steel BS, 2005, OCEAN COAST MANAGE, V48, P97, DOI 10.1016/j.ocecoaman.2005.01.002; Vanclay F, 2012, OCEAN COAST MANAGE, V68, P149, DOI 10.1016/j.ocecoaman.2012.05.016; Wiener C.S., 2015, Journal of Environmental Studies and Sciences, P1, DOI [10.1007/s13412-015-0272-6, DOI 10.1007/S13412-015-0272-6]; Xu JY, 2006, J ENVIRON MANAGE, V78, P362, DOI 10.1016/j.jenvman.2005.05.003</t>
  </si>
  <si>
    <t>PO BOX 211, 1000 AE AMSTERDAM, NETHERLANDS</t>
  </si>
  <si>
    <t>0048-9697</t>
  </si>
  <si>
    <t>1879-1026</t>
  </si>
  <si>
    <t>SCI TOTAL ENVIRON</t>
  </si>
  <si>
    <t>Sci. Total Environ.</t>
  </si>
  <si>
    <t>OCT 15</t>
  </si>
  <si>
    <t>10.1016/j.scitotenv.2018.05.163</t>
  </si>
  <si>
    <t>GL0UG</t>
  </si>
  <si>
    <t>Bronze, Green Accepted</t>
  </si>
  <si>
    <t>WOS:000436806200078</t>
  </si>
  <si>
    <t>Lowan-Trudeau, G; Fowler, TA</t>
  </si>
  <si>
    <t>Lowan-Trudeau, Gregory; Fowler, Teresa Anne</t>
  </si>
  <si>
    <t>Towards a theory of critical energy literacy: the Youth Strike for Climate, renewable energy and beyond</t>
  </si>
  <si>
    <t>AUSTRALIAN JOURNAL OF ENVIRONMENTAL EDUCATION</t>
  </si>
  <si>
    <t>CRITICAL PEDAGOGY; INDIGENOUS KNOWLEDGE; WIND ENERGY; EDUCATION; PLACE; SUSTAINABILITY; POLITICS; STEM</t>
  </si>
  <si>
    <t>The Youth Strike for Climate raised important global attention to interconnected climate, energy and environmental issues - it also compelled us to consider what we will do to address these pressing challenges. Developed through consideration of such dynamics, we propose critical energy literacy as an emerging theory that denotes understanding of the social, environmental, political and economic challenges, benefits and impacts of various energy sources, developments and technologies. Critical energy literacy is grounded in critical and decolonising approaches to STEM education; considerations for collaborative multi-, inter- and Trans disciplinary pedagogy; critical place-based inquiry and pedagogy; critical gender perspectives and critical media literacy and engagement. Enhancing societal critical energy literacy will assist with more equitable energy, transit, construction and environmental planning by and for communities, businesses and governments. In this theory-building commentary, we share insights related to and principles for our emerging theory of critical energy literacy which coalesced through personal experience with and previous studies into related initiatives and areas of inquiry, and recent reviews of literature as well as K-12, post-secondary and not-for-profit curricula in Canada with consideration for international contexts. A discussion of renewable energy development and education focused on the Canadian province of Alberta is presented as an illuminating exemplar.</t>
  </si>
  <si>
    <t>[Lowan-Trudeau, Gregory] Univ Calgary, Werklund Sch Educ, Calgary, AB, Canada; [Fowler, Teresa Anne] Concordia Univ Edmonton, Fac Educ, Dept Phys Educ &amp; Wellness, Edmonton, AB, Canada</t>
  </si>
  <si>
    <t>University of Calgary</t>
  </si>
  <si>
    <t>Lowan-Trudeau, G (corresponding author), Univ Calgary, Werklund Sch Educ, Calgary, AB, Canada.</t>
  </si>
  <si>
    <t>gelowan@ucalgary.ca</t>
  </si>
  <si>
    <t>Fowler, Teresa/AAD-6109-2022</t>
  </si>
  <si>
    <t>Social Sciences and Humanities Research Council (SSHRC) of Canada Insight Grant [435-2019-0238]</t>
  </si>
  <si>
    <t>Social Sciences and Humanities Research Council (SSHRC) of Canada Insight Grant(Social Sciences and Humanities Research Council of Canada (SSHRC))</t>
  </si>
  <si>
    <t>This work was supported by a Social Sciences and Humanities Research Council (SSHRC) of Canada Insight Grant (#435-2019-0238).</t>
  </si>
  <si>
    <t>Agyeman J, 2008, CONTINUUM-J MEDIA CU, V22, P751, DOI 10.1080/10304310802452487; Aikenhead GS, 2007, CULT STUD SCI EDUCAT, V2, P539, DOI 10.1007/s11422-007-9067-8; Alberta Education, 2018, TEACH QUAL STAND; Anfara V.A., 2006, Theoretical frameworks in qualitative research; [Anonymous], 2009, CBC NEWS; [Anonymous], 2020, CBC News; Association of Canadian Deans of Education, 2010, ACC IND ED; Awasis Sakihitowin., 2014, A Line in the Tar Sands: Struggles for Environmental Justice, P253; Bang M, 2010, SCI EDUC, V94, P1008, DOI 10.1002/sce.20392; Bargh M, 2010, Australas. Can. Stud., V28, P1; Bargh M, 2012, J ENTERP COMMUNITIES, V6, P271, DOI 10.1108/17506201211258423; Barnhardt R, 2005, ANTHROPOL EDUC QUART, V36, P8, DOI 10.1525/aeq.2005.36.1.008; Bernstein JH, 2015, J RES PRACT, V11; Bowers CA, 2008, ENVIRON EDUC RES, V14, P325, DOI 10.1080/13504620802156470; Brady MJ, 2012, LOCAL ENVIRON, V17, P147, DOI 10.1080/13549839.2011.646966; Breunig M, 2020, ENVIRON EDUC RES, V26, P701, DOI 10.1080/13504622.2020.1749236; Bullock EC, 2017, EDUC STUD-AESA, V53, P628, DOI 10.1080/00131946.2017.1369082; Carrington K, 2010, BRIT J CRIMINOL, V50, P393, DOI 10.1093/bjc/azq003; Choi BCK, 2006, CLIN INVEST MED, V29, P351; de Freitas E, 2017, EDUC STUD-AESA, V53, P551, DOI 10.1080/00131946.2017.1384730; Delgado E, 2016, J GEOGR HIGHER EDUC, V40, P39, DOI 10.1080/03098265.2015.1089475; DeWaters JE, 2011, ENERG POLICY, V39, P1699, DOI 10.1016/j.enpol.2010.12.049; Eisner ElliotW., 2002, The educational imagination: On the design and evaluation of school programs, V3rd; Gough A, 2020, ENVIRON EDUC RES, V26, P1420, DOI 10.1080/13504622.2020.1727858; Government of Alberta, 2018, ALB IND GREEN EN PRO; Government of Alberta, 2016, SOL PAN BE FEAT ALB; Government of Canada, 2015, ECOENERGY AB NO COMM; Greenwood DA, 2008, ENVIRON EDUC RES, V14, P336, DOI 10.1080/13504620802190743; Grieco M, 2015, RES TRANSP ECON, V51, P3, DOI 10.1016/j.retrec.2015.07.002; Gruenewald DA, 2008, ENVIRON EDUC RES, V14, P308, DOI 10.1080/13504620802193572; Henderson C., 2013, ABORIGINAL POWER CLE; Henderson M., 2014, SUSTAINABLE WELL BEI, P95; Hodges HE, 2016, ENVIRON POLIT, V25, P223, DOI 10.1080/09644016.2015.1105177; Hoicka CE, 2018, ENERG POLICY, V121, P162, DOI 10.1016/j.enpol.2018.06.002; Independent Energy System Operator, 2018, INDIGENOUS COMMUNITI; Jaffar A., 2015, THESIS U GUELPH CANA; Jennings P, 2001, RENEW ENERG, V22, P113, DOI 10.1016/S0960-1481(00)00028-8; Jennings P, 2009, RENEW ENERG, V34, P435, DOI 10.1016/j.renene.2008.05.005; Jickling B., 2003, J ENVIRON EDUC, V34, P20, DOI [10.1080/00958960309603496, DOI 10.1080/00958960309603496, https://doi.org/10.1080/00958960309603496]; Kandpal TC, 2014, RENEW SUST ENERG REV, V34, P300, DOI 10.1016/j.rser.2014.02.039; Kaplan Sarah., 2019, WASH POST; Katz-Rosene RM, 2017, ENVIRON COMMUN, V11, P401, DOI 10.1080/17524032.2016.1253597; Kellner D., 2007, Media literacy: A reader, P3; Kimmett C., 2009, THE TYEE CA 0724; Kralovic P., 2006, The Role of Renewable Energy in Alberta's Energy Future; Krupa J, 2015, LOCAL ENVIRON, V20, P81, DOI 10.1080/13549839.2013.818956; Laboucan Massimo M., 2017, DOWNSTREAM REIMAGINI, P81; LaDuke Winona., 2014, A Line in the Tar Sands: Struggles for Environmental Justice, P229; Liarakou G, 2009, J SCI EDUC TECHNOL, V18, P120, DOI 10.1007/s10956-008-9137-z; Lipp J., 2016, Accelerating Renewable Energy Co-operatives in Canada: A Review of Experiences and Lessons; Lowan-Trudeau G., J CANADIAN ASS CURRI; Lowan-Trudeau G., 2019, PROTEST PEDAGOGY TEA; Lowan-Trudeau G., 2015, From Bricolage to Metissage: Rethinking Intercultural Approaches to Indigenous Environmental Education and Research; Lowan-Trudeau G, 2020, J ENVIRON EDUC, V52, P83, DOI 10.1080/00958964.2020.1852525; Lowan-Trudeau G, 2017, EDUC STUD-AESA, V53, P601, DOI 10.1080/00131946.2017.1369084; Lucchesi AH, 2019, GENDER PLACE CULT, V26, P868, DOI 10.1080/0966369X.2018.1553864; Maina-Okori NM, 2018, J ENVIRON EDUC, V49, P286, DOI 10.1080/00958964.2017.1364215; Martins A, 2020, ENERGY REP, V6, P454, DOI 10.1016/j.egyr.2019.09.007; Max C., 2018, THE WETASKIWIN TIMES; McGarvey D., 2017, CBC NEWS; Milstein T., 2017, ENV COMMUNICATION PE; Newell P, 2013, GEOGR J, V179, P132, DOI 10.1111/geoj.12008; Niblett B., 2008, PATHWAYS ONTARIO J O, V20, P4; Ozog S., 2012, THESIS U NO BRIT COL; Pearl-Martinez Rebecca., 2016, Sustainability: Science, Practice and Policy, V12, P8, DOI DOI 10.1080/15487733.2016.11908149; Pellow DavidNaguib., 2017, WHAT IS CRITICAL ENV; Province of British Columbia, 2015, 1 NAT CLEAN EN BUS F; Reid C., 2017, EXPERIENCE RES SOCIA, V3rd; Richards G, 2012, ENERG POLICY, V42, P691, DOI 10.1016/j.enpol.2011.12.049; Robertson L., 2016, LITERACY INFORM COMP, V7, P2247; Scully A., 2012, Canadian Journal of Environmental Education, V17, P148; Stevenson RB, 2008, ENVIRON EDUC RES, V14, P353, DOI 10.1080/13504620802190727; Stokes LC, 2013, ENERG POLICY, V56, P490, DOI 10.1016/j.enpol.2013.01.009; Takahashi B., 2018, ENV COMMUNICATION MI; Taylor Dorceta E., 2014, The State of Diversity in Environmental Organizations; Truth and Reconciliation Canada, 2015, HON TRUTH REC FUT SU; Tuck E, 2015, QUAL INQ, V21, P633, DOI 10.1177/1077800414563809; U.S. Department of Energy, 2017, EN LIT FRAM; van der Horst D, 2007, ENERG POLICY, V35, P2705, DOI 10.1016/j.enpol.2006.12.012; Verlie B, 2021, AUST J ENVIRON EDUC, V37, P132, DOI 10.1017/aee.2020.34; Walker C, 2018, CAN GEOGR-GEOGR CAN, V62, P282, DOI 10.1111/cag.12453; Weber BA, 2014, SOC WORK, V59, P62, DOI 10.1093/sw/swt068; Welsch W., 1999, Spaces of culture: City, nation, world, P194, DOI [10.4135/9781446218723.n11, DOI 10.4135/9781446218723.N11]; Wilt J., 2018, THE NARWHAL</t>
  </si>
  <si>
    <t>0814-0626</t>
  </si>
  <si>
    <t>2049-775X</t>
  </si>
  <si>
    <t>AUST J ENVIRON EDUC</t>
  </si>
  <si>
    <t>Austr. J. Environ. Educ.</t>
  </si>
  <si>
    <t>10.1017/aee.2021.15</t>
  </si>
  <si>
    <t>ZZ6UI</t>
  </si>
  <si>
    <t>WOS:000725359500001</t>
  </si>
  <si>
    <t>Bodzin, AM; Fu, Q; Peffer, TE; Kulo, V</t>
  </si>
  <si>
    <t>Bodzin, Alec M.; Fu, Qiong; Peffer, Tamara E.; Kulo, Violet</t>
  </si>
  <si>
    <t>Developing Energy Literacy in US Middle-Level Students Using the Geospatial Curriculum Approach</t>
  </si>
  <si>
    <t>Geospatial technologies; Energy literacy; GIS; Science curriculum</t>
  </si>
  <si>
    <t>GEOGRAPHIC INFORMATION-SYSTEMS; INQUIRY-BASED SCIENCE; DESIGN; GIS; IMPLEMENTATION; TECHNOLOGIES; KNOWLEDGE; ATTITUDES; IDEAS</t>
  </si>
  <si>
    <t>This quantitative study examined the effectiveness of a geospatial curriculum approach to promote energy literacy in an urban school district and examined factors that may account for energy content knowledge achievement. An energy literacy measure was administered to 1,044 eighth-grade students (ages 13-15) in an urban school district in Pennsylvania, USA. One group of students received instruction with a geospatial curriculum approach (geospatial technologies (GT)) and another group of students received business as usual' (BAU) curriculum instruction. For the GT students, findings revealed statistically significant gains from pretest to posttest (p&lt;0.001) on knowledge of energy resource acquisition, energy generation, storage and transport, and energy consumption and conservation. The GT students had year-end energy content knowledge scores significantly higher than those who learned with the BAU curriculum (p&lt;0.001; effect size being large). A multiple regression found that prior energy content knowledge was the only significant predictor to the year-end energy content knowledge achievement for the GT students (p&lt;0.001). The findings support that the implementation of a geospatial curriculum approach that employs learning activities that focus on the spatial nature of energy resources can improve the energy literacy of urban middle-level education students.</t>
  </si>
  <si>
    <t>[Bodzin, Alec M.; Fu, Qiong; Peffer, Tamara E.] Lehigh Univ, Dept Educ &amp; Human Serv, Bethlehem, PA 18015 USA; [Kulo, Violet] Johns Hopkins Univ, Sch Med, Baltimore, MD USA</t>
  </si>
  <si>
    <t>Lehigh University; Johns Hopkins University</t>
  </si>
  <si>
    <t>Bodzin, AM (corresponding author), Lehigh Univ, Dept Educ &amp; Human Serv, A113 Iacocca Hall,111 Res Dr, Bethlehem, PA 18015 USA.</t>
  </si>
  <si>
    <t>amb4@lehigh.edu</t>
  </si>
  <si>
    <t>Kulo, Violet/IYJ-4464-2023</t>
  </si>
  <si>
    <t>Kulo, Violet/0000-0002-5386-9549</t>
  </si>
  <si>
    <t>American Association for the Advancement of Science Project 2061, 2007, COMM LEARN GLOB CLIM; Anderson L. W., 2001, TAXONOMY LEARNING TE; [Anonymous], SCH SCI MATH; [Anonymous], ATL SCI LIT; [Anonymous], NATL SURVEY ENV KNOW; [Anonymous], 2012, FRAM K 12 SCI ED PRA; [Anonymous], 2011, THESIS ISLAMIC AZAD; [Anonymous], THESIS U TOLEDO TOLE; [Anonymous], 2003, THESIS; [Anonymous], 1979, SCI ED, DOI DOI 10.1002/SCE.3730630506; [Anonymous], GEOGRAPHICAL INFORM; [Anonymous], 2012, EN LIT ESS PRINC FUN; [Anonymous], 38 ASEE IEEE FRONT E; [Anonymous], 1996, NAT SCI ED STAND; Arcury T.A., 1987, Journal of Environmental Education, V18, P31, DOI DOI 10.1080/00958964.1987.9942746; Australian Curriculum Assessment and Reporting Authority, 2012, AUSTR CURR; Baker TR, 2003, J GEOGR, V102, P243, DOI 10.1080/00221340308978556; Baker TR, 2003, J GEOGR, V102, P231, DOI 10.1080/00221340308978554; Barnett M., 2008, INT C LEARN SCI UTRE; Barnett M., INT HDB RES ENV ED R; Barrow L., 1989, Journal of Environmental Education, V20, P22, DOI [10.1080/00958964.1989.9943027, DOI 10.1080/00958964.1989.9943027]; Barrow L.H., 1987, The Journal of Environmental Education, V18, P15; Bednarz S.W., 2004, GEOJOURNAL, V60, P191; Bednarz SW, 2003, J GEOGR, V102, P99, DOI 10.1080/00221340308978531; Blum A., 1987, J ENVIRON EDUC, V18, P7, DOI [10.1080/00958964.1987.9942734, DOI 10.1080/00958964.1987.9942734]; Bodzin Alec, 2012, Journal of Technology and Teacher Education, V20, P361; Bodzin A M., Teaching Science and Investigating Environmental Issues with Geospatial Technology: Designing Effective Professional Development for Teachers; Bodzin A.M., 2006, J GEOSCIENCE ED, V54, P295, DOI DOI 10.5408/1089-9995-54.3.295; Bodzin A, 2012, INT J SCI EDUC, V34, P1255, DOI 10.1080/09500693.2012.661483; Bodzin AM, 2011, J RES SCI TEACH, V48, P281, DOI 10.1002/tea.20409; Bodzin AM, 2008, J ENVIRON EDUC, V39, P47, DOI 10.3200/JOEE.39.2.47-58; Bodzin AM, 2009, J GEOGR, V108, P186, DOI 10.1080/00221340903344920; Bogner F.X., 1996, Environmentalist, V16, P95, DOI [DOI 10.1007/BF01325101, 10.1007/BF01325101]; BOYES E, 1990, INT J SCI EDUC, V12, P513, DOI 10.1080/0950069900120505; Chen CM, 2012, INTERNATIONAL PERSPECTIVES ON TEACHING AND LEARNING WITH GIS IN SECONDARY SCHOOLS, P263, DOI 10.1007/978-94-007-2120-3_29; Cohen J., 2013, STAT POWER ANAL BEHA; Davis E.A., 2005, ED RES, V34, P3, DOI [10.3102/0013189X0340030, DOI 10.3102/0013189X0340030, 10.3102/0013189X034003003]; Demirci A, 2012, INTERNATIONAL PERSPECTIVES ON TEACHING AND LEARNING WITH GIS IN SECONDARY SCHOOLS, P271, DOI 10.1007/978-94-007-2120-3_30; Devine-Wright P., 2004, ENVIRON EDUC RES, V10, P493, DOI DOI 10.1080/1350462042000291029; DeWaters JE, 2011, ENERG POLICY, V39, P1699, DOI 10.1016/j.enpol.2010.12.049; Disinger J.F., 1992, Environmental Literacy; Dong PL, 2012, INTERNATIONAL PERSPECTIVES ON TEACHING AND LEARNING WITH GIS IN SECONDARY SCHOOLS, P59, DOI 10.1007/978-94-007-2120-3_6; DRISCOLL MP, 1994, CONTEMP EDUC PSYCHOL, V19, P79, DOI 10.1006/ceps.1994.1008; Ebenezer J, 2011, J RES SCI TEACH, V48, P94, DOI 10.1002/tea.20387; Edelson D. C., 2006, DESIGNING GIS SOFTWA; Edelson DC, 2001, J RES SCI TEACH, V38, P355, DOI 10.1002/1098-2736(200103)38:3&lt;355::AID-TEA1010&gt;3.0.CO;2-M; Eksteen S., 2012, INT PERSPECTIVES TEA, P299; Fargher M, 2012, INTERNATIONAL PERSPECTIVES ON TEACHING AND LEARNING WITH GIS IN SECONDARY SCHOOLS, P299, DOI 10.1007/978-94-007-2120-3_33; Farhar B.C., 1996, ENERGY ENV PUBLIC VI; Field A., 2000, Discovering Statistics Using IBM SPSS Statistics, DOI DOI 10.1016/B978-012691360-6/50012-4; Fortus D, 2004, J RES SCI TEACH, V41, P1081, DOI 10.1002/tea.20040; Fortus D., 2012, Second International Handbook of Science Education, P783, DOI [10.1007/978-1-4020-9041-7_52, DOI 10.1007/978-1-4020-9041-7_52]; Gambro J.S., 1999, J ENVIRON EDUC, V30, P15, DOI DOI 10.1080/00958969909601866; GAMBRO JS, 1996, J ENVIRON EDUC, V0027; GARNER R, 1992, EDUC PSYCHOL, V27, P53, DOI 10.1207/s15326985ep2701_5; Geier R, 2008, J RES SCI TEACH, V45, P922, DOI 10.1002/tea.20248; Hall-Wallace M., 2002, J GEOSCIENCE ED, V50, P5, DOI [DOI 10.5408/1089-9995-50.1.5, 10.5408/1089-9995-50.1.5]; Hines J.M., 1987, J ENVIRON EDUC, V18, P1, DOI [DOI 10.1080/00958964.1987.9943482, 10.1080/00958964.1987.9943482]; HOLDEN CC, 1984, J RES SCI TEACH, V21, P187, DOI 10.1002/tea.3660210209; Hungerford H.R., 1990, J ENVIRON EDUC, V21, P8, DOI [DOI 10.1080/00958964.1990.10753743, 10.1080/00958964.1990.10753743]; International Association for the Evaluation of Educational Achievement, 2007, TIMSS 2007 SCI IT RE; International Association for the Evaluation of Educational Achievement, 1999, TIMSS 1999 SCI IT RE; International Association for the Evaluation of Educational Achievement, 1995, TIMSS 1995 SCI IT RE; International Association for the Evaluation of Educational Achievement, 2003, TIMSS 2003 SCI IT RE; International Baccalaureate, 2008, DIPL PROGR ENV SYST; Johansson TP, 2012, INTERNATIONAL PERSPECTIVES ON TEACHING AND LEARNING WITH GIS IN SECONDARY SCHOOLS, P89, DOI 10.1007/978-94-007-2120-3_10; Kaiser FG, 1999, J ENVIRON PSYCHOL, V19, P1, DOI 10.1006/jevp.1998.0107; Kaiser WardL., 2001, Seeing Through Maps: The Power of Images to Shape our World View; Keiper TA, 1999, J GEOGR, V98, P47, DOI 10.1080/00221349908978860; Kerski JJ, 2003, J GEOGR, V102, P128, DOI 10.1080/00221340308978534; Kerski JJ, 2012, INTERNATIONAL PERSPECTIVES ON TEACHING AND LEARNING WITH GIS IN SECONDARY SCHOOLS, P315, DOI 10.1007/978-94-007-2120-3_35; Kerski JJ, 2008, BLACKW COMPANION GEO, P540; Kesidou S, 2002, J RES SCI TEACH, V39, P522, DOI 10.1002/tea.10035; Krajcik J, 2008, SCI EDUC, V92, P1, DOI 10.1002/sce.20240; KUHN DJ, 1980, J ENVIRON EDUC, V11, P25, DOI 10.1080/00958964.1980.9941387; Kulo V, 2013, J SCI EDUC TECHNOL, V22, P25, DOI 10.1007/s10956-012-9373-0; Lee O, 2005, AM EDUC RES J, V42, P411, DOI 10.3102/00028312042003411; Liu OL, 2008, EDUC ASSESS, V13, P33, DOI 10.1080/10627190801968224; MacEachren A.M., 1995, MAPS WORK REPRESENTA; MALONEY MP, 1975, AM PSYCHOL, V30, P787, DOI 10.1037/h0084394; Marx RW, 2004, J RES SCI TEACH, V41, P1063, DOI 10.1002/tea.20039; Meyer JW, 1999, PROF GEOGR, V51, P571, DOI 10.1111/0033-0124.00194; Milson AJ, 2012, INTERNATIONAL PERSPECTIVES ON TEACHING AND LEARNING WITH GIS IN SECONDARY SCHOOLS, P1, DOI 10.1007/978-94-007-2120-3; National Environmental Education and Training Foundation, 2002, AM LOW EN IQ RISK OU; National Research Council, 2006, LEARN THIN SPAT GIS; Nunnally J.C., 1967, PSYCHOMETRIC THEORY, DOI DOI 10.1037/018882; Ontario Ministry of Education, 2012, ONT CURR; Patterson MW, 2003, J GEOGR, V102, P275, DOI 10.1080/00221340308978559; Prentice Hall Science Explorer, 2005, MOT FORC EN TEACH ED; Rod JK, 2012, INTERNATIONAL PERSPECTIVES ON TEACHING AND LEARNING WITH GIS IN SECONDARY SCHOOLS, P191, DOI 10.1007/978-94-007-2120-3_21; Roseman J.E., 2008, Designing coherent science education. Implications for curriculum, instruction, P13; Rule A., 2005, Journal of Geoscience Education, V53, P309, DOI DOI 10.5408/1089-9995-53.3.309; Shwartz Y, 2008, ELEM SCHOOL J, V109, P199, DOI 10.1086/590526; Sinton D.S., 2007, Understanding place: GIS mapping across the curriculum; Stern L, 2004, J RES SCI TEACH, V41, P538, DOI 10.1002/tea.20019; STUBBS M, 1985, EDUC STUD, V11, P133, DOI 10.1080/0305569850110205; Tiwari C, 2012, INTERNATIONAL PERSPECTIVES ON TEACHING AND LEARNING WITH GIS IN SECONDARY SCHOOLS, P131, DOI 10.1007/978-94-007-2120-3_15; Venezky Richard., 1992, Handbook of Research on Curriculum, P436</t>
  </si>
  <si>
    <t>10.1080/09500693.2013.769139</t>
  </si>
  <si>
    <t>169CB</t>
  </si>
  <si>
    <t>WOS:000320753400006</t>
  </si>
  <si>
    <t>Costa, S; Caldeira, R</t>
  </si>
  <si>
    <t>Costa, Sonia; Caldeira, Rui</t>
  </si>
  <si>
    <t>Bibliometric analysis of ocean literacy: An underrated term in the scientific literature</t>
  </si>
  <si>
    <t>Ocean literacy; Review; Bibliometric analyses; Educational; Public; Knowledge</t>
  </si>
  <si>
    <t>Since the term ocean literacy (OL) was proposed in 2004 by a group of professionals dedicated to ocean sciences, marine education, and general education policies, its principles have spread worldwide. In order to better understand OL-related research a bibliometric analysis was performed with data from databases obtained from Scopus and Web of Science (WoS). Fifty-two publications matched the search criteria (articles and conference papers with OL as part of title, keywords and/or abstract). Analysed parameters included the document types, publishing outlets, authors, countries, institutes, author keywords and title words. The term OL in scientific publications has been quantitatively dominated by the United States of America (USA), followed by the United Kingdom (UK) and Canada. The UK and Italy were the countries with the most international collaborative publications on this theme. In addition, the UK was the country that established the most international collaborations. National Oceanic and Atmospheric Administration (NOAA) was the most productive institution and the Proceedings of the MTS/IEEE OCEANS 2005 was the publishing outlet containing the most publications. The analysis has also revealed the intrinsic link between science and OL, the use of questionnaires to evaluate the level of citizens' knowledge, values and awareness about marine issues, and the emphasis placed on educational approaches to improve OL.</t>
  </si>
  <si>
    <t>[Costa, Sonia; Caldeira, Rui] OOM, ARDITI, Edificio Madeira Tecnopolo, P-9020105 Funchal, Madeira, Portugal; [Costa, Sonia; Caldeira, Rui] Univ Porto, CIIMAR Interdisciplinary Ctr Marine &amp; Environm Re, Res Grp Ecotoxicol Stress Ecol &amp; Environm Hlth, Av Gen Norton Matos S-N, P-4450208 Matosinhos, Portugal; [Costa, Sonia; Caldeira, Rui] CIIMAR Madeira Ctr Interdisciplinar Invest Marinh, Edificio Madeira Tecnopolo, P-9020105 Funchal, Madeira, Portugal</t>
  </si>
  <si>
    <t>Costa, S (corresponding author), OOM, ARDITI, Edificio Madeira Tecnopolo, P-9020105 Funchal, Madeira, Portugal.</t>
  </si>
  <si>
    <t>sonia.costa@oom.arditi.pt</t>
  </si>
  <si>
    <t>Caldeira, Rui M. A./J-9829-2013; Costa, Sónia/AAE-5082-2019</t>
  </si>
  <si>
    <t>Caldeira, Rui M. A./0000-0001-8805-3016; Costa, Sónia/0000-0001-7629-1877</t>
  </si>
  <si>
    <t>Oceanic Observatory of Madeira Project under Madeira's Regional Operational Programme [M1420-01-0145-FEDER-000001, 14-20]; Portugal 2020 a; European Union, through the European Regional Development Fund (ERDF)</t>
  </si>
  <si>
    <t>Oceanic Observatory of Madeira Project under Madeira's Regional Operational Programme; Portugal 2020 a; European Union, through the European Regional Development Fund (ERDF)(European Union (EU))</t>
  </si>
  <si>
    <t>Sonia Costa and Rui Caldeira were financially supported by the Oceanic Observatory of Madeira Project (M1420-01-0145-FEDER-000001-Observatorio Oceanico da Madeira-OOM), under Madeira's Regional Operational Programme (Madeira 14-20), Portugal 2020 and European Union, through the European Regional Development Fund (ERDF).</t>
  </si>
  <si>
    <t>Agarwal A, 2016, ASIAN J ANDROL, V18, P296, DOI 10.4103/1008-682X.171582; [Anonymous], CASE REPORT MED, DOI DOI 10.1155/2013/641851; [Anonymous], 2010, NMEA Special Report #3: The Ocean Literacy Campaign; [Anonymous], NOAAS ED PROGR REV C; Batagelj V., 1999, PAJEK PROGRAM LARGE, P1; Beierle T.C. Cayford., 2002, Democracy in Practice: Public Participation in Environmental Decisions; Boubonari T, 2013, J ENVIRON EDUC, V44, P232, DOI 10.1080/00958964.2013.785381; Cava F., 2005, Science Content and Standards for Ocean Literacy: A Report on Ocean Literacy, P1; Collins J.A., 2005, STAYING LAW, P1; De Bakker Frank., 2005, Business Society, V44, P283, DOI [10.1177/0007650305278086, DOI 10.1177/0007650305278086]; Eidietis L., 2011, Journal of Geoscience Education, V56, P242, DOI DOI 10.5408/1.3651406; European Comission, OC LIT ENG SOC SOC I; Foley J.M., 2013, Journal of Geoscience Education, V61, P256; French V., REV OCEAN LITERACY E; Geochefan-Quinn M., 2013, GALWAY STATEMENT ATL; Guest H, 2015, MAR POLICY, V58, P98, DOI 10.1016/j.marpol.2015.04.007; Hawkins JP, 2016, MAR POLLUT BULL, V111, P231, DOI 10.1016/j.marpolbul.2016.07.003; Heck N, 2016, MAR POLICY, V68, P178, DOI 10.1016/j.marpol.2016.03.004; Hoeberechts M, 2015, OCEANS-IEEE; Hynes S, 2014, MAR POLICY, V47, P57, DOI 10.1016/j.marpol.2014.02.002; Jefferson R, 2015, OCEAN COAST MANAGE, V115, P61, DOI 10.1016/j.ocecoaman.2015.06.014; Keener P, 2011, OCEANS 2011; Koseoglu MA, 2016, ANN TOURISM RES, V61, P180, DOI 10.1016/j.annals.2016.10.006; Lee CISG, 2014, J VOCAT BEHAV, V85, P339, DOI 10.1016/j.jvb.2014.08.008; Martin C. F., 2005, Proceedings of the 36th ISCIE International Symposium on Stochastic Systems Theory and its Applications, P1, DOI 10.1109/OCEANS.2005.1639869; Martin M.J., 2005, OCEANS 2005 P MTS IE, P1; McKinley E, 2010, OCEAN COAST MANAGE, V53, P379, DOI 10.1016/j.ocecoaman.2010.04.012; Mogias A, 2015, J ENVIRON EDUC, V46, P251, DOI 10.1080/00958964.2015.1050955; Noyons ECM, 1999, J AM SOC INFORM SCI, V50, P115, DOI 10.1002/(SICI)1097-4571(1999)50:2&lt;115::AID-ASI3&gt;3.3.CO;2-A; Ocean Literacy Framework, 2013, OC LIT ESS PRINC FUN; Perry EE, 2014, OCEAN COAST MANAGE, V95, P107, DOI 10.1016/j.ocecoaman.2014.04.011; Persson O., 1999, CELEBRATING SCHOLARL, P9; Schoedinger S., 2005, OCT 2004 WORKSH OC L, P1; Schoedinger S., 2010, NMEA Special Report, V3, P3; Schubel J.R., 2008, OCEANS 2008, V2008; Steel BS, 2005, OCEAN COAST MANAGE, V48, P97, DOI 10.1016/j.ocecoaman.2005.01.002; Strang C., 2007, CURRENT J MARINE ED, V23, P7, DOI DOI 10.5281/ZENODO.30563; Sun JS, 2012, MAR POLLUT BULL, V64, P13, DOI 10.1016/j.marpolbul.2011.10.034; Thompson J, 2016, SCI ACT, V53, P49, DOI 10.1080/00368121.2015.1135863; Tuddenham P., 2014, VISION STATEMENT OCE, P2; Umuhire ML, 2016, MAR POLLUT BULL, V102, P289, DOI 10.1016/j.marpolbul.2015.07.067; Uyarra MC, 2016, MAR POLLUT BULL, V104, P1, DOI 10.1016/j.marpolbul.2016.02.060; Vickers A. J., 1998, Complementary Therapies in Medicine, V6, P185, DOI 10.1016/S0965-2299(98)80026-5; Vinagre C, 2009, ESTUAR COAST SHELF S, V85, P479, DOI 10.1016/j.ecss.2009.09.013; Zhang WW, 2009, SCIENTOMETRICS, V80, P305, DOI 10.1007/s11192-007-1863-0</t>
  </si>
  <si>
    <t>10.1016/j.marpol.2017.10.022</t>
  </si>
  <si>
    <t>FR9SA</t>
  </si>
  <si>
    <t>WOS:000419412200018</t>
  </si>
  <si>
    <t>Ocean literacy in Brazilian formal education: A tool for participative coastal management</t>
  </si>
  <si>
    <t>teaching; marine education; curriculum; governance; content analysis; Rio de Janeiro</t>
  </si>
  <si>
    <t>HIGH-SCHOOL-STUDENTS; GOVERNANCE; SUSTAINABILITY; CHALLENGES; AWARENESS; SCIENCES</t>
  </si>
  <si>
    <t>Ocean literacy (OL) proposes to include ocean and marine environment-related content in school curricula. Such a topic has been deemed effective for citizens to develop actions and attitudes towards the health of marine ecosystems. This study aimed to verify the presence and frequency of OL principles and concepts in the Brazilian high school curriculum at the federal (National Curricular Parameters-PCN) and regional (Rio de Janeiro - Curricular Reference-RC) levels. Both PCN and RC contained OL-related content. Moreover, Biology and Geography were the subjects with the highest numbers of OL concepts, both in the PCN (26 and 27, respectively) and in the RC-RJ documents (28 and 24, respectively), while OL concepts were very little represented in History subject. A Mann-Whitney U-test did not indicate statistically significant differences in the number of concepts between PCN and RC-RJ (p = 0.54). A principal component analysis discriminated the documents according to subjects, regardless of their origin (federal or regional). These results provide an unbiased assessment of the relationship between the curriculum and OL in a strongly affected area (Rio de Janeiro State coastal zone [CZ]). Therefore, these results provide valuable support for managers seeking to promote effective CZ management practices and public compliance.</t>
  </si>
  <si>
    <t>Project PDPA-UFF-PMN (TERMO DE CONVENIO) [002/2021]; Educacao Patrimonial, Cultura Oceanica e Cidadania: Usando Bens Naturais e Culturais como Recursos Educacionais na Construcao da Niteroi Que Queremos [DO 18-05-2021-TERMO DE CONVENIO, 002-2021/PT-UFF 61, FEC 4447]</t>
  </si>
  <si>
    <t>Project PDPA-UFF-PMN (TERMO DE CONVENIO); Educacao Patrimonial, Cultura Oceanica e Cidadania: Usando Bens Naturais e Culturais como Recursos Educacionais na Construcao da Niteroi Que Queremos</t>
  </si>
  <si>
    <t>This article was developed as part of the Project PDPA-UFF-PMN (TERMO DE CONVENIO NO 002/2021) Educacao Patrimonial, Cultura Oceanica e Cidadania: Usando Bens Naturais e Culturais como Recursos Educacionais na Construcao da Niteroi Que Queremos' (DO 18-05-2021-TERMO DE CONVENIO NO 002-2021/PT-UFF 61 - Projeto FEC 4447).</t>
  </si>
  <si>
    <t>Abdi H, 2010, WIRES COMPUT STAT, V2, P433, DOI 10.1002/wics.101; Aguiar T.C., 2017, REVISITANDO TERRITOR, P65; [Anonymous], 2021, SANT MUN LAW NO 3935; [Anonymous], 2010, NMEA Special Report #3: The Ocean Literacy Campaign; [Anonymous], 2006, Marine and coastal ecosystems and human well-being: A synthesis report based on the findings of the Millenium Ecosystem Assessment; Bardin L, 2004, ANALISE CONTEUDO, P70, DOI DOI 10.1017/CBO9781107415324.004; Brasil, 2000, PCNEM PAR CURR NAC E; CEMBRA, 2019, BRAS MAR SEC 21 REL; Chang CC, 2023, SUSTAINABILITY-BASEL, V15, DOI 10.3390/su15021043; Chang CC, 2021, SUSTAINABILITY-BASEL, V13, DOI 10.3390/su13084314; Cheimonopoulou MT, 2022, MEDITERR MAR SCI, V23, P302, DOI 10.12681/mms.29172; Chen CL, 2016, ENVIRON EDUC RES, V22, P958, DOI 10.1080/13504622.2015.1054266; de Aguiar TMCB, 2020, NOVOS CAD NAEA, V23, P161; Costa R. L., 2021, Ocean Literacy: Understanding the Ocean, P241, DOI [10.1007/978-3-030-70155-0, DOI 10.1007/978-3-030-70155-0, https://doi.org/10.1007/978-3-030-70155-0]; Crowder LB, 2006, SCIENCE, V313, P617, DOI 10.1126/science.1129706; Curran MC, 2017, SCI ACT, V54, P59, DOI 10.1080/00368121.2017.1322031; Dupont S., 2017, Handbook on the Economics and Management of Sustainable Oceans, P519, DOI [10.4337/9781786430724, DOI 10.4337/9781786430724.00037]; Egler C.A.G., 2014, J INTEGRATED COASTAL, V14, P65, DOI DOI 10.5894/RGCI370; Ehler CN, 2003, OCEAN COAST MANAGE, V46, P335, DOI 10.1016/S0964-5691(03)00020-6; Fauville G., 2019, EXEMPLARY PRACTICES, DOI [10.1007/978-3-319-90778-9, DOI 10.1007/978-3-319-90778-9]; Fauville G, 2017, INT J SCI EDUC, V39, P2151, DOI 10.1080/09500693.2017.1365184; Gelcich S, 2014, P NATL ACAD SCI USA, V111, P15042, DOI 10.1073/pnas.1417344111; Gough A, 2017, MAR POLLUT BULL, V124, P633, DOI 10.1016/j.marpolbul.2017.06.069; Guest H, 2015, MAR POLICY, V58, P98, DOI 10.1016/j.marpol.2015.04.007; Hair J F., 2009, Analise multivariada de dados; Hammer Oyvind, 2001, Palaeontologia Electronica, V4, pUnpaginated; Hoffman M., 2007, REVOLUTIONIZING EART; IBGE, 2011, CENS DEM; Jones PJS, 2012, ENVIRON CONSERV, V39, P248, DOI 10.1017/S0376892912000136; Juda L, 1999, OCEAN DEV INT LAW, V30, P89, DOI 10.1080/009083299276203; Koenigstein S, 2020, ICES J MAR SCI, V77, P1629, DOI 10.1093/icesjms/fsaa035; Lucrezi S, 2019, MAR POLICY, V108, DOI 10.1016/j.marpol.2019.103645; Lwo LS, 2013, J RES EDUC SCI, V58, P51, DOI 10.6209/JORIES.2013.58(3).03; Marroni EV, 2013, OCEAN COAST MANAGE, V76, P30, DOI 10.1016/j.ocecoaman.2013.02.011; McHugh M, 2020, TECHNOL PEDAGOG EDUC, V29, P89, DOI 10.1080/1475939X.2020.1715241; McKinley E, 2010, OCEAN COAST MANAGE, V53, P379, DOI 10.1016/j.ocecoaman.2010.04.012; McPherson K., 2018, Appl. Environ. Educ. Commun., V19, P129, DOI [10.1080/1533015X.2018.1533439, DOI 10.1080/1533015X.2018.1533439]; McPherson K., 2018, Int. J. Learn. Teach. Educ. Res., V17, P1, DOI [10.26803/ijlter.17.11.1, DOI 10.26803/IJLTER.17.11.1]; MMA, 2008, MACR ZON COST MAR BR; Mogias A, 2015, J ENVIRON EDUC, V46, P251, DOI 10.1080/00958964.2015.1050955; Ocean Literacy Network, 2020, OC LIT ESS PRINC FUN; Payne DL, 2010, ASTE SER SCI EDUC, P81, DOI 10.1007/978-90-481-9222-9_6; Pazoto CE, 2022, OCEAN COAST MANAGE, V219, DOI 10.1016/j.ocecoaman.2022.106047; Pazoto CE, 2021, OCEAN COAST RES, V69, DOI 10.1590/2675-2824069.21008cep; Pinheiro AB, 2021, REV GEOGR AM CENT, DOI 10.15359/rgac.66-1.6; Ryabinin V, 2019, FRONT MAR SCI, V6, DOI 10.3389/fmars.2019.00470; Santoro F., 2017, Ocean Literacy for All - A toolkit, IOC/UNESCO UNESCO Venice Office; Schoedinger S., 2010, NMEA Special Report, V3, P3; Souto R.D., 2009, BRAZIL J COASTAL RES, V56, P1311; Steel BS, 2005, OCEAN COAST MANAGE, V48, P97, DOI 10.1016/j.ocecoaman.2005.01.002; Stevens R.A., 2021, OCEAN LITERACY UNDER, P275; United Nations, 2018, REV ROADM UN DEC OC; Visbeck M, 2018, NAT COMMUN, V9, DOI 10.1038/s41467-018-03158-3; Wever L, 2012, OCEAN COAST MANAGE, V66, P63, DOI 10.1016/j.ocecoaman.2012.05.001; Young OR, 2007, ENVIRONMENT, V49, P20, DOI 10.3200/ENVT.49.4.20-33</t>
  </si>
  <si>
    <t>PII S0814062623000125</t>
  </si>
  <si>
    <t>10.1017/aee.2023.12</t>
  </si>
  <si>
    <t>DS7J5</t>
  </si>
  <si>
    <t>WOS:001016387000001</t>
  </si>
  <si>
    <t>Freitas, C; Francis, P; Bellgrove, A; Venzo, P</t>
  </si>
  <si>
    <t>Freitas, Catia; Francis, Prue; Bellgrove, Alecia; Venzo, Paul</t>
  </si>
  <si>
    <t>Adopting Ocean-Themed Picture Books to Promote Ocean Literacy in Primary Education</t>
  </si>
  <si>
    <t>CHILDRENS LITERATURE IN EDUCATION</t>
  </si>
  <si>
    <t>Picture books; Ocean literacy; Marine science education; Educators; School students</t>
  </si>
  <si>
    <t>CHILDRENS-LITERATURE; INFORMATIONAL TEXTS; SCIENCE; SCIENTISTS; IMAGES</t>
  </si>
  <si>
    <t>Children's literature about the ocean is a valuable learning tool for increasing ocean literacy in formal education. This instruction is, nonetheless, reliant on teachers' capacity to explore, appreciate and understand the different ways in which elements of picture books convey ocean concepts. As researchers who work collaboratively in marine science education and children's literature, we analysed a targeted sample of picture books about a largely unknown temperate reef system on the southern coastline of Australia, the Great Southern Reef. Our exploration of these picture books' verbal and visual strategies showed how they can be used as model examples of scientifically accurate educational resources to deliver ocean concepts, increase awareness of a local marine environment, and promote positive attitudes towards science. The portrayal of scientists, particularly female scientists in these texts can also expand children's perceptions and beliefs about who scientists are and how they work, and ultimately impact young people's career choices. We argue that the analysis modelled in this article can be adapted to different selections of ocean-themed picture books. Therefore, we provide recommendations for educators in other regions of the world choosing picture books to improve ocean education in the context of other local marine environments.</t>
  </si>
  <si>
    <t>[Freitas, Catia; Francis, Prue] Deakin Univ, Ctr Marine Sci, Sch Life &amp; Environm Sci, Queenscliff, Vic, Australia; [Bellgrove, Alecia] Deakin Univ, Ctr Marine Sci, Sch Life &amp; Environm Sci, Warrnambool, Vic, Australia; [Venzo, Paul] Deakin Univ, Sch Commun &amp; Creat Arts, Geelong, Vic, Australia</t>
  </si>
  <si>
    <t>Freitas, C (corresponding author), Deakin Univ, Ctr Marine Sci, Sch Life &amp; Environm Sci, Queenscliff, Vic, Australia.</t>
  </si>
  <si>
    <t>cabreudefreitas@deakin.edu.au</t>
  </si>
  <si>
    <t>Bellgrove, Alecia/K-2601-2014</t>
  </si>
  <si>
    <t>Bellgrove, Alecia/0000-0002-0499-3439; Venzo, Paul/0000-0002-3140-9832; Francis, Prudence/0000-0003-3354-0532; Freitas, Catia/0000-0002-9637-3113</t>
  </si>
  <si>
    <t>CAUL; Deakin University, School of Life and Environmental Sciences Higher Degree by Research funds (2022)</t>
  </si>
  <si>
    <t>Open Access funding enabled and organized by CAUL and its Member Institutions. This work was funded by Deakin University, School of Life and Environmental Sciences Higher Degree by Research funds (2022).</t>
  </si>
  <si>
    <t>Arizpe E., 2003, CHILDREN READING PIC; Aurélio L, 2021, FRONT MAR SCI, V8, DOI 10.3389/fmars.2021.699122; Babb YM, 2018, ENVIRON EDUC RES, V24, P716, DOI 10.1080/13504622.2017.1326020; Baker Jeannie., 2005, HIDDEN FOREST; Barracosa H, 2019, FRONT MAR SCI, V6, DOI 10.3389/fmars.2019.00626; Bate M., 2021, LITTLE KELP OUR FRIE; Beaumont ES, 2017, EARLY CHILD EDUC J, V45, P545, DOI 10.1007/s10643-016-0819-5; Bennett S, 2016, MAR FRESHWATER RES, V67, P47, DOI 10.1071/MF15232; Cameron Patsy., 2021, SEA COUNTRY; Chawla L., 2009, J DEV PROCESSES, V4, P6; Chawla L, 2020, PEOPLE NAT, V2, P619, DOI 10.1002/pan3.10128; Coats Karen., 2018, The Bloomsbury Introduction to Children's and Young Adult Literature; Coleman M A., 2013, Limnology and Oceanography: Fluids and Environments, V3, P295; Daly N., 2021, Verbal and visual strategies in nonfiction picturebooks: The-oretical and Analytical Approaches, P95, DOI [10.18261/9788215042459-2021-08, DOI 10.18261/9788215042459-2021-08]; Duke NK, 2000, READ RES QUART, V35, P202, DOI 10.1598/RRQ.35.2.1; Finson K.D., 2002, SCH SCI MATH, V102, P335, DOI DOI 10.1111/J.1949-8594.2002.TB18217.X; Ford DJ, 2006, J RES SCI TEACH, V43, P214, DOI 10.1002/tea.20095; Francis PF, 2021, AUST J ENVIRON EDUC, V37, P167, DOI 10.1017/aee.2021.4; Freitas C, 2022, FRONT MAR SCI, V9, DOI 10.3389/fmars.2022.883524; Freitas Catia., 2023, FRONTIERS YOUNG MIND, V11, P1, DOI [10.3389/frym.2023.933489, DOI 10.3389/FRYM.2023.933489]; Ganea PA, 2014, FRONT PSYCHOL, V5, DOI 10.3389/fpsyg.2014.00283; Ganea PA, 2011, CHILD DEV, V82, P1421, DOI 10.1111/j.1467-8624.2011.01612.x; Geerdts M.S., 2015, IMAGINATION COGNITIO, V36, P5, DOI [DOI 10.1177/0276236615611798, 10.1177/0276236615611798, 10.1177/]; Geerdts M, 2016, EARLY EDUC DEV, V27, P1237, DOI 10.1080/10409289.2016.1174052; Gomez-Zweip S., 2006, SCI CHILD, V44, P26; Heggen P. M., 2019, Nordic Studies in Science Education, V15, P387, DOI [https://doi.org/10.5617/nordina.6186, DOI 10.5617/NORDINA.6186]; Joyce J., 2019, Exemplary Practices in Marine Science Education, P171, DOI [DOI 10.1007/978-3-319-90778-9_11, 10.1007/978-3-319-90778-9_11, https://doi.org/10.1007/978-3-319-90778-9, DOI 10.1007/978-3-319-90778-9]; Kelly J., 2020, Australian Seaweed Industry Blueprint for Growth, Executive Summary; Kelly LB, 2018, J RES SCI TEACH, V55, P1188, DOI 10.1002/tea.21447; Klanten OS, 2020, PLOS ONE, V15, DOI 10.1371/journal.pone.0243446; Kress G., 2010, MULTIMODALITY SOCIAL; Kress G., 2003, Literacy in the New Media Age, P1, DOI [10.4324/9780203299234, DOI 10.4324/9780203299234]; Kummerling-Meibauer B., 2021, Verbal and Visual Strategies in Nonfiction Picturebooks: Theoretical and Analytical Approaches, P189, DOI 10.18261/9788215042459-2021; Makarova E, 2019, FRONT EDUC, V4, DOI 10.3389/feduc.2019.00060; Marriott S, 2002, CHILD LIT EDUC, V33, P175, DOI 10.1023/A:1019677931406; Martínez B, 2018, DIVERS DISTRIB, V24, P1350, DOI 10.1111/ddi.12767; Marzinelli EM, 2016, RESTOR ECOL, V24, P81, DOI 10.1111/rec.12292; Marzinelli EM, 2015, PLOS ONE, V10, DOI 10.1371/journal.pone.0118390; Massey Geraldine., 2014, PICTURE BOOKS, P25; Mccarty S.L., 2018, AAS Astrodynamics Specialists Conference, Snowbird, UT, P1, DOI [DOI 10.1080/1533015X.2018.1427011, https://doi.org/10.1080/1533015X.2018.1427011]; McKnight DM, 2010, FRONT ECOL ENVIRON, V8, pE10, DOI 10.1890/100041; Merchie E, 2018, RES PAP EDUC, V33, P143, DOI 10.1080/02671522.2016.1271003; Merveldt N. v., 2018, ROUTLEDGE COMPANION, P231, DOI DOI 10.4324/9781315722986; Morgan Anne., 2021, WAY WEEDY SEADRAGON, DOI [10.1071/9781486313969, DOI 10.1071/9781486313969]; Morris Rebecca., 2020, UNDERWATER FOREST; Nodelman Perry., 2003, PLEASURES CHILDRENS, V3rd; Nodelman Perry., 2004, INT COMPANION ENCY C, P113; O'Neil KE, 2011, READ TEACH, V65, P214, DOI 10.1002/TRTR.01026; Oliver Narelle., 2017, ROCK POOL SECRETS; Painter C., 2007, Advances in language and education, P40; Panaou Petros., 2021, VERBAL VISUAL STRATE, P95; Pentimonti JM, 2011, READ PSYCHOL, V32, P197, DOI 10.1080/02702711003604484; Pillans Dr Sue, 2018, GREAT BARRIER THIEF; Pringle R.M., 2005, Reading Horizon, V46, P1, DOI DOI 10.1016/J.JECP.2018.04.013; Rawson CH, 2014, SCHOOL SCI MATH, V114, P10, DOI 10.1111/ssm.12046; Sackes M, 2009, EARLY CHILD EDUC J, V36, P415, DOI 10.1007/s10643-009-0304-5; Sanders JoeSutliff., 2018, A Literature of Questions: Nonfiction for the Critical Child; Santoro F., 2022, A New Blue Curriculum: A Toolkit for Poli-Cy-makers; Schussler EE, 2008, INT J SCI EDUC, V30, P1677, DOI 10.1080/09500690701570248; Serafini F, 2014, READ TEACH, V68, P24, DOI 10.1002/trtr.1294; Sipe LR, 2011, HANDBOOK OF RESEARCH ON CHILDREN'S AND YOUNG ADULT LITERATURE, P238; Sipe LR, 1998, CHILD LIT EDUC, V29, P97, DOI 10.1023/A:1022459009182; Sobel D., 2007, CONNECT, V21, P14; Strife SJ, 2012, J ENVIRON EDUC, V43, P37, DOI 10.1080/00958964.2011.602131; Thames &amp; Hudson Australia, 2021, LITTLE KELP OUR FRIE; Trundle K.C., 2008, Journal of Elementary Science Education, V20, P17, DOI [DOI 10.1007/BF03174700, 10.1007/BF03174700]; Venzo P., IN PRESS; Venzo Paul., 2022, GREAT SO REEF, DOI [10.1071/9781486315321, DOI 10.1071/9781486315321]; Wade Chambers David, 1983, The draw-ascientist test, V67, P255, DOI DOI 10.1002/SCE.3730670213; Waxman SR, 2014, FRONT PSYCHOL, V5, DOI 10.3389/fpsyg.2014.00172; Wild Margaret., 2012, LEO LITTLEST SEAHORS; Yopp RH, 2006, J LIT RES, V38, P37, DOI 10.1207/s15548430jlr3801_2; Youngs S., 2012, Journal of Children's Literature, V38, P37</t>
  </si>
  <si>
    <t>0045-6713</t>
  </si>
  <si>
    <t>1573-1693</t>
  </si>
  <si>
    <t>CHILD LIT EDUC</t>
  </si>
  <si>
    <t>Child. Lit. Educ.</t>
  </si>
  <si>
    <t>2023 JUN 24</t>
  </si>
  <si>
    <t>10.1007/s10583-023-09534-y</t>
  </si>
  <si>
    <t>Literature</t>
  </si>
  <si>
    <t>Arts &amp; Humanities Citation Index (A&amp;HCI)</t>
  </si>
  <si>
    <t>K4LK0</t>
  </si>
  <si>
    <t>WOS:001016167600001</t>
  </si>
  <si>
    <t>Holt, EA; Duke, J; Dunk, R; Hinerman, K</t>
  </si>
  <si>
    <t>Holt, Emily A.; Duke, Jessica; Dunk, Ryan; Hinerman, Krystal</t>
  </si>
  <si>
    <t>Development of the inventory of biotic climate literacy (IBCL)</t>
  </si>
  <si>
    <t>Concept inventory; climate change; biology; ecology; undergraduate; SDG: 4 quality education</t>
  </si>
  <si>
    <t>IMPACT</t>
  </si>
  <si>
    <t>Student understanding of climate change is an active and growing area of research, but little research has documented undergraduate students' knowledge about the biotic impacts of climate change. Here, we address this literature gap by presenting the Inventory of Biotic Climate Literacy (IBCL), a concept inventory developed to assess undergraduate biology student knowledge of how climate change impacts living things. We developed the IBCL through literature review, student and expert interviews, student field tests, and expert review. We implemented two large nationwide field tests and conducted multiple psychometric analyses on these datasets. These analyses resulted in a final tool of 30 items measuring 16 constructs related to the biotic impacts of climate change. We discovered that the final IBCL does not represent a single, simple construct but rather the complicated and interactive concepts that comprise this topic. We suggest that sum scores are still a valuable measure, as certain groups (upperclassmen and politically liberal individuals) scored significantly higher. We also found value in analyzing individual student performance on the IBCL by developing student profiles. The IBCL represents an important tool in assessing student understanding of the complex and growing problem of climate change and its impact on the living world.</t>
  </si>
  <si>
    <t>[Holt, Emily A.; Duke, Jessica; Dunk, Ryan] Univ Northern Colorado, Dept Biol Sci, Greeley, CO USA; [Dunk, Ryan] Auburn Univ, Dept Biol Sci, Auburn, AL USA; [Hinerman, Krystal] Lamar Univ, Dept Educ Leadership, Beaumont, TX USA; [Holt, Emily A.] Univ Northern Colorado, Dept Biol Sci, Ross Hall 2480,Campus Box 92, Greeley, CO 80369 USA</t>
  </si>
  <si>
    <t>University of Northern Colorado; Auburn University System; Auburn University; Texas State University System; Lamar University; University of Northern Colorado</t>
  </si>
  <si>
    <t>Holt, EA (corresponding author), Univ Northern Colorado, Dept Biol Sci, Ross Hall 2480,Campus Box 92, Greeley, CO 80369 USA.</t>
  </si>
  <si>
    <t>emily.holt@unco.edu</t>
  </si>
  <si>
    <t>Duke, Jessica/0000-0003-0895-0265; Dunk, Ryan/0000-0003-1519-8526; Hinerman, Krystal/0000-0003-2777-0905; Holt, Emily/0000-0002-1777-7882</t>
  </si>
  <si>
    <t>National Science Foundation (NSF) Improving Undergraduate STEM Education [DUE-1836522]</t>
  </si>
  <si>
    <t>National Science Foundation (NSF) Improving Undergraduate STEM Education(National Science Foundation (NSF))</t>
  </si>
  <si>
    <t>This work was supported by the National Science Foundation (NSF) Improving Undergraduate STEM Education (DUE-1836522). Any opinions, findings, and conclusions or recommendations expressed in this article are those of the authors and do not necessarily reflect the views of the NSF. We thank our many participants and experts who contributed to several stages of this project. We acknowledge the sage advice of our advisory board members (April Maskiewicz Cordero, Anna Gold, Lorna Jarrett, Sue Hyeon Paek). We are indebted to our colleague, Summers Scholl, who created the six beautifully hand-drawn illustrations used in this work to perfectly reflect our findings in the literature and vision for how to test student understanding of climate change and will live forever in the IBCL.</t>
  </si>
  <si>
    <t>Adams WK, 2011, INT J SCI EDUC, V33, P1289, DOI 10.1080/09500693.2010.512369; [Anonymous], 2010, Vision and change: A call to action; [Anonymous], 2014, Standards for Educational Psychology and Testing; Beck A., 2013, The International Journal of Climate Change: Impacts and Responses, V4, P1, DOI [DOI 10.18848/1835-7156/CGP/V04I04/37181, 10.18848/1835-7156/CGP/v04i04/37181]; Bentley APK, 2019, ENVIRON EDUC RES, V25, P867, DOI 10.1080/13504622.2016.1250150; Carlson CJ, 2022, NATURE, V607, P555, DOI 10.1038/s41586-022-04788-w; Cervato C., 2018, Community Framework for Geoscience Education Research, DOI [https://doi.org/10.25885/ger_framework/3, DOI 10.25885/GER_FRAMEWORK/3]; Couch BA, 2019, CBE-LIFE SCI EDUC, V18, DOI 10.1187/cbe.18-07-0117; Crocker L, 2006, Introduction to classical and modern test theory; Cross ID, 2021, J GEOGR HIGHER EDUC, V45, P491, DOI 10.1080/03098265.2020.1849066; Doran R. L., 1980, Basic Measurement and Evaluation of Science Instruction; Dunk R, 2022, ENVIRON EDUC RES, V28, P1175, DOI 10.1080/13504622.2022.2069682; Enders C. K., 2022, APPL MISSING DATA AN; Grimm NB, 2013, FRONT ECOL ENVIRON, V11, P474, DOI 10.1890/120282; Hambleton R.K., 2016, ED MEASUREMENT FDN F, P23; Hartley LM, 2011, BIOSCIENCE, V61, P65, DOI 10.1525/bio.2011.61.1.12; Heffron S. G., 2011, The Geography Teacher, V8, P91, DOI [https://doi.org/10.1080/19338341.2011.571154, DOI 10.1080/19338341.2011.571154]; Hermans M, 2017, INT RES GEOGR ENVIRO, V26, P223, DOI 10.1080/10382046.2017.1330035; Holt EA, 2021, ECOSPHERE, V12, DOI 10.1002/ecs2.3706; Howell KC, 2024, SCI EDUC, V108, P86, DOI 10.1002/sce.21826; Huang MR, 2021, ECOL INDIC, V121, DOI 10.1016/j.ecolind.2020.106976; Jarrett L.E., 2012, INT J INNOVATION SCI, V20, P25; Keller J. M., 2006, Development of a Concept Inventory Addressing Students' Beliefs and Reasoning Difficulties regarding the Greenhouse Effect; Klemow K, 2019, FRONT ECOL ENVIRON, V17, P71, DOI 10.1002/fee.2013; Lambert JL, 2013, J SCI TEACH EDUC, V24, P999, DOI 10.1007/s10972-013-9344-1; Libarkin J., 2008, Concept Inventories in Higher Education Science. In BOSE Conf, P1; Lindell R. S., 2007, ARE THEY ALL CREATED; Mahaffy PG, 2017, J CHEM EDUC, V94, P1027, DOI 10.1021/acs.jchemed.6b01009; McCune B., 2018, PC ORD MULTIVARIATE; McMichael AJ, 2013, NEW ENGL J MED, V369, P96, DOI [10.1056/NEJMra1109341, 10.1056/NEJMc1305749]; McNeal K.S., 2014, J GEOSCIENCE ED, V62, P645, DOI [https://doi.org/10.5408/13-098.1, 10.5408/13-098, DOI 10.5408/13-098]; Momsen J, 2022, CBE-LIFE SCI EDUC, V21, DOI 10.1187/cbe.21-05-0118; Nehm RH, 2012, AM BIOL TEACH, V74, P92, DOI 10.1525/abt.2012.74.2.6; Parratt SR, 2021, NAT CLIM CHANGE, V11, P481, DOI 10.1038/s41558-021-01047-0; Patz JA, 2005, NATURE, V438, P310, DOI 10.1038/nature04188; Reis J, 2020, MAR POLICY, V111, DOI 10.1016/j.marpol.2018.07.007; RITTEL HWJ, 1973, POLICY SCI, V4, P155, DOI 10.1007/BF01405730; Salimi S, 2021, J ENVIRON MANAGE, V286, DOI 10.1016/j.jenvman.2021.112160; Srinivasan U, 2021, ECOLOGY, V102, DOI 10.1002/ecy.3223; Suter G, 2022, INTEGR ENVIRON ASSES, V18, P1117; Uminski Crystal, 2021, CBE Life Sci Educ, V20, par20, DOI 10.1187/cbe.20-10-0243; Walther GR, 2002, NATURE, V416, P389, DOI 10.1038/416389a; Wasendorf C, 2024, J BIOL EDUC, V58, P651, DOI 10.1080/00219266.2022.2100451; Wilson Christopher D, 2006, CBE Life Sci Educ, V5, P323, DOI 10.1187/cbe.06-02-0142; Wise S., 2010, Journal of Geoscience Education, V58, P297, DOI DOI 10.5408/1.3559695</t>
  </si>
  <si>
    <t>2024 FEB 2</t>
  </si>
  <si>
    <t>10.1080/13504622.2024.2314047</t>
  </si>
  <si>
    <t>HI7E8</t>
  </si>
  <si>
    <t>WOS:001158925400001</t>
  </si>
  <si>
    <t>Pacini, A; Edelmann, HG; Grossschedl, J; Schlüter, K</t>
  </si>
  <si>
    <t>Pacini, Annalisa; Edelmann, Hans Georg; Grossschedl, Joerg; Schlueter, Kirsten</t>
  </si>
  <si>
    <t>A Literature Review on Facade Greening: How Research Findings May Be Used to Promote Sustainability and Climate Literacy in School</t>
  </si>
  <si>
    <t>green facades; vertical greenery system; climate literacy; climate change; education for sustainability; knowledge transfer; nature-based learning; review</t>
  </si>
  <si>
    <t>VERTICAL GREENERY SYSTEMS; ENERGY SAVINGS; URBAN; WALLS; BUILDINGS; STRESS; BIODIVERSITY; ORIENTATION; TEMPERATURE; PERCEPTIONS</t>
  </si>
  <si>
    <t>The promotion of Climate Literacy is a central concern of our time. To achieve this ability, one can draw on different content areas. One possible area is Nature-Based Solutions (NBS), such as Vertical Greening Systems (VGS), and their effectiveness in mitigating climate change. However, VGS is not yet an established topic in environmental education, even if the pro-environmental effectiveness of VGS has been proven from a scientific point of view and this topic is close to everyday life. To facilitate the transfer of knowledge from research to school, this paper presents an example of a possible procedure. This procedure starts with a narrative review of the scientific literature on VGS. Then, the main results of this review are related to the Sustainable Development Goals, Climate Literacy, and general educational goals to capture its educational relevance. Finally, a flow chart for a teaching sequence is developed, with the phase sequence derived from the performed narrative review. Thus, a parallelism between the structure of a scientific review and an action-oriented environmental education becomes visible. To what extent this parallelization may be generalized, and whether teaching based on it is effective, will have to be tested.</t>
  </si>
  <si>
    <t>[Pacini, Annalisa; Edelmann, Hans Georg; Grossschedl, Joerg; Schlueter, Kirsten] Univ Cologne, Fac Math &amp; Nat Sci, Inst Biol Educ, D-50931 Cologne, Germany</t>
  </si>
  <si>
    <t>University of Cologne</t>
  </si>
  <si>
    <t>Schlüter, K (corresponding author), Univ Cologne, Fac Math &amp; Nat Sci, Inst Biol Educ, D-50931 Cologne, Germany.</t>
  </si>
  <si>
    <t>apacini1@uni-koeln.de; h.edelmann@uni-koeln.de; j.grossschedl@uni-koeln.de; kirsten.schlueter@uni-koeln.de</t>
  </si>
  <si>
    <t>Pacini, Annalisa/0000-0002-4242-0009; Schluter, Kirsten/0000-0001-9614-8824; Grossschedl, Jorg/0000-0002-7943-4818; Edelmann, Hans Georg/0000-0001-5397-8895</t>
  </si>
  <si>
    <t>Agostini F, 2018, FRONT PSYCHOL, V9, DOI 10.3389/fpsyg.2018.01911; Air-Quality-Expert-Group, IMPACTS VEGETATION U; Alexandria E, 2008, BUILD ENVIRON, V43, P480, DOI 10.1016/j.buildenv.2006.10.055; Alvior M.G., 7 CRITERIA SELECTION; Amicone G, 2018, FRONT PSYCHOL, V9, DOI 10.3389/fpsyg.2018.01579; Amorim F., 2017, INT J ENV SCI DEV, V8, P124, DOI [10.18178/ijesd.2017.8.2.933, DOI 10.18178/IJESD.2017.8.2.933]; [Anonymous], 2017, Education for Sustainable Development Goals: Learning Objectives, DOI [10.0978/-92-3-100209-0, DOI 10.31142/IJTSRD5889]; [Anonymous], NEWS, DOI DOI 10.1080/08940886.2021.1968268; Azkorra Z, 2015, APPL ACOUST, V89, P46, DOI 10.1016/j.apacoust.2014.09.010; Barton Jo, 2017, BJPsych Int, V14, P79; Becker C, 2017, INT J ENV RES PUB HE, V14, DOI 10.3390/ijerph14050485; Benfield JA, 2015, ENVIRON BEHAV, V47, P140, DOI 10.1177/0013916513499583; Bolton C, 2014, BUILD ENVIRON, V80, P32, DOI 10.1016/j.buildenv.2014.05.020; Briguglio L, 2019, CLIM CHANG MANAG, P169, DOI 10.1007/978-3-030-32898-6_10; Bulkeley H., 2020, NATURE BASED SOLUTIO, DOI [10.2777/236007, DOI 10.2777/236007]; Calfapietra C, 2015, TRENDS PLANT SCI, V20, P72, DOI 10.1016/j.tplants.2014.11.001; Cameron RWF, 2015, BUILD ENVIRON, V92, P111, DOI 10.1016/j.buildenv.2015.04.011; Cameron RWF, 2014, BUILD ENVIRON, V73, P198, DOI 10.1016/j.buildenv.2013.12.005; Carbajal Avila Jazmin, 2017, Acta univ, V27, P55, DOI 10.15174/au.2017.1388; Chawla L, 2015, J PLAN LIT, V30, P433, DOI 10.1177/0885412215595441; Chawla L, 2014, HEALTH PLACE, V28, P1, DOI 10.1016/j.healthplace.2014.03.001; Chiquet C., 2014, ANIMAL BIODIVERSIT G; Cohen-Shacham E., 2016, NATURE BASED SOLUTIO, V97, P2016, DOI 10.2305/IUCN.CH.2016.13.en; Collins R, 2017, LAND USE POLICY, V64, P114, DOI 10.1016/j.landusepol.2017.02.025; Coma J, 2017, BUILD ENVIRON, V111, P228, DOI 10.1016/j.buildenv.2016.11.014; Dadvand P, 2015, P NATL ACAD SCI USA, V112, P7937, DOI 10.1073/pnas.1503402112; Dahanayake KC, 2017, ENRGY PROCED, V142, P2473, DOI 10.1016/j.egypro.2017.12.185; Demuzere M, 2014, J ENVIRON MANAGE, V146, P107, DOI 10.1016/j.jenvman.2014.07.025; Doick K., 2013, Air temperature regulation by urban trees and green infrastructure (12); Dover J.W., 2018, NATURE BASED STRATEG, P3; Edelman H., 2019, ALUE YMPARISTO, V48, P55, DOI [10.30663/ay.83370, DOI 10.30663/AY.83370]; Edelmann H.G., 2018, BIODIVERSITAT KLIMA; Elsadek M, 2019, URBAN FOR URBAN GREE, V46, DOI 10.1016/j.ufug.2019.126446; Fernandez-Canero R., 2018, Nature-based Strategies for Urban Building Sustainability, P45, DOI DOI 10.1016/B978-0-12-812150-4.00004-5; Fritz M, 2017, THEOR PRACT URB SUST, P187, DOI 10.1007/978-3-319-56091-5_11; Fritz M, 2017, THEOR PRACT URB SUST, P15, DOI 10.1007/978-3-319-56091-5_2; Garbuzov M, 2014, INSECT CONSERV DIVER, V7, P91, DOI 10.1111/icad.12033; Gratani L, 2016, URBAN FOR URBAN GREE, V19, P184, DOI 10.1016/j.ufug.2016.07.007; Gubler M, 2019, CLIM CHANG MANAG, P129, DOI 10.1007/978-3-030-32898-6_8; Gunawardena KR, 2017, SCI TOTAL ENVIRON, V584, P1040, DOI 10.1016/j.scitotenv.2017.01.158; Harker-Schuch I, 2019, CLIM CHANG MANAG, P291, DOI 10.1007/978-3-030-32898-6_17; Harker-Schuch I, 2019, CLIM CHANG MANAG, P279, DOI 10.1007/978-3-030-32898-6_16; Jordan C, 2019, FRONT PSYCHOL, V10, DOI 10.3389/fpsyg.2019.00766; Kabisch N, 2017, THEOR PRACT URB SUST, P1, DOI 10.1007/978-3-319-56091-5; Kahn PH, 2018, FRONT PSYCHOL, V9, DOI 10.3389/fpsyg.2018.00835; Keniger LE, 2013, INT J ENV RES PUB HE, V10, P913, DOI 10.3390/ijerph10030913; Khan I, 2022, J CLEAN PROD, V330, DOI 10.1016/j.jclepro.2021.129747; Khan I, 2022, J ENVIRON PLANN MAN, V65, P2363, DOI 10.1080/09640568.2021.1972797; KLAFKI W, 1995, J CURRICULUM STUD, V27, P13, DOI 10.1080/0022027950270103; Kontoleon KJ, 2010, BUILD ENVIRON, V45, P1287, DOI 10.1016/j.buildenv.2009.11.013; Kottek M., 2006, METEOROL Z, DOI DOI 10.1127/0941-2948/2006/0130; Kozamernik J, 2020, URBANI IZZIV, V31, P88, DOI 10.5379/urbani-izziv-en-2020-31-02-003; Kuo FE, 2004, AM J PUBLIC HEALTH, V94, P1580, DOI 10.2105/AJPH.94.9.1580; Kuo M, 2021, LANDSCAPE URBAN PLAN, V206, DOI 10.1016/j.landurbplan.2020.103962; Kuo M, 2019, FRONT PSYCHOL, V10, DOI 10.3389/fpsyg.2019.01763; Kuo M, 2019, FRONT PSYCHOL, V10, DOI 10.3389/fpsyg.2019.00305; Kuo M, 2018, FRONT PSYCHOL, V9, DOI 10.3389/fpsyg.2018.01669; Kuo M, 2018, FRONT PSYCHOL, V8, DOI 10.3389/fpsyg.2017.02253; Kuo M, 2015, FRONT PSYCHOL, V6, DOI [10.3389/fpg.2015.01093, 10.3389/fpsyg.2015.01093]; Lee J, 2017, INT J ENV RES PUB HE, V14, DOI 10.3390/ijerph14070829; Li DY, 2016, LANDSCAPE URBAN PLAN, V148, P149, DOI 10.1016/j.landurbplan.2015.12.015; Ling TY, 2018, J CLEAN PROD, V182, P187, DOI 10.1016/j.jclepro.2017.12.207; Madre F, 2015, GLOB ECOL CONSERV, V3, P222, DOI 10.1016/j.gecco.2014.11.016; Magliocco A, 2015, AIMS ENVIRON SCI, V2, P899, DOI 10.3934/environsci.2015.4.899; Marchi M, 2015, ECOL MODEL, V306, P46, DOI 10.1016/j.ecolmodel.2014.08.013; Marta B.D., 2017, Space and Urban Planning, P79; Mayrand F., 2018, Nature based strategies for urban and building sustainability, P227, DOI DOI 10.1016/B978-0-12-812150-4.00021-5; McCree M, 2018, EARLY CHILD DEV CARE, V188, P980, DOI 10.1080/03004430.2018.1446430; McCullough MB, 2018, FRONT PSYCHOL, V9, DOI 10.3389/fpsyg.2018.00619; Meyer MA, 2018, EUR EDUC RES J, V17, P17, DOI 10.1177/1474904117718757; Miller T, 2019, CLIM CHANG MANAG, P19, DOI 10.1007/978-3-030-32898-6_2; Monroe M., 2003, HUM ECOL REV, V10, P113; Muahram A., 2019, Int. J. Adv. Eng. Res. Sci, V6, P451, DOI [10.22161/ijaers.612.52, DOI 10.22161/IJAERS.612.52]; Palermo SA, 2020, IOP C SER EARTH ENV, V410, DOI 10.1088/1755-1315/410/1/012013; Parris KM, 2018, CITIES, V83, P44, DOI 10.1016/j.cities.2018.06.007; Perez G., 2018, Nature based strategies for urban and building sustainability, P191, DOI [10.1016/B978-0-12-812150-4.00018-5, DOI 10.1016/B978-0-12-812150-4.00018-5]; Perez G., 2018, Nature Based Strategies for Urban and Building Sustainability, P99, DOI [10.1016/b978-0-12-812150-4.00009-4, DOI 10.1016/B978-0-12-812150-4.00009-4]; Pérez G, 2017, APPL ENERG, V187, P424, DOI 10.1016/j.apenergy.2016.11.055; Pérez G, 2014, RENEW SUST ENERG REV, V39, P139, DOI 10.1016/j.rser.2014.07.055; Perini K., 2018, Nature based strategies for urban and building sustainability, P131, DOI [10.1016/B978-0-12-812150-4.00012-4, DOI 10.1016/B978-0-12-812150-4.00012-4]; Perini K, 2020, BUILD ENVIRON, V172, DOI 10.1016/j.buildenv.2020.106708; Radic M, 2019, SUSTAINABILITY-BASEL, V11, DOI 10.3390/su11174579; Rigolon A, 2012, SCH ENV TEACHER; Roggatz CC, 2019, CLIM CHANG MANAG, P255, DOI 10.1007/978-3-030-32898-6_15; Rushton EAC, 2019, CLIM CHANG MANAG, P507, DOI 10.1007/978-3-030-32898-6_28; Sajady M, 2020, J DEV BEHAV PEDIATR, V41, P436, DOI 10.1097/DBP.0000000000000809; Schettini E, 2016, AGRIC AGRIC SCI PROC, V8, P576, DOI 10.1016/j.aaspro.2016.02.078; Schrot OG, 2019, CLIM CHANG MANAG, P525, DOI 10.1007/978-3-030-32898-6_29; Shanahan DF, 2016, SCI REP-UK, V6, DOI 10.1038/srep28551; Sheweka S, 2011, ENRGY PROCED, V6, P592, DOI 10.1016/j.egypro.2011.05.068; Sheweka SM, 2012, ENRGY PROCED, V18, P507, DOI 10.1016/j.egypro.2012.05.062; Szczytko R., 2018, FRONT EDUC, V3, P1, DOI [DOI 10.3389/FEDUC.2018.00046, 10.3389/feduc.2018.00046, https://doi.org/10.3389/feduc.2018.00046]; Tavares de Almeida C., 2018, SOCIOECONOMIC FEASIB; Thompson CW, 2019, SUSTAINABILITY-BASEL, V11, DOI 10.3390/su11123317; Tyrväinen L, 2014, J ENVIRON PSYCHOL, V38, P1, DOI 10.1016/j.jenvp.2013.12.005; U.S. Global Change Research Program, 2009, CLIM LIT ESS PRINC C; ULRICH RS, 1991, J ENVIRON PSYCHOL, V11, P201, DOI 10.1016/S0272-4944(05)80184-7; UNESCO, 2020, ED SUST DEV ROADM PA; Vox G, 2018, BUILD ENVIRON, V129, P154, DOI 10.1016/j.buildenv.2017.12.002; Wilson E.O., 1984, Biophilia. Cambridge; Wong NH, 2010, BUILD ENVIRON, V45, P663, DOI 10.1016/j.buildenv.2009.08.005; Zakari A, 2022, ENERGY, V239, DOI 10.1016/j.energy.2021.122365</t>
  </si>
  <si>
    <t>10.3390/su14084596</t>
  </si>
  <si>
    <t>0U9HA</t>
  </si>
  <si>
    <t>WOS:000787955700001</t>
  </si>
  <si>
    <t>Realdon, G; Mogias, A; Fabris, S; Candussio, G; Invernizzi, C; Paris, E</t>
  </si>
  <si>
    <t>Realdon, Giulia; Mogias, Athanasios; Fabris, Sandra; Candussio, Giuliana; Invernizzi, Chiara; Paris, Eleonora</t>
  </si>
  <si>
    <t>Assessing Ocean Literacy in a sample of Italian primary and middle school students</t>
  </si>
  <si>
    <t>RENDICONTI ONLINE DELLA SOCIETA GEOLOGICA ITALIANA</t>
  </si>
  <si>
    <t>Ocean Literacy (OL); primary and secondary school students; EMSEA (European Marine Science Educators Association); ocean misconceptions</t>
  </si>
  <si>
    <t>MARINE; ATTITUDES; EDUCATION; KNOWLEDGE</t>
  </si>
  <si>
    <t>Despite the rise of Ocean Literacy (OL) movement at the beginning of 2000s, ocean sciences remain a neglected topic in school curricula of many countries, including Italy. This study investigates ocean-related knowledge and opinions in a sample of 351 primary and secondary school students of North Eastern Italy (4th, 5th and 8th grades) by means of structured questionnaires, before and after a teaching intervention aimed at promoting higher education and careers in the maritime sector. Students demonstrated a moderate level of knowledge and positive opinions about their relationship with the marine environment, as well as some misconceptions about the connectedness of all seas, the origin of half of atmospheric oxygen from the sea and the global dimension of water cycle. After the teaching intervention, primary school students' scores evidenced a significant improvement, while secondary school results showed minimal change. This difference could possibly be attributed to differences in teaching organisation between primary and secondary schools. This is the first investigation on OL among Italian students, and is part of a larger project carried out by EMSEA (European Marine Science Educators Association) in three Mediterranean countries.</t>
  </si>
  <si>
    <t>[Realdon, Giulia; Invernizzi, Chiara; Paris, Eleonora] Univ Camerino, UNICAMearth Grp, Geol Div, Sch Sci &amp; Technol, Camerino, Italy; [Realdon, Giulia; Mogias, Athanasios] EMSEA, Lagoa, Portugal; [Realdon, Giulia; Fabris, Sandra; Candussio, Giuliana] Assoc Scienza 18 Isontina, Redipuglia, Italy; [Mogias, Athanasios] Democritus Univ Thrace, Dept Elementary Educ, Lab Environm Res &amp; Educ, Alexandroupolis, Greece</t>
  </si>
  <si>
    <t>University of Camerino; Democritus University of Thrace</t>
  </si>
  <si>
    <t>Realdon, G (corresponding author), Univ Camerino, UNICAMearth Grp, Geol Div, Sch Sci &amp; Technol, Camerino, Italy.;Realdon, G (corresponding author), EMSEA, Lagoa, Portugal.;Realdon, G (corresponding author), Assoc Scienza 18 Isontina, Redipuglia, Italy.</t>
  </si>
  <si>
    <t>giulia.realdon@unicam.it</t>
  </si>
  <si>
    <t>Realdon, Giulia/ABC-6270-2020</t>
  </si>
  <si>
    <t>Realdon, Giulia/0000-0001-8269-4269; PARIS, Eleonora/0000-0002-1208-8690</t>
  </si>
  <si>
    <t>[Anonymous], 1908, BIOMETRIKA, V6, P1; [Anonymous], 10 FOREST MYTHS; [Anonymous], 2008, THESIS U S FLORIDA; [Anonymous], 2017, J. Res. Didact. Geogr; Ballantyne R., 2004, GEO J, V60, P159, DOI [https://doi.org/10.1023/B:GEJO.0000033579.19277.ff, DOI 10.1023/B:GEJO.0000033579.19277.FF]; Ben-zvi-Assarf O., 2005, J GEOSCIENCE ED, V53, P366, DOI [10.5408/1089-9995-53.4.366, DOI 10.5408/1089-9995-53.4.366]; Brody M., 1986, ED273502 U MAIN COLL; Brody M.J., 1996, J ENVIRON EDUC, V27, P21; Cava F., 2005, Science Content and Standards for Ocean Literacy: A Report on Ocean Literacy, P1; Cummins S., 2000, Canadian Journal of Environmental Education, V5, P305; Fauville G, 2019, ENVIRON EDUC RES, V25, P238, DOI 10.1080/13504622.2018.1440381; Fortner R.W., 1985, The Journal of Environmental Education, V16, P12; FORTNER RW, 1989, SCI EDUC, V73, P135, DOI 10.1002/sce.3730730203; Gelcich S, 2014, P NATL ACAD SCI USA, V111, P15042, DOI 10.1073/pnas.1417344111; Guest H, 2015, MAR POLICY, V58, P98, DOI 10.1016/j.marpol.2015.04.007; Hartley BL, 2015, MAR POLLUT BULL, V90, P209, DOI 10.1016/j.marpolbul.2014.10.049; Henriques L., 2000, ANN M NAT ASS RES SC; Likert R., 1932, Archives of psychology, V140th, DOI [DOI 10.4135/9781412961288.N454, 10.4135/9781412961288.n454]; McNemar Q, 1947, PSYCHOMETRIKA, V12, P153, DOI 10.1007/BF02295996; Mogias A, 2019, FRONT MAR SCI, V6, DOI 10.3389/fmars.2019.00396; Mogias A, 2015, J ENVIRON EDUC, V46, P251, DOI 10.1080/00958964.2015.1050955; National Marine Educators Association [NMEA], 2010, 3 NMEA; National Oceanic and Atmospheric Administration [NOAA], 2013, OC LIT ESS PRINC FUN; Philips W. C., 1991, Science Teacher, V58, P21; Rasch G., 1980, PROBABILISTIC MODELS; Realdon G., 2018, GEOPH RES ABSTR, V20; Rieckmann M., 2017, ED SUSTAINABLE DEV G; The Ocean Project, 2009, AM OC CLIM CHANG NEW; United Nations (UN), TRANSF OUR WORLD 203, DOI [DOI 10.1201/B20466-7, DOI 10.1891/9780826190123.AP02]; Wen WC, 2013, ENVIRON EDUC RES, V19, P600, DOI 10.1080/13504622.2012.717219</t>
  </si>
  <si>
    <t>SOC GEOLOGICA ITALIANA</t>
  </si>
  <si>
    <t>UNIV DEGLI STUDI LA SAPIENZA, DIPART SCI DELLA TERRA, PIAZZALE ALDO MORO 5, ROME, I-00185, ITALY</t>
  </si>
  <si>
    <t>2035-8008</t>
  </si>
  <si>
    <t>REND ONLINE SOC GEOL</t>
  </si>
  <si>
    <t>Rend. Online Soc. Geol. Ital.</t>
  </si>
  <si>
    <t>10.3301/ROL.2019.59</t>
  </si>
  <si>
    <t>Geosciences, Multidisciplinary</t>
  </si>
  <si>
    <t>Geology</t>
  </si>
  <si>
    <t>JS0LA</t>
  </si>
  <si>
    <t>WOS:000500004600016</t>
  </si>
  <si>
    <t>Ilmi, N; Sanjaya, LA; Budi, AS; Astra, IM; Puspa, DRW; Dinata, FA; Putri, RA; Winarko, HB; Pertiwi, WA; Rasmi, DP</t>
  </si>
  <si>
    <t>Nasbey, H; Fahdiran, R; Indrasari, W; Budi, E; Bakri, F; Prayitno, TB; Muliyati, D</t>
  </si>
  <si>
    <t>Ilmi, Nazwatul; Sanjaya, Lari Andres; Budi, Agus Setyo; Astra, I. Made; Puspa, Ratna Widayanti D.; Dinata, Fara Azzahra; Putri, Rena Afifah; Winarko, Hilarius Bambang; Pertiwi, Wulan Anna; Rasmi, Dian Pertiwi</t>
  </si>
  <si>
    <t>Project Based Learning: Model Electric Power Plants MaS WaWi (Biomass, Sun, Water, and Wind) to Improve Student Energy Literacy</t>
  </si>
  <si>
    <t>9TH NATIONAL PHYSICS SEMINAR 2020</t>
  </si>
  <si>
    <t>AIP Conference Proceedings</t>
  </si>
  <si>
    <t>9th National Physics Seminar</t>
  </si>
  <si>
    <t>JUN 20, 2020</t>
  </si>
  <si>
    <t>ELECTR NETWORK</t>
  </si>
  <si>
    <t>Students' knowledge of energy utilization in daily life is low in the category. Measurement of energy literacy skills using test instruments developed by DeWaters consisting of 25 multiple-choice problems. The interpretation is based on the test results of energy literacy skills in the knowledge aspect, with an average score of 89.7. The subject of this research is the students of class XII science at two senior high schools. The research method use experiment one-group pretest-posttest design. Where students' energy literacy skills are measured before and after the students are given treatment. In this study, efforts to improve student's energy literacy skills are by applying project learning through the STEM approach in the Physics learning topic of energy sources. In this Learning group, students complete the project model of renewable energy resources such as biomass, sun, water, and wind (MaS WaWi). Each group is working on projects with different energy sources. Through this learning, students can analyze how the utilization of energy sources as a source of electrical energy that can be used at home as a solution to overcome the limitations of renewable energy. The results showed the study of the project: the model of power plant biomass, sun, water, and wind (MaS WaWi). It can improve energy literacy in the knowledge aspect with the N-gain value of 0.40 (Category: Moderate).</t>
  </si>
  <si>
    <t>[Ilmi, Nazwatul] 11th Publ Senior High Sch Simpang Tiga Nanggung, Pandeglang 42266, Indonesia; [Sanjaya, Lari Andres; Budi, Agus Setyo; Astra, I. Made; Putri, Rena Afifah] Univ Negeri Jakarta, Fac Math &amp; Nat Sci, Dept Phys, Jakarta 13220, Indonesia; [Puspa, Ratna Widayanti D.] Kartika VIII 1 Senior High Sch, Jakarta, Indonesia; [Dinata, Fara Azzahra] Inst Teknol Bandung, Fac OfInd Technol, Bandung, Indonesia; [Winarko, Hilarius Bambang] Sampoerna Univ, Fac Business, Jakarta, Indonesia; [Pertiwi, Wulan Anna] STAI AHSANTA, Management Islamic Educ, Jelutung Kota Jambi, Jambi, Indonesia; [Rasmi, Dian Pertiwi] Univ Jambi, Pendidikan Matemat &amp; Ilmu Pengetahuan Alam, Fak Keguruan &amp; Ilmu Pendidikan, Jambi, Indonesia</t>
  </si>
  <si>
    <t>Universitas Negeri Jakarta; Institute Technology of Bandung; Universitas Jambi</t>
  </si>
  <si>
    <t>Ilmi, N (corresponding author), 11th Publ Senior High Sch Simpang Tiga Nanggung, Pandeglang 42266, Indonesia.</t>
  </si>
  <si>
    <t>nazwah.ilmi@gmail.com; Lari@unj.ac.id; fazzdin@gmail.com</t>
  </si>
  <si>
    <t>Astra, I Made/ABC-6830-2020; Winarko, Hilarius Bambang/ABC-9022-2021; Budi, Agus Setyo/AFQ-7188-2022</t>
  </si>
  <si>
    <t>Winarko, Hilarius Bambang/0000-0002-1656-7242; Budi, Agus Setyo/0000-0001-9903-5235; Pertiwi, Wulan/0009-0002-6766-3143</t>
  </si>
  <si>
    <t>[Anonymous], 2007, KNOWL SHAR I WASH DC; DeWaters J, 2013, J ENVIRON EDUC, V44, P38, DOI 10.1080/00958964.2012.711378; DeWaters JE., 2011, FRONTIERS ED C FIE 2, DOI DOI 10.1109/FIE.2011.6142961; Dichev C, 2017, PROCEDIA COMPUT SCI, V108, P2151, DOI 10.1016/j.procs.2017.05.240; Hedin B, 2017, LECT NOTES COMPUT SC, V10171, P175, DOI 10.1007/978-3-319-55134-0_14; Martins A, 2019, TEEM'19: SEVENTH INTERNATIONAL CONFERENCE ON TECHNOLOGICAL ECOSYSTEMS FOR ENHANCING MULTICULTURALITY, P494, DOI 10.1145/3362789.3362938; Nizetic S, 2019, J CLEAN PROD, V231, P565, DOI 10.1016/j.jclepro.2019.04.397; Ocetkiewicz I, 2017, RENEW SUST ENERG REV, V80, P92, DOI 10.1016/j.rser.2017.05.144; Sanjaya LA, 2019, AIP CONF PROC, V2169, DOI 10.1063/1.5132649; Siksnelyte I, 2018, ENERGIES, V11, DOI 10.3390/en11102754</t>
  </si>
  <si>
    <t>AMER INST PHYSICS</t>
  </si>
  <si>
    <t>MELVILLE</t>
  </si>
  <si>
    <t>2 HUNTINGTON QUADRANGLE, STE 1NO1, MELVILLE, NY 11747-4501 USA</t>
  </si>
  <si>
    <t>0094-243X</t>
  </si>
  <si>
    <t>978-0-7354-4064-7</t>
  </si>
  <si>
    <t>AIP CONF PROC</t>
  </si>
  <si>
    <t>10.1063/5.0037528</t>
  </si>
  <si>
    <t>Education, Scientific Disciplines; Physics, Applied; Physics, Multidisciplinary</t>
  </si>
  <si>
    <t>Education &amp; Educational Research; Physics</t>
  </si>
  <si>
    <t>BR6UM</t>
  </si>
  <si>
    <t>WOS:000664194800036</t>
  </si>
  <si>
    <t>Karpudewan, M; Ponniah, J; Zain, ANM</t>
  </si>
  <si>
    <t>Karpudewan, Mageswary; Ponniah, Jamunah; Zain, Ahmad Nurulazam Md.</t>
  </si>
  <si>
    <t>Project-Based Learning: An Approach to Promote Energy Literacy Among Secondary School Students</t>
  </si>
  <si>
    <t>ASIA-PACIFIC EDUCATION RESEARCHER</t>
  </si>
  <si>
    <t>Energy literacy; Project-based learning; Secondary school students</t>
  </si>
  <si>
    <t>Globalization, rapid industrial development, and tremendous population growth have significantly increased the demand for energy. Sustaining the energy supply requires that society be energy literate. Existing studies on secondary school students' energy literacy suggest that effective teaching approaches can enhance energy literacy. This quasi-experimental study was designed to test the null hypotheses that project-based energy learning does not enhance knowledge, attitudes, behavior, and beliefs related to energy. For this purpose, two classes from a school were assigned to experimental and control groups. Following the intervention, an ANCOVA analysis with the pretest results as the covariate showed statistically significant differences in the four aspects that were researched. Additionally, interviews with randomly selected students from the experimental and control groups further support the findings. Implications of the findings are discussed.</t>
  </si>
  <si>
    <t>[Karpudewan, Mageswary; Ponniah, Jamunah; Zain, Ahmad Nurulazam Md.] Univ Sains Malaysia, Sch Educ Studies, George Town 11800, Malaysia</t>
  </si>
  <si>
    <t>Universiti Sains Malaysia</t>
  </si>
  <si>
    <t>Karpudewan, M (corresponding author), Univ Sains Malaysia, Sch Educ Studies, George Town 11800, Malaysia.</t>
  </si>
  <si>
    <t>mageswary_karpudewan@yahoo.com; sujam87@yahoo.com.my; anmz@usm.my</t>
  </si>
  <si>
    <t>Karpudewan, Mageswary/E-2947-2012</t>
  </si>
  <si>
    <t>Karpudewan, Mageswary/0000-0001-8669-504X</t>
  </si>
  <si>
    <t>Universiti Sains Malaysia's Delivering of Excellence Grant [1002/PGURU/910334]</t>
  </si>
  <si>
    <t>Universiti Sains Malaysia's Delivering of Excellence Grant</t>
  </si>
  <si>
    <t>This work was supported by Universiti Sains Malaysia's Delivering of Excellence Grant [1002/PGURU/910334].</t>
  </si>
  <si>
    <t>[Anonymous], 2014, ANN EN OUTL 2014; [Anonymous], 2000, J ENVIRON EDUC, DOI [DOI 10.1080/00958960009598640, 10.1080/00958960009598640]; [Anonymous], 2015, OUTL EN VIEW 2040; [Anonymous], 2005, The Journal of Environmental Education, DOI [10.3200/JOEE.36.3.39-50, DOI 10.3200/JOEE.36.3.39-50]; [Anonymous], INTERDISCIPLINARY J; Baumgartner E, 2008, ENVIRON EDUC RES, V14, P97, DOI 10.1080/13504620801951640; Bereiter C, 2000, PROBLEM-BASED LEARNING, P185; Brounen D., 2012, Residential Energy Literacy and Conservation; Cakici Y., 2013, TOJSAT, V3, P9; CDC, 2002, CURR SPEC SCI FORM 2; Cook TD, 2002, EXPT QUASI EXPT DESI, P1; Creswell J.W., 2010, SAGE HDB MIXED METHO, V2, P45, DOI [DOI 10.4135/9781506335193.N2, 10.4135/9781506335193, DOI 10.4135/9781506335193]; DeWaters J. E., 2011, P FRONT ED C FIE; DeWaters J. E., 2008, 38 ASEE IEEE FRONT E; DeWaters J, 2013, J ENVIRON EDUC, V44, P38, DOI 10.1080/00958964.2012.711378; Dewey, 1997, EXPERIENCE ED; Ernst J.V., 2007, The Technology Teacher, V66, P16; Fah L. Y., 2012, OIDA Int. J. Sustain. Dev., V3, P75; Fien J., 2002, YOUNG PEOPLE ENV ASI, V1; Fishbein M., 1980, UNDERSTANDING ATTITU; Gay L.R., 2003, ED RES COMPETENCIES; Geier R, 2008, J RES SCI TEACH, V45, P922, DOI 10.1002/tea.20248; Han SY, 2015, INT J SCI MATH EDUC, V13, P1089, DOI 10.1007/s10763-014-9526-0; Karpudewan M, 2015, ASIA-PAC EDUC RES, V24, P35, DOI 10.1007/s40299-013-0156-z; Karpudewan M, 2015, INT J SCI EDUC, V37, P31, DOI 10.1080/09500693.2014.958600; Karpudewan M, 2012, ENVIRON EDUC RES, V18, P375, DOI 10.1080/13504622.2011.622841; KeTTHA, 2009, CTR ED TRAIN REN EN; Kilinc A., 2008, INT J ENV SCI ED, V3, P89; Kilpatrick W.H., 1918, TEACH COLL REC, V19, P319; Lay Y.-F., 2013, International Journal of Environmental ve Science Education, V8, P199; Lee LS, 2015, ENERG POLICY, V76, P98, DOI 10.1016/j.enpol.2014.11.012; Markham T., 2003, PROJECT BASED LEARNI; Ozvoldová M, 2013, PROCD SOC BEHV, V89, P5, DOI 10.1016/j.sbspro.2013.08.800; Richardson V., 2003, Teacher beliefs and classroom performance: The impact of teacher education, P1, DOI DOI 10.1093/OBO/9780199756810-0276; Stix A., 2006, TEACHERS CLASSROOM C; Thomas J.W., 2000, REV RES PBL; Tseng KH, 2013, INT J TECHNOL DES ED, V23, P87, DOI 10.1007/s10798-011-9160-x; Walker A, 2009, INTERDIS J PROBL-BAS, V3, P12, DOI 10.7771/1541-5015.1061</t>
  </si>
  <si>
    <t>SPRINGER HEIDELBERG</t>
  </si>
  <si>
    <t>HEIDELBERG</t>
  </si>
  <si>
    <t>TIERGARTENSTRASSE 17, D-69121 HEIDELBERG, GERMANY</t>
  </si>
  <si>
    <t>0119-5646</t>
  </si>
  <si>
    <t>2243-7908</t>
  </si>
  <si>
    <t>ASIA-PAC EDUC RES</t>
  </si>
  <si>
    <t>Asia-Pac. Educ. Res.</t>
  </si>
  <si>
    <t>10.1007/s40299-015-0256-z</t>
  </si>
  <si>
    <t>DH9SQ</t>
  </si>
  <si>
    <t>WOS:000373136600005</t>
  </si>
  <si>
    <t>Alomari, MM; EL-Kanj, H; Topal, A; Alshdaifat, NI</t>
  </si>
  <si>
    <t>Alomari, Majdi M.; EL-Kanj, Hania; Topal, Ayse; Alshdaifat, Nafesah I.</t>
  </si>
  <si>
    <t>Exploring the impact of the COVID-19 pandemic on energy literacy and conservation behavior in academic buildings of Kuwait</t>
  </si>
  <si>
    <t>Energy literacy; Energy conservation behavior; Kuwaiti university occupants; COVID-19 pandemic</t>
  </si>
  <si>
    <t>CONSUMPTION; AWARENESS</t>
  </si>
  <si>
    <t>This study investigates the impact of the COVID-19 pandemic on energy literacy and conservation behavior among occupant groups in academic buildings in Kuwait. It explores influential factors, focusing on the pandemic's effect on attitudes, intentions, and behaviors related to energy conservation. The research adopts a mixed-methods approach, incorporating quantitative and qualitative data collection methods. Participants, including students, faculty, and staff, completed surveys, participated in questionnaires, focus groups, and took part in interviews. Statistical tests are used to validate the survey data, while thematic analysis is applied to the qualitative data. The findings of the research showed that COVID-19 had a significant impact on participants' attitudes, intentions, and behavior regarding energy literacy and conservation. Specifically, the student group experienced a significant increase in the relationship between their intentions and behavior, while the faculty group exhibited a strong correlation between intention and behavior. The study also found that education, awareness, personal motivation, values, religiosity, and culture were all crucial factors in promoting energy literacy and conservation behavior. The study recommends specific educational interventions, fostering a culture of conservation, providing access to information and resources, promoting community engagement, incorporating religiosity, and improving policies and infrastructure to enhance energy literacy in academic buildings. Additionally, the study highlights the importance of tailored educational interventions that consider the specific needs and challenges of different occupant groups and suggests incorporating religious perspectives to align with the cultural and religious context of the Kuwaiti population. The study's findings offer comprehensive insights into the impact of unforeseen events, such as pandemics, on energy literacy and conservation behavior. These insights have practical implications for policymaking and implementation. Future research could explore the effectiveness of various educational interventions and examine the role of social and cultural factors in shaping energy literacy and behavior.</t>
  </si>
  <si>
    <t>[Alomari, Majdi M.; EL-Kanj, Hania] Australian Univ AU, Elect Engn Dept, Mishref 40005, Kuwait; [Topal, Ayse] Nigde Omer Halisdemir Univ, Business Dept, TR-51240 Nigde, Turkiye; [Alshdaifat, Nafesah I.] JoVision, D-22083 Hamburg, Germany</t>
  </si>
  <si>
    <t>Nigde Omer Halisdemir University</t>
  </si>
  <si>
    <t>Alomari, MM (corresponding author), Australian Univ AU, Elect Engn Dept, Mishref 40005, Kuwait.</t>
  </si>
  <si>
    <t>m.alomari@au.edu.kw</t>
  </si>
  <si>
    <t>Topal, Ayse/AAH-2633-2020</t>
  </si>
  <si>
    <t>Topal, Ayse/0000-0003-1882-4545</t>
  </si>
  <si>
    <t>Kuwait Foundation for the Advancement of Sciences (KFAS) , Kuwait [PN19-15 EM-02]</t>
  </si>
  <si>
    <t>Kuwait Foundation for the Advancement of Sciences (KFAS) , Kuwait(Kuwait Foundation for the Advancement of Sciences (KFAS))</t>
  </si>
  <si>
    <t>This project was fully funded by the Kuwait Foundation for the Advancement of Sciences (KFAS) , Kuwait under project code PN19-15 EM-02.</t>
  </si>
  <si>
    <t>Ababneh OMA, 2021, J ENVIRON PLANN MAN, V64, P1204, DOI 10.1080/09640568.2020.1814708; Abdullah S, 2020, SCI TOTAL ENVIRON, V729, DOI 10.1016/j.scitotenv.2020.139022; Akitsu Y., 2017, Int. J. Environ. Sci. Educ., V12, P1067; Aleixo AM, 2018, J CLEAN PROD, V172, P1664, DOI 10.1016/j.jclepro.2016.11.010; Ali Q, 2021, ENVIRON SCI POLLUT R, V28, P56199, DOI 10.1007/s11356-021-14612-z; Alomari M.M., 2022, Int. J. Appl. Manag. Appl. Sci., V8, P33; Alomari M.M., 2021, Int. J. Energy Econ. Pol., V11, P219; Alomari MM, 2022, SUSTAIN ENERGY TECHN, V52, DOI 10.1016/j.seta.2022.102198; Arora Naveen Kumar, 2020, Environ Sustain (Singap), V3, P117, DOI [10.1007/s42398-020-00111-3, 10.1007/s42398-020-00107-z]; BACON DR, 1995, EDUC PSYCHOL MEAS, V55, P394, DOI 10.1177/0013164495055003003; Ben Hassen T, 2021, SUSTAINABILITY-BASEL, V13, DOI 10.3390/su13158617; Braun V, 2006, QUAL RES PSYCHOL, V3, P77, DOI [DOI 10.1191/1478088706QP063OA, 10.1191/1478088706qp063oa]; Brounen D, 2013, ENERG ECON, V38, P42, DOI 10.1016/j.eneco.2013.02.008; Burlea-Schiopoiu A, 2021, J CLEAN PROD, V294, DOI 10.1016/j.jclepro.2021.126333; Capstick S, 2015, WIRES CLIM CHANGE, V6, P35, DOI 10.1002/wcc.321; Chen CF, 2020, ENERGY RES SOC SCI, V68, DOI 10.1016/j.erss.2020.101688; Choi JJ, 2021, J HOSP LEIS SPORT TO, V29, DOI 10.1016/j.jhlste.2021.100336; Cihan P, 2022, INT J ELEC POWER, V134, DOI 10.1016/j.ijepes.2021.107369; Cotton DRE, 2015, INT J SUST HIGHER ED, V16, P456, DOI 10.1108/IJSHE-12-2013-0166; Cvetkovic D, 2021, ENERG BUILDINGS, V230, DOI 10.1016/j.enbuild.2020.110532; D'Este P, 2011, J TECHNOL TRANSFER, V36, P316, DOI 10.1007/s10961-010-9153-z; DArco M., 2022, Micro &amp; Macro Mark., V31, P167; Daryanto A, 2022, PERS INDIV DIFFER, V187, DOI 10.1016/j.paid.2021.111415; Demeo A. E., 2013, J. Sustain. Educ., V4, P1; DeWaters JE, 2011, ENERG POLICY, V39, P1699, DOI 10.1016/j.enpol.2010.12.049; Dutta A., 2020, International Journal of Scientific and Research Publications, V10, P604, DOI [10.29322/IJSRP.10.05.2020.p10169, DOI 10.29322/IJSRP.10.05.2020.P10169]; Ekawati N., 2023, Uncertain Supply Chain Manag, V11, P289, DOI [10.5267/j.uscm.2022.9.014, DOI 10.5267/J.USCM.2022.9.014]; El Zowalaty Mohamed E., 2020, Infection Ecology &amp; Epidemiology, V10, P1768023, DOI 10.1080/20008686.2020.1768023; El-Kanj H.I., 2022, Int. J. Appl. Eng. Res, V7, P1; Elshaer IA, 2022, INT J ENV RES PUB HE, V19, DOI 10.3390/ijerph19010247; FORNELL C, 1981, J MARKETING RES, V18, P39, DOI 10.2307/3151312; Geraldi MS, 2021, SUSTAIN CITIES SOC, V69, DOI 10.1016/j.scs.2021.102823; GUEST G., 2012, Applied thematic analysis, DOI 10.4135/9781483384436; Hair Jr J. F., 2017, INT J MULTIVARIATE D, V1, P107, DOI [10.1504/IJMDA.2017.087624, DOI 10.1504/IJMDA.2017.087624]; Hsu CL, 2022, INFORM MANAGE-AMSTER, V59, DOI 10.1016/j.im.2022.103602; Isik C, 2021, ENVIRON SCI POLLUT R, V28, P32648, DOI 10.1007/s11356-021-12993-9; Isik C, 2019, ENVIRON SCI POLLUT R, V26, P10846, DOI 10.1007/s11356-019-04514-6; Jowell A, 2020, AM J TROP MED HYG, V103, P31, DOI 10.4269/ajtmh.20-0419; Jribi S, 2020, ENVIRON DEV SUSTAIN, V22, P3939, DOI 10.1007/s10668-020-00740-y; Jung JS, 2021, STUD HIGH EDUC, V46, P107, DOI 10.1080/03075079.2020.1859685; Kefalaki M, 2021, J UNIV TEACH LEARN P, V18; Kim J, 2022, INT J CONSUM STUD, V46, P558, DOI 10.1111/ijcs.12700; Lee LS, 2019, ENERG POLICY, V135, DOI 10.1016/j.enpol.2019.111005; Lee YF, 2022, ENVIRON EDUC RES, V28, P907, DOI 10.1080/13504622.2022.2034752; Li H., 2023, Journal of Environmental Planning and Management, P1; Lieven T, 2021, SUSTAINABILITY-BASEL, V13, DOI 10.3390/su132413839; Liu HB, 2022, ENERGY REP, V8, P11810, DOI 10.1016/j.egyr.2022.08.231; Lopez-Leon S, 2021, SCI REP-UK, V11, DOI [10.1038/s41598-021-95565-8, 10.21203/rs.3.rs-266574/v1, 10.1101/2021.01.27.21250617]; Lowan-Trudeau G, 2022, AUST J ENVIRON EDUC, V38, P58, DOI 10.1017/aee.2021.15; Lucarelli C, 2020, SUSTAINABILITY-BASEL, V12, DOI 10.3390/su122410556; Massari S, 2022, SOCIO-ECON PLAN SCI, V82, DOI 10.1016/j.seps.2021.101143; Matiiuk Y, 2023, J CLEAN PROD, V395, DOI 10.1016/j.jclepro.2023.136433; McColl K, 2022, INT J ENV RES PUB HE, V19, DOI 10.3390/ijerph19010436; Milfont TL, 2022, J ENVIRON PSYCHOL, V79, DOI 10.1016/j.jenvp.2021.101751; Mofa, 2022, Kuwait Vision 2035; Opoku RA, 2023, CLEAN RESPONS CONSUM, V8, DOI 10.1016/j.clrc.2023.100100; Orellano A, 2020, SUSTAINABILITY-BASEL, V12, DOI 10.3390/su12197901; Pop RA, 2022, J BUS ECON MANAG, V23, P668, DOI 10.3846/jbem.2022.16959; Reis IFG, 2021, ENERG EFFIC, V14, DOI 10.1007/s12053-021-09952-1; Rohmatulloh R., 2021, P E3S WEB C; Rousseau S, 2020, ENVIRON RESOUR ECON, V76, P1149, DOI 10.1007/s10640-020-00445-w; Sajid KS, 2022, FRONT PSYCHOL, V13, DOI 10.3389/fpsyg.2022.826870; Schwander-Maire F, 2022, FRONT PSYCHIATRY, V13, DOI 10.3389/fpsyt.2022.903946; Severo EA, 2021, J CLEAN PROD, V286, DOI 10.1016/j.jclepro.2020.124947; Shakil MH, 2020, SCI TOTAL ENVIRON, V745, DOI 10.1016/j.scitotenv.2020.141022; Shi DX, 2019, EDUC PSYCHOL MEAS, V79, P310, DOI 10.1177/0013164418783530; Shulman Deborah, 2022, Curr Res Ecol Soc Psychol, V3, P100031, DOI 10.1016/j.cresp.2021.100031; Somerwill L, 2022, ENVIRON SCI EUR, V34, DOI 10.1186/s12302-022-00596-1; Timpanaro G, 2022, J AGR FOOD RES, V10, DOI 10.1016/j.jafr.2022.100385; Todeschi V, 2022, SUSTAIN CITIES SOC, V82, DOI 10.1016/j.scs.2022.103896; Valenzuela-Fernández L, 2022, SUSTAINABILITY-BASEL, V14, DOI 10.3390/su141912754; Yoshino H, 2017, ENERG BUILDINGS, V152, P124, DOI 10.1016/j.enbuild.2017.07.038; Zambrano-Monserrate MA, 2020, SCI TOTAL ENVIRON, V728, DOI 10.1016/j.scitotenv.2020.138813; Zebardast L, 2022, SCI TOTAL ENVIRON, V811, DOI 10.1016/j.scitotenv.2021.151436; Zhong S, 2021, SCI TOTAL ENVIRON, V757, DOI 10.1016/j.scitotenv.2020.143761; Zhou S., 2022, Front. Psychol., V13, P8177</t>
  </si>
  <si>
    <t>CELL PRESS</t>
  </si>
  <si>
    <t>50 HAMPSHIRE ST, FLOOR 5, CAMBRIDGE, MA 02139 USA</t>
  </si>
  <si>
    <t>e21474</t>
  </si>
  <si>
    <t>10.1016/j.heliyon.2023.e21474</t>
  </si>
  <si>
    <t>Z3GI2</t>
  </si>
  <si>
    <t>WOS:001110986400001</t>
  </si>
  <si>
    <t>Fauville, G; Voski, A; Mado, M; Bailenson, JN; Lantz-Andersson, A</t>
  </si>
  <si>
    <t>Fauville, Geraldine; Voski, Anais; Mado, Marijn; Bailenson, Jeremy N.; Lantz-Andersson, Annika</t>
  </si>
  <si>
    <t>Underwater virtual reality for marine education and ocean literacy: technological and psychological potentials</t>
  </si>
  <si>
    <t>Underwater virtual reality; ocean literacy; marine education; virtual dive; awe; psychological distance; emotions; affect; virtual reality; SDG 14: Life below water</t>
  </si>
  <si>
    <t>CONSTRUAL-LEVEL THEORY; CLIMATE-CHANGE; FLOW EXPERIENCE; AWE; ENVIRONMENTS; PERCEPTION; SELF; CONNECTEDNESS; DETERMINANTS; CONNECTION</t>
  </si>
  <si>
    <t>Given the crucial role the ocean plays in human and planetary health, ocean literacy (OL)-understanding the ocean's influence on us and our influence on the ocean-has been gaining momentum as a significant component and determinant of sustainable human-ocean interactions. Underwater virtual reality (UVR) enables participants to take a virtual dive while being simultaneously immersed in water. Through this unique double immersion, UVR is offering new avenues of psychological access and pedagogical opportunities toward the ocean; this study is thus the first to explore UVR's potential for OL and marine environmental education. Following two UVR activities in a pool, we conducted semi-structured interviews and survey questionnaires with 19 marine scientists and education experts. Our findings indicate UVR has important technological and psychological potentials, including (1) high levels of presence, (2) infrequency of motion sickness, and (3) the ability to trigger powerful emotions and affective states such as awe, empathy, and flow. In this way, UVR can create a realistic experience of the ocean that improves OL and reduces psychological distance to marine environmental issues. We also advance a new seven-dimensional OL framework, following our findings that UVR has unique potentials for improving 'emoceans', attitude, awareness, and ocean connectedness.</t>
  </si>
  <si>
    <t>[Fauville, Geraldine; Lantz-Andersson, Annika] Univ Gothenburg, Dept Educ Commun &amp; Learning, Gothenburg, Sweden; [Voski, Anais] Stanford Univ, Doerr Sch Sustainabil, Stanford, CA USA; [Mado, Marijn; Bailenson, Jeremy N.] Stanford Univ, Dept Commun, Stanford, CA USA</t>
  </si>
  <si>
    <t>University of Gothenburg; Stanford University; Stanford University</t>
  </si>
  <si>
    <t>Voski, Anais/0000-0002-0740-6674; Lantz-Andersson, Annika/0000-0002-0981-3716</t>
  </si>
  <si>
    <t>Ahn SJG, 2016, J COMPUT-MEDIAT COMM, V21, P399, DOI 10.1111/jcc4.12173; Ahn SJ, 2014, COMPUT HUM BEHAV, V39, P235, DOI 10.1016/j.chb.2014.07.025; Almroth BC, 2022, ONE EARTH, V5, P1070, DOI 10.1016/j.oneear.2022.09.012; [Anonymous], 2019, PISA 2018 RESULTS VO, DOI [DOI 10.1787/B5FD1B8F-EN, 10.1787/b5fd1b8f-en]; Ardoin NM, 2013, ENVIRON EDUC RES, V19, P499, DOI 10.1080/13504622.2012.709823; Arendt F, 2016, ENVIRON COMMUN, V10, P453, DOI 10.1080/17524032.2014.993415; Bai Y, 2017, J PERS SOC PSYCHOL, V113, P185, DOI 10.1037/pspa0000087; Bailenson J., 2018, EXPERIENCE DEMAND WH; Bailey JO, 2015, ENVIRON BEHAV, V47, P570, DOI 10.1177/0013916514551604; Ballantyne R., 2004, GeoJournal, V60, P159, DOI [DOI 10.1023/B:GEJO.0000033579.19277.FF, https://doi.org/10.1023/B:GEJO.0000033579.19277.ff]; Bamberg S, 2007, J ENVIRON PSYCHOL, V27, P14, DOI 10.1016/j.jenvp.2006.12.002; Barbas TA, 2009, LEARN MEDIA TECHNOL, V34, P61, DOI 10.1080/17439880902759943; Berenguer J, 2007, ENVIRON BEHAV, V39, P269, DOI 10.1177/0013916506292937; Blythe J, 2021, PEOPLE NAT, V3, P1284, DOI 10.1002/pan3.10253; Braun V, 2006, QUAL RES PSYCHOL, V3, P77, DOI [DOI 10.1191/1478088706QP063OA, 10.1191/1478088706qp063oa]; Braun V, 2022, QUAL PSYCHOL, V9, P3, DOI 10.1037/qup0000196; Braun V, 2019, QUAL RES SPORT EXERC, V11, P589, DOI 10.1080/2159676X.2019.1628806; Bray BJ., 2013, International Journal of Innovative Interdisciplinary Research, V2, P27; Brennan C, 2019, FRONT MAR SCI, V6, DOI 10.3389/fmars.2019.00360; Breves P, 2021, COMPUT HUM BEHAV, V115, DOI 10.1016/j.chb.2020.106606; Brosch T, 2021, CURR OPIN BEHAV SCI, V42, P15, DOI 10.1016/j.cobeha.2021.02.001; Brosch T, 2013, SWISS MED WKLY, V143, DOI 10.4414/smw.2013.13786; Brügger A, 2016, J ENVIRON PSYCHOL, V46, P125, DOI 10.1016/j.jenvp.2016.04.004; Calogiuri G, 2023, J ENVIRON PSYCHOL, V90, DOI 10.1016/j.jenvp.2023.102102; Cava F., 2005, Science Content and Standards for Ocean Literacy: A Report on Ocean Literacy, P1; Chen H, 2006, COMPUT HUM BEHAV, V22, P221, DOI 10.1016/j.chb.2004.07.001; CHEUNG BSK, 1990, EXP BRAIN RES, V81, P391; Clayton S, 2015, NAT CLIM CHANGE, V5, P640, DOI [10.1038/NCLIMATE2622, 10.1038/nclimate2622]; Cooley S., 2022, Climate change 2022: impacts, adaptation, P379, DOI [DOI 10.1017/9781009325844.005, 10.1017/9781009325844.005]; Costello C, 2020, NATURE, V588, P95, DOI 10.1038/s41586-020-2616-y; Csikszentmihalyi M., 1990, FLOW PSYCHOL OPTIMAL; Eddy TD, 2014, MAR POLICY, V46, P61, DOI 10.1016/j.marpol.2014.01.004; EKMAN P, 1992, COGNITION EMOTION, V6, P169, DOI 10.1080/02699939208411068; Fauville G., 2019, Exemplary Practices in Marine Science Education: A Resource for Practitioners and Researchers, V9, P3, DOI DOI 10.1007/978-3-319-90778-9_1; Fauville G, 2021, SCI REP-UK, V11, DOI 10.1038/s41598-020-80100-y; Fauville G, 2021, ENVIRON EDUC RES, V27, P254, DOI 10.1080/13504622.2020.1803797; Fauville G, 2018, MAR POLICY, V91, P85, DOI 10.1016/j.marpol.2018.01.034; Flavián C, 2021, J HOSP MARKET MANAG, V30, P1, DOI 10.1080/19368623.2020.1770146; Fonseca D., 2016, Proceedings of the 20th International Mindtrek Conference, P287, DOI [DOI 10.1145/2994310.2994334, 10.1145/2994310.2994334]; Fortner R.W., 1985, The Journal of Environmental Education, V16, P12; FORTNER RW, 1985, J RES SCI TEACH, V22, P115, DOI 10.1002/tea.3660220203; Fredrickson BL, 2001, AM PSYCHOL, V56, P218, DOI 10.1037/0003-066X.56.3.218; Frijda N.H., 2009, OXFORD COMPANION EMO; Gallagher M, 2019, EUR J NEUROSCI, V50, P3557, DOI 10.1111/ejn.14499; Guest H, 2015, MAR POLICY, V58, P98, DOI 10.1016/j.marpol.2015.04.007; Hadjichambis A., 2020, Conceptualizing Environmental Citizenship for 21st Century Education, P237, DOI [DOI 10.1007/978-3-030-20249-1_15, 10.1007/978-3-030-20249-1_15, DOI 10.1007/978-3-030-20249-1]; Han PH, 2023, IEEE T VIS COMPUT GR, V29, P2670, DOI 10.1109/TVCG.2023.3247073; Hasler BS, 2017, PLOS ONE, V12, DOI 10.1371/journal.pone.0174965; Hatsushika D, 2018, OCEANS 2018 MTS/IEEE CHARLESTON; Heinze C, 2021, P NATL ACAD SCI USA, V118, DOI 10.1073/pnas.2008478118; Herrera F, 2018, PLOS ONE, V13, DOI 10.1371/journal.pone.0204494; Hinds J, 2008, J ENVIRON PSYCHOL, V28, P109, DOI 10.1016/j.jenvp.2007.11.001; Hoffman HG, 2004, J CLIN PSYCHOL, V60, P189, DOI 10.1002/jclp.10244; Hsin LJ, 2023, VIRTUAL REAL-LONDON, V27, P3345, DOI 10.1007/s10055-022-00688-6; Intergovernmental Oceanographic Commission, 2018, Revised Roadmap for the UN Decade of Ocean Science for Sustainable Development; Jacobs M. H., 2012, Human Dimensions of Wildlife, V17, P4, DOI [10.1080/10871209.2012.653674, 10.1080/10871209.2012.645123]; Jefferson RL, 2014, MAR POLICY, V43, P327, DOI 10.1016/j.marpol.2013.07.004; Joye Y, 2016, J ENVIRON PSYCHOL, V47, P112, DOI 10.1016/j.jenvp.2016.05.001; Kahn PH, 2009, CURR DIR PSYCHOL SCI, V18, P37, DOI 10.1111/j.1467-8721.2009.01602.x; Kals E, 1999, ENVIRON BEHAV, V31, P178, DOI 10.1177/00139169921972056; Keshavarz B, 2014, EXP BRAIN RES, V232, P827, DOI 10.1007/s00221-013-3793-9; Kim D, 2019, COMPUT HUM BEHAV, V93, P346, DOI 10.1016/j.chb.2018.12.040; Kollmuss A., 2002, ENVIRON EDUC RES, V8, P239, DOI [10.1080/13504620220145401, DOI 10.1080/13504620220145401]; Lang C, 2016, CLIMATIC CHANGE, V135, P625, DOI 10.1007/s10584-015-1590-0; Lavoie R, 2021, VIRTUAL REAL-LONDON, V25, P69, DOI 10.1007/s10055-020-00440-y; Li Y, 2011, PSYCHOL SCI, V22, P454, DOI 10.1177/0956797611400913; Linell P, 2009, ADV CULT PSYCHOL CON, P1; Longo SB, 2016, SOC PROBL, V63, P463, DOI 10.1093/socpro/spw023; Lubell M, 2002, ENVIRON BEHAV, V34, P431, DOI 10.1177/00116502034004002; Mach E., 1875, Grundlinien der Lehre von den Bewegungsempfindungen; Makransky G, 2022, EDUC PSYCHOL REV, V34, P1771, DOI 10.1007/s10648-022-09675-4; Makransky G, 2021, EDUC PSYCHOL REV, V33, P937, DOI 10.1007/s10648-020-09586-2; Makransky G, 2021, J EDUC PSYCHOL, V113, P719, DOI 10.1037/edu0000473; Markowitz DM, 2021, CURR OPIN PSYCHOL, V42, P60, DOI 10.1016/j.copsyc.2021.03.009; Mayer FS, 2004, J ENVIRON PSYCHOL, V24, P503, DOI 10.1016/j.jenvp.2004.10.001; McKinley E, 2023, MAR POLLUT BULL, V186, DOI 10.1016/j.marpolbul.2022.114467; McPherson K., 2018, Appl. Environ. Educ. Commun., V19, P129, DOI [10.1080/1533015X.2018.1533439, DOI 10.1080/1533015X.2018.1533439]; Moneta GB, 1996, J PERS, V64, P275, DOI 10.1111/j.1467-6494.1996.tb00512.x; Nagata Kazuma, 2017, Entertainment Computing - ICEC 2017. 16th IFIP TC 14 International Conference. Proceedings: LNCS 10507, P205, DOI 10.1007/978-3-319-66715-7_22; Nisbet EK, 2009, ENVIRON BEHAV, V41, P715, DOI 10.1177/0013916508318748; Nuojua S, 2022, J ENVIRON PSYCHOL, V81, DOI 10.1016/j.jenvp.2022.101814; Oh SY, 2016, COMPUT HUM BEHAV, V60, P398, DOI 10.1016/j.chb.2016.02.007; Onderdijk KE, 2021, FRONT PSYCHOL, V12, DOI 10.3389/fpsyg.2021.647929; Osone H., 2017, ACM SIGGRAPH 2017 PO, P1, DOI [https://doi.org/10.1145/3102163.3102232, DOI 10.1145/3102163.3102232]; Pazoto CE, 2022, OCEAN COAST MANAGE, V219, DOI 10.1016/j.ocecoaman.2022.106047; Pergams ORW, 2006, J ENVIRON MANAGE, V80, P387, DOI 10.1016/j.jenvman.2006.02.001; Piff PK, 2015, J PERS SOC PSYCHOL, V108, P883, DOI 10.1037/pspi0000018; Pimentel D., 2022, Learning in the Metaverse: A Guide for Practitioners Letter from the Authors; Pimentel D, 2022, J NAT CONSERV, V66, DOI 10.1016/j.jnc.2022.126151; Plechata A., 2022, Technology, Mind, and Behavior, V3, DOI [10.1037/tmb0000080, DOI 10.1037/TMB0000080]; PROVENZO EF, 1986, HIST EDUC QUART, V26, P647, DOI 10.2307/369036; Queiroz A.C. M., 2022, Technology, Mind, and Behavior, V3, DOI DOI 10.1037/TMB0000082; Restall B, 2015, J ENVIRON MANAGE, V159, P264, DOI 10.1016/j.jenvman.2015.05.022; Riva G, 2007, CYBERPSYCHOL BEHAV, V10, P45, DOI 10.1089/cpb.2006.9993; Riva G, 2018, ANN REV CYBERTHERAPY, V16, P3; Rudd M, 2012, PSYCHOL SCI, V23, P1130, DOI 10.1177/0956797612438731; Sanchez-Vives MV, 2005, NAT REV NEUROSCI, V6, P332, DOI 10.1038/nrn1651; Sandell K, 2010, ENVIRON EDUC RES, V16, P113, DOI 10.1080/13504620903504065; Sawe N, 2021, CURR OPIN BEHAV SCI, V42, P147, DOI 10.1016/j.cobeha.2021.08.002; Schoedinger S., 2010, NMEA Special Report, V3, P3; Schönfelder ML, 2018, ENVIRON EDUC RES, V24, P461, DOI 10.1080/13504622.2017.1283486; Schultz P.W., 2002, PSYCHOL SUSTAINABLE, DOI [DOI 10.1007/978-1-4615-0995-04, 10.1007/978-1-4615-0995-0_4, DOI 10.1007/978-1-4615-0995-0_4, 10.1007/978-1-4615-0995-04]; Schultz PW, 2004, J ENVIRON PSYCHOL, V24, P31, DOI 10.1016/S0272-4944(03)00022-7; Shume T., 2016, International Journal of Environmental and Science Education, V11, P5331; Skadberg YX, 2004, COMPUT HUM BEHAV, V20, P403, DOI 10.1016/S0747-5632(03)00050-5; Slater M, 1997, PRESENCE-VIRTUAL AUG, V6, P603, DOI 10.1162/pres.1997.6.6.603; Slater M, 2009, PHILOS T R SOC B, V364, P3549, DOI 10.1098/rstb.2009.0138; Spence A, 2011, NAT CLIM CHANGE, V1, P46, DOI [10.1038/NCLIMATE1059, 10.1038/nclimate1059]; Stasinakis P. K., 2021, Interdiscip. J. Environ. Sci. Educ., V17, pe2234, DOI [https://doi.org/10.21601/ijese/9336, DOI 10.21601/IJESE/9336]; Stenberdt VA, 2023, COMPUT EDUC, V198, DOI 10.1016/j.compedu.2023.104760; Stern PC, 2000, J SOC ISSUES, V56, P407, DOI 10.1111/0022-4537.00175; Susindar Sahinya, 2019, Proceedings of the Human Factors and Ergonomics Society Annual Meeting, V63, P252, DOI 10.1177/1071181319631509; Suter G, 2022, INTEGR ENVIRON ASSES, V18, P1117; Tau D, 2021, COMPUT HUM BEHAV REP, V3, DOI 10.1016/j.chbr.2021.100093; Trope Y, 2010, PSYCHOL REV, V117, P440, DOI 10.1037/a0018963; Tussyadiah IP, 2018, TOURISM MANAGE, V66, P140, DOI 10.1016/j.tourman.2017.12.003; van der Linden S, 2015, J ENVIRON PSYCHOL, V41, P112, DOI 10.1016/j.jenvp.2014.11.012; van Valkengoed AM, 2023, ONE EARTH, V6, P362, DOI 10.1016/j.oneear.2023.03.006; van Valkengoed AM, 2019, NAT CLIM CHANGE, V9, P158, DOI 10.1038/s41558-018-0371-y; Wang XM, 2023, J EDUC COMPUT RES, V60, P1942, DOI 10.1177/07356331221095162; Weech S, 2019, FRONT PSYCHOL, V10, DOI 10.3389/fpsyg.2019.00158; Wells N.M., 2006, Children, Youth and Environments, V16, P1, DOI [https://doi.org/10.1353/cye.2006.0031, DOI 10.1353/CYE.2006.0031, 10.1353/cye.2006.0031, DOI 10.7721/CHILYOUTENVI.16.1.0001]; Yaden DB, 2019, J POSIT PSYCHOL, V14, P474, DOI 10.1080/17439760.2018.1484940; Zeltzer D., 1992, Presence: Teleop. Virt. Environ., V1, P127, DOI DOI 10.1162/PRES.1992.1.1.127</t>
  </si>
  <si>
    <t>2024 MAR 7</t>
  </si>
  <si>
    <t>10.1080/13504622.2024.2326446</t>
  </si>
  <si>
    <t>LE6B2</t>
  </si>
  <si>
    <t>WOS:001185132300001</t>
  </si>
  <si>
    <t>Bialynicki-Birula, P; Makiela, K; Mamica, L</t>
  </si>
  <si>
    <t>Bialynicki-Birula, Pawel; Makiela, Kamil; Mamica, Lukasz</t>
  </si>
  <si>
    <t>Energy Literacy and Its Determinants among Students within the Context of Public Intervention in Poland</t>
  </si>
  <si>
    <t>energy literacy; energy policy; energy saving; energy self-efficacy</t>
  </si>
  <si>
    <t>KNOWLEDGE; ATTITUDE</t>
  </si>
  <si>
    <t>This paper presents the results of a survey concerning energy literacy conducted among a group of 913 students at the Cracow University of Economics in Poland-a country whose power system is still primarily based on burning coal and where the prospects of the closure of the mining sector present particularly difficult challenges. The aim of the study was to investigate specific aspects of energy literacy such as knowledge, behaviour, attitudes, and self-efficacy, and to determine what affects them using multivariate linear regression analysis. According to the findings, the primary factors determining energy literacy are gender, going away from home to study, and the experience of energy poverty. Self-efficacy, attitude, and the pro-ecological elements of both attitude and knowledge are the factors that have the most impact on students' behaviour. The absence of a statistically significant impact of general knowledge on behaviour is a critical presumption for developing the premises of an effective pro-environment energy strategy. Based on the data, we present a number of policy proposals, including informational activity as well as ways of influencing the emotional and behavioural domains.</t>
  </si>
  <si>
    <t>[Bialynicki-Birula, Pawel; Mamica, Lukasz] Cracow Univ Econ, Dept Publ Econ, Rakowicka 27, PL-31510 Krakow, Poland; [Makiela, Kamil] Cracow Univ Econ, Dept Econometr &amp; Operat Res, Rakowicka 27, PL-31510 Krakow, Poland</t>
  </si>
  <si>
    <t>Cracow University of Economics; Cracow University of Economics</t>
  </si>
  <si>
    <t>Mamica, L (corresponding author), Cracow Univ Econ, Dept Publ Econ, Rakowicka 27, PL-31510 Krakow, Poland.</t>
  </si>
  <si>
    <t>bialynip@uek.krakow.pl; makielak@uek.krakow.pl; mamical@uek.krakow.pl</t>
  </si>
  <si>
    <t>Makieła, Kamil/T-5786-2018; Bialynicki-Birula, Pawel/HNR-9392-2023</t>
  </si>
  <si>
    <t>Makieła, Kamil/0000-0003-1236-2423; Mamica, Lukasz/0000-0001-6823-8195</t>
  </si>
  <si>
    <t>[021/RID/2018/19]</t>
  </si>
  <si>
    <t>This project has been financed by the Minister of Education and Science within the Regional Initiative of Excellence Programme for 2019-2022. Project no.: 021/RID/2018/19. Total financing: 11 897 131.40 PLN.</t>
  </si>
  <si>
    <t>Abrahamse W., 2012, ENV PSYCHOL INTRO, P223, DOI DOI 10.1002/9781119241072.CH26; Allcott H, 2011, J PUBLIC ECON, V95, P1082, DOI 10.1016/j.jpubeco.2011.03.003; [Anonymous], 2013, NONPARAMETRIC STAT M; [Anonymous], 2019, International Energy Outlook; [Anonymous], 2011, ENV LITERACY SCI SOC; Blasch J., EMPOWER CONSUMER ENE; Boardman B., 1991, FUEL POVERTY COLD HO; Bouzarovski S, 2021, ENERGIES, V14, DOI 10.3390/en14040858; Chiu M.-S., 2018, J. Adv. Educ. Res., V3, P25, DOI [10.22606/jaer.2018.31003, DOI 10.22606/JAER.2018.31003]; Chodkowska-Miszczuk J, 2021, ENERGIES, V14, DOI 10.3390/en14092575; Cotton DRE, 2021, J CLEAN PROD, V278, DOI 10.1016/j.jclepro.2020.123876; Cotton DRE, 2018, ENVIRON EDUC RES, V24, P1611, DOI 10.1080/13504622.2017.1395394; Cotton DRE, 2015, INT J SUST HIGHER ED, V16, P456, DOI 10.1108/IJSHE-12-2013-0166; DeWaters J, 2013, J ENVIRON EDUC, V44, P38, DOI 10.1080/00958964.2012.711378; DeWaters JE, 2011, ENERG POLICY, V39, P1699, DOI 10.1016/j.enpol.2010.12.049; Eurostat, ENERGY CONSUMPTION U; Filippini M, 2020, ENVIRON DEV ECON, V25, P399, DOI 10.1017/S1355770X20000078; Golebiowska B, 2020, EKON SROD, V2, P121, DOI 10.34659/2020/2/20; Henni S, 2022, ENERG BUILDINGS, V266, DOI 10.1016/j.enbuild.2022.112116; Keller L, 2022, ENERGIES, V15, DOI 10.3390/en15031118; Kumar N., 2019, SSRN J, V19/312, DOI [10.2139/ssrn.3328468, DOI 10.2139/SSRN.3328468]; Lee LS, 2019, ENERG POLICY, V135, DOI 10.1016/j.enpol.2019.111005; Lee LS, 2017, ENVIRON EDUC RES, V23, P855, DOI 10.1080/13504622.2015.1068276; Lee LS, 2015, ENERG POLICY, V76, P98, DOI 10.1016/j.enpol.2014.11.012; Li P., 2015, INTEGRATIVE APPROACH, P97; Loo C.W., 2013, American Journal of Educational Research, V1, P86, DOI DOI 10.12691/EDUCATION-1-3-4; Mamica L, 2021, POLITYKA ENERGETYCZN, V24, P117, DOI [10.33223/epj/135830, DOI 10.33223/EPJ/135830]; Mamica L, 2021, ENERGIES, V14, DOI 10.3390/en14113233; Manowska A, 2017, RESOUR POLICY, V52, P192, DOI 10.1016/j.resourpol.2017.02.006; Martins A, 2020, ENERGY REP, V6, P243, DOI 10.1016/j.egyr.2020.11.117; Martins A, 2020, ENERGIES, V13, DOI 10.3390/en13133412; Martins A, 2020, ENERGY REP, V6, P454, DOI 10.1016/j.egyr.2019.09.007; Morris J, 2016, ENERG EFFIC, V9, P723, DOI 10.1007/s12053-015-9393-8; Mould R, 2017, ENERGY RES SOC SCI, V31, P21, DOI 10.1016/j.erss.2017.06.004; Ntona E, 2015, RENEW SUST ENERG REV, V46, P1, DOI 10.1016/j.rser.2015.02.033; O'Sullivan KC, 2017, SSM-POPUL HLTH, V3, P66, DOI 10.1016/j.ssmph.2016.12.006; Räty R, 2010, ENERG POLICY, V38, P646, DOI 10.1016/j.enpol.2009.08.010; Sovacool BK, 2015, ENVIRON SCI POLICY, V54, P304, DOI 10.1016/j.envsci.2015.07.011; Sweeney JC, 2013, ENERG POLICY, V61, P371, DOI 10.1016/j.enpol.2013.06.121; Tod AM, 2016, BMJ OPEN, V6, DOI 10.1136/bmjopen-2015-009636; Traczyk P, 2020, INT J ENV RES PUB HE, V17, DOI 10.3390/ijerph17176063; van den Broek KL, 2019, ENERGY RES SOC SCI, V57, DOI 10.1016/j.erss.2019.101256; Wang M, 2021, ENERGY REP, V7, P1084, DOI 10.1016/j.egyr.2021.09.163; Wood W, 2000, ANNU REV PSYCHOL, V51, P539, DOI 10.1146/annurev.psych.51.1.539; Yeh SC, 2017, SUSTAINABILITY-BASEL, V9, DOI 10.3390/su9030423</t>
  </si>
  <si>
    <t>10.3390/en15155368</t>
  </si>
  <si>
    <t>3S6AX</t>
  </si>
  <si>
    <t>WOS:000839678400001</t>
  </si>
  <si>
    <t>Brennan, C; Ashley, M; Molloy, O</t>
  </si>
  <si>
    <t>Brennan, Caroline; Ashley, Matthew; Molloy, Owen</t>
  </si>
  <si>
    <t>A System Dynamics Approach to Increasing Ocean Literacy</t>
  </si>
  <si>
    <t>ocean literacy; system dynamics; simulation based learning environment; SBLE; human-ocean systems</t>
  </si>
  <si>
    <t>ENVIRONMENTAL KNOWLEDGE; THINKING; DEFINITION</t>
  </si>
  <si>
    <t>Ocean Literacy (OL) has multiple aspects or dimensions: from knowledge about how the oceans work and our impact on them, to attitudes toward topics such as sustainable fisheries, and our behaviour as consumers, tourists, policy makers, fishermen, etc. The myriad ways in which individuals, society and the oceans interact result in complex dynamic systems, composed of multiple interlinked chains of cause and effect. To influence our understanding of these systems, and thereby increase our OL, means to increase our knowledge of our own and others' place and role in the web of interactions. Systems Thinking has a potentially important role to play in helping us to understand, explain and manage problems in the human-ocean relationship. Leaders in the OL field have recommended taking a systems approach in order to deal with the complexity of the human-ocean relationship. They contend that the inclusion of modelling and simulation will improve the effectiveness of educational initiatives. In this paper we describe a pilot study centred on a browser-based Simulation-Based Learning Environment (SBLE) designed for a general audience that uses System Dynamics simulation to introduce and reinforce systems-based OL learning. It uses a storytelling approach, by explaining the dynamics of coastal tourism through a System Dynamics model revealed in stages, supported by fact panels, pictures, simulation-based tasks, causal loop diagrams and quiz questions. Participants in the pilot study were mainly postgraduate students. A facilitator was available to participants at all times, as needed. The model is based on a freely available normalised coastal tourism model by Hartmut Bossel, converted to XMILE format. Through the identification and use of systems archetypes and general systems features such as feedback loops, we also tested for the acquisition of transferable skills and the ability to identify, apply or create sustainable solutions. Levels of OL were measured before and after interaction with the tool using pre- and post-survey questionnaires and interviews. Results showed moderate to very large positive effects on all the OL dimensions, which are also shown to be associated with predictors of behaviour change. These results provide motivation for further research.</t>
  </si>
  <si>
    <t>[Brennan, Caroline; Molloy, Owen] Natl Univ Ireland, Coll Engn &amp; Informat, Discipline Informat Technol, Galway, Ireland; [Ashley, Matthew] Univ Plymouth, Sch Biol &amp; Marine Sci, Plymouth, Devon, England</t>
  </si>
  <si>
    <t>Ollscoil na Gaillimhe-University of Galway; University of Plymouth</t>
  </si>
  <si>
    <t>Brennan, C (corresponding author), Natl Univ Ireland, Coll Engn &amp; Informat, Discipline Informat Technol, Galway, Ireland.</t>
  </si>
  <si>
    <t>caroline.brennan@nuigaiway.ie</t>
  </si>
  <si>
    <t>ashley, matt/GRX-8546-2022</t>
  </si>
  <si>
    <t>Molloy, Owen/0000-0002-8781-9742; Green, Caroline/0000-0003-4811-5192</t>
  </si>
  <si>
    <t>EU Horizon 2020 Framework Programme for Research and Innovation [652643]; H2020 Societal Challenges Programme [652643] Funding Source: H2020 Societal Challenges Programme</t>
  </si>
  <si>
    <t>EU Horizon 2020 Framework Programme for Research and Innovation; H2020 Societal Challenges Programme(Horizon 2020European Union (EU)H2020 Societal Challenges Programme)</t>
  </si>
  <si>
    <t>This research was carried out as part of the project ResponSEAble (Project No. 652643), funded by the EU Horizon 2020 Framework Programme for Research and Innovation.</t>
  </si>
  <si>
    <t>[Anonymous], DRIV PRESS STAT IMP; [Anonymous], 2007, System Zoo 2 Simulation Models: Climate, Ecosystems, Resources; [Anonymous], OC LIT ESS PRINC FUN; [Anonymous], 1998, NEW APPROACHES EVALU; [Anonymous], 2010, NMEA Special Report #3: The Ocean Literacy Campaign; [Anonymous], 1994, P INT SYST DYN C STE; [Anonymous], 2010, 3 NAT MAR ED ASS; Arnold RD, 2015, PROCEDIA COMPUT SCI, V44, P669, DOI 10.1016/j.procs.2015.03.050; Cohen, 1988, Statistical Power Analysis for the Behavioral Sciences, V2nd; Craik KennethJamesWilliams., 1967, NATURE EXPLANATION; Cronin MA, 2009, ORGAN BEHAV HUM DEC, V108, P116, DOI 10.1016/j.obhdp.2008.03.003; Diaz-Siefer P, 2015, SUSTAINABILITY-BASEL, V7, P15510, DOI 10.3390/su71115510; Elliott M, 2017, MAR POLLUT BULL, V118, P27, DOI 10.1016/j.marpolbul.2017.03.049; Fisher DM, 2011, SYST DYNAM REV, V27, P394, DOI 10.1002/sdr.473; Ford A., 1999, Modeling the Environment : an Introduction to System Dynamics Models of Environmental Systems; Forrester J. W., 1961, Industrial Dynamics; Forrester JW, 2007, SYST DYNAM REV, V23, P345, DOI 10.1002/sdr.382; Gobert JD, 2000, INT J SCI EDUC, V22, P891, DOI 10.1080/095006900416839; Green L, 1999, HLTH PROMOTION PLANN, P32; Johnson B., 2015, Sociln studia / Social Studies, V12, P97, DOI [DOI 10.5817/SOC2015-3-97, 10.5817/SOC2015-3-97]; Klöckner CA, 2013, GLOBAL ENVIRON CHANG, V23, P1028, DOI 10.1016/j.gloenvcha.2013.05.014; Kuhn T., 1962, STRUCTURE SCI REVOLU; Kukkonen J, 2018, SUSTAINABILITY-BASEL, V10, DOI 10.3390/su10114294; Landriscina F., 2013, Simulation and learning: A model-centered approach; Landriscina F., 2013, J FORMAZIONE RETE, V13, P68; Latif SA, 2013, PROCD SOC BEHV, V105, P866, DOI 10.1016/j.sbspro.2013.11.088; Meadows D., 2008, THINKING SYSTEMS PRI; Meadows D.H., 1976, The Limits to Growth; Moxnes E, 2009, CLIMATIC CHANGE, V93, P15, DOI 10.1007/s10584-008-9465-2; Ojala M, 2008, ENVIRON BEHAV, V40, P777, DOI 10.1177/0013916507308787; Paço A, 2017, J ENVIRON MANAGE, V197, P384, DOI 10.1016/j.jenvman.2017.03.100; Pahl S, 2017, ANAL METHODS-UK, V9, P1404, DOI 10.1039/c6ay02647h; Patricio J, 2016, FRONT MAR SCI, V3, DOI 10.3389/fmars.2016.00177; Rutten N, 2012, COMPUT EDUC, V58, P136, DOI 10.1016/j.compedu.2011.07.017; Smetana LK, 2012, INT J SCI EDUC, V34, P1337, DOI 10.1080/09500693.2011.605182; Sterman JD, 2002, SYST DYNAM REV, V18, P501, DOI 10.1002/sdr.261; Sterman J, 2012, SYST DYNAM REV, V28, P295, DOI 10.1002/sdr.1474; Sterman JD, 2011, CLIMATIC CHANGE, V108, P811, DOI 10.1007/s10584-011-0189-3; Sweeney LB, 2000, SYST DYNAM REV, V16, P249, DOI 10.1002/sdr.198; Umuhire ML, 2016, MAR POLLUT BULL, V102, P289, DOI 10.1016/j.marpolbul.2015.07.067; Whitmarsh L, 2010, J ENVIRON PSYCHOL, V30, P305, DOI 10.1016/j.jenvp.2010.01.003; Wolstenholme EF, 2003, SYST DYNAM REV, V19, P7, DOI 10.1002/sdr.259</t>
  </si>
  <si>
    <t>JUN 28</t>
  </si>
  <si>
    <t>10.3389/fmars.2019.00360</t>
  </si>
  <si>
    <t>IG0ML</t>
  </si>
  <si>
    <t>WOS:000473484700002</t>
  </si>
  <si>
    <t>Merritt, EG; Bowers, N; Rimm-Kaufman, SE</t>
  </si>
  <si>
    <t>Merritt, Eileen G.; Bowers, Nicole; Rimm-Kaufman, Sara E.</t>
  </si>
  <si>
    <t>Making connections: Elementary students' ideas about electricity and energy resources</t>
  </si>
  <si>
    <t>RENEWABLE ENERGY</t>
  </si>
  <si>
    <t>Energy literacy; Elementary science; Service-learning; Next generation science standards; Renewable energy resources; Climate literacy</t>
  </si>
  <si>
    <t>SECONDARY-SCHOOL STUDENTS; LEARNING PROGRESSION; MIDDLE; LITERACY; SCIENCE; CONCEPTIONS; YOUTH</t>
  </si>
  <si>
    <t>The development of energy literacy for all citizens is critical as we face climate change and rapid depletion of existing energy resources. This study explores energy literacy development in fourth grade classrooms. Our team developed a curriculum on energy resources aligned with the Next Generation Science Standards. We then trained teachers how to implement the program and support their students' engagement in a service-learning project related to energy conservation. We used qualitative methods to analyze students' open-ended responses from an energy literacy assessment. Students were familiar with solar, hydropower and wind energy, and suggested that solar energy should be used more in the future. Students were more easily able to explain energy transfer in wind turbines and solar panels than in other electricity production systems. Students learned important energy and natural resource concepts in the context of an environmental service-learning program. Discussion focuses on the importance of integrated science instruction that helps students see how their electricity use impacts the environment, and provides them with opportunities to take action. We also suggest important ways that renewable energy companies can contribute to energy and climate literacy initiatives. (C) 2019 The Authors. Published by Elsevier Ltd.</t>
  </si>
  <si>
    <t>[Merritt, Eileen G.; Bowers, Nicole] Arizona State Univ, Mary Lou Fulton Teachers Coll, Tempe, AZ 85287 USA; [Rimm-Kaufman, Sara E.] Univ Virginia, Curry Sch Educ, Charlottesville, VA 22903 USA</t>
  </si>
  <si>
    <t>Arizona State University; Arizona State University-Tempe; University of Virginia</t>
  </si>
  <si>
    <t>Merritt, EG (corresponding author), Arizona State Univ, Mary Lou Fulton Teachers Coll, Tempe, AZ 85287 USA.</t>
  </si>
  <si>
    <t>leenmerritt@gmail.com; nbowers1@asu.edu; serk@virginia.edu</t>
  </si>
  <si>
    <t>Merritt, Eileen/ABH-6775-2020</t>
  </si>
  <si>
    <t>Merritt, Eileen/0000-0001-8405-5225; Bowers, Nicole/0000-0001-9408-6885</t>
  </si>
  <si>
    <t>Institute of Education Sciences, U.S. Department of Education [R305A150272]</t>
  </si>
  <si>
    <t>Institute of Education Sciences, U.S. Department of Education(US Department of Education)</t>
  </si>
  <si>
    <t>This work was funded by a grant from the Institute of Education Sciences, U.S. Department of Education (R305A150272). The opinions expressed are those of the authors and do not represent the views of the funding agency. We would like to thank the teachers and students who worked with us to provide data and useful feedback on our program for this study. We also appreciate the contributions of Tracy Harkins, Joyce Tugel, Kristen Jones, Julie Thomas, Ashley Hunt, Tiffany Hwang and Anna Mcaloon to this work.</t>
  </si>
  <si>
    <t>Aguirre-Bielschowsky I, 2017, ENVIRON EDUC RES, V23, P832, DOI 10.1080/13504622.2015.1054267; Allen CD, 2015, J TEACH EDUC, V66, P136, DOI 10.1177/0022487114560646; Altuntas EC, 2018, RENEW ENERG, V116, P741, DOI 10.1016/j.renene.2017.09.034; Birmingham D, 2017, SCI EDUC, V101, P818, DOI 10.1002/sce.21293; Birmingham D, 2014, J RES SCI TEACH, V51, P286, DOI 10.1002/tea.21127; Bodzin AM, 2013, INT J SCI EDUC, V35, P1561, DOI 10.1080/09500693.2013.769139; Boylan C., 2017, International Electronic Journal of Elementary Education, V1, P1; Braun V, 2006, QUAL RES PSYCHOL, V3, P77, DOI [DOI 10.1191/1478088706QP063OA, 10.1191/1478088706qp063oa]; Campbell T., 2016, SCI TEACHER, V83, P69; Cawthorn M., 2011, Journal of Environmental Studies and Sciences, V1, P75, DOI [DOI 10.1007/S13412-011-0001-8, 10.1007/s13412- 011-0001-8]; Çelikler D, 2015, RENEW ENERG, V75, P649, DOI 10.1016/j.renene.2014.10.036; Chen R., 2016, TEACHING ENERGY SCI; Chi M.T.H., 1994, LEARN INSTR, V4, P27, DOI DOI 10.1016/0959-4752(94)90017-5; Chi MTH, 2005, J LEARN SCI, V14, P161, DOI 10.1207/s15327809jls1402_1; Chiaravalloti L.A., 2009, Voices from the Middle, V17, P24; Çoker B, 2010, PROCD SOC BEHV, V2, P1488, DOI 10.1016/j.sbspro.2010.03.223; Craig CA, 2015, UTIL POLICY, V35, P41, DOI 10.1016/j.jup.2015.06.011; Creswell JW, 2000, THEOR PRACT, V39, P124, DOI 10.1207/s15430421tip3903_2; DeWaters J, 2013, J ENVIRON EDUC, V44, P56, DOI 10.1080/00958964.2012.682615; DeWaters JE, 2011, ENERG POLICY, V39, P1699, DOI 10.1016/j.enpol.2010.12.049; Dimick AS, 2012, SCI EDUC, V96, P990, DOI 10.1002/sce.21035; Driver R., 2015, MAKING SENSE 2 SCI; Fell MJ, 2014, ENERG POLICY, V65, P351, DOI 10.1016/j.enpol.2013.10.003; Grissmer D. W., 2016, A guide to incorporating multiple methods in randomized controlled trials to assess intervention effects; Halder P, 2011, APPL ENERG, V88, P1233, DOI 10.1016/j.apenergy.2010.10.017; Herrmann-Abell CF, 2018, J RES SCI TEACH, V55, P68, DOI 10.1002/tea.21411; Hoolohan C, 2013, ENERG POLICY, V63, P1065, DOI 10.1016/j.enpol.2013.09.046; KIDS Consortium, 2011, KIDS PLANN GUID STRE; Marks HM, 2000, AM EDUC RES J, V37, P153, DOI 10.2307/1163475; Maxwell J.A., 2004, Educational Researcher, V33, P3, DOI [10.3102/0013189X033002003, DOI 10.3102/0013189X033002003]; Merritt E., 2017, Children, Youth and Environments, V27, P67, DOI [10.7721/chilyoutenvi.27.1.0067, DOI 10.7721/CHILYOUTENVI.27.1.0067]; Miles Matthew B., 2014, QUALITATIVE DATA ANA; National Research Council, 2012, FRAMEWORK K 12 SCI E; National Youth Leadership Council, 2008, K 12 SERV LEARN STAN; Neumann K, 2013, J RES SCI TEACH, V50, P162, DOI 10.1002/tea.21061; Newman JL, 2015, THEOR PRACT, V54, P47, DOI 10.1080/00405841.2015.977661; Nordine J., 2016, Teaching Energy Across the Sciences, K-12; Puttick G., 2010, J SUSTAIN ED, V8; Reiner M, 2000, COGNITION INSTRUCT, V18, P1, DOI 10.1207/S1532690XCI1801_01; Rule A., 2005, Journal of Geoscience Education, V53, P309, DOI DOI 10.5408/1089-9995-53.3.309; Schneller AJ, 2008, ENVIRON EDUC RES, V14, P291, DOI 10.1080/13504620802192418; Shea NA, 2016, J SCI TEACH EDUC, V27, P235, DOI 10.1007/s10972-016-9456-5; U. S. Department of Energy, 2014, EN LIT ESS PRINC FUN; Wals A.E.J., 2012, Shaping the Education of Tomorrow: 2012 Report on the Un Decade of Education for Sustainable Development, Abriged; Yao JX, 2017, INT J SCI EDUC, V39, P2361, DOI 10.1080/09500693.2017.1381356</t>
  </si>
  <si>
    <t>0960-1481</t>
  </si>
  <si>
    <t>1879-0682</t>
  </si>
  <si>
    <t>RENEW ENERG</t>
  </si>
  <si>
    <t>Renew. Energy</t>
  </si>
  <si>
    <t>10.1016/j.renene.2019.02.047</t>
  </si>
  <si>
    <t>Green &amp; Sustainable Science &amp; Technology; Energy &amp; Fuels</t>
  </si>
  <si>
    <t>Science &amp; Technology - Other Topics; Energy &amp; Fuels</t>
  </si>
  <si>
    <t>HU1SK</t>
  </si>
  <si>
    <t>WOS:000465051900097</t>
  </si>
  <si>
    <t>Lee, LS; Lee, YF; Wu, MJ; Pan, YJ</t>
  </si>
  <si>
    <t>Lee, Lung-Sheng; Lee, Yi-Fang; Wu, Ming-Jivan; Pan, Ying-Ju</t>
  </si>
  <si>
    <t>A study of energy literacy among nursing students to examine implications on energy conservation efforts in Taiwan</t>
  </si>
  <si>
    <t>Energy literacy; Nursing education; Energy conservation behavior; Energy affect; Energy knowledge</t>
  </si>
  <si>
    <t>PRO-ENVIRONMENTAL BEHAVIOR; CLIMATE-CHANGE; KNOWLEDGE; ATTITUDES; HEALTH; SUSTAINABILITY; EDUCATION; CRITERIA; GREEN; NEED</t>
  </si>
  <si>
    <t>Nurses' energy literacy should be developed during schooling to ensure their involvement in sustainable healthcare. In this study, we explored nursing students' energy literacy and the relationships among knowledge, affect, and behavior to understand their implications on energy conservation efforts in Taiwan. A revised Energy Literacy Questionnaire (ELQ) was administered to 1160 students in 13 nursing colleges in Taiwan. The descriptive analysis results revealed that 42.7% of the respondents answered more than half of the energy knowledge related questions correctly. They also indicated that the nursing students still heavily relied on their schools for acquisition of energy knowledge. The multiple regression analysis indicated that energy conservation behavior was closely and positively associated with energy affect in contrast to energy knowledge. Among all demographic factors, only economic status between the well-off' and the facing financial difficulty groups was significant for the students' energy conservation behavior. According to the results, related policy implications are further discussed.</t>
  </si>
  <si>
    <t>[Lee, Lung-Sheng; Pan, Ying-Ju] Cent Taiwan Univ Sci &amp; Technol, 666 Buzih Rd, Taichung 40601, Taiwan; [Lee, Yi-Fang] Natl Taiwan Normal Univ, Dept Ind Educ, 162 He Ping East Rd,Sect 1, Taipei 10610, Taiwan; [Wu, Ming-Jivan] Ming Chi Univ Technol, Dept Business &amp; Management, 84-15 Gungjuan Rd, New Taipei 24301, Taiwan</t>
  </si>
  <si>
    <t>Central Taiwan University Science &amp; Technology; National Taiwan Normal University; Ming Chi University of Technology</t>
  </si>
  <si>
    <t>Wu, MJ (corresponding author), Ming Chi Univ Technol, Dept Business &amp; Management, 84-15 Gungjuan Rd, New Taipei 24301, Taiwan.</t>
  </si>
  <si>
    <t>lungshenglee@gmail.com; ivana@ntnu.edu.tw; mjgrace@mail.mcut.edu.tw; lulu1017@gmail.com</t>
  </si>
  <si>
    <t>National Science Council [NSC 101-3113-S-003-013]; Energy Education Pilot Project of the Ministry of Education of Taiwan</t>
  </si>
  <si>
    <t>National Science Council(Ministry of Science and Technology, Taiwan); Energy Education Pilot Project of the Ministry of Education of Taiwan</t>
  </si>
  <si>
    <t>This study was supported by the National Science Council (project no. NSC 101-3113-S-003-013) and Energy Education Pilot Project of the Ministry of Education of Taiwan. The findings and opinions presented here do not necessarily reflect the viewpoints of the funding agencies.</t>
  </si>
  <si>
    <t>Adlong W, 2015, COLLEGIAN, V22, P19, DOI 10.1016/j.colegn.2013.10.003; Akitsu Y., 2017, Int. J. Environ. Sci. Educ., V12, P1067; Alvarez-Nieto C., 2017, Enfermeria Global, V16, P665, DOI DOI 10.6018/EGLOBAL.16.3; American Nurses Association (ANA), 2018, MEMB TAK ACT RED EFF; [Anonymous], 2000, J ENVIRON EDUC, DOI [DOI 10.1080/00958960009598640, 10.1080/00958960009598640]; Barna S, 2012, NURS EDUC TODAY, V32, P765, DOI 10.1016/j.nedt.2012.05.012; Bureau of Energy Ministry of Economic Affairs R.O.C, 2017, WHATS NEW KEEP TREND; Bureau of Energy Ministry of Economic Affairs R.O.C, 2016, EN STAT ANN REP EN S; Canadian Nurses Association (CNA), 2018, CLIM CHANG HLTH POS; Carmi N, 2015, J ENVIRON EDUC, V46, P183, DOI 10.1080/00958964.2015.1028517; Chang DS, 2018, SOC INDIC RES, V140, P287, DOI 10.1007/s11205-017-1761-7; Christian C., 2016, J ED SOC POLICY, V3, P13; Costello A, 2009, LANCET, V373, P1693, DOI [10.1016/S0140-6736(09)60935-1, 10.1016/S0140-6736(09)60929-6]; Cotton DRE, 2015, INT J SUST HIGHER ED, V16, P456, DOI 10.1108/IJSHE-12-2013-0166; De Leeuw A, 2015, J ENVIRON PSYCHOL, V42, P128, DOI 10.1016/j.jenvp.2015.03.005; Department of Statistics Ministry of Education Taiwan, 2016, ED STAT NEWSL, V60, P1; DeWaters J. E., 2007, P 2007 ASEE ANN C EX; DeWaters J, 2013, J ENVIRON EDUC, V44, P38, DOI 10.1080/00958964.2012.711378; DeWaters JE, 2011, ENERG POLICY, V39, P1699, DOI 10.1016/j.enpol.2010.12.049; Dias RA, 2004, ENERG POLICY, V32, P1339, DOI 10.1016/S0301-4215(03)00100-9; Dwyer C., 2011, Low Carbon Economy, V2, P123, DOI [10.4236/lce.2011.23016, DOI 10.4236/LCE.2011.23016]; Echegaray F, 2017, J CLEAN PROD, V142, P180, DOI 10.1016/j.jclepro.2016.05.064; Ek K, 2010, ENERG POLICY, V38, P1578, DOI 10.1016/j.enpol.2009.11.041; European Opinion Research Group, 2003, EN ISS OPT TECHN SCI; Fah L. Y., 2012, OIDA Int. J. Sustain. Dev., V3, P75; Gaspar R, 2011, ENERG POLICY, V39, P7335, DOI 10.1016/j.enpol.2011.08.057; Goldman D, 2017, ENVIRON EDUC RES, V23, P486, DOI 10.1080/13504622.2015.1108390; Goodman B, 2014, NURS EDUC TODAY, V34, P100, DOI 10.1016/j.nedt.2013.02.010; Goodman B, 2011, NURS EDUC TODAY, V31, P733, DOI 10.1016/j.nedt.2010.12.010; HAIDER P, 2011, APPL ENERG, V88, P1233; Haines A, 2006, PUBLIC HEALTH, V120, P585, DOI 10.1016/j.puhe.2006.01.002; Halder P, 2010, ENERG POLICY, V38, P3058, DOI 10.1016/j.enpol.2010.01.046; Harris N, 2009, HOLIST NURS PRACT, V23, P101, DOI 10.1097/HNP.0b013e3181a110fe; Hines J.M., 1987, J ENVIRON EDUC, V18, P1, DOI [DOI 10.1080/00958964.1987.9943482, 10.1080/00958964.1987.9943482]; Hungerford H., 2003, The Journal of Environmental Education, V34, P4; Hungerford H.R., 1990, J ENVIRON EDUC, V21, P8, DOI [DOI 10.1080/00958964.1990.10753743, 10.1080/00958964.1990.10753743]; Intelligent Energy Europe, 2009, EN ED CHANG THEIR HA; Jennings P, 2001, RENEW ENERG, V22, P113, DOI 10.1016/S0960-1481(00)00028-8; Jenson B.B., 2002, ENVIRON EDUC RES, V8, P325, DOI [DOI 10.1080/13504620220145474, 10.1080/13504620220145474]; Kandpal TC, 1999, APPL ENERG, V64, P71, DOI 10.1016/S0306-2619(99)00076-8; Kats G., 2003, The Costs and Financial Benefits of Green Buildings: A Report to California's Sustainable Building Task Force; Kirk M, 2002, NURS EDUC TODAY, V22, P60, DOI 10.1054/nedt.2001.0720; Kollmuss A., 2002, ENVIRON EDUC RES, V8, P239, DOI [10.1080/13504620220145401, DOI 10.1080/13504620220145401]; Larson LR, 2015, J ENVIRON PSYCHOL, V43, P112, DOI 10.1016/j.jenvp.2015.06.004; Latif SA, 2013, PROCD SOC BEHV, V105, P866, DOI 10.1016/j.sbspro.2013.11.088; Lee LS, 2017, ENVIRON EDUC RES, V23, P855, DOI 10.1080/13504622.2015.1068276; Lee LS, 2015, ENERG POLICY, V76, P98, DOI 10.1016/j.enpol.2014.11.012; Leffers J, 2017, J NURS SCHOLARSHIP, V49, P679, DOI 10.1111/jnu.12331; Li YS, 2011, NURS EDUC TODAY, V31, P18, DOI 10.1016/j.nedt.2010.03.014; Maleki A., 2011, Int. J. Soc. Sci. Human. Stud, V3, P27; Mälkki H, 2017, RENEW SUST ENERG REV, V69, P218, DOI 10.1016/j.rser.2016.11.176; Mills B, 2012, ENERG POLICY, V49, P616, DOI 10.1016/j.enpol.2012.07.008; Mortimer Frances, 2018, Future Healthc J, V5, P88, DOI 10.7861/futurehosp.5-2-88; Nichols A, 2009, ENVIRON HEALTH INSIG, V3, P63; Ntona E, 2015, RENEW SUST ENERG REV, V46, P1, DOI 10.1016/j.rser.2015.02.033; Nunez C., 2019, WHAT IS ACID RAIN; Oliveira S, 2018, ARCHIT ENG DES MANAG, V14, P317, DOI 10.1080/17452007.2017.1364217; Paço A, 2017, J ENVIRON MANAGE, V197, P384, DOI 10.1016/j.jenvman.2017.03.100; Polivka BJ, 2012, ENVIRON HEALTH PERSP, V120, P321, DOI 10.1289/ehp.1104025; Pothitou M, 2017, INT J SUSTAIN ENERGY, V36, P398, DOI 10.1080/14786451.2015.1032290; Pothitou M, 2016, APPL ENERG, V184, P1217, DOI 10.1016/j.apenergy.2016.06.017; Qu M, 2011, RENEW SUST ENERG REV, V15, P3649, DOI 10.1016/j.rser.2011.07.002; Rahman FA, 2018, AIP CONF PROC, V2030, DOI 10.1063/1.5066932; Rakel D, 2018, INTEGRATIVE MED; RAMSEY CE, 1976, J ENVIRON EDUC, V8, P10, DOI 10.1080/00958964.1976.9941552; Räty R, 2010, ENERG POLICY, V38, P646, DOI 10.1016/j.enpol.2009.08.010; Richardson J, 2017, NURS EDUC TODAY, V54, P51, DOI 10.1016/j.nedt.2017.04.022; Richardson J, 2016, NURS EDUC TODAY, V37, P15, DOI 10.1016/j.nedt.2015.11.005; Roczen N, 2014, ENVIRON BEHAV, V46, P972, DOI 10.1177/0013916513492416; Ryan-Fogarty Y, 2016, J CLEAN PROD, V126, P248, DOI 10.1016/j.jclepro.2016.03.079; Sahamir SR, 2014, PROCEDIA ENVIRON SCI, V20, P106, DOI 10.1016/j.proenv.2014.03.015; Sayan B, 2016, CONTEMP NURSE, V52, P771, DOI 10.1080/10376178.2016.1254051; SCHINDLER DW, 1988, SCIENCE, V239, P149, DOI 10.1126/science.239.4836.149; Serb Chris, 2008, Hosp Health Netw, V82, P22; Simmons D., 1990, Journal of Environmental Education, V27, P13, DOI [10.1080/00958964.1990.9943041, DOI 10.1080/00958964.1990.9943041]; STERN PC, 1977, ENVIRONMENT, V19, P10, DOI 10.1080/00139157.1977.9928670; STERN PC, 1992, AM PSYCHOL, V47, P1224, DOI 10.1037/0003-066X.47.10.1224; Su Chiu-Ching, 2011, Hu Li Za Zhi, V58, P39; Trotta G, 2018, ENERG POLICY, V114, P529, DOI 10.1016/j.enpol.2017.12.042; U.S. Energy Information Administration, 2017, EIA BET INT COUNTR A; Ünal AB, 2018, ENVIRON BEHAV, V50, P1092, DOI 10.1177/0013916517728991; United States Environmental Protection Agency, 2019, EFF AC RAIN; United States Environmental Protection Agency, 2015, SUST HEALTHC; Urban J, 2012, ENERG POLICY, V47, P69, DOI 10.1016/j.enpol.2012.04.018; *US DOE, 2014, EN LIT ESS PRINC FUN; Wright TSA., 2002, Higher Education Policy, V15, P105, DOI [DOI 10.1016/S0952-8733(02)00002-8, 10.1016/S0952-8733(02)00002-8, 10.1108/14676370210434679, DOI 10.1108/14676370210434679]; Yellowlees Peter, 2008, Medscape J Med, V10, P162</t>
  </si>
  <si>
    <t>10.1016/j.enpol.2019.111005</t>
  </si>
  <si>
    <t>KB4KB</t>
  </si>
  <si>
    <t>WOS:000506465400010</t>
  </si>
  <si>
    <t>Severin, MI; Akpetou, LK; Annasawmy, P; Asuquo, FE; Beckman, F; Benomar, M; Jaya-Ram, A; Malouli, M; Mees, J; Monteiro, I; Ndwiga, J; Silva, PN; Nubi, OA; Sim, YK; Sohou, Z; Shau-Hwai, AT; Woo, SP; Zizah, S; Buysse, A; Raes, F; Krug, LA; Seeyave, S; Everaert, G; Mahu, E; Catarino, AI</t>
  </si>
  <si>
    <t>Severin, Marine I.; Akpetou, Lazare Kouame; Annasawmy, Pavanee; Asuquo, Francis Emile; Beckman, Fiona; Benomar, Mostapha; Jaya-Ram, Annette; Malouli, Mohammed; Mees, Jan; Monteiro, Ivanice; Ndwiga, Joey; Neves Silva, Pericles; Nubi, Olubunmi Ayoola; Sim, Yee Kwang; Sohou, Zacharie; Shau-Hwai, Aileen Tan; Woo, Sau Pinn; Zizah, Soukaina; Buysse, Ann; Raes, Filip; Krug, Lilian A.; Seeyave, Sophie; Everaert, Gert; Mahu, Edem; Catarino, Ana I.</t>
  </si>
  <si>
    <t>Impact of the citizen science project COLLECT on ocean literacy and well-being within a north/west African and south-east Asian context</t>
  </si>
  <si>
    <t>FRONTIERS IN PSYCHOLOGY</t>
  </si>
  <si>
    <t>plastic pollution; beach sampling; citizen science; ocean literacy; pro-environmental intentions; well-being</t>
  </si>
  <si>
    <t>MARINE LITTER; PLASTIC DEBRIS; AWARENESS; COAST; MICROPLASTICS; DEGRADATION; PERCEPTION; CHALLENGES; ABUNDANCE; EDUCATION</t>
  </si>
  <si>
    <t>Plastic pollution is both a societal and environmental problem and citizen science has shown to be a useful tool to engage both the public and professionals in addressing it. However, knowledge on the educational and behavioral impacts of citizen science projects focusing on marine litter remains limited. Our preregistered study investigates the impact of the citizen science project Citizen Observation of Local Litter in coastal ECosysTems (COLLECT) on the participants' ocean literacy, pro-environmental intentions and attitudes, well-being, and nature connectedness, using a pretest-posttest design. A total of 410 secondary school students from seven countries, in Africa (Benin, Cabo Verde, Cote d'Ivoire, Ghana, Morocco, Nigeria) and Asia (Malaysia) were trained to sample plastics on sandy beaches and to analyze their collection in the classroom. Non-parametric statistical tests (n = 239 matched participants) demonstrate that the COLLECT project positively impacted ocean literacy (i.e., awareness and knowledge of marine litter, self-reported litter-reducing behaviors, attitudes towards beach litter removal). The COLLECT project also led to higher pro-environmental behavioral intentions for students in Benin and Ghana (implying a positive spillover effect) and higher well-being and nature connectedness for students in Benin. Results are interpreted in consideration of a high baseline in awareness and attitudes towards marine litter, a low internal consistency of pro-environmental attitudes, the cultural context of the participating countries, and the unique settings of the project's implementation. Our study highlights the benefits and challenges of understanding how citizen science impacts the perceptions and behaviors towards marine litter in youth from the respective regions.</t>
  </si>
  <si>
    <t>[Severin, Marine I.; Mees, Jan; Ndwiga, Joey; Everaert, Gert; Catarino, Ana I.] Flanders Marine Inst VLIZ, Oostende, Belgium; [Severin, Marine I.; Buysse, Ann] Univ Ghent, Dept Expt Clin &amp; Hlth Psychol, Ghent, Belgium; [Severin, Marine I.; Raes, Filip] Katholieke Univ Leuven, Ctr Psychol Learning &amp; Expt Psychopathol, Leuven, Belgium; [Akpetou, Lazare Kouame] Univ Felix Houphouet Boigny, Ctr Univ Rech &amp; Applicat Teledetect CURAT, Abidjan, Cote Ivoire; [Annasawmy, Pavanee] Univ Bretagne Occidentale, Plouzane, France; [Asuquo, Francis Emile] Univ Calabar, Fac Oceanog, Marine Atmosphere &amp; Coastal Ocean Res Network MAC, UNICAL, Calabar, Nigeria; [Beckman, Fiona; Krug, Lilian A.; Seeyave, Sophie] Partnership Observat Global Ocean POGO, Plymouth, Devon, England; [Benomar, Mostapha; Malouli, Mohammed; Zizah, Soukaina] Inst Natl Rech Halieut INRH, Casablanca, Morocco; [Jaya-Ram, Annette; Sim, Yee Kwang; Shau-Hwai, Aileen Tan; Woo, Sau Pinn] Univ Sains Malaysia, Ctr Marine, Coastal Studies CEMACS, George Town, Malaysia; [Mees, Jan] Univ Ghent, Fac Sci, Marine Biol Res Grp, Ghent, Belgium; [Monteiro, Ivanice; Neves Silva, Pericles] Inst Mar IMar, Ocean Sci Ctr Mindelo, Mindelo, Cape Verde; [Nubi, Olubunmi Ayoola] Nigerian Inst Oceanog &amp; Marine Res NIOMR, Lagos, Nigeria; [Sohou, Zacharie] Inst Rech Halieut &amp; Oceanol Benin IRHOB, Cotonou, Benin; [Krug, Lilian A.] Univ Algarve, Ctr Marine &amp; Environm Res CIMA, Faro, Portugal; [Mahu, Edem] Univ Ghana, Dept Marine &amp; Fisheries Sci, Accra, Ghana</t>
  </si>
  <si>
    <t>Ghent University; KU Leuven; Universite Felix Houphouet-Boigny; Universite de Bretagne Occidentale; University of Calabar; Universiti Sains Malaysia; Ghent University; Universidade do Algarve; University of Ghana</t>
  </si>
  <si>
    <t>Severin, MI (corresponding author), Flanders Marine Inst VLIZ, Oostende, Belgium.;Severin, MI (corresponding author), Univ Ghent, Dept Expt Clin &amp; Hlth Psychol, Ghent, Belgium.;Severin, MI (corresponding author), Katholieke Univ Leuven, Ctr Psychol Learning &amp; Expt Psychopathol, Leuven, Belgium.</t>
  </si>
  <si>
    <t>marine.severin@vliz.be</t>
  </si>
  <si>
    <t>Mahu, Edem/ACK-5773-2022; C, A/J-9863-2014; Woo, Sau Pinn/ABB-6323-2020; Annasawmy, Pavanee/ABG-8075-2021; Woo, Sau Pinn/J-5135-2017; Mees, Jan/HDN-5048-2022</t>
  </si>
  <si>
    <t>C, A/0000-0002-8796-0869; Annasawmy, Pavanee/0000-0001-8803-9687; Woo, Sau Pinn/0000-0002-7016-6466; Severin, Marine Isabel/0000-0003-4237-3465; Nubi, Olubunmi Ayoola/0000-0003-1091-5362; Beckman, Fiona/0009-0001-5815-2950; Ruguru Ndwiga, Joy/0000-0003-0619-1568; Krug, Lilian/0000-0002-0066-7679</t>
  </si>
  <si>
    <t>ALLEN NS, 1994, POLYM DEGRAD STABIL, V43, P229, DOI 10.1016/0141-3910(94)90074-4; [Anonymous], 2005, ECONOMIST; Arabi S., 2023, AFRICAN MARINE LITTE, P91; Ashley M, 2019, FRONT MAR SCI, V6, DOI 10.3389/fmars.2019.00288; Babayemi JO, 2019, ENVIRON SCI EUR, V31, DOI 10.1186/s12302-019-0254-5; Barnardo T., 2020, African Marine Litter Monitoring Manual; Bergmann M., 2017, P106; Campbell ML, 2014, MAR POLLUT BULL, V80, P179, DOI 10.1016/j.marpolbul.2014.01.015; Catarino A. I., 2022, CITIZEN OBSERVATION; Catarino AI, 2023, FRONT MAR SCI, V10, DOI 10.3389/fmars.2023.1126895; Catarino AI, 2021, CURR OPIN GREEN SUST, V29, DOI 10.1016/j.cogsc.2021.100467; Chen HL, 2021, SN APPL SCI, V3, DOI 10.1007/s42452-021-04234-y; Connell James., 1998, APPLYING THEORY CHAN; de Rijck K., 2020, Best practices in citizen science for environmental monitoring: commission staff working document, DOI [10.25607/OBP-1779, DOI 10.25607/OBP-1779]; De Veer D, 2022, J ENVIRON PSYCHOL, V81, DOI 10.1016/j.jenvp.2022.101781; Dunlap RE, 2000, J SOC ISSUES, V56, P425, DOI 10.1111/0022-4537.00176; EDGE M, 1991, POLYM DEGRAD STABIL, V32, P131, DOI 10.1016/0141-3910(91)90047-U; Fat LN, 2017, QUAL LIFE RES, V26, P1129, DOI 10.1007/s11136-016-1454-8; Fauziah SH, 2021, MAR POLLUT BULL, V167, DOI 10.1016/j.marpolbul.2021.112258; Geiger SJ, 2021, J ENVIRON PSYCHOL, V78, DOI 10.1016/j.jenvp.2021.101694; Grúnová M, 2019, ENVIRON EDUC RES, V25, P211, DOI 10.1080/13504622.2018.1428942; H2020 SOPHIE Consortium, 2020, CIT SEA PUBL PERC OC; Hartley BL, 2018, MAR POLLUT BULL, V133, P945, DOI 10.1016/j.marpolbul.2018.05.061; Hartley BL, 2015, MAR POLLUT BULL, V90, P209, DOI 10.1016/j.marpolbul.2014.10.049; Hidalgo-Ruz V, 2013, MAR ENVIRON RES, V87-88, P12, DOI 10.1016/j.marenvres.2013.02.015; Hooyberg A, 2020, ENVIRON RES, V184, DOI 10.1016/j.envres.2020.109225; Intergovernmental Oceanographic Commission, 2018, Revised Roadmap for the UN Decade of Ocean Science for Sustainable Development; Jambeck J, 2018, MAR POLICY, V96, P256, DOI 10.1016/j.marpol.2017.10.041; Jambeck JR, 2015, SCIENCE, V347, P768, DOI 10.1126/science.1260352; Jorgensen B, 2021, SUSTAIN SCI, V16, P153, DOI 10.1007/s11625-020-00841-7; Kahneman D., 1999, Well-Being: the Foundations of Hedonic Psychology, P3, DOI DOI 10.7758/9781610443258; Karbalaei S, 2019, MAR POLLUT BULL, V148, P5, DOI 10.1016/j.marpolbul.2019.07.072; Kawabe LA, 2022, MAR POLLUT BULL, V182, DOI 10.1016/j.marpolbul.2022.114011; Keller E, 2022, J ENVIRON PSYCHOL, V81, DOI 10.1016/j.jenvp.2022.101822; Kelly R, 2022, REV FISH BIOL FISHER, V32, P123, DOI 10.1007/s11160-020-09625-9; Klöckner CA, 2013, GLOBAL ENVIRON CHANG, V23, P1028, DOI 10.1016/j.gloenvcha.2013.05.014; Kordella S, 2013, AQUAT ECOSYST HEALTH, V16, P111, DOI 10.1080/14634988.2012.759503; Koss RS, 2010, OCEAN COAST MANAGE, V53, P447, DOI 10.1016/j.ocecoaman.2010.06.002; Krelling AP, 2017, MAR POLICY, V85, P87, DOI 10.1016/j.marpol.2017.08.021; Lange F, 2023, BEHAV RES METHODS, V55, P600, DOI 10.3758/s13428-022-01825-4; Locritani M, 2019, MAR POLLUT BULL, V140, P320, DOI 10.1016/j.marpolbul.2019.01.023; Lucrezi S, 2020, MAR POLLUT BULL, V155, DOI 10.1016/j.marpolbul.2020.111167; Manoli C.C., 2007, Journal of Environmental Education, V38, P3; Martin L, 2020, J ENVIRON PSYCHOL, V68, DOI 10.1016/j.jenvp.2020.101389; McIlgorm A., 2020, Update of 2009 APEC report on Economic Costs of Marine Debris to APEC Economies; Miloslavich P, 2019, J OPER OCEANOGR, V12, pS137, DOI 10.1080/1755876X.2018.1526463; Moser SC, 2007, CREATING A CLIMATE FOR CHANGE: COMMUNICATING CLIMATE CHANGE AND FACILITATING SOCIAL CHANGE, P1, DOI 10.1017/CBO9780511535871; Nubi Afolasade T., 2019, African Journal of Environmental Science and Technology, V13, P104, DOI [https://doi.org/10.5897/AJEST2018.2588, DOI 10.5897/AJEST2018.2588]; Ocean Conservancy, 2022, INT COAST CLEAN REP; Ogunbode Charles A., 2013, Environment Development and Sustainability, V15, P1477, DOI 10.1007/s10668-013-9446-0; Oturai NG, 2022, SCI TOTAL ENVIRON, V806, DOI 10.1016/j.scitotenv.2021.150914; Pahl S, 2017, ANAL METHODS-UK, V9, P1404, DOI 10.1039/c6ay02647h; Pahl S, 2017, NAT HUM BEHAV, V1, P697, DOI 10.1038/s41562-017-0204-4; Paredes-Coral E, 2022, MEDITERR MAR SCI, V23, P321, DOI 10.12681/mms.26608; Phoenix C, 2021, J SPORT SOC ISSUES, V45, P115, DOI 10.1177/0193723520950536; POGO, 2021, TAK PULS GLOB OC STR; Rambonnet L, 2019, MAR POLLUT BULL, V145, P271, DOI 10.1016/j.marpolbul.2019.05.056; Rangel-Buitrago N, 2018, MAR POLLUT BULL, V127, P22, DOI 10.1016/j.marpolbul.2017.11.023; Rayon-Viña F, 2019, MAR POLLUT BULL, V141, P112, DOI 10.1016/j.marpolbul.2019.02.034; Richardson M, 2019, SUSTAINABILITY-BASEL, V11, DOI 10.3390/su11123250; Ryan PG, 2020, S AFR J SCI, V116, P34; RYFF CD, 1995, J PERS SOC PSYCHOL, V69, P719; Saghir J., 2018, M CHALL BRIDG STAK; Schoedinger S, 2005, OCEANS-IEEE, P736; Severin M. I., 2023, LIVING PLASTIC AGE P, P133, DOI 10.12907/978-3-593-44902-9; Severin M. I., 2021, COLLECT PROJECT PRER; Severin MI, 2022, FRONT PSYCHOL, V13, DOI 10.3389/fpsyg.2022.902122; Severin MI, 2021, PSYCHOL BELG, V61, P284, DOI 10.5334/pb.1050; Siason I., 2001, GLOB S WOM FISH 6 AS; Sockhill NJ, 2022, PEOPLE NAT, V4, P1500, DOI 10.1002/pan3.10400; Somerwill L, 2022, ENVIRON SCI EUR, V34, DOI 10.1186/s12302-022-00596-1; Stewart-Brown S, 2009, HEALTH QUAL LIFE OUT, V7, DOI 10.1186/1477-7525-7-15; Sumeldan JDC, 2021, FRONT PSYCHOL, V12, DOI 10.3389/fpsyg.2021.661810; Thiel M., 2011, Revista de Gestao Costeira Integrada, V11, P115, DOI DOI 10.5894/RGCI207; Thogersen J, 2003, J ENVIRON PSYCHOL, V23, P225, DOI 10.1016/S0272-4944(03)00018-5; Tudor DT, 2006, AREA, V38, P153, DOI 10.1111/j.1475-4762.2006.00684.x; Van Cauwenberghe L, 2014, ENVIRON POLLUT, V193, P65, DOI 10.1016/j.envpol.2014.06.010; Van Dyck I. P., 2016, J. Geosci. Environ. Protect, V04, P21, DOI DOI 10.4236/GEP.2016.45003; Van Petegem P., 2006, ENVIRON EDUC RES, V12, P625, DOI 10.1080/13504620601053662; Voelker C, 2020, GLOB CHALL, V4, DOI 10.1002/gch2.201900010; WATERMAN AS, 1993, J PERS SOC PSYCHOL, V64, P678, DOI 10.1037/0022-3514.64.4.678; Wheaton B, 2020, LEISURE STUD, V39, P83, DOI 10.1080/02614367.2019.1640774; White MP, 2020, ENVIRON RES, V191, DOI 10.1016/j.envres.2020.110169; WHO, 2022, Dietary and Inhalation Exposure to Nano- and MicroplasticParticles and Potential Implications for Human Health; Wichmann CS, 2022, MAR POLICY, V141, DOI 10.1016/j.marpol.2022.105035; Williams AT, 2016, TOURISM MANAGE, V55, P209, DOI 10.1016/j.tourman.2016.02.008; Wyles KJ, 2019, ENVIRON BEHAV, V51, P111, DOI 10.1177/0013916517738312; Wyles KJ, 2017, ENVIRON BEHAV, V49, P509, DOI 10.1177/0013916516649412; Wyles KJ, 2016, ENVIRON BEHAV, V48, P1095, DOI 10.1177/0013916515592177; Yeo BG, 2015, MAR POLLUT BULL, V101, P137, DOI 10.1016/j.marpolbul.2015.11.006; Yoshida M., 2018, 2 M AFR CLEAN CIT PL</t>
  </si>
  <si>
    <t>1664-1078</t>
  </si>
  <si>
    <t>FRONT PSYCHOL</t>
  </si>
  <si>
    <t>Front. Psychol.</t>
  </si>
  <si>
    <t>JUN 14</t>
  </si>
  <si>
    <t>10.3389/fpsyg.2023.1130596</t>
  </si>
  <si>
    <t>Psychology, Multidisciplinary</t>
  </si>
  <si>
    <t>Psychology</t>
  </si>
  <si>
    <t>K4JY6</t>
  </si>
  <si>
    <t>WOS:001016129800001</t>
  </si>
  <si>
    <t>Cotton, DRE; Zhai, J; Miller, W; Dalla Valle, L; Winter, J</t>
  </si>
  <si>
    <t>Cotton, D. R. E.; Zhai, J.; Miller, W.; Dalla Valle, L.; Winter, J.</t>
  </si>
  <si>
    <t>Reducing energy demand in China and the United Kingdom: The importance of energy literacy</t>
  </si>
  <si>
    <t>Energy literacy; Higher education; Knowledge; Attitude; Behaviour; Policy</t>
  </si>
  <si>
    <t>CLIMATE-CHANGE; BEHAVIOR-CHANGE; PARADIGM SCALE; STUDENTS; CONSERVATION; KNOWLEDGE; ATTITUDES; POLICY; UK; FRAMEWORK</t>
  </si>
  <si>
    <t>As the impacts of climate change become increasingly visible across the globe, awareness of the need for cleaner energy and demand reduction is growing. Energy literacy offers a strong potential for explaining and predicting energy-related behaviours, yet research and policies focused on this topic remain limited. In this study, energy literacy was measured in a sample of 2806 university students in the United Kingdom and China, in addition to their wider environmental attitudes using the New Ecological Paradigm scale. Findings indicate that energy literacy was relatively high overall, but there were significant differences between the knowledge, attitudes and behavioural intentions of participants in the two countries. Whilst the UK respondents rated themselves significantly more highly on perceived knowledge of energy issues, Chinese respondents provided significantly more correct answers in a knowledge test. UK respondents demonstrated more positive attitudes towards energy conservation than those from China, and were more likely to report energy-saving behaviours. However, Chinese respondents exhibited higher levels of trust in government and businesses to take action on energy issues. This paper provides a novel insight into cultural differences which may be crucial to policy and practice, and evidences the potential benefits of utilising a combination of educational and structural change to support transition to a cleaner, low-energy society. (C) 2020 Elsevier Ltd. All rights reserved.</t>
  </si>
  <si>
    <t>[Cotton, D. R. E.; Winter, J.] Plymouth Marjon Univ, Plymouth, Devon, England; [Zhai, J.] Zhejiang Univ, Hangzhou, Peoples R China; [Miller, W.; Dalla Valle, L.] Univ Plymouth, Plymouth, Devon, England</t>
  </si>
  <si>
    <t>Zhejiang University; University of Plymouth</t>
  </si>
  <si>
    <t>Cotton, DRE (corresponding author), Plymouth Marjon Univ, Plymouth, Devon, England.</t>
  </si>
  <si>
    <t>dcotton@marjon.ac.uk</t>
  </si>
  <si>
    <t>Dalla Valle, Luciana/P-1704-2018; GENÇ, Murat/K-9219-2019</t>
  </si>
  <si>
    <t>Dalla Valle, Luciana/0000-0001-7506-5712; GENÇ, Murat/0000-0002-9742-1770; Zhai, Junqing/0000-0003-1810-7466</t>
  </si>
  <si>
    <t>AJZEN I, 1991, ORGAN BEHAV HUM DEC, V50, P179, DOI 10.1016/0749-5978(91)90020-T; Al-Obaidi A. S. M., 2018, IOP Conference Series: Materials Science and Engineering, V434, DOI 10.1088/1757-899X/434/1/012310; [Anonymous], 2006, I WILL YOU WILL SUST; [Anonymous], 2008, HEFCE STRAT REV SUST; [Anonymous], 2013, SUSTAINABLE U PROGR; [Anonymous], 1989, J ENVIRON EDUC; [Anonymous], 2019, World Energy Outlook 2019, P1; [Anonymous], 1999, Local Environment, DOI [DOI 10.1080/13549839908725599, 10.1080/13549839908725599]; Attari SZ, 2010, P NATL ACAD SCI USA, V107, P16054, DOI 10.1073/pnas.1001509107; Bang HK, 2000, PSYCHOL MARKET, V17, P449, DOI 10.1002/(SICI)1520-6793(200006)17:6&lt;449::AID-MAR2&gt;3.0.CO;2-8; Barkema HG, 2015, ACAD MANAGE J, V58, P460, DOI 10.5465/amj.2015.4021; Barr S., 2008, Environment and Society: Sustainability, Policy and the Citizen; Barr S, 2007, GEOGR ANN B, V89B, P361, DOI 10.1111/j.1468-0467.2007.00266.x; Bodzin AM, 2013, INT J SCI EDUC, V35, P1561, DOI 10.1080/09500693.2013.769139; Borne G, 2009, LOCAL ENVIRON, V14, P93, DOI 10.1080/13549830802522582; Brewer R.S., 2013, INT J ADV INTELL SYS, V6, P188; Chaplain C., 2019, I NEWS 1128; Cheng S, 2020, APPL ENERG, V268, DOI 10.1016/j.apenergy.2020.115030; Cooper KM, 2018, ADV PHYSIOL EDUC, V42, P200, DOI 10.1152/advan.00085.2017; Cotton D., 2009, STUD HIGH ED, V34, P15; Cotton D.R.E., 2018, INT C ED DEV C VANC; Cotton D, 2016, LOCAL ENVIRON, V21, P883, DOI 10.1080/13549839.2015.1038986; Cotton D, 2016, J CLEAN PROD, V129, P586, DOI 10.1016/j.jclepro.2016.03.136; Cotton DRE, 2015, INT J SUST HIGHER ED, V16, P456, DOI 10.1108/IJSHE-12-2013-0166; Dang WQ, 2020, J CHIN GOV, V5, P390, DOI 10.1080/23812346.2018.1443758; DEFRA Department for Environment Food and Rural Affairs, 2008, FRAM PROENV BEH; DeWaters JE, 2011, ENERG POLICY, V39, P1699, DOI 10.1016/j.enpol.2010.12.049; Douglas Mary., 1970, Natural Symbols: Explorations in Cosmology; Dunlap RE, 2008, J ENVIRON EDUC, V40, P3, DOI 10.3200/JOEE.40.1.3-18; Fetscherin M, 2008, J ELECTRON COMMER RE, V9, P231; Fougère M, 2007, J MULTICULT DISCOURS, V2, P1, DOI 10.2167/md051.0; Franco D., 2018, POSTER PRESENTATION; Gao HC, 2016, J CONSUM RES, V43, P265, DOI 10.1093/jcr/ucw015; Gardner G. T., 2008, ENV SCI POLICY SUSTA; Geall S, 2018, SOC NATUR RESOUR, V31, P541, DOI 10.1080/08941920.2017.1414907; Geller H, 2006, ENERG POLICY, V34, P556, DOI 10.1016/j.enpol.2005.11.010; Genc M., 2016, Applied Environmental Education Communication, V15, P58, DOI [DOI 10.1080/1533015X.2016.1141724, 10.1080/1533015X.2016]; Hafner RJ, 2020, J CLEAN PROD, V251, DOI 10.1016/j.jclepro.2019.119643; Hards SK, 2013, LOCAL ENVIRON, V18, P438, DOI 10.1080/13549839.2012.748731; Hargreaves T, 2011, J CONSUM CULT, V11, P79, DOI 10.1177/1469540510390500; Hendren WR, 2008, J PHYS-CONDENS MAT, V20, DOI 10.1088/0953-8984/20/36/362203; Hofstede G., 1991, Cultures and organizations, DOI DOI 10.1016/S0005-7967(02)00184-5; Hopkinson P, 2008, ENVIRON EDUC RES, V14, P435, DOI 10.1080/13504620802283100; International Energy Agency, 2021, Global CO2 Emissions in 2019; Jackson T., 2005, SUSTAIN DEV RES NETW; Kim MS, 2007, J MULTICULT DISCOURS, V2, P26, DOI [10.2167/md051c.2, 10.29175/klrea.2.1.200706.1]; Kollmuss A., 2002, ENVIRON EDUC RES, V8, P239, DOI [10.1080/13504620220145401, DOI 10.1080/13504620220145401]; Ben L, 2007, J CLEAN PROD, V15, P1085, DOI 10.1016/j.jclepro.2006.05.026; Langbroek JHM, 2016, ENERG POLICY, V94, P94, DOI 10.1016/j.enpol.2016.03.050; Leal W, 2010, CLIM CHANG MANAG, P1, DOI 10.1007/978-3-642-10751-1_1; Lee LS, 2015, ENERG POLICY, V76, P98, DOI 10.1016/j.enpol.2014.11.012; Liu J, 2010, J ENVIRON MANAGE, V91, P2254, DOI 10.1016/j.jenvman.2010.06.007; Lorenzoni I, 2007, GLOBAL ENVIRON CHANG, V17, P445, DOI 10.1016/j.gloenvcha.2007.01.004; O'Riordan T., 1981, Environmentalism; Reckwitz A., 2002, EUR J SOC THEORY, V5, P245, DOI DOI 10.1177/13684310222225432; Ripple WJ, 2017, BIOSCIENCE, V67, P1026, DOI 10.1093/biosci/bix125; Rokeach M., NATURE HUMAN VALUES; Rotmans Jan., 2001, FORESIGHT, V3, DOI [10.1108/14636680110803003, DOI 10.1108/14636680110803003]; Sarkis AM, 2017, J CLEAN PROD, V141, P526, DOI 10.1016/j.jclepro.2016.09.067; Schwartz S.H., 2012, OVERVIEW SCHWARTZ TH, V2, DOI DOI 10.9707/2307-0919.1116; Senbel M, 2014, J ENVIRON PSYCHOL, V38, P84, DOI 10.1016/j.jenvp.2014.01.001; Shi D, 2019, ENERG POLICY, V128, P150, DOI 10.1016/j.enpol.2018.12.061; Shove E, 2010, ENVIRON PLANN A, V42, P1273, DOI 10.1068/a42282; Spence A, 2014, J ENVIRON PSYCHOL, V38, P17, DOI 10.1016/j.jenvp.2013.12.006; Stephenson J, 2015, ENERGY RES SOC SCI, V7, P117, DOI 10.1016/j.erss.2015.03.005; Stephenson J, 2010, ENERG POLICY, V38, P6120, DOI 10.1016/j.enpol.2010.05.069; Stern PC, 2000, J SOC ISSUES, V56, P407, DOI 10.1111/0022-4537.00175; Sütterlin B, 2011, ENERG POLICY, V39, P8137, DOI 10.1016/j.enpol.2011.10.008; The Quality Assurance Agency for Higher Education (QAA), 2014, ED SUST DEV GUID UK; Thogersen J, 1999, J ECON PSYCHOL, V20, P53, DOI 10.1016/S0167-4870(98)00043-9; Tsui AS, 2007, J MANAGE, V33, P426, DOI 10.1177/0149206307300818; Verbong GeertP.J., 2012, Governing the Energy Transition: Reality, Illusion or Necessity?, Routledge Studies on Sustainability Transitions; [王刚 WANG Gang], 2007, [安全与环境学报, Journal of Safety and Environment], V7, P61; Wang Q, 2020, CONFGURATIONS OF THE INDIVIDUAL IN MODERN CHINESE LITERATURE, P227, DOI 10.1007/978-981-32-9640-4_5; Wang ZL, 2020, ADV ENERGY MATER, V10, DOI 10.1002/aenm.202000137; Wu LQ, 2012, J ENVIRON EDUC, V43, P107, DOI 10.1080/00958964.2011.616554; Xiao CY, 2015, ENVIRON BEHAV, V47, P17, DOI 10.1177/0013916513491571; Yeung A., 2017, ED CHINESE HERITAGE, P141; Yuan XL, 2013, J CLEAN PROD, V61, P36, DOI 10.1016/j.jclepro.2012.12.030; Yue T, 2020, J CLEAN PROD, V252, DOI 10.1016/j.jclepro.2019.119623; Zelezny L., 1999, The Journal of Environmental Education, V31, P5, DOI [DOI 10.1080/00958969909598627, https://doi.org/10.1080/00958969909598627]; Zhang R, 2010, APPL INTELL, V32, P47, DOI 10.1007/s10489-008-0134-y; Zhang YX, 2013, ENERG POLICY, V62, P1120, DOI 10.1016/j.enpol.2013.07.036</t>
  </si>
  <si>
    <t>10.1016/j.jclepro.2020.123876</t>
  </si>
  <si>
    <t>OV7NP</t>
  </si>
  <si>
    <t>WOS:000592392000018</t>
  </si>
  <si>
    <t>Aurélio, L; França, S; Sequeira, V; Boaventura, D; Correia, MJ; Pinto, B; Amoroso, S; Feio, MJ; Brito, C; Chainho, P; Chaves, L</t>
  </si>
  <si>
    <t>Aurelio, Luisa; Franca, Susana; Sequeira, Vera; Boaventura, Diana; Correia, Maria Joao; Pinto, Bruno; Amoroso, Sandra; Feio, Maria Joao; Brito, Cristina; Chainho, Paula; Chaves, Luisa</t>
  </si>
  <si>
    <t>Tell a Story to Save a River Assessing the Impact of Using a Children's Book in the Classroom as : a Tool to Promote Environmental Awareness</t>
  </si>
  <si>
    <t>environmental education; Ocean Literacy; storybook reading; elementary students; outreach project</t>
  </si>
  <si>
    <t>OCEAN LITERACY; PICTURE BOOKS; SCIENCE</t>
  </si>
  <si>
    <t>Listening to a story stimulates children to understand concepts and vocabulary, while developing their background knowledge. Previous research indicates that the use of scientifically accurate literature helps children connect to the natural world. Promoting environmental education (EE) should be of utmost importance in school curricula, providing opportunities to students to improve their knowledge regarding the environment, and how to protect it. Particularly, marine ecosystems have been subject to increasing pressures, highlighting the importance of taking Ocean Literacy (OL) to the classroom. Drawing attention to more relatable environments, like a river, by tailoring OL activities to local contexts and community interests, might be an efficient strategy to raise awareness of ocean problems. A children's book, written by a MARE (Marine and Environmental Sciences Centre, Portugal) researcher, with a macrobenthic invertebrate as the main character, was the springboard for an outreach project, developed with elementary school students. The project aimed to assess the impact of using a children's book as a tool to promote environmental awareness, focusing on river basin ecological issues. Researchers conducted reading sessions of the book with 89 female and 87 male elementary school students (ages between 8-10). The target audience were students from two public and two private schools from an urban city and a city with a strong fishing tradition, aiming to assess if the reading session impacted students differently according to their background. A sequential explanatory mixed methodology was applied, using a pretest-posttest design, combined with focus group interviews in the last phase, to measure change in students' knowledge, before and after the reading. Results demonstrated that there was an overall improvement in students' knowledge regarding river basin biodiversity and anthropogenic threats they are subjected to. Furthermore, the idea that local impacts on rivers will also reach and influence the ocean was always present throughout the reading sessions. Students' background, such as the type of school and region influenced higher posttest score results. In particular, students from Lisbon had higher scores in posttest results, while the same was observed for students from private schools. The present research revealed that a children's book is an effective tool to improve environmental knowledge, while being an entertaining activity for students.</t>
  </si>
  <si>
    <t>[Aurelio, Luisa; Franca, Susana; Sequeira, Vera; Boaventura, Diana; Correia, Maria Joao; Pinto, Bruno; Amoroso, Sandra; Chainho, Paula; Chaves, Luisa] Univ Lisbon, Marine &amp; Environm Sci Ctr MARE, Fac Ciencias, Lisbon, Portugal; [Franca, Susana; Sequeira, Vera] Univ Lisbon, Dept Biol Anim, Fac Ciencias, Lisbon, Portugal; [Boaventura, Diana] Escola Super Educ Joao de Deus, Lisbon, Portugal; [Feio, Maria Joao] Univ Coimbra, Marine &amp; Environm Sci Ctr MARE, Dept Ciencias Vida, Fac Ciencias &amp; Tecnol, Coimbra, Portugal; [Brito, Cristina] Univ Acores UAc, Ctr Humanidades CHAM, NOVA FCSH, Lisbon, Portugal; [Chainho, Paula] Inst Politecn Setubal, CINEA ESTS, Setubal, Portugal</t>
  </si>
  <si>
    <t>Universidade de Lisboa; Universidade de Lisboa; Universidade de Coimbra; Universidade dos Acores; Instituto Politecnico de Setubal</t>
  </si>
  <si>
    <t>Aurélio, L (corresponding author), Univ Lisbon, Marine &amp; Environm Sci Ctr MARE, Fac Ciencias, Lisbon, Portugal.</t>
  </si>
  <si>
    <t>mlsaial@fc.ul.pt</t>
  </si>
  <si>
    <t>França, Susana Oliveira/B-2847-2012; Brito, Cristina/P-1071-2016; Sequeira, Vera/B-1673-2012; Brito, Cristina/HKN-7612-2023; Correia, Maria/J-2258-2012; Lourenço Pinto, Bruno Miguel/ABB-4941-2021; Feio, Maria/AAF-2628-2021; Brito, Cristina/B-2638-2010; Chainho, Paula/B-3935-2012; Boaventura, Diana/I-7191-2012; Amoroso Ferreira Jorge, Sandra/D-1730-2013</t>
  </si>
  <si>
    <t>França, Susana Oliveira/0000-0002-3406-6951; Sequeira, Vera/0000-0001-7173-4982; Lourenço Pinto, Bruno Miguel/0000-0002-1108-5025; Feio, Maria/0000-0003-0362-6802; Brito, Cristina/0000-0001-7895-0784; Chainho, Paula/0000-0002-3539-9942; Correia, Maria/0000-0003-3764-1381; Boaventura, Diana/0000-0002-3658-2925; Amoroso Ferreira Jorge, Sandra/0000-0002-5446-3620</t>
  </si>
  <si>
    <t>Portuguese national funds through FCT - Fundacao IP [UIDB/04292/2020]; FCT, I.P. [CEECIND/02907/2017, 2020.01797.CEECIND, CEECIND/02705/2017]</t>
  </si>
  <si>
    <t>Portuguese national funds through FCT - Fundacao IP; FCT, I.P.</t>
  </si>
  <si>
    <t>This publication was financed by Portuguese national funds through FCT - Fundacao IP under project reference UIDB/04292/2020. FCT, I.P. also provided support via researcher contracts to SF, PC, and VS, in the scope of the Scientific Employment Stimulus Program (CEECIND/02907/2017, 2020.01797.CEECIND, and CEECIND/02705/2017, respectively) .</t>
  </si>
  <si>
    <t>[Anonymous], 2004, OC BLUEPR 21 CENT; [Anonymous], 2017, Education for Sustainable Development Goals: Learning Objectives, DOI [10.0978/-92-3-100209-0, DOI 10.31142/IJTSRD5889]; Ballantyne R., 2006, ENVIRON EDUC RES, V12, P413, DOI [DOI 10.1080/1350462980040304, https://doi.org/10.1080/1350462980040304]; Barracosa H, 2019, FRONT MAR SCI, V6, DOI 10.3389/fmars.2019.00626; Baumann J.F., 1997, ENGAGED READING PLEA; Butzow, 1990, SCI ACTIVITIES CLASS, V27, P29, DOI [10.1080/00368121.1990.9956738, DOI 10.1080/00368121.1990.9956738]; Carr KS, 2001, J ADOLESC ADULT LIT, V45, P146; Cava F., 2005, Science Content and Standards for Ocean Literacy: A Report on Ocean Literacy, P1; Chaves, 2018, ZE FALSO ESCORPIAO; Dowd, 1991, SCH LIB MEDIA Q, V19, P105; Falk J.H., 2007, WHY ZOOS AQUARIUMS M; Guest H, 2015, MAR POLICY, V58, P98, DOI 10.1016/j.marpol.2015.04.007; Hsiao CY, 2016, INT RES GEOGR ENVIRO, V25, P36, DOI 10.1080/10382046.2015.1106203; Kaser S., 2001, Language Arts, V78, P348; Kelly R, 2022, REV FISH BIOL FISHER, V32, P123, DOI 10.1007/s11160-020-09625-9; Martinez-Conde S, 2017, P NATL ACAD SCI USA, V114, P8127, DOI 10.1073/pnas.1711790114; Miles Matthew B., 2014, QUALITATIVE DATA ANA; Mogias A, 2019, FRONT MAR SCI, V6, DOI 10.3389/fmars.2019.00396; Monhardt R., 2000, Reading Horizons, V40, P175; Moser S, 1994, READ HORIZ J LIT LAN, V35, P4; Muthukrishan R., 2019, The International Journal of Early Childhood Environmental Education, V6, P19; National Oceanic and Atmospheric Administration [NOAA], 2013, OC LIT ESS PRINC FUN; Ocean Literacy Campaign, 2013, OC LIT ESS PRINC OC; Pereira, 2010, B EC INVERNO 2010, V16, P25; Pournelle G. H., 1953, Journal of Mammalogy, V34, P133, DOI 10.1890/0012-9658(2002)083[1421:SDEOLC]2.0.CO;2; Pringle R.M., 2005, Reading Horizon, V46, P1, DOI DOI 10.1016/J.JECP.2018.04.013; Rice DC, 2002, READ TEACH, V55, P552; Schoedinger S., 2006, The Science Teacher, V73, P48; STAPP WB, 1969, ENVIRON EDUC-WASH, V1, P30, DOI 10.1080/00139254.1969.10801479; Steel BS, 2005, OCEAN COAST MANAGE, V48, P97, DOI 10.1016/j.ocecoaman.2005.01.002; UNESCO-UNEP, 1978, INT C ENV ED TBIL US; United Nations [UN], 2018, REV ROAD UN DEC OC S; Zambo DM, 2007, TEACH EXCEPT CHILD, V39, P32, DOI 10.1177/004005990703900305</t>
  </si>
  <si>
    <t>JUL 22</t>
  </si>
  <si>
    <t>10.3389/fmars.2021.699122</t>
  </si>
  <si>
    <t>TP8NJ</t>
  </si>
  <si>
    <t>WOS:000677851100001</t>
  </si>
  <si>
    <t>CYMATIID GASTROPOD (GUTTURNIUM MURICINUM) PREDATION OF THE AKOYA PEARL OYSTER (PINCTADA FUCATA) IN OCEAN CULTURE</t>
  </si>
  <si>
    <t>Gutturnium muricinum; Pinctada fucata; Cymatiidae; predation; pearl oysters; nursery culture; Australia</t>
  </si>
  <si>
    <t>SPAT COLLECTION; MARGARITIFERA; GROWTH; CRAB; SCALLOPS; IMBRICATA; PTERIIDAE; SURVIVAL; ISLAND</t>
  </si>
  <si>
    <t>Gastropods of the family Cymatiidae are a major predator of cultured pearl oysters, causing significant mortality in ocean culture systems. Improved knowledge of factors influencing cymatiid predation on pearl oysters is required to develop effective management strategies for these predators. This study determined whether size of the cymatiid, Gutturnium muricinum, is a significant factor influencing mortality of cultured Akoya pearl oysters (Pinctada fucata), and whether predation by this cymatiid on bivalve species in an ocean culture system is nonrandom. A single G. muricinum was capable of causing significant mortality in pearl oyster stock after a 6-wk culture period, with morality influenced by predator size. Oysters housed with a large (shell length: 55.0 +/- 3.3 mm) G. muricinum experienced significantly greater mortality (23.3 +/- 6.3%) than those in nets with a small (shell length: 37.8 +/- 2.1 mm) individual (11.1 +/- 0.6%). The presence of G. muricinum also had a significant impact on pearl oyster growth, but growth was not influenced by predator size. When presented with both Akoya pearl oysters and Hyotissa hyotis as potential prey items, cymatiid predation was nonrandom. Cymatiids preferentially preyed upon H. hyotis, that experienced 45.5 +/- 12.4% mortality after 6 wk of ocean culture whereas, in the same nets, none of the Akoya pearl oysters were killed. Based on these results, various management strategies are discussed, and further research avenues identified.</t>
  </si>
  <si>
    <t>James Cook University Merit Research Grant</t>
  </si>
  <si>
    <t>We thank support staff at James Cook University's Orpheus Island Research Station and Dr. Josiah Pit for technical support of this study. This study was funded by a James Cook University Merit Research Grant to the corresponding author.</t>
  </si>
  <si>
    <t>BARBEAU MA, 1994, MAR ECOL PROG SER, V111, P305, DOI 10.3354/meps111305; Beer AC, 2000, J SHELLFISH RES, V19, P821; CHELLAM A, 1983, Indian Journal of Fisheries, V30, P337; Chellam A., 1987, PEARL CULTURE, P72; de Nys R, 2008, PEARL OYSTER, P527, DOI 10.1016/B978-0-444-52976-3.00015-2; ELNER R W, 1983, Journal of Shellfish Research, V3, P129; ELNER RW, 1979, J FISH RES BOARD CAN, V36, P537, DOI 10.1139/f79-077; Freites L, 2000, J EXP MAR BIOL ECOL, V244, P297, DOI 10.1016/S0022-0981(99)00149-5; Friedman KJ, 1998, AQUACULTURE, V167, P283, DOI 10.1016/S0044-8486(98)00286-5; Friedman KJ, 1996, J SHELLFISH RES, V15, P535; Gervis M H., 1992, The Biology and Culture of Pearl Oysters (Bivalvia Pteriidae); Gordon SE, 2020, J SHELLFISH RES, V39, P58, DOI 10.2983/035.039.0106; Govan H., 1995, CYMATIUM MURICINUM O; Hay ME, 2009, ANNU REV MAR SCI, V1, P193, DOI 10.1146/annurev.marine.010908.163708; Heslinga G. A., 1990, GIANT CLAM FARMING; Hothorn T, 2008, BIOMETRICAL J, V50, P346, DOI 10.1002/bimj.200810425; Humphrey JD, 2008, PEARL OYSTER, P367, DOI 10.1016/B978-0-444-52976-3.00011-5; Otter LM, 2017, GEMS GEMOL, V53, P423, DOI 10.5741/GEMS.53.4.423; PERRON FE, 1985, AQUACULTURE, V48, P211, DOI 10.1016/0044-8486(85)90125-5; Pit J. H., 2004, THESIS J COOK U TOWN; Pit JH, 2003, AQUACULT INT, V11, P545, DOI 10.1023/B:AQUI.0000013310.17400.97; Pournelle G. H., 1953, Journal of Mammalogy, V34, P133, DOI 10.1890/0012-9658(2002)083[1421:SDEOLC]2.0.CO;2; Scoones R. J. S., 1990, RES PRACTICES W AUST; Southgate P. C., 2021, Molluscan shellfish aquaculture: a practical guide, P205; Southgate P. C., 2019, FINAL REPORT PEARL I; Southgate PC, 2008, PEARL OYSTER, P231, DOI 10.1016/B978-0-444-52976-3.00007-3; Southgate PC, 2000, AQUACULTURE, V187, P97, DOI 10.1016/S0044-8486(99)00392-0; SPONAUGLE S, 1990, MAR ECOL PROG SER, V67, P43, DOI 10.3354/meps067043; Strieb MD, 1995, J SHELLFISH RES, V14, P347; Taylor JJ, 1997, AQUACULTURE, V153, P31, DOI 10.1016/S0044-8486(97)00014-8; Urban HJ, 2000, AQUACULTURE, V189, P375, DOI 10.1016/S0044-8486(00)00394-X; Velasco LA, 2010, J WORLD AQUACULT SOC, V41, P281, DOI 10.1111/j.1749-7345.2010.00371.x; YAMADA SB, 1993, J SHELLFISH RES, V12, P89</t>
  </si>
  <si>
    <t>10.2983/035.040.0311</t>
  </si>
  <si>
    <t>YF6SV</t>
  </si>
  <si>
    <t>WOS:000741934800011</t>
  </si>
  <si>
    <t>Sill, TE; Ayala, JR; Rolf, J; Smith, S; Dye, S</t>
  </si>
  <si>
    <t>Sill, Tiffany E.; Ayala, Jaime R.; Rolf, Julianne; Smith, Spencer; Dye, Shelby</t>
  </si>
  <si>
    <t>How Climate Literacy and Public Opinion Are the Driving Forces Behind Climate-Based Policy: A Student Perspective on COP27</t>
  </si>
  <si>
    <t>ACS OMEGA</t>
  </si>
  <si>
    <t>PERCEPTIONS; ELECTRICITY; MITIGATION</t>
  </si>
  <si>
    <t>Despite the existence of a substantial amount of climate-related scientific data, misconceptions about climate change are still prevalent within public opinion. Dissemination of misinformation to the public through subjective media sources is a major challenge that climate scientists face. Implementation of climate policy is crucial for mitigation and adaptation measures required to curtail anthropogenic rooted climate change. This paper will discuss student perspectives on the 2022 United Nations climate summit in Egypt (COP27) related to climate literacy and public opinion as the driving forces behind the enactment and execution of important climate-based policy.</t>
  </si>
  <si>
    <t>[Sill, Tiffany E.; Ayala, Jaime R.] Texas A&amp;M Univ, Dept Chem, College Stn, TX 77842 USA; [Sill, Tiffany E.; Ayala, Jaime R.] Texas A&amp;M Univ, Dept Mat Sci &amp; Engn, College Stn, TX 77842 USA; [Rolf, Julianne] Yale Univ, Dept Chem &amp; Environm Engn, New Haven, CT 06520 USA; [Rolf, Julianne] Yale Univ, Nanosyst Engn Res Ctr Nanotechnol Enabled Water Tr, New Haven, CT 06520 USA; [Smith, Spencer] Lehigh Univ, Dept Civil &amp; Environm Engn, Bethlehem, PA 18015 USA; [Dye, Shelby] Baylor Univ, Dept Environm Sci, Waco, TX 76706 USA</t>
  </si>
  <si>
    <t>Texas A&amp;M University System; Texas A&amp;M University College Station; Texas A&amp;M University System; Texas A&amp;M University College Station; Yale University; Yale University; Lehigh University; Baylor University</t>
  </si>
  <si>
    <t>Sill, TE (corresponding author), Texas A&amp;M Univ, Dept Chem, College Stn, TX 77842 USA.;Sill, TE (corresponding author), Texas A&amp;M Univ, Dept Mat Sci &amp; Engn, College Stn, TX 77842 USA.</t>
  </si>
  <si>
    <t>tiffanysill@tamu.edu</t>
  </si>
  <si>
    <t>Ayala, Jaime/0000-0003-2730-4525; Sill, Tiffany/0000-0002-3620-123X</t>
  </si>
  <si>
    <t>NSF [DGE: 1746932]; NSF Nanosystems Engineering Research Center for Nanotechnology-Enabled Water Treatment [EEC-1449500]; Yale School of Engineering and Applied Science, Yale Department of Chemical and Environmental Engineering; P.E.O. Scholar Award; Tau Beta Pi Fellowship</t>
  </si>
  <si>
    <t>NSF(National Science Foundation (NSF)); NSF Nanosystems Engineering Research Center for Nanotechnology-Enabled Water Treatment; Yale School of Engineering and Applied Science, Yale Department of Chemical and Environmental Engineering; P.E.O. Scholar Award; Tau Beta Pi Fellowship</t>
  </si>
  <si>
    <t>T.E.S. acknowledges the support of the NSF under a Graduate Research Fellowship grant DGE: 1746932. J.R. acknowledges support from the NSF Nanosystems Engineering Research Center for Nanotechnology-Enabled Water Treatment (EEC-1449500) , Yale School of Engineering and Applied Science, Yale Department of Chemical and Environmental Engineering, Tau Beta Pi Fellowship, and P.E.O. Scholar Award as the Yao Ming Charitable Fund Named Scholar</t>
  </si>
  <si>
    <t>Aburas M, 2019, APPL ENERG, V255, DOI 10.1016/j.apenergy.2019.113522; [Anonymous], SUSTAINABILITY ISRAE; [Anonymous], 2021, WORLD ENERGY INVESTM; Babakhani A, 2012, MATER MANUF PROCESS, V27, P135, DOI 10.1080/10426914.2011.557287; Bajpayee A, 2020, FRONT MATER, V7, DOI 10.3389/fmats.2020.00052; Bataille CGF, 2020, WIRES CLIM CHANGE, V11, DOI 10.1002/wcc.633; Buchner Barbara., 2021, Global Landscape of Climate Finance 2021; Capstick S, 2015, WIRES CLIM CHANGE, V6, P35, DOI 10.1002/wcc.321; climateactiontracker, CAT THERMOMETER CLIM; Cool NI, 2022, ACS APPL ENERG MATER, V5, P4829, DOI 10.1021/acsaem.2c00249; Crippa M., 2022, Luxembourg, V10, DOI [10.2760/730164, DOI 10.2760/730164]; Crippa M, 2021, ENVIRON RES LETT, V16, DOI 10.1088/1748-9326/ac00e2; Dow K, 2013, CURR OPIN ENV SUST, V5, P384, DOI 10.1016/j.cosust.2013.07.005; Environment, GALL HIST TRENDS; Farmer JD, 2016, RES POLICY, V45, P647, DOI 10.1016/j.respol.2015.11.001; Fioramonti L., 2021, FRONTIERS SUSTAINABI, V2, P25; Flath C, 2012, BUS INFORM SYST ENG+, V4, P31, DOI 10.1007/s12599-011-0201-5; Fleer NA, 2017, ACS APPL MATER INTER, V9, P38887, DOI 10.1021/acsami.7b09779; Goebbert K, 2012, WEATHER CLIM SOC, V4, P132, DOI 10.1175/WCAS-D-11-00044.1; Hilpert H, 2013, BUS INFORM SYST ENG+, V5, P313, DOI 10.1007/s12599-013-0285-1; Kavlak G., 2016, SSRN ELECT J, DOI [10.2139/ssrn.2891516, DOI 10.2139/SSRN.2891516]; Kumar PP, 2021, ENVIRON SCI-PROC IMP, V23, DOI 10.1039/d0em00424c; Kwauk C., 2021, CURRICULUM LEARNING, VVolume 5, P1; Liu H., 2020, CONCURR COMP-PRACT E, V32, pe5945, DOI [10.1002/cpe.5945, DOI 10.1002/CPE.5945]; Miller I, 2019, COMPUT-AIDED CHEM EN, V46, P1057, DOI 10.1016/B978-0-12-818634-3.50177-6; Nielsen KS, 2020, ONE EARTH, V3, P325, DOI 10.1016/j.oneear.2020.08.007; Palm E, 2016, J CLEAN PROD, V129, P548, DOI 10.1016/j.jclepro.2016.03.158; Pidgeon N, 2011, NAT CLIM CHANGE, V1, P35, DOI [10.1038/NCLIMATE1080, 10.1038/nclimate1080]; Ram M, 2018, J CLEAN PROD, V199, P687, DOI 10.1016/j.jclepro.2018.07.159; Rootzén J, 2017, CLIM POLICY, V17, P781, DOI 10.1080/14693062.2016.1191007; Santos DA, 2021, ISCIENCE, V24, DOI 10.1016/j.isci.2021.103277; Shealy T, 2019, ENVIRON EDUC RES, V25, P925, DOI 10.1080/13504622.2017.1293009; Somoza-Tornos A, 2021, ISCIENCE, V24, DOI 10.1016/j.isci.2021.102813; Sparkman G, 2022, NAT COMMUN, V13, DOI 10.1038/s41467-022-32412-y; Sun-Jin Y., 2022, CAN CITIZENS ENGAGE; VijayaVenkataRaman S, 2012, RENEW SUST ENERG REV, V16, P878, DOI 10.1016/j.rser.2011.09.009; Vogl V, 2018, J CLEAN PROD, V203, P736, DOI 10.1016/j.jclepro.2018.08.279; Waetzig G.R., 2017, Sci. Rep, V7, P1; Wang HJ, 2014, ENERG BUILDINGS, V82, P428, DOI 10.1016/j.enbuild.2014.07.034; Wang HH, 2022, CONCURR COMP-PRACT E, V34, DOI 10.1002/cpe.6807; Weber EU, 2011, AM PSYCHOL, V66, P315, DOI 10.1037/a0023253; Yale Climate Opinion Maps, 2021, YAL PROGR CLIM CHANG; Ydo Y., 2021, WATER AIR SOIL POLL, DOI [10.1163/9789004471818, DOI 10.1163/9789004471818]; Zajac S, 1998, ISIJ INT, V38, P1130, DOI 10.2355/isijinternational.38.1130; Ziegler MS, 2021, ENERG ENVIRON SCI, V14, P1635, DOI 10.1039/d0ee02681f</t>
  </si>
  <si>
    <t>AMER CHEMICAL SOC</t>
  </si>
  <si>
    <t>WASHINGTON</t>
  </si>
  <si>
    <t>1155 16TH ST, NW, WASHINGTON, DC 20036 USA</t>
  </si>
  <si>
    <t>2470-1343</t>
  </si>
  <si>
    <t>ACS Omega</t>
  </si>
  <si>
    <t>FEB 7</t>
  </si>
  <si>
    <t>10.1021/acsomega.2c07674</t>
  </si>
  <si>
    <t>Chemistry, Multidisciplinary</t>
  </si>
  <si>
    <t>Chemistry</t>
  </si>
  <si>
    <t>8W9UJ</t>
  </si>
  <si>
    <t>WOS:000931668200001</t>
  </si>
  <si>
    <t>Cheimonopoulou, MT; Koulouri, P; Previati, M; Realdon, G; Mokos, M; Mogias, A</t>
  </si>
  <si>
    <t>Cheimonopoulou, Maria Th; Koulouri, Panayota; Previati, Monica; Realdon, Giulia; Mokos, Melita; Mogias, Athanasios</t>
  </si>
  <si>
    <t>Implementation of a new research tool for evaluating Mediterranean Sea Literacy (MSL) of high school students: A pilot study</t>
  </si>
  <si>
    <t>Ocean Literacy; Mediterranean Sea Literacy; content knowledge; high school students; environmental education; Mediterranean region</t>
  </si>
  <si>
    <t>PRESERVICE TEACHERS KNOWLEDGE; OCEAN LITERACY; ENVIRONMENTAL AWARENESS; UNIVERSITY-STUDENTS; ATTITUDES</t>
  </si>
  <si>
    <t>The Mediterranean Sea is recognized as a key component in the development, economy, and culture of European, North African, and Middle East countries. With respect to heterogeneity across the region in different sectors, Ocean Literacy, though still in its infancy, is nevertheless a requisite for a better understanding of the two-way interaction between the Sea and its people. In the present study, marine issues in relation to the content knowledge of 154 high school students from the Mediterranean region were investigated by using a structured questionnaire based on the recently published Mediterranean Sea Literacy guide. Data analysis involved descriptive statistics to portray frequencies and knowledge scores of the participants, and inferential statistics to assess the effects of grade level on students' knowledge. The study which focused for the first time on the unique features of the Mediterranean marine ecosystems, found the level of content knowledge of the participants to be low to moderate. It is therefore of the utmost importance for the organizations and networks working on marine issues in the Mediterranean Sea to develop synergies and coordinate research programmes to broaden engagement with human societies in the region.</t>
  </si>
  <si>
    <t>[Cheimonopoulou, Maria Th] Minist Rural Dev &amp; Food, Hydrobiol Stn Pella, Pasa Tsair 58200, Edessa, Greece; [Koulouri, Panayota] Hellen Ctr Marine Res, Inst Marine Biol Biotechnol &amp; Aquaculture, Iraklion 71500, Crete, Greece; [Previati, Monica] Underwater BioCartog UBICA Srl, Via San Siro 6 Int 1, I-16124 Genoa, Italy; [Realdon, Giulia] Univ Camerino, Geol Sect, UNICAMearth Grp, Via Gentile III Da Varano, I-62032 Camerino, Italy; [Mokos, Melita] Univ Zadar, Dept Ecol Agron &amp; Aquaculture, Trg Kneza Viseslava 9, Zadar 23000, Croatia; [Mogias, Athanasios] Democritus Univ Thrace, Dept Primary Educ, Lab Environm Res &amp; Educ, GR-68100 Nea Chili, Alexandroupolis, Greece</t>
  </si>
  <si>
    <t>Hellenic Centre for Marine Research; University of Camerino; University of Zadar; Democritus University of Thrace</t>
  </si>
  <si>
    <t>Koulouri, P (corresponding author), Hellen Ctr Marine Res, Inst Marine Biol Biotechnol &amp; Aquaculture, Iraklion 71500, Crete, Greece.</t>
  </si>
  <si>
    <t>Realdon, Giulia/0000-0001-8269-4269; Cheimonopoulou, Maria/0000-0002-2933-3285; Koulouri, Panayota (Yolanda)/0000-0002-3418-7980</t>
  </si>
  <si>
    <t>[Anonymous], 2017, J. Res. Didact. Geogr; Ben-zvi-Assarf O., 2005, J GEOSCIENCE ED, V53, P366, DOI [10.5408/1089-9995-53.4.366, DOI 10.5408/1089-9995-53.4.366]; Boubonari T, 2013, J ENVIRON EDUC, V44, P232, DOI 10.1080/00958964.2013.785381; Brennan C, 2019, FRONT MAR SCI, V6, DOI 10.3389/fmars.2019.00360; BRISLIN RW, 1970, J CROSS CULT PSYCHOL, V1, P185, DOI 10.1177/135910457000100301; Cappelletto M, 2021, OCEAN COAST RES, V69, DOI 10.1590/2675-2824069.21019mc; Cava F., 2005, Science Content and Standards for Ocean Literacy: A Report on Ocean Literacy, P1; Cheimonopoulou M.Th., 2019, 7 EUR MAR SCI ED ASS, P7; Cheimonopoulou M.Th., 2019, 7 EUR MAR SCI ED ASS, P24; Chen CL, 2016, ENVIRON EDUC RES, V22, P958, DOI 10.1080/13504622.2015.1054266; Copejans E., 2020, HDB TEACHERS; Danielson KI, 2015, CBE-LIFE SCI EDUC, V14, DOI 10.1187/cbe.14-11-0209; Eparkhina D., OCEAN LITERACY EUROP; Erdogan M., 2009, EURASIA J MATH SCI T, V5, P15, DOI [10.12973/ejmste/75253, DOI 10.12973/EJMSTE/75253]; Greely T., 2008, THESIS U S FLORIDA T; Guest H, 2015, MAR POLICY, V58, P98, DOI 10.1016/j.marpol.2015.04.007; Hartley BL, 2015, MAR POLLUT BULL, V90, P209, DOI 10.1016/j.marpolbul.2014.10.049; Hynes S, 2014, MAR POLICY, V47, P57, DOI 10.1016/j.marpol.2014.02.002; Kelly R, 2022, REV FISH BIOL FISHER, V32, P123, DOI 10.1007/s11160-020-09625-9; Koulouri P., 2021, OCEAN DECADE LAB SAT; Koulouri P., 2021, 9 EUROGOOS C 3 5 MAY, P481; Koulouri P., 2021, EU4OCEAN COALITION E; Koulouri P., 2021, 4 INT C APPL ICHTH O; Koulouri P, 2022, MEDITERR MAR SCI, V23, P289, DOI 10.12681/mms.26797; Leitao R, 2018, INTED PROC, P5058; Lin YL, 2020, SUSTAINABILITY-BASEL, V12, DOI 10.3390/su12177115; Markos A, 2017, ENVIRON EDUC RES, V23, P231, DOI 10.1080/13504622.2015.1126807; Marrero ME, 2019, FRONT MAR SCI, V6, DOI 10.3389/fmars.2019.00325; MIO-ECSDE Mediterranean Information Office for Environment Culture and Sustainable Development, 2004, SUSTAINABLE MEDITERR, V34; Mogias A, 2022, MEDITERR MAR SCI, V23, P310, DOI 10.12681/mms.27059; Mogias A, 2019, FRONT MAR SCI, V6, DOI 10.3389/fmars.2019.00396; Mogias A, 2015, J ENVIRON EDUC, V46, P251, DOI 10.1080/00958964.2015.1050955; Mokos M., 2021, EUROGEO BOOK SERIES, P197; Mokos M, 2020, SUSTAINABILITY-BASEL, V12, DOI 10.3390/su122410647; Mokos M, 2020, MEDITERR MAR SCI, V21, P592, DOI 10.12681/mms.23400; Paredes-Coral E, 2022, MEDITERR MAR SCI, V23, P321, DOI 10.12681/mms.26608; Plankis B.J., 2010, INT ELECT J ENV ED, V1, P21; Pocze B., 2020, OCEAN LITERACY ALL C; Previati M., 2018, 6 EUR MAR SCI ED ASS; Realdon G., 2019, 7 EUR MAR SCI ED ASS, P57; Realdon G., 2018, EUROPEAN GEOSCIENCES; Realdon G, 2019, REND ONLINE SOC GEOL, V49, P107, DOI 10.3301/ROL.2019.59; Ryabinin V, 2019, FRONT MAR SCI, V6, DOI 10.3389/fmars.2019.00470; Sakurai R, 2019, ENVIRON EDUC RES, V25, P222, DOI 10.1080/13504622.2018.1436698; Spoors F., 2021, COAST OCEAN FIFE EYE, DOI [10.15664/10023.23981, DOI 10.15664/10023.23981]; Umuhire ML, 2016, MAR POLLUT BULL, V102, P289, DOI 10.1016/j.marpolbul.2015.07.067; Yavetz B, 2009, ENVIRON EDUC RES, V15, P393, DOI 10.1080/13504620902928422</t>
  </si>
  <si>
    <t>10.12681/mms.29172</t>
  </si>
  <si>
    <t>WOS:000782982600004</t>
  </si>
  <si>
    <t>Reis, IFG; Lopes, MAR; Antunes, CH</t>
  </si>
  <si>
    <t>Reis, Ines F. G.; Lopes, Marta A. R.; Antunes, Carlos Henggeler</t>
  </si>
  <si>
    <t>Energy literacy: an overlooked concept to end users' adoption of time-differentiated tariffs</t>
  </si>
  <si>
    <t>ENERGY EFFICIENCY</t>
  </si>
  <si>
    <t>Energy literacy; Energy decisions; Time-differentiated tariffs; Smart grids; Energy behavior; Decision style; Framing effect</t>
  </si>
  <si>
    <t>USE ELECTRICITY TARIFFS; DECISION-MAKING; PROSPECT-THEORY; DEMAND; CONSUMPTION; ECONOMICS; POLICY; CONSERVATION; TECHNOLOGY; BEHAVIORS</t>
  </si>
  <si>
    <t>Demand-response programs have been implemented aiming to reshape consumption patterns through time-differentiated price signals reflecting generation availability and grid conditions. Although these programs have been in place for several years, it is still unclear to what extent end users are ready (and willing) to adopt them, as they may require understanding complex information related to energy tariffs and consumption patterns and consequently changing behaviors and daily routines. This work aims to assess the influence of end users' literacy (including proficiency on energy-related topics, numeracy, and graphical literacy), the decision style, and the way electricity tariffs information is framed, on the willingness to adopt time-differentiated tariffs (TDT). An exploratory online survey was conducted between March and May 2018 to a convenience sample of 340 Portuguese university students who, although not being representative of the whole population, are illustrative of the next generation of more literate energy end users. Results highlighted the role of energy literacy as a crucial factor in facilitating the readability and understandability of TDT information and in encouraging end users to adopt TDT schemes. The different dimensions of energy literacy showed to influence the results differently as worse numeracy and graphical literacy levels were correlated with a lower willingness to adopt TDT. Results also revealed the relevance of the framing effect in the end users' willingness to enroll in TDT and socio-demographic parameters (as age and housing) emerged as relevant factors influencing the willingness to adopt such pricing schemes. These results convey further information for the design of more effective energy policies aiming to promote end users' energy literacy and empowering them to make more informed decisions.</t>
  </si>
  <si>
    <t>[Reis, Ines F. G.; Lopes, Marta A. R.; Antunes, Carlos Henggeler] Univ Coimbra, DEEC, INESC Coimbra, Rua Silvio Lima,Polo 2, P-3030290 Coimbra, Portugal; [Lopes, Marta A. R.] Polytech Coimbra, ESAC, P-3045601 Coimbra, Portugal; [Antunes, Carlos Henggeler] Univ Coimbra, Dept Elect &amp; Comp Engn, Polo 2,R Silvio Lima, P-3030290 Coimbra, Portugal</t>
  </si>
  <si>
    <t>Universidade de Coimbra; INESC Coimbra; Instituto Politecnico de Coimbra (IPC); Universidade de Coimbra</t>
  </si>
  <si>
    <t>Reis, IFG (corresponding author), Univ Coimbra, DEEC, INESC Coimbra, Rua Silvio Lima,Polo 2, P-3030290 Coimbra, Portugal.</t>
  </si>
  <si>
    <t>inesfreis@deec.uc.pt</t>
  </si>
  <si>
    <t>Henggeler, Carlos/F-8517-2011; Lopes, Marta A.R./F-5265-2014</t>
  </si>
  <si>
    <t>Henggeler, Carlos/0000-0003-4754-2168; Lopes, Marta/0000-0002-7413-1295; Reis, Ines/0000-0002-7810-6230</t>
  </si>
  <si>
    <t>European Social Fund [CENTRO-01-0145-FEDER-000006, POCI-01-0145-FEDER-028040, POCI-01-0145-FEDER-032503, UIDB/00308/2020]; European Regional Development Fund [CENTRO-01-0145-FEDER-000006, POCI-01-0145-FEDER-028040, POCI-01-0145-FEDER-032503, UIDB/00308/2020]; COMPETE 2020 Programs [CENTRO-01-0145-FEDER-000006, POCI-01-0145-FEDER-028040, POCI-01-0145-FEDER-032503, UIDB/00308/2020]; FCT-Portuguese Foundation for Science and Technology; Energy for Sustainability Initiative of the University of Coimbra; [SFRH/BD/143530/2019]; Fundação para a Ciência e a Tecnologia [SFRH/BD/143530/2019] Funding Source: FCT</t>
  </si>
  <si>
    <t>European Social Fund(European Social Fund (ESF)); European Regional Development Fund(European Union (EU)); COMPETE 2020 Programs; FCT-Portuguese Foundation for Science and Technology(Fundacao para a Ciencia e a Tecnologia (FCT)); Energy for Sustainability Initiative of the University of Coimbra; ; Fundação para a Ciência e a Tecnologia(Fundacao para a Ciencia e a Tecnologia (FCT))</t>
  </si>
  <si>
    <t>This work was partially supported by grant SFRH/BD/143530/2019 and by project grants UIDB/00308/2020, SUSPENSE (CENTRO-01-0145-FEDER-000006), MAnAGER (POCI-01-0145-FEDER-028040) and RETROSIM (POCI-01-0145-FEDER-032503) through the European Social Fund, European Regional Development Fund and the COMPETE 2020 Programs, FCT-Portuguese Foundation for Science and Technology, and the Energy for Sustainability Initiative of the University of Coimbra.</t>
  </si>
  <si>
    <t>Allcott H, 2014, J PUBLIC ECON, V112, P72, DOI 10.1016/j.jpubeco.2014.01.004; Anderson W., 2009, EXPLORING CONSUMER P, V123; [Anonymous], 2018, ED GLANCE 2018, P88, DOI DOI 10.1787/EAG-2018-EN; Barberis NC, 2013, J ECON PERSPECT, V27, P173, DOI 10.1257/jep.27.1.173; Blasch J, 2019, RESOUR ENERGY ECON, V56, P39, DOI 10.1016/j.reseneeco.2017.06.001; Buryk S, 2015, ENERG POLICY, V80, P190, DOI 10.1016/j.enpol.2015.01.030; Cohen J., 2013, STAT POWER ANAL BEHA; Darcy S., 2017, CHECK LIST CHANGE; DeWaters J, 2013, J ENVIRON EDUC, V44, P38, DOI 10.1080/00958964.2012.711378; DeWaters JE, 2011, ENERG POLICY, V39, P1699, DOI 10.1016/j.enpol.2010.12.049; Dütschke E, 2013, ENERG POLICY, V59, P226, DOI 10.1016/j.enpol.2013.03.025; Engin A, 2017, DECIS SUPPORT SYST, V103, P94, DOI 10.1016/j.dss.2017.09.007; ERSE, 2018, 2018 EL TAR PRIC TAB; ERSE, 2017, PIL PROJ IMPR TAR ST; Faruqui A, 2013, ENERG EFFIC, V6, P571, DOI 10.1007/s12053-013-9192-z; Faruqui A, 2010, ENERG POLICY, V38, P6222, DOI 10.1016/j.enpol.2010.06.010; Faruqui A, 2010, J REGUL ECON, V38, P193, DOI 10.1007/s11149-010-9127-y; Ford R., 2014, Energy Transitions: Home Energy Management Systems (HEMS); Frederiks ER, 2020, ENERGY RES SOC SCI, V63, DOI 10.1016/j.erss.2019.101409; Frederiks ER, 2015, RENEW SUST ENERG REV, V41, P1385, DOI 10.1016/j.rser.2014.09.026; Galesic M, 2011, MED DECIS MAKING, V31, P444, DOI 10.1177/0272989X10373805; Gillingham K, 2009, ANNU REV RESOUR ECON, V1, P597, DOI 10.1146/annurev.resource.102308.124234; Gonçalves I, 2019, APPL ENERG, V242, P351, DOI 10.1016/j.apenergy.2019.03.108; Grainger S, 2016, ENVIRON MODELL SOFTW, V85, P299, DOI 10.1016/j.envsoft.2016.09.004; Hamilton K, 2016, J PERS ASSESS, V98, P523, DOI 10.1080/00223891.2015.1132426; Hayn M, 2018, ENERGY SYST, V9, P759, DOI 10.1007/s12667-018-0278-8; Hermsen S, 2016, COMPUT HUM BEHAV, V57, P61, DOI 10.1016/j.chb.2015.12.023; Herrmann MR, 2018, ENERG EFFIC, V11, P1703, DOI 10.1007/s12053-017-9555-y; INE &amp; DGEG, 2011, HOUS EN CONS SURV ME; JAFFE AB, 1994, ENERG POLICY, V22, P804, DOI 10.1016/0301-4215(94)90138-4; KAHNEMAN D, 1979, ECONOMETRICA, V47, P263, DOI 10.2307/1914185; Kahneman D., 2012, THINKING FAST SLOW, P27; Karlin B, 2015, PSYCHOL BULL, V141, P1205, DOI 10.1037/a0039650; Katsikopoulos K.V., 2016, Behavioral Operational Research, P27; Layer P, 2017, ENERG POLICY, V106, P244, DOI 10.1016/j.enpol.2017.02.051; Lehner M, 2016, J CLEAN PROD, V134, P166, DOI 10.1016/j.jclepro.2015.11.086; Leonard TC, 2008, CONST POLITICAL ECON, V19, P356, DOI 10.1007/s10602-008-9056-2; Li RL, 2017, APPL ENERG, V203, P623, DOI 10.1016/j.apenergy.2017.06.067; Lopes M, 2020, ENERGY AND BEHAVIOUR: TOWARDS A LOW CARBON FUTURE, P1, DOI 10.1016/B978-0-12-818567-4.00030-2; Lopes MAR, 2017, BUILD RES INF, V45, P303, DOI 10.1080/09613218.2016.1140000; Lopes MAR, 2016, ENERG POLICY, V90, P233, DOI 10.1016/j.enpol.2015.12.014; Lopes MAR, 2015, ENERGY RES SOC SCI, V7, P84, DOI 10.1016/j.erss.2015.03.004; Mills B, 2012, ENERG POLICY, V49, P616, DOI 10.1016/j.enpol.2012.07.008; Mingers J.(, 2001, MULTIMETHODOLOGY MIX, P289; Moore DA, 2008, PSYCHOL REV, V115, P502, DOI 10.1037/0033-295X.115.2.502; Nayak JG, 2016, PATIENT EDUC COUNS, V99, P448, DOI 10.1016/j.pec.2015.09.009; Nicolson M, 2017, ENERGY RES SOC SCI, V23, P82, DOI 10.1016/j.erss.2016.12.001; Nicolson ML, 2018, RENEW SUST ENERG REV, V97, P276, DOI 10.1016/j.rser.2018.08.040; Ozaki R, 2018, ENERGY RES SOC SCI, V46, P10, DOI 10.1016/j.erss.2018.06.008; Parrish B, 2020, ENERG POLICY, V138, DOI 10.1016/j.enpol.2019.111221; Peters E, 2006, PSYCHOL SCI, V17, P407, DOI 10.1111/j.1467-9280.2006.01720.x; Samuelson W., 1988, J RISK UNCERTAINTY, V1, P7, DOI [10.1007/BF00055564, DOI 10.1007/BF00055564]; SCOTT SG, 1995, EDUC PSYCHOL MEAS, V55, P818, DOI 10.1177/0013164495055005017; Simon Herbert A., 1957, MODELS MAN SOCIAL RA; Sjoberg L., 2003, SCAND J MANAG, V19, P17, DOI [10.1016/S0956-5221(01)00041-0, DOI 10.1016/S0956-5221(01)00041-0]; Soares A, 2014, RENEW SUST ENERG REV, V30, P490, DOI 10.1016/j.rser.2013.10.019; Souza MNM, 2018, ENERG POLICY, V118, P149, DOI 10.1016/j.enpol.2018.03.013; Sovacool BK, 2018, ENERGY RES SOC SCI, V45, P12, DOI 10.1016/j.erss.2018.07.007; Sovacool BK, 2015, ENVIRON SCI POLICY, V54, P304, DOI 10.1016/j.envsci.2015.07.011; Strengers Y, 2012, ENERG POLICY, V44, P226, DOI 10.1016/j.enpol.2012.01.046; Sullivan Gail M, 2012, J Grad Med Educ, V4, P279, DOI 10.4300/JGME-D-12-00156.1; Torriti J., 2014, FUTURE ELECTRICITY D, P88, DOI [10.1017/CBO9780511996191.007, DOI 10.1017/CBO9780511996191.007]; TVERSKY A, 1981, SCIENCE, V211, P453, DOI 10.1126/science.7455683; Tversky A., 1975, JUDGEMENT UNCERTAINT, V11, DOI [10.1007/978-94-010-1834-0_8, DOI 10.1007/978-94-010-1834-0_8]; Wilson C, 2007, ANNU REV ENV RESOUR, V32, P169, DOI 10.1146/annurev.energy.32.053006.141137; Yan X, 2018, RENEW SUST ENERG REV, V96, P411, DOI 10.1016/j.rser.2018.08.003; Zhang Y, 2020, ENERG BUILDINGS, V214, DOI 10.1016/j.enbuild.2020.109823</t>
  </si>
  <si>
    <t>1570-646X</t>
  </si>
  <si>
    <t>1570-6478</t>
  </si>
  <si>
    <t>ENERG EFFIC</t>
  </si>
  <si>
    <t>Energy Effic.</t>
  </si>
  <si>
    <t>10.1007/s12053-021-09952-1</t>
  </si>
  <si>
    <t>Green &amp; Sustainable Science &amp; Technology; Energy &amp; Fuels; Environmental Studies</t>
  </si>
  <si>
    <t>Science &amp; Technology - Other Topics; Energy &amp; Fuels; Environmental Sciences &amp; Ecology</t>
  </si>
  <si>
    <t>RL6VK</t>
  </si>
  <si>
    <t>WOS:000639108000001</t>
  </si>
  <si>
    <t>Winegardner, E; Lemay, E; Lynch, S; Thole, KA; O'Connor, J</t>
  </si>
  <si>
    <t>AMER SOC MECHANICAL ENGINEERS</t>
  </si>
  <si>
    <t>Winegardner, Erica; Lemay, Emma; Lynch, Stephen; Thole, Karen A.; O'Connor, Jacqueline</t>
  </si>
  <si>
    <t>ENERGY AND THE UNIVERSITY: THE ROLE OF GAS TURBINES AT US UNIVERSITIES AND STRATEGIES FOR ENHANCING ENERGY LITERACY</t>
  </si>
  <si>
    <t>PROCEEDINGS OF ASME TURBO EXPO 2022: TURBOMACHINERY TECHNICAL CONFERENCE AND EXPOSITION, GT2022, VOL 5</t>
  </si>
  <si>
    <t>67th ASME Turbomachinery Technical Conference and Exposition (Turbo Expo) on Road Mapping the Future of Propulsion and Power</t>
  </si>
  <si>
    <t>JUN 13-17, 2022</t>
  </si>
  <si>
    <t>Rotterdam, NETHERLANDS</t>
  </si>
  <si>
    <t>energy literacy; gas turbine; combined heat and power</t>
  </si>
  <si>
    <t>MIDDLE</t>
  </si>
  <si>
    <t>Ambitious international decarbonization goals and growing demand for energy are two powerful mandates that set the agenda for the gas turbine industry for the next several decades. To meet these goals and needs, educators must focus on the development of not only technical skills, but also energy literacy. Energy literacy has three components - the cognitive (awareness of energy concepts and technologies), the affective (awareness of the interaction between energy and greater societal issues), and the behavioral (agency to make energy-related decisions) that can be significantly enhanced by not just curricular interventions, but also non-curricular activities. This paper begins by describing the energy landscape at Tier 1 Research (R1) Universities in the United States. Over 50% of R1 universities in the US use gas turbines to help meet their campus power and heating needs, and almost 60% of these universities have public facing information about campus energy production and usage, indicating an opportunity for enhancing energy literacy amongst the student body through better energy communication. Using these peer institutions as a backdrop, we focus on efforts by the Center for Gas Turbine Research, Education, and Outreach at the Pennsylvania State University as a case study to learn how to enhance energy literacy in engineers through both curricular and non-curricular interventions. The non-curricular intervention includes an energy dashboard, displayed in the student collaboration space for the Department of Mechanical Engineering, that shows real-time statistics on power and steam production, as well as gas turbine engine data from an advanced instrumentation package in one of the power stations on campus. The curricular intervention includes use of data from this dashboard in an introductory thermodynamics course, including the use of engine data in Brayton cycle analysis. In describing these efforts, we highlight the critical role that gas turbine technology and the gas turbine industry can play in enhancing the technical education and energy literacy of the future workforce.</t>
  </si>
  <si>
    <t>[Winegardner, Erica; Lemay, Emma; Lynch, Stephen; Thole, Karen A.; O'Connor, Jacqueline] Penn State Univ, University Pk, PA 16802 USA</t>
  </si>
  <si>
    <t>Pennsylvania Commonwealth System of Higher Education (PCSHE); Pennsylvania State University; Pennsylvania State University - University Park</t>
  </si>
  <si>
    <t>Winegardner, E (corresponding author), Penn State Univ, University Pk, PA 16802 USA.</t>
  </si>
  <si>
    <t>Leonhard Center for the Enhancement of Teaching and Learning at the Penn State College of Engineering; Penn State units: the Center for Gas Turbine Research, Education; Department of Mechanical Engineering; Institutes for Energy; Office of the Physical Plant</t>
  </si>
  <si>
    <t>The authors gratefully acknowledge the financial support of the Leonhard Center for the Enhancement of Teaching and Learning at the Penn State College of Engineering for development of the energy dashboard and initial curricular interventions. Additional financial support for educational and outreach activities comes from the following Penn State units: the Center for Gas Turbine Research, Education, and Outreach, the Department of Mechanical Engineering, the Office of the Physical Plant, and the Institutes for Energy and the Environment. We very much appreciate the assistance of Michael Prinkey at Penn State's Office of Physical Plant, as well as John Webster, Vanja Bucic, and Craig Stewart at Icetec, for the development of the energy dashboard. Finally, we gratefully acknowledge the support from Solar Turbines and Center of Excellence program monitor Dave Voss.</t>
  </si>
  <si>
    <t>AASHE, Sustainable Campus Partners-The Association for the Advancement of Sustainability in Higher Education; Akitsu Y., 2017, Int. J. Environ. Sci. Educ., V12, P1067; [Anonymous], 2022, Energy Literacy-Essential Principles andFundamental Concepts for Energy Education; [Anonymous], 2016, COMMERCIAL AIRCRAFT; [Anonymous], Penn State Mechanical Engineering Core Courses; [Anonymous], 2021, Sol. Turbines; [Anonymous], 2021, World Energy Outlook 2021; [Anonymous], 2021, ASME TURB EXP PLEN P; [Anonymous], 2021, Icetec Energy Services; COP26, 2021, The Glasgow Climate Pact; Cotton DRE, 2015, INT J SUST HIGHER ED, V16, P456, DOI 10.1108/IJSHE-12-2013-0166; Demeo A. E., 2013, J. Sustain. Educ., V4, P1; DeWaters J, 2013, J ENVIRON EDUC, V44, P56, DOI 10.1080/00958964.2012.682615; DeWaters J, 2008, PROC FRONT EDUC CONF, P116; DeWaters JE, 2011, ENERG POLICY, V39, P1699, DOI 10.1016/j.enpol.2010.12.049; Fah L. Y., 2012, OIDA Int. J. Sustain. Dev., V3, P75; Menon S, 2020, INT J SUST HIGHER ED, V21, P1015, DOI 10.1108/IJSHE-03-2020-0089; National Academies of Sciences Engineering and Medicine, 2020, Advanced Technologies for Gas Turbines; Nelson M., 2020, ASEE ANN C EXP C P; NSF, 2022, Higher Education Research and Development Survey; Schwartz T., 2013, Proceedings of the 31th International Conference on Human factors in Computing Systems: Changing Perspectives, Paris, France, P1193; Sinha P, 2010, J AIR WASTE MANAGE, V60, P568, DOI 10.3155/1047-3289.60.5.568; Steinemann A, 2003, J PROF ISS ENG ED PR, V129, P216, DOI 10.1061/(ASCE)1052-3928(2003)129:4(216); UC-Davis, CEED-Campus Energy Education Dashboard; Wade J. L., 2019, 2019 ASEE ANN C EXP; Yeh SC, 2017, SUSTAINABILITY-BASEL, V9, DOI 10.3390/su9030423</t>
  </si>
  <si>
    <t>THREE PARK AVENUE, NEW YORK, NY 10016-5990 USA</t>
  </si>
  <si>
    <t>978-0-7918-8602-1</t>
  </si>
  <si>
    <t>V005T08A006</t>
  </si>
  <si>
    <t>Engineering, Aerospace; Education, Scientific Disciplines; Engineering, Mechanical</t>
  </si>
  <si>
    <t>Engineering; Education &amp; Educational Research</t>
  </si>
  <si>
    <t>BW9NJ</t>
  </si>
  <si>
    <t>WOS:001216084300006</t>
  </si>
  <si>
    <t>DeWaters, JE; Powers, SE</t>
  </si>
  <si>
    <t>DeWaters, Jan E.; Powers, Susan E.</t>
  </si>
  <si>
    <t>Improving Energy Literacy among Middle School Youth with Project-based Learning Pedagogies</t>
  </si>
  <si>
    <t>2011 FRONTIERS IN EDUCATION CONFERENCE (FIE)</t>
  </si>
  <si>
    <t>41st Annual Frontiers in Education Conference (FIE)</t>
  </si>
  <si>
    <t>OCT 12-15, 2011</t>
  </si>
  <si>
    <t>Rapid City, SD</t>
  </si>
  <si>
    <t>Energy education; energy literacy; energy surveys</t>
  </si>
  <si>
    <t>Energy literacy was measured among a sample of middle school students (n=865) before (pre) and after (post) their middle-level physical science course using a written quantitative questionnaire developed for this research. Overall, students demonstrated significant cognitive gains, with no significant change in their energy-related affect, self-efficacy, or behavior scores. A sub-set of students who participated in project-based energy curricula demonstrated greater cognitive gains, particularly on items that related to topics that were more practical and related to everyday life. One group of project-oriented students who were academically challenged demonstrated significant gains on every non-cognitive subscale score. Qualitative outcomes indicate that most project-oriented students thought more about their energy consumption and made a greater effort to conserve energy, after studying energy in school. They also reportedly talked more with their families about saving energy, felt more strongly about saving energy, developing and using renewable energy resources. The findings underscore the complex relationship between knowledge, affect, and behavior, confirming that energy-related behaviors are more strongly related to affect than to knowledge, and support the benefits of project-based instruction for improving students' broad energy literacy.</t>
  </si>
  <si>
    <t>[DeWaters, Jan E.] Clarkson Univ, Inst Sustainable Environm, Potsdam, NY 13676 USA; [Powers, Susan E.] Clarkson Univ, Dept Civil &amp; Environm Engn, Potsdam, NY USA</t>
  </si>
  <si>
    <t>Clarkson University; Clarkson University</t>
  </si>
  <si>
    <t>DeWaters, JE (corresponding author), Clarkson Univ, Inst Sustainable Environm, Potsdam, NY 13676 USA.</t>
  </si>
  <si>
    <t>National Science Foundation [DUE-0428127, DGE-0338216]</t>
  </si>
  <si>
    <t>This work was sponsored by the National Science Foundation, grant nos. DUE-0428127 and DGE-0338216. The findings and opinions presented here do not necessarily reflect the opinions of the funding agency.</t>
  </si>
  <si>
    <t>Aikenhead G., 2003, A vision for science education: Responding to the work of Peter J. Fensham, P59; [Anonymous], 2006, TRAINING DEV HUMAN S; [Anonymous], 1985, SCHOOL SCI MATH, DOI DOI 10.1111/J.1949-8594.1985.TB09612.X; [Anonymous], 2007, KNOWL SHAR I WASH DC; [Anonymous], 1996, National science education standards, DOI DOI 10.17226/4962; [Anonymous], ENERGY PULSE SURVEY; [Anonymous], AM LOW EN IQ RISK OU; [Anonymous], SCH SCI MATH; [Anonymous], 1979, SCI ED, DOI DOI 10.1002/SCE.3730630506; Attari SZ, 2010, P NATL ACAD SCI USA, V107, P16054, DOI 10.1073/pnas.1001509107; Barrow L., 1989, Journal of Environmental Education, V20, P22, DOI [10.1080/00958964.1989.9943027, DOI 10.1080/00958964.1989.9943027]; BENSON J, 1982, AM J OCCUP THER, V36, P789, DOI 10.5014/ajot.36.12.789; Bittle S., 2009, The energy learning curve. Public Agenda; Curry Thomas., 2007, A survey of public attitudes towards climate change and climate change mitigation technologies in the United States; DeVellis R.F., 2016, Scale development: Theory and applications, DOI DOI 10.1037/CCP0000482; DeWaters J, 2011, THESIS CLARKSON U DE; DeWaters J. E, 2008, P 38 ASEE IEE FRONT; DeWaters J. E., 2007, P 2007 ASEE ANN C EX; DeWaters JE, 2011, ENERG POLICY, V39, P1699, DOI 10.1016/j.enpol.2010.12.049; Eiss A, 1969, BEHAV OBJECTIVES AFF, P4; Elliott B., 2001, INT J MATH ED SCI TE, V32, P811, DOI DOI 10.1080/00207390110053784; Gierke C. D, 1978, MAN SOC TECHNOL, V37, P6; Hines J.M., 1987, J ENVIRON EDUC, V18, P1, DOI [DOI 10.1080/00958964.1987.9943482, 10.1080/00958964.1987.9943482]; Hoody L., 1995, ED EFFICACY ENV ED; Hungerford H. R, 1989, INVESTIGATING EVALUA; Iozzi L., 1989, J ENVIRON EDUC, V20, P3, DOI DOI 10.1080/00958964.1989.9942782; KNOKE JD, 1991, BIOMETRICS, V47, P523, DOI 10.2307/2532143; Kruger C, 2000, RES SCI TECHNOLOGICA, V18, P5; Lawrenz F., 1988, SCH SCI MATH, V88, P543, DOI [10.1111/j.1949-8594.1988.tb11852.x, DOI 10.1111/SSM.1988.88.ISSUE-7]; Linn R.L., 2000, MEASUREMENT ASSESSME, V8th; Manville J, 2007, NEW SURVEY FINDS MOS; McBeth W., 2008, National environmental literacy assessment project: Year 1, national baseline study of middle grades students; New York State Department of Education, 1996, LEARN STAND MATH SCI; Polanco R, 2004, INNOV EDUC TEACH INT, V41, P145, DOI 10.1080/1470329042000208675; Rutledge ML, 2005, AM BIOL TEACH, V67, P329, DOI 10.1662/0002-7685(2005)067[0329:MTNOSR]2.0.CO;2; Solomon J., 1992, GETTING KNOW ENERGY; Sovacool BK, 2009, ENERG POLICY, V37, P4500, DOI 10.1016/j.enpol.2009.05.073; STERN PC, 1992, AM PSYCHOL, V47, P1224, DOI 10.1037/0003-066X.47.10.1224; TRUMPER R, 1993, INT J SCI EDUC, V15, P139, DOI 10.1080/0950069930150203; Volk T.L., 2003, J ENVIRON EDUC, V34, P12, DOI [10.1080/00958960309603483, DOI 10.1080/00958960309603483]; Yager R. E, 2004, ASIA PACIFIC FORUM S, V5; Zografakis N, 2008, ENERG POLICY, V36, P3226, DOI 10.1016/j.enpol.2008.04.021</t>
  </si>
  <si>
    <t>978-1-61284-469-5</t>
  </si>
  <si>
    <t>Computer Science, Interdisciplinary Applications; Education, Scientific Disciplines; Engineering, Electrical &amp; Electronic</t>
  </si>
  <si>
    <t>Computer Science; Education &amp; Educational Research; Engineering</t>
  </si>
  <si>
    <t>BYZ96</t>
  </si>
  <si>
    <t>WOS:000300879800266</t>
  </si>
  <si>
    <t>Sims, RJ; Tallapragada, M; Payton, TG; Noonan, K; Prosser, KL; Childress, MJ</t>
  </si>
  <si>
    <t>Sims, Randi J.; Tallapragada, Meghnaa; Payton, Tokea G.; Noonan, Kara; Prosser, Kathy L.; Childress, Michael J.</t>
  </si>
  <si>
    <t>University Experiences of Marine Science Research and Outreach Beyond the Classroom</t>
  </si>
  <si>
    <t>INTEGRATIVE AND COMPARATIVE BIOLOGY</t>
  </si>
  <si>
    <t>SICB-Wide Symposium on Biology Beyond the Classroom - Experimental Learning Through Authentic Research, Design, and Community Engagement at the Annual Meeting of the Society-for-Integrative-and-Comparative-Biology (SICB)</t>
  </si>
  <si>
    <t>JAN 03-FEB 28, 2021</t>
  </si>
  <si>
    <t>UNDERGRADUATE RESEARCH EXPERIENCES; SELF-EFFICACY; PERSPECTIVES; PERCEPTIONS; PERFORMANCE; KNOWLEDGE; IDENTITY; BIOLOGY; VALUES; GENDER</t>
  </si>
  <si>
    <t>Climate and ocean literacy are two of the most important challenges facing society today. However, many students lack exposure to these topics upon entering college. As a result, these students must rely on learning climate literacy and ocean conservation through experiences outside of those provided in the traditional undergraduate classroom. To fill this gap, we initiated a marine science professional development program to expose undergraduate students to ocean literacy principles and climate change concepts through marine ecology research and educational outreach. This study evaluates the effects of our undergraduate experiential learning for individuals involved in our research team, our educational outreach team, or both. Clemson University alumni that participated in our program were surveyed to determine educational and professional gains in three areas related to: (1) knowledge; (2) careers; and (3) attitudes. Multiple linear and logistic regressions were used to understand the relationships between gains and program type, mentor experience, and duration of program enrollment. In addition, we evaluated demographic covariates including age, ideology, and gender. Our study found that perceived knowledge of marine science and science communication skills increased with positive mentor experience. Alumni that rated their experience with their mentors highly also indicated that the program was important to their careers after graduation. Students who participated in any program for a prolonged period were more likely to indicate that marine science was important to their careers. These students were also more likely to continue their education. Additionally, we saw that a sense of belonging and identity in science, as well as the understanding of climate change threat on the marine environment, all increased with longer program involvement, more than the type of experience (research versus outreach). Overall, we found that both the research and outreach programs offered opportunities for advancements in knowledge, careers, and attitudes. These results provide evidence that experiential learning has the potential to increase student engagement and understanding of climate change and ocean literacy communication as well as a sense of belonging in science-oriented fields.</t>
  </si>
  <si>
    <t>[Sims, Randi J.; Payton, Tokea G.; Noonan, Kara; Childress, Michael J.] Clemson Univ, Dept Biol Sci, Clemson, SC 29634 USA; [Tallapragada, Meghnaa] Temple Univ, Klein Coll Media &amp; Commun, Dept Advertising &amp; Publ Relat, Philadelphia, PA 19122 USA; [Prosser, Kathy L.] Educ Entertainment LLC, Seneca, SC 29679 USA</t>
  </si>
  <si>
    <t>Clemson University; Pennsylvania Commonwealth System of Higher Education (PCSHE); Temple University</t>
  </si>
  <si>
    <t>Sims, RJ (corresponding author), Clemson Univ, Dept Biol Sci, Clemson, SC 29634 USA.</t>
  </si>
  <si>
    <t>rsims@clemson.edu</t>
  </si>
  <si>
    <t>Payton, Tokea/0000-0002-1196-2024; Noonan, Kara/0000-0002-1290-0933; Childress, Michael/0000-0003-2647-635X; Sims, Randi/0000-0002-6380-2460; Tallapragada, Meghnaa/0000-0003-1472-9129</t>
  </si>
  <si>
    <t>Arts Education Grant from the SC Arts Commission [FY20-AEP-0014]; SC Sea Grant Consortium [R/ED 1]; Clemson University Institutional Review Board protocol [IRB2018-497]; Clemson University Creative Inquiry program</t>
  </si>
  <si>
    <t>Arts Education Grant from the SC Arts Commission; SC Sea Grant Consortium; Clemson University Institutional Review Board protocol; Clemson University Creative Inquiry program</t>
  </si>
  <si>
    <t>This work was supported by grants from the Clemson University Creative Inquiry program, an Arts Education Grant from the SC Arts Commission (FY20-AEP-0014), a research grant from SC Sea Grant Consortium (R/ED 1), and inkind contributions from Educational Entertainment, LLC. This research was conducted under the Clemson University Institutional Review Board protocol (IRB2018-497).</t>
  </si>
  <si>
    <t>Adedokun OA, 2014, CBE-LIFE SCI EDUC, V13, P139, DOI 10.1187/cbe.13-03-0045; Adhikari N., 2002, Notices of the AMS, V49, P1252; Andrew S, 1998, J ADV NURS, V27, P596, DOI 10.1046/j.1365-2648.1998.00550.x; [Anonymous], 2017, J. Res. Didact. Geogr; Auchincloss LC, 2014, CBE-LIFE SCI EDUC, V13, P29, DOI 10.1187/cbe.14-01-0004; Ballen CJ, 2017, CBE-LIFE SCI EDUC, V16, DOI 10.1187/cbe.16-12-0352; Bauer KW, 2003, J HIGH EDUC, V74, P210, DOI 10.1353/jhe.2003.0011; Bergerson AA, 2014, J COLL STUD RETENT-R, V16, P165, DOI 10.2190/CS.16.2.a; Burnham KP., 2002, MODEL SELECTION MULT, DOI DOI 10.1007/B97636; Carlone HB, 2007, J RES SCI TEACH, V44, P1187, DOI 10.1002/tea.20237; Carpenter S.L., 2015, Journal of Higher Education Outreach and Engagement, V19, P113; Corner A, 2015, WIRES CLIM CHANGE, V6, P523, DOI 10.1002/wcc.353; Fauville G., 2019, Exemplary Practices in Marine Science Education: A Resource for Practitioners and Researchers, V9, P3, DOI DOI 10.1007/978-3-319-90778-9_1; Ferguson MD, 2020, ENERGY RES SOC SCI, V62, DOI 10.1016/j.erss.2019.101384; Gilbert BL, 2014, J COLL STUDENT DEV, V55, P707, DOI 10.1353/csd.2014.0072; Gill ME, 2001, J BIOL EDUC, V35, P130, DOI 10.1080/00219266.2001.9655761; Gough A, 2017, MAR POLLUT BULL, V124, P633, DOI 10.1016/j.marpolbul.2017.06.069; GOULD SJ, 1979, PROC R SOC SER B-BIO, V205, P581, DOI 10.1098/rspb.1979.0086; Harborne AR, 2017, ANNU REV MAR SCI, V9, P445, DOI 10.1146/annurev-marine-010816-060551; Houser C., 2013, Journal of Geoscience Education, V61, P297, DOI DOI 10.5408/13-420.1; Jackson MC, 2016, CBE-LIFE SCI EDUC, V15, DOI 10.1187/cbe.16-01-0067; Junge B, 2010, CBE-LIFE SCI EDUC, V9, P119, DOI 10.1187/cbe.09-08-0057; Kardash CM, 2000, J EDUC PSYCHOL, V92, P191, DOI 10.1037//0022-0663.92.1.191; Knippenberg MT, 2020, J MICROBIOL BIOL EDU, V21, DOI 10.1128/jmbe.v21i2.2025; Kolb AY, 2009, SIMULAT GAMING, V40, P297, DOI 10.1177/1046878108325713; Kolb AY, 2005, ACAD MANAG LEARN EDU, V4, P193, DOI 10.5465/AMLE.2005.17268566; Kolb DA, 2015, PROCESS EXPERIENTIAL, P1; Langholz JA, 2014, MAR POLICY, V43, P372, DOI 10.1016/j.marpol.2013.06.014; Lawson DF, 2019, NAT CLIM CHANGE, V9, P458, DOI 10.1038/s41558-019-0463-3; Linn MC, 2015, SCIENCE, V347, DOI 10.1126/science.1261757; Lopatto David, 2007, CBE Life Sci Educ, V6, P297, DOI 10.1187/cbe.07-06-0039; Lynch CD, 2010, EUR J DENT EDUC, V14, P12, DOI 10.1111/j.1600-0579.2009.00584.x; MacPhee D, 2013, ANAL SOC ISS PUB POL, V13, P347, DOI 10.1111/asap.12033; Martin JP, 2013, J ENG EDUC, V102, P227, DOI 10.1002/jee.20010; Miyake A, 2010, SCIENCE, V330, P1234, DOI 10.1126/science.1195996; Nagda BA, 1998, REV HIGH EDUC, V22, P55; National Center for Science Education, 2020, MAK GRAD STAT PUBL S; Nelson K, 2017, INT J STEM EDUC, V4, DOI 10.1186/s40594-017-0057-4; NOAA, 2020, Ocean literacy: the essential principles and fundamental concepts of ocean sciences for learners of all ages; Plankis B.J., 2010, INT ELECT J ENV ED, V1, P21; Portner H.-O., 2019, IPCC, 2019: IPCC Special Report on the Ocean and Cryosphere in a Changing Climate; Rao S., 2007, J COLL SCI TEACH, V36, P54; Robnett RD, 2018, INT J STEM EDUC, V5, DOI 10.1186/s40594-018-0139-y; Russell SH, 2007, SCIENCE, V316, P548, DOI 10.1126/science.1140384; Sawtelle V, 2012, J RES SCI TEACH, V49, P1096, DOI 10.1002/tea.21050; Visbeck M, 2018, NAT COMMUN, V9, DOI 10.1038/s41467-018-03158-3; Weaver JP, 2018, CONTEMP EDUC PSYCHOL, V52, P36, DOI 10.1016/j.cedpsych.2017.12.003; Wei CA, 2011, CBE-LIFE SCI EDUC, V10, P123, DOI 10.1187/cbe.11-03-0028; Williams M., 2014, Journal of Women and Minorities in Science and Engineering, V20, P99, DOI [DOI 10.1615/JWOMENMINORSCIENENG.2014004477, 10.1615/JWomenMinorScienEng.2014004477]</t>
  </si>
  <si>
    <t>OXFORD UNIV PRESS INC</t>
  </si>
  <si>
    <t>CARY</t>
  </si>
  <si>
    <t>JOURNALS DEPT, 2001 EVANS RD, CARY, NC 27513 USA</t>
  </si>
  <si>
    <t>1540-7063</t>
  </si>
  <si>
    <t>1557-7023</t>
  </si>
  <si>
    <t>INTEGR COMP BIOL</t>
  </si>
  <si>
    <t>Integr. Comp. Biol.</t>
  </si>
  <si>
    <t>10.1093/icb/icab104</t>
  </si>
  <si>
    <t>MAY 2021</t>
  </si>
  <si>
    <t>Zoology</t>
  </si>
  <si>
    <t>WJ1NT</t>
  </si>
  <si>
    <t>WOS:000708816800025</t>
  </si>
  <si>
    <t>Mallory, TG; Chubb, A; Lau, S</t>
  </si>
  <si>
    <t>Mallory, Tabitha Grace; Chubb, Andrew; Lau, Sallie</t>
  </si>
  <si>
    <t>China's ocean culture and consciousness: Constructing a maritime great power narrative</t>
  </si>
  <si>
    <t>China; Maritime power; Soft power; Ocean consciousness; Ocean culture; Ocean development strategy</t>
  </si>
  <si>
    <t>SOFT POWER; LITERACY</t>
  </si>
  <si>
    <t>China's primary cultural identity tends to be associated with land-oriented, agrarian civilization, despite its lengthy coastline and history of maritime activities. But for the 21st century, as the Chinese central authority has developed a comprehensive national ocean strategy, it has purposefully crafted an identity of China as a maritime great power. Chinese agencies refer to this work as promoting ocean soft power ((SIC))via ocean consciousness propaganda ((SIC)), ocean education ((SIC)) and ocean culture ((SIC)). Based on analysis of Chinese-language sources back to the 1980s, this article examines the origins, planning and implementation of China's state-constructed maritime identity. The article explains the roots of ocean culture and traces how an ocean consciousness campaign expanded from the military to the population in the 1990s, the systemisation of which has culminated in a five-year plan and a National Ocean Consciousness Index. Practical implementation unfolds in the recasting of fifteenth-century navigator Zheng He as a cultural icon; the state's appropriation of Mazu mythology; and use by local governments to foster economic growth. This effort is primarily domestically oriented but has significant international implications. The narrative produced is likely to shape China's role in the global commons, on issues from marine environment and natural resources to polar affairs, boundary disputes and maritime security.</t>
  </si>
  <si>
    <t>[Mallory, Tabitha Grace] Univ Washington, China Ocean Inst, Seattle, WA 98195 USA; [Chubb, Andrew] Univ Lancaster, Lancaster LA1 4YW, Lancashire, England; [Lau, Sallie] Univ Washington, Seattle, WA 98195 USA</t>
  </si>
  <si>
    <t>University of Washington; University of Washington Seattle; Lancaster University; University of Washington; University of Washington Seattle</t>
  </si>
  <si>
    <t>Mallory, TG (corresponding author), Univ Washington, China Ocean Inst, Seattle, WA 98195 USA.</t>
  </si>
  <si>
    <t>tabitha@china-ocean.org</t>
  </si>
  <si>
    <t>Chubb, Andrew/0000-0002-4399-8830</t>
  </si>
  <si>
    <t>[Anonymous], 2003, PEOPLES DAILY 0924; [Anonymous], 2007, PEOPLES DAILY 1206; [Anonymous], 2016, HAINAN TODAY 9 NOVEM; [Anonymous], 2008, Civil engineering body of knowledge for the 21st century: Preparing the civil engineer for the future; [Anonymous], 2012, XINHUA; [Anonymous], 1994, OUTLINE IMPLEMENTATI; [Anonymous], 2019, The Economist; [Anonymous], 2018, INT POSTCHINESE NEWS; [Anonymous], COMPILATION IMPORTAN, V32; [Anonymous], 2012, People's Daily; [Anonymous], 2005, MILLENNIUM ECOSYSTEM; [Anonymous], 2016, RAISING OCEAN STRONG; [Anonymous], 2005, XINHUA 0320; [Anonymous], 1974, J AM ORIENTAL SOC; [Anonymous], 2005, CHINA CENTRAL TELEVI; [Anonymous], 2017, XINHUA 23 DECEMBER; Aukia J., 2014, J CHINA INT RELAT, V2, P71; Bao J., 2017, ZHEJIANG CULTURAL IN; Brady Anne-Marie., 2008, MARKETING DICTATORSH; Cai H.J., 2014, ZHENG HE RES, V1; Chen B.X., 1988, SPRATLYS HAVE BELONG, P293; Chen H., 2011, CHINA CENTRAL TELEVI; Cheng Q., 2015, CPC NEWS 0316; China National Knowledge Infrastructure, about us; China Ocean Yearbook Compilation Committee, 2009, CHINA OCEAN YB COMPI; Dai Y.P., 2017, MARINE DEV MANAGEMEN, V2, P23; Deng J.N., 2013, CHINA CCP NEWS; Edney K, 2012, J CONTEMP CHINA, V21, P899, DOI 10.1080/10670564.2012.701031; Embassy of the People's Republic of China in the Republic of Estonia, 2004, JING ETHNIC MINORITY; Erickson A.S., 2009, CHINA GOES SEA MARIT; Freeman CP, 2020, CHINA QUART, V241, P1, DOI 10.1017/S0305741019000730; GLADNEY DC, 1994, J ASIAN STUD, V53, P92, DOI 10.2307/2059528; Gladney DruC., 1998, Cahiers d'Etudes sur la Mediterranee Orientale et le monde Turco-Iranien; Glaser BonnieS. Melissa E. Murphy., 2009, CHINESE SOFT POWER I, P10; Guan X.L., 2018, J JIMEI U PHILOS SOC, V3; Guo H.M., 2012, ACAD MONTHLY, V44, P16; He L.Z., 1993, NATL DEFENSE, V1, P6; Henne PS, 2022, INT STUD PERSPECT, V23, P94, DOI 10.1098/isp/ekab007; Holmes J.R., 2006, PROCEEDINGS, V132; Hu B, 2017, J BOUND OCEAN STUD, V2, P5; Hu B., 2015, CHINAS MARITIME POWE; Hu B, 2019, CHINESE MARITIME POW; Huang J.Q., 2017, QINZHOU U J, V12, P19; Huang Y.L., 1991, NATL DEFENSE, P15; IMO, 2018, ENH MAR DOM AW W IND; Jin Z., 2009, OPEN MAGAZINE; Kahn Joseph., 2005, New York Times; Kelkar GS., 1978, SOC SCI, V7, P45; Lambert Andrew, 2018, MARITIME CULTURE CON; Lantegine M, 2020, IDENTITY RELATIONSHI; Li L.M., 2019, CULTURAL CONSTRUCTIO, V4; Li M.C., 2018, FUNDAMENTAL READER C; Li Y., 2020, CHINA GOES GREEN COE; Lindgren J.M, 2020, PRESERVING MARITIME; Liu C.L., 2013, IRON ARMY, V3; Ma Z.R., 2007, J NE NORMAL U SOC SC, V5, P1; Mahan A.T., 1890, INFLUENCE SEAPOWER H; Mahoney J, 2015, SECUR STUD, V24, P200, DOI 10.1080/09636412.2015.1036610; Mao Z.D., 2002, MAO ZEDONG CHINAS RE; Meng X.N., 2009, CHIN J ARTS, V2; Ministry of Natural Resources, 2022, 2021 CHINA OCEAN EC; Ministry of Science and Technology, 1986, NATL HIGH TECH RES D; National Marine Awareness Development Index Task Force], 2017, NATL MARINE AWARENES; National Marine Awareness Development Index Task Force], 2018, NATL MARINE AWARENES; National Statistics Bureau, 2012, IMPROVING STAT WORK; NEA, 2014, SCI TECHNOLOGY MANAG; Nong Z.L., 2007, SO TERRITORIES RESOU, V11, P12; Nouwens Veerle., 2019, China's 21st Century Maritime Silk Road: Implications for the UK; Nye JS, 2021, J POLITICAL POWER, V14, P196, DOI 10.1080/2158379X.2021.1879572; NYE JS, 1990, FOREIGN POLICY, P153, DOI 10.2307/1148580; Ohnesorge HW, 2020, GLOB POWER SHIFT, P1, DOI 10.1007/978-3-030-29922-4; Pang X.H., 2018, CHINA OCEAN NEWS 23; *PEW OC COMM, 2003, AM LIV OC CHART COUR; Qin Yaqing., 2018, A Relational Theory of World Politics; Rao Y.C., 2005, J YUNYANG TEACHERS C, V25; Repnikova Maria., 2022, Chinese Soft Power. N.p, DOI [10.1017/9781108874700, DOI 10.1017/9781108874700]; Reuters, 2019, China leads the race to exploit deep sea minerals; Rong X.M., 2016, BUILDING MARITIME SI; Shi J.Z., 2008, SEAPOWER CHINA; SOA, 2018, NATL PLAN OCEAN ECOL; SOA, 2016, C MAZ CULT OC SPIR O; Song N.E., 2011, OCEAN LAW SOC MANAGE; State Bureau of Surveying and Mapping, 2003, SEVERAL RULES CONTEN; State Bureau of Surveying and Mapping, 2002, SURVEYING MAPPING LA; State Council, 2003, OUTLINE NATL OCEAN E; State Council Information Office, 2018, FULL TEXT CHIN ARCT; State Oceanic Administration (SOA, 2015, NATL PLAN BUILDING M; Steel BS, 2006, SEA TECHNOL, V47, P45; Steel BS, 2005, OCEAN COAST MANAGE, V48, P97, DOI 10.1016/j.ocecoaman.2005.01.002; Su X.K., 1998, CHINA CENTRAL TELEVI; Sun A.R., 2020, CHINA NATURAL RESOUR; Sun L., 2005, PAC J, V10; Sun X.G., 2013, CHINESE RELIG, V10, P47; To WM, 2018, SUSTAINABILITY-BASEL, V10, DOI 10.3390/su10124844; Tobin L, 2018, NAV WAR COLL REV, V71, P22; Tong C.F., 2015, J DALIAN MARITIME U, V14, P78; Uras A, 2017, ASIAN SURV, V57, P1008, DOI 10.1525/AS.2017.57.6.1008; USCOP, 2004, OC BLURPR 21 CENT; Wakeman Jr F., 1989, NEW YORK REV BOOKS; Wang G.Y., 2001, CHINA OCEAN YB 1999; Wang H.H., 2011, NEW E, V2, P1; Wang HY, 2008, J CONTEMP CHINA, V17, P425, DOI 10.1080/10670560802000191; Wu X.L., 2017, CHINA AUTHORS NETWOR; Xi J.P, 2013, CHINA DAILY; Xi Jinping, 2013, WE NEED ADV CARING O; Xu SQ, 2018, DISCOURSE-ABINGDON, V39, P615, DOI 10.1080/01596306.2017.1302410; Yang Z.C., 1990, MILITARY EC RES, V1, P41; Yoshihara Toshi., 2018, Red Star Over the Pacific: China's Rise and the Challenge to U.S. Maritime Strategy; Zhang E.S., 2018, SHANGHAI FINANC U J, V20, P4; Zhang L.F., 1996, SPRATLY ISLANDS RECO; Zhang S.P., 2009, CHINESE SEA POWER; Zhang S.Y, 2018, EVOLUTION CHINAS SEA; Zhang W.M., 2014, CHINESE SEA POWER, VThird; Zheng G.B., 2013, STUDY DEV STRATEGY B</t>
  </si>
  <si>
    <t>10.1016/j.marpol.2022.105229</t>
  </si>
  <si>
    <t>4O9DC</t>
  </si>
  <si>
    <t>WOS:000854992100001</t>
  </si>
  <si>
    <t>Zollo, SD</t>
  </si>
  <si>
    <t>Zollo, Silvia Domenica</t>
  </si>
  <si>
    <t>ABSTRACT. Lexicons and Corpora Serving Ocean Literacy: Properties and Lexical Relations in the Field of Marine Fauna</t>
  </si>
  <si>
    <t>STUDIA UNIVERSITATIS BABES-BOLYAI PHILOLOGIA</t>
  </si>
  <si>
    <t>lexicon; corpus; ocean literacy; marine fauna; lexical relations</t>
  </si>
  <si>
    <t>In this article, we present the first steps of the Ocean Literacy project, which aims to promote the creation and processing of a comparable medium-sized specialised corpus (FrenchItalian) in the field of marine fauna as well as the creation of a lexicographic resource to describe the lexical relations between the terminological units (TUs) of the field in question, using the theoretical framework of Explanatory and Combinatorial Lexicology. After describing the methodological and theoretical choices made when compiling and processing the ZooCor (fr-it) corpus, we will proceed to the analysis of the French term candidates resulting from semi-automatic extraction using TermoStat software. We will then describe the general architecture of the lexicographic resource ZooTerm which is currently under development, and explain, with the help of a terminographical data model and concrete examples, why we chose to use lexical functions to systematically encode the relations between terms associated with the marine fauna domain. Finally, we will discuss the results and the main theoretical issues raised from this exploratory work.</t>
  </si>
  <si>
    <t>[Zollo, Silvia Domenica] Univ Naples Parthenope, Parthenope, Italy</t>
  </si>
  <si>
    <t>Parthenope University Naples</t>
  </si>
  <si>
    <t>Zollo, SD (corresponding author), Univ Naples Parthenope, Parthenope, Italy.</t>
  </si>
  <si>
    <t>silvia.zollo@uniparthenope.it</t>
  </si>
  <si>
    <t>Altmanova Jana, 2018, Terminology &amp; Discourse/ Terminologie et discours; [Anonymous], 1988, Vulgariser la science. Le proces de l'ignorance; Binon Jean, 2000, Dictionnaire d'apprentissage du francais des affaires; Bonadonna MF, 2020, TERMINOLOGY, V26, P7, DOI 10.1075/term.00040.bon; Bowker Lynne., 2002, WORKING SPECIALIZED; Branca-Rosoff S., 1999, Langage et societe, V87, P5; Dancette Jeanne., 2004, Dictionnaire analytique de la mondialisation et du travail; Drouin P., 2003, Terminology, V9, P99, DOI 10.1075/term.9.1.06dro; Faber P, 2014, TERMINOLOGY, V20, P143, DOI 10.1075/term.20.2.01int; Fillmore C. J., 1982, Linguistics in the Morning Calm: Vol. Selected Papers from SICOL-1981, P111; Fontenelle Thierry., 2014, Turning a Bilingual Dictionary into a Lexical-Semantic Database; Frassi Paolo., 2021, Cahiers de lexicologie, V118, P23; Grimaldi Claudio., 2017, Discours et terminologie dans la presse scientiique francais (1699-1740). La construction des lexiques de la botanique et de la chimie; Ingrosso Francesca, 2015, P 11 C TERM ART INT, P167; Kilgarriff A., 2008, P 13 EURALEX INT C, P425; L'Homme M.-C., 2008, Traduire, V217, P78; Ledouble Helene., 2023, Mediatisation de la science et diffusion des connaissances; León-Araúz P, 2019, TERMINOLOGY, V25, P222, DOI 10.1075/term.00037.leo; Lerat Pierre, 2016, Langue et technique; LHomme Marie Claude, 2020, La terminologie: principes et techniques; LHomme Marie-Claude, 2009, DiCoEnviro. Le dictionnaire fondamental de l'environnement; LHOMME Marie-Claude, 2020, Lexical semantics for terminology. An introduction; MEL'CUK I., 2007, Lexique actif du francais. L'apprentissage du vocabulaire fonde sur 20 000 derivations semantiques et collocations du francais; Mel'cuk I., 1997, Vers une linguistique senstexte : lecon inaugurale faite le vendredi 10 janvier 1997; Mel'cuk Igor., 1995, Introduction a la lexicologie explicative et combinatoire; Melcuk Igor, 1984, Recherches lexico-semantiques I-IV; Melcuk Igor, 2023, General phraseology: Theory and practice; Melcuk Igor, 2014, Introduction a la linguistique, V1; Melcuk Igor, 2021, La theorie Sens-Texte. Concepts cles et applications, P75; Meyer I., 2001, Recent Advances in Computational Terminology, P279; Picoche J., 2001, Dictionnaire du francais usuel; Polguere Alain, 2003, Revue Francaise de Linguistique Appliquee, V1, P117; Polguere Alain., 2016, Lexicologie et semantique lexicale. Notions fondamentales; Poudat Celine, 2006, Document numerique, V9, P61; Rakotonoelina Florimond., 2014, Les Carnets du Cediscor, V12; Sandulli Roberto., 2011, Biologia marina; Selosse P, 2012, SEIZ SIECLE, V8, P39, DOI 10.3406/xvi.2012.1041; Swales J. M., 1990, Genre analysis: English in academic and research settings; Tillier Simon, 2005, Langages, V157, P103, DOI DOI 10.3917/LANG.157.0104; TLFi, Tresor de la langue francaise informatise; Tutin Agnes, 2014, L'ecrit scientiique: du lexique au discours. Autour de Scientext; Wanner Leo., 1996, Lexical Functions in Lexicography and Natural Language Processing; zANOLA M.T., 2018, Che cos'e la terminologia; Zanola Maria Teresa, 2023, Phraseologie et terminologie, P47</t>
  </si>
  <si>
    <t>UNIV BABES-BOLYAI</t>
  </si>
  <si>
    <t>CLUJ-NAPOCA</t>
  </si>
  <si>
    <t>MIHAIL KOGALNICEANU NR. 1, CLUJ-NAPOCA RO-3400, ROMANIA</t>
  </si>
  <si>
    <t>1220-0484</t>
  </si>
  <si>
    <t>2065-9652</t>
  </si>
  <si>
    <t>ST U BABE-BOL PHILOL</t>
  </si>
  <si>
    <t>Stud. Univ. Babes-Bolyai Philol.</t>
  </si>
  <si>
    <t>10.24193/subbphilo.2024.1.12</t>
  </si>
  <si>
    <t>QT5K3</t>
  </si>
  <si>
    <t>WOS:001223131900007</t>
  </si>
  <si>
    <t>Cotton, DRE; Winter, J; Miller, W; Dalla Valle, L</t>
  </si>
  <si>
    <t>Cotton, D. R. E.; Winter, J.; Miller, W.; Dalla Valle, L.</t>
  </si>
  <si>
    <t>Is students' energy literacy related to their university's position in a sustainability ranking?</t>
  </si>
  <si>
    <t>Energy literacy; student attitudes; higher education; league tables; informal education; hidden curriculum</t>
  </si>
  <si>
    <t>HIGHER-EDUCATION; GENDER</t>
  </si>
  <si>
    <t>University rankings are increasingly important internationally, and in the UK include a sustainability 'Green League'. However, there is little evidence about experiences of studying in 'sustainable universities'. We report an empirical study at five universities in varied positions in the Green League, exploring students' energy literacy, environmental attitudes and perceptions of their institution's energy-saving efforts. Although the link to energy literacy is not clear, findings suggest that there are significant differences between students' environmental attitudes at universities placed at different points in the league. In addition, students at higher ranked universities are more positive about their university's energy-saving efforts, suggesting that these institutions may exhibit more overt manifestations of sustainability. This is important since students report being more likely to choose energy-conservation behaviours if there is visible representation of energy use. The study is the first to attempt a comparison between universities at different positions in a sustainability ranking.</t>
  </si>
  <si>
    <t>[Cotton, D. R. E.; Winter, J.; Miller, W.; Dalla Valle, L.] Plymouth Univ, Pedag Res Inst &amp; Observ PedRIO, Plymouth, Devon, England</t>
  </si>
  <si>
    <t>University of Plymouth</t>
  </si>
  <si>
    <t>Cotton, DRE (corresponding author), Plymouth Univ, Pedag Res Inst &amp; Observ PedRIO, Plymouth, Devon, England.</t>
  </si>
  <si>
    <t>Dalla Valle, Luciana/P-1704-2018</t>
  </si>
  <si>
    <t>Dalla Valle, Luciana/0000-0001-7506-5712; Winter, Jennie/0000-0003-1713-3988; Cotton, Debby/0000-0001-7675-8211</t>
  </si>
  <si>
    <t>[Anonymous], IEEE FRONT ED C SAN; [Anonymous], ENERGY KNOWLEDGE ATT; [Anonymous], 2013, SUSTAINABLE U PROGR; [Anonymous], 0602 U E ANGL CTR EN; [Anonymous], 44 HAW INT C SYST SC; [Anonymous], 2005001 MIT LFEE; [Anonymous], 1999, Local Environment, DOI [DOI 10.1080/13549839908725599, 10.1080/13549839908725599]; Arnon S, 2015, ENVIRON EDUC RES, V21, P1029, DOI 10.1080/13504622.2014.966656; Asunta T, 2003, JYVASKYLA STUDIES ED, V221; Bawden A., 2015, The Guardian; Bergman JZ, 2014, J MANAG EDUC, V38, P489, DOI 10.1177/1052562913488108; Bessant SEF, 2015, ENVIRON EDUC RES, V21, P417, DOI 10.1080/13504622.2014.993933; Bodzin A, 2012, INT J SCI EDUC, V34, P1255, DOI 10.1080/09500693.2012.661483; Bowden R., 2000, QUALITY HIGHER ED, V6, P41, DOI [10.1080/13538320050001063, DOI 10.1080/13538320050001063]; Butt L, 2014, STUD HIGH EDUC, V39, P786, DOI 10.1080/03075079.2012.754861; Cotton DRE, 2015, INT J SUST HIGHER ED, V16, P456, DOI 10.1108/IJSHE-12-2013-0166; Cotton DRE, 2013, STUD HIGH EDUC, V38, P1457, DOI 10.1080/03075079.2011.627423; DeWaters JE, 2011, ENERG POLICY, V39, P1699, DOI 10.1016/j.enpol.2010.12.049; Dobson A, 2010, INT J ENVIRON SUSTAI, V9, P330, DOI 10.1504/IJESD.2010.035612; Drayson R., 2015, STUDENT ATTITUDES SK; Drayson R., 2014, Student attitudes towards and skills for sustainable development; Du Plessis A.J., 2012, WORLD REV BUSINESS R, V2, P43; Dunlap RE, 2000, J SOC ISSUES, V56, P425, DOI 10.1111/0022-4537.00176; Dwyer C., 2011, DEV ENERGY LITERARCY; Hazelkorn E., 2008, Higher Education Policy, V21, P193, DOI [10.1057/hep.2008.1., 10.1057/hep.2008.1, DOI 10.1057/HEP.2008.1]; Hemsley-Brown J, 2015, INT J EDUC MANAG, V29, P254, DOI 10.1108/IJEM-10-2013-0150; HOLDEN CC, 1984, J RES SCI TEACH, V21, P187, DOI 10.1002/tea.3660210209; Hopkinson P, 2008, ENVIRON EDUC RES, V14, P435, DOI 10.1080/13504620802283100; Jones DR, 2017, STUD HIGH EDUC, V42, P480, DOI 10.1080/03075079.2015.1052737; Kollmuss A., 2002, ENVIRON EDUC RES, V8, P239, DOI [10.1080/13504620220145401, DOI 10.1080/13504620220145401]; Lang KB, 2011, J ENVIRON EDUC, V42, P203, DOI 10.1080/00958964.2010.547230; Li MZY, 2010, 2010 SECOND INTERNATIONAL CONFERENCE ON E-LEARNING, E-BUSINESS, ENTERPRISE INFORMATION SYSTEMS, AND E-GOVERNMENT (EEEE 2010), VOL II, P1, DOI 10.1080/03075079.2010.482981; Lundmark C., 2007, ENVIRON EDUC RES, V13, P329, DOI [DOI 10.1080/13504620701430448, https://doi.org/10.1080/13504620701430448]; NUS, 2016, SUST SKILLS 2015 201; People and Planet, 2013, U LEAG 2013 GUID; Reid A, 2006, HIGH EDUC, V51, P105, DOI 10.1007/s10734-004-6379-4; Renton Z., 2011, CHILDREN YOUNG PEOPL; Shephard K, 2015, ENVIRON EDUC RES, V21, P805, DOI 10.1080/13504622.2014.913126; Steg L, 2009, J ENVIRON PSYCHOL, V29, P309, DOI 10.1016/j.jenvp.2008.10.004; Stibbe Arran., 2009, The Handbook of Sustainability Literacy: Skills for a Changing World; Suwartha N, 2013, J CLEAN PROD, V61, P46, DOI 10.1016/j.jclepro.2013.02.034; Winter J, 2012, ENVIRON EDUC RES, V18, P783, DOI 10.1080/13504622.2012.670207; World Environment Centre and Net Impact, 2011, BUS SKILLS CHANG WOR; Zelezny LC, 2000, J SOC ISSUES, V56, P443, DOI 10.1111/0022-4537.00177</t>
  </si>
  <si>
    <t>NOV 2</t>
  </si>
  <si>
    <t>10.1080/13504622.2017.1395394</t>
  </si>
  <si>
    <t>HO1GA</t>
  </si>
  <si>
    <t>Green Submitted, Green Accepted</t>
  </si>
  <si>
    <t>WOS:000460652300006</t>
  </si>
  <si>
    <t>Energy literacy of secondary students in New York State (USA): A measure of knowledge, affect, and behavior</t>
  </si>
  <si>
    <t>Energy education; Energy literacy; Assessment</t>
  </si>
  <si>
    <t>SELF-EFFICACY; EDUCATION; ATTITUDE</t>
  </si>
  <si>
    <t>Energy literacy, which encompasses broad content knowledge as well as affective and behavioral characteristics, will empower people to make appropriate energy-related choices and embrace changes in the way we harness and consume energy. Energy literacy was measured with a written questionnaire completed by 3708 secondary students in New York State, USA. Results indicate that students are concerned about energy problems (affective subscale mean 73% of the maximum attainable score), yet relatively low cognitive (42% correct) and behavioral (65% of the maximum) scores suggest that students may lack the knowledge and skills they need to effectively contribute toward solutions. High school (HS) students scored significantly better than middle school (MS) students on the cognitive subscale; gains were greatest on topics included in NY State educational standards, and less on topics related to practical energy knowledge such as ways to save energy. Despite knowledge gains, there was a significant drop in energy conservation behavior between the MS and HS students. Intercorrelations between groups of questions indicate energy-related behaviors are more strongly related to affect than to knowledge. These findings underscore the need for education that improves energy literacy by impacting student attitudes, values and behaviors, as well as broad content knowledge. (C) 2011 Elsevier Ltd. All rights reserved.</t>
  </si>
  <si>
    <t>[DeWaters, Jan E.; Powers, Susan E.] Clarkson Univ, Inst Sustainable Environm, Potsdam, NY 13699 USA</t>
  </si>
  <si>
    <t>DeWaters, JE (corresponding author), Clarkson Univ, Inst Sustainable Environm, Potsdam, NY 13699 USA.</t>
  </si>
  <si>
    <t>National Science Foundation [DUE-0428127]</t>
  </si>
  <si>
    <t>This research was supported by the National Science Foundation through their Distinguished Teaching Scholar award (DUE-0428127). The findings and opinions presented here do not necessarily reflect the opinions of the funding agency.</t>
  </si>
  <si>
    <t>ABDELGAID S, 1986, J RES SCI TEACH, V23, P823, DOI 10.1002/tea.3660230907; AJZEN I, 1991, ORGAN BEHAV HUM DEC, V50, P179, DOI 10.1016/0749-5978(91)90020-T; *AM ASS ADV SCI, 2001, ATL SCI LIT, V1; [Anonymous], ATL SCI LIT; [Anonymous], 2006, TRAINING DEV HUMAN S; [Anonymous], EN KNOWL ATT NAT ASS; [Anonymous], GEND GAPS SCH STILL; [Anonymous], 1983, SCHOOL SCI MATH, DOI DOI 10.1111/J.1949-8594.1983.TB10142.X; [Anonymous], ENV LITERACY F UNPUB; [Anonymous], 2007, 2007 ANN C EXP; [Anonymous], 1985, SCHOOL SCI MATH, DOI DOI 10.1111/J.1949-8594.1985.TB09612.X; [Anonymous], ENV ED LITERACY NEED; [Anonymous], ENERGY PULSE SURVEY; [Anonymous], 200701 MIT LFEE WP; [Anonymous], AM LOW EN IQ RISK OU; [Anonymous], THESIS U WISCONSIN S; [Anonymous], 1979, SCI ED, DOI DOI 10.1002/SCE.3730630506; [Anonymous], P 38 ASEE IEEE FRONT; [Anonymous], 1996, NAT SCI ED STAND; Attari SZ, 2010, P NATL ACAD SCI USA, V107, P16054, DOI 10.1073/pnas.1001509107; AYERS JB, 1977, SCH SCI MATH, V76, P238; BANDURA A, 1977, PSYCHOL REV, V84, P191, DOI 10.1037/0033-295X.84.2.191; BANDURA A, 1980, COGNITIVE THER RES, V4, P39, DOI 10.1007/BF01173354; Bang HK, 2000, PSYCHOL MARKET, V17, P449, DOI 10.1002/(SICI)1520-6793(200006)17:6&lt;449::AID-MAR2&gt;3.0.CO;2-8; Barrow L., 1989, Journal of Environmental Education, V20, P22, DOI [10.1080/00958964.1989.9943027, DOI 10.1080/00958964.1989.9943027]; Barrow L.H., 1987, The Journal of Environmental Education, V18, P15; BENSON J, 1982, AM J OCCUP THER, V36, P789, DOI 10.5014/ajot.36.12.789; Bittle S., 2009, The energy learning curve. Public Agenda; Blockstein D. E., 2006, 6 NAT C SCI POL ENV; Botkin D.B., 2003, Environmental science: Earth as a living planet, V4th; Clewell B.C., 2002, Journal of Women and Minorities in Science and Engineering, V8, P255, DOI [10.1615/JWomenMinorScienEng.v8.i3-4.20, DOI 10.1615/JW0MENMIN0RSCIENENG.V8.I3-4.20]; COSTANZO M, 1986, AM PSYCHOL, V41, P521, DOI 10.1037/0003-066X.41.5.521; DeVellis R.F., 2016, Scale development: Theory and applications, DOI DOI 10.1037/CCP0000482; Dias RA, 2004, ENERG POLICY, V32, P1339, DOI 10.1016/S0301-4215(03)00100-9; Disinger J.F., 1992, ERIC/CSMEE Digest, V92, P1; DUNLOP DL, 1979, J ENVIRON EDUC, V10, P43, DOI 10.1080/00958964.1979.9941908; Fetscherin M, 2008, J ELECTRON COMMER RE, V9, P231; FREHILL L, 2005, SWE MAGAZINE, V51, P22; Gambro J.S., 1999, J ENVIRON EDUC, V30, P15, DOI DOI 10.1080/00958969909601866; GAMBRO JS, 1994, NATL SURVEY ENV KNOW, P43; GLASS L, 1981, SCH SCI MATH, V81, P496; HAERTEL GD, 1981, AM EDUC RES J, V18, P329, DOI 10.3102/00028312018003329; Hancher L., 2004, Energy Security Managing Risk in A Dynamic Legal and Regulatory Environment; Hanson R., 1993, Studies in Educational Evaluation, V19, P363; Hills J.R., 1976, Measurement and evaluation in the classroom; Hines J.M., 1987, J ENVIRON EDUC, V18, P1, DOI [DOI 10.1080/00958964.1987.9943482, 10.1080/00958964.1987.9943482]; Hodson D, 2003, INT J SCI EDUC, V25, P645, DOI 10.1080/09500690305021; Hungerford H.R., 1990, J ENVIRON EDUC, V21, P8, DOI [DOI 10.1080/00958964.1990.10753743, 10.1080/00958964.1990.10753743]; HURD D, 1991, PRENTICE HALL PHYS S; Linn R.L., 2000, MEASUREMENT ASSESSME, V8th; Milstein J., 1977, ADV CONSUM RES, V4, P315; Murphy T.P., 2002, The Minnesota report card on environmental literacy; *NAS, 2010, DES CONC FRAM NEW SC; *NEED PROJ, 2006, SEC EN POLL BLUEPR S, P39; Newhouse N., 1990, Journal of Environmental Education, V22, P26, DOI [DOI 10.1080/00958964.1990.9943043, 10.1080/00958964.1990.9943043]; *NYS DEP ED, 1996, LEARN STAND MATH SCI; Owens S, 2008, ENERG POLICY, V36, P4412, DOI 10.1016/j.enpol.2008.09.031; Pearson G., 2002, TECHNICALLY SPEAKING; RAMSEY CE, 1976, J ENVIRON EDUC, V8, P10, DOI 10.1080/00958964.1976.9941552; Ramsey J.M., 1989, J ENVIRON EDUC, V20, P29, DOI [10.1080/00958964.1989.9943036, DOI 10.1080/00958964.1989.9943036]; RENDL NK, 2000, THESIS U WISCONSIN S; Roth C., 1996, BENCHMARKS WAY ENV L; Roth C.E., 1992, Environmental literacy: Its roots, evolution, and directions in the 1990; Sovacool BK, 2009, TECHNOL SOC, V31, P365, DOI 10.1016/j.techsoc.2009.10.009; Sovacool BK, 2009, ENERG POLICY, V37, P4500, DOI 10.1016/j.enpol.2009.05.073; Stern PC, 2000, J SOC ISSUES, V56, P407, DOI 10.1111/0022-4537.00175; STERN PC, 1992, AM PSYCHOL, V47, P1224, DOI 10.1037/0003-066X.47.10.1224; Volk T.L., 2003, J ENVIRON EDUC, V34, P12, DOI [10.1080/00958960309603483, DOI 10.1080/00958960309603483]; ZILLMAN DN, 2004, ENERGY SECURITY MANA, P145; Zografakis N, 2008, ENERG POLICY, V36, P3226, DOI 10.1016/j.enpol.2008.04.021</t>
  </si>
  <si>
    <t>10.1016/j.enpol.2010.12.049</t>
  </si>
  <si>
    <t>742UQ</t>
  </si>
  <si>
    <t>WOS:000288971100067</t>
  </si>
  <si>
    <t>Otero, RMF; Baylliss-Brown, GA; Papathanassiou, M</t>
  </si>
  <si>
    <t>Fernandez Otero, Rosa M.; Baylliss-Brown, Georgia A.; Papathanassiou, Martha</t>
  </si>
  <si>
    <t>Ocean Literacy and Knowledge Transfer Synergies in Support of a Sustainable Blue Economy</t>
  </si>
  <si>
    <t>blue economy; knowledge management; ocean literacy; skills; stakeholder engagement; knowledge transfer; education</t>
  </si>
  <si>
    <t>Since 2011, when the first European ocean literacy (OL) project was launched in Portugal, the number of initiatives about this topic in Europe has increased notoriously and their scope has largely widened. These initiatives have drawn from the seven OL Principles that were developed by the College of Exploration OL Network in 2005. They represent a source of inspiration for the many endeavors that are aiming to achieve a society that fully understands the influence of themselves - as individuals and as a population - on the ocean and the influence of the ocean on them. OL initiatives throughout the past years, globally, have resulted in the production of countless didactic and communication resources that represent a valuable legacy for new activities. The OL research community recognizes the need to build up the scope of OL by reaching the wider Blue Economy actors such as the maritime industrial sector. It is hoped that building OL in this sector will contribute to the long-term sustainable development of maritime activities. The ERASMUS+ project MATES aims to address the maritime industries' skills shortages and contribute to a more resilient labor market. MATES' hypothesis is that through building OL in educational, professional and industrial environments, it is possible to build a labor force that matches the skills demand in these sectors and increases their capacity to uptake new knowledge. The MATES partnership will explicitly combine OL and knowledge transfer by applying the COLUMBUS Knowledge Transfer Methodology as developed by the H2020-funded COLUMBUS project.</t>
  </si>
  <si>
    <t>[Fernandez Otero, Rosa M.] Fdn CETMAR, Ctr Tecnol Mar, Vigo, Spain; [Baylliss-Brown, Georgia A.] AquaTT, Dublin, Ireland; [Papathanassiou, Martha] Indigo Med, Athens, Greece</t>
  </si>
  <si>
    <t>Otero, RMF (corresponding author), Fdn CETMAR, Ctr Tecnol Mar, Vigo, Spain.</t>
  </si>
  <si>
    <t>rfernandez@cetmar.org</t>
  </si>
  <si>
    <t>Morfin-Otero, Rayo/KEI-8725-2024</t>
  </si>
  <si>
    <t>Fernandez Otero, Rosa M/0000-0002-6641-9096</t>
  </si>
  <si>
    <t>Erasmus+ Program of the European Union [2017-3114/001-001]</t>
  </si>
  <si>
    <t>Erasmus+ Program of the European Union(Erasmus+)</t>
  </si>
  <si>
    <t>This work was co-funded by the Erasmus+ Program of the European Union through the Sector Skills Alliance project MATES - Maritime Alliance for fostering the European Blue Economy through a Marine Technology Skilling Strategy (Ref. 2017-3114/001-001) The European Commission support for the production of this publication does not constitute an endorsement of the contents which reflects the views only of the authors, and the Commission cannot be held responsible for any use which may be made of the information contained therein.</t>
  </si>
  <si>
    <t>[Anonymous], 2014, A policy framework for climate and energy in the period from 2020 to 2030; AquaTT, 2015, H2020 PROJ COLUMBUS; AquaTT, 2015, MARINETT PROJ WEBS D; AquaTT, 2015, DEL 2 2 GUID CARR OU; Atlantic Ocean Researcg Aliance Marine Working Group Ocean Literacy, 2016, TRANS IMPL STRAT TIS; Baker E., 2019, Global Environment Outlook (GEO-6): Healthy Planet, Healthy People; Carter T, 2018, DEZEEN COM ECOALF UN; Cava F., 2005, Science Content and Standards for Ocean Literacy: A Report on Ocean Literacy, P1; Cleansea Consortium, 2015, CLEANS PROJ WEBS CLE; Clegg R, 2018, GLOBAL LEADER SPORT; European Commission, 2012, COMMUNICATION FROM THE COMMISSION TO THE EUROPEAN PARLIAMENT, THE COUNCIL, THE EUROPEAN ECONOMIC AND SOCIAL COMMITTEE AND THE COMMITTEE OF THE REGIONS: eHealth Action Plan 2012-2020-Innovative healthcare for the 21st century; European Economic Social Committee [EESC], 2014, OP EESC INN BLUE EC; Fauville G, 2019, ENVIRON EDUC RES, V25, P238, DOI 10.1080/13504622.2018.1440381; Fauville G, 2018, MAR POLICY, V91, P85, DOI 10.1016/j.marpol.2018.01.034; French V., 2015, Review of Ocean Literacy in European Maritime Policy; Fundacion Cetmar, 2017, COLUMBUS PROJ WEBS S; Hitti N., 2018, DEZEEN COM ADIDAS RE; Hugh Fearnley-Whittingstall, 2014, FISH FIGHT; Jenkins A., 2003, LINKING RES TEACHING; Koulopoulos T., 1999, Smart things to know about knowledge management; McHugh P., 2015, SET SEA CHANGE OCEAN; Minshall T., 2009, What is knowledge transfer? Available at; Partnership for 21st Century Skills, 2015, P21 FRAM DEF DOC; Realdon G., 2018, P 20 EGU GEN ASS EGU; Reuver M., 2016, OUTREACH UNSEEN MAJO; Santin S., 2017, OCEAN LITERACY ALL T; Santoro F., 2017, Ocean Literacy for All - A toolkit, IOC/UNESCO UNESCO Venice Office; Senaratne S., 2008, KNOWLEDGE TRANSFER P; Surfers Against Sewage, 2018, PLAST FREE FRUIT VEG; The Ocean Literacy Network, 2005, ON LIN WORKSH OC LIT; United Nations General Assembly, 2015, UN SUST DEV GOALS 20; Uyarra M. C., 2016, OCEAN LITERACY NEW S; Valdes L., 2017, INT ORG SUPPORTING O; World Bank; United Nations Department of Economic and Social Affairs, 2017, POT BLUE EC INCR LON</t>
  </si>
  <si>
    <t>OCT 18</t>
  </si>
  <si>
    <t>10.3389/fmars.2019.00646</t>
  </si>
  <si>
    <t>JF0KP</t>
  </si>
  <si>
    <t>WOS:000491076700002</t>
  </si>
  <si>
    <t>Mogias, A; Boubonari, T; Realdon, G; Previati, M; Mokos, M; Koulouri, P; Cheimonopoulou, MT</t>
  </si>
  <si>
    <t>Mogias, Athanasios; Boubonari, Theodora; Realdon, Giulia; Previati, Monica; Mokos, Melita; Koulouri, Panayota; Cheimonopoulou, Maria Th</t>
  </si>
  <si>
    <t>Evaluating Ocean Literacy of Elementary School Students: Preliminary Results of a Cross-Cultural Study in the Mediterranean Region</t>
  </si>
  <si>
    <t>ocean literacy; marine science education; elementary school students; content knowledge; cross-cultural study; Mediterranean region</t>
  </si>
  <si>
    <t>PRESERVICE TEACHERS KNOWLEDGE; UNIVERSITY-STUDENTS; ENVIRONMENTAL AWARENESS; SCIENCE-EDUCATION; PUBLIC AWARENESS; MARINE; ATTITUDES; IMPACTS; ISSUES</t>
  </si>
  <si>
    <t>A good understanding of the role and function of the ocean seems to be of paramount importance in recent years, constituting the basic tool for the promotion of healthy and sustainable marine environment, and a target area of the 2030 Agenda for Sustainable Development. In this study, the content knowledge of elementary school students (grades 3-6) in regards to ocean sciences issues was examined. A structured questionnaire was administered to 1004 students participating in a cross-cultural study from three Mediterranean countries (Italy, Croatia, and Greece). The results of the study indicated a rather moderate level of knowledge in the total sample, while slight differences were recorded among the three countries revealing common knowledge gains and misconceptions. Rasch analysis was applied to further evaluate the validity of the results, while the influence of certain demographics on student's knowledge level was also investigated. This study concludes with a discussion of the implications on national curriculum development in elementary education level, in order to promote ocean literacy and to ensure protection and conservation of the Mediterranean Sea.</t>
  </si>
  <si>
    <t>[Mogias, Athanasios; Boubonari, Theodora] Democritus Univ Thrace, Dept Elementary Educ, Lab Environm Res &amp; Educ, Alexandroupolis, Greece; [Realdon, Giulia] Univ Camerino, UNICAMearth Grp, Camenno, Italy; [Previati, Monica] UBICA Srl Underwater Biocartog, Genoa, Italy; [Mokos, Melita] Univ Zadar, Dept Ecol Agron &amp; Aquaculture, Zadar, Croatia; [Koulouri, Panayota] Hellen Ctr Marine Res, Inst Marine Biol Biotechnol &amp; Aquaculture, Iraklion, Greece; [Cheimonopoulou, Maria Th] Hellen Minist Rural Dev &amp; Food, Hydrobiol Stn Pella, Edessa, Greece</t>
  </si>
  <si>
    <t>Democritus University of Thrace; University of Camerino; University of Zadar; Hellenic Centre for Marine Research</t>
  </si>
  <si>
    <t>Mogias, A (corresponding author), Democritus Univ Thrace, Dept Elementary Educ, Lab Environm Res &amp; Educ, Alexandroupolis, Greece.</t>
  </si>
  <si>
    <t>Realdon, Giulia/0000-0001-8269-4269; Cheimonopoulou, Maria/0000-0002-2933-3285; Mokos, Melita/0000-0002-9152-4971</t>
  </si>
  <si>
    <t>[Anonymous], 2011, GRAND DES OC ED 21 C; [Anonymous], P 20 EGU GEN ASS C V; [Anonymous], 10 FOREST MYTHS; [Anonymous], 1971, SCI EDUC, DOI DOI 10.1002/SCE.3730550105; [Anonymous], FUTURE US OCEAN POLI; [Anonymous], 1993, ANN M AM ED RES ASS; [Anonymous], 2008, THESIS U S FLORIDA; [Anonymous], 2017, P EMSEA 2017 C BOOK; [Anonymous], SPECIES HABITATS HUM; [Anonymous], 2017, J. Res. Didact. Geogr; [Anonymous], AM OC CLIM CHANG NEW; [Anonymous], ASSESSMENT 4 8 11 GR; [Anonymous], SCH SCI MATH; [Anonymous], 2004, OC BLUEPR 21 CENT; [Anonymous], 2017, P ESERA 2017 C DUBL; [Anonymous], 2012, STATE MEDITERRANEAN; [Anonymous], 2017, Education for Sustainable Development Goals: Learning Objectives, DOI [10.0978/-92-3-100209-0, DOI 10.31142/IJTSRD5889]; [Anonymous], J ENV ED; [Anonymous], SCI TEACH; [Anonymous], ASIA PAC FORUM SCI L; [Anonymous], COMM OC RES NAT SURV; [Anonymous], BLUE PLAN PAPERS; [Anonymous], 2015, CBE LIFE SCI ED, DOI DOI 10.1187/CBE-14-11-0209; [Anonymous], 1980, SCI CHILD; [Anonymous], ELECT J SCI ED; Baghaei P., 2008, Rasch Measurement Transactions, V22, P1145; Ballantyne R, 2005, TOURISM MANAGE, V26, P617, DOI 10.1016/j.tourman.2004.02.016; Ballantyne R., 2004, GEO J, V60, P159, DOI [https://doi.org/10.1023/B:GEJO.0000033579.19277.ff, DOI 10.1023/B:GEJO.0000033579.19277.FF]; Ben-zvi-Assarf O., 2005, J GEOSCIENCE ED, V53, P366, DOI [10.5408/1089-9995-53.4.366, DOI 10.5408/1089-9995-53.4.366]; Bennett K, 2009, SCI ACT, V46, P18, DOI 10.3200/SATS.46.4.18-26; Blondel J, 2010, MEDITERRANEAN REGION, DOI 10.1086/656852; Bond T. G., 2007, Applying the Rasch Model: fundamental measurement in the human sciences, V2nd; Boone W.J., 2014, Rasch analysis in the human sciences, DOI DOI 10.1007/978-94-007-6857-4; Boone WJ, 2011, SCI EDUC, V95, P258, DOI 10.1002/sce.20413; Boone WJ, 2006, SCI EDUC, V90, P253, DOI 10.1002/sce.20106; Boubonari T, 2013, J ENVIRON EDUC, V44, P232, DOI 10.1080/00958964.2013.785381; BRISLIN RW, 1970, J CROSS CULT PSYCHOL, V1, P185, DOI 10.1177/135910457000100301; Brody M.J., 1996, J ENVIRON EDUC, V27, P21; Buckley PJ, 2017, FRONT MAR SCI, V4, DOI 10.3389/fmars.2017.00206; Capstick SB, 2016, NAT CLIM CHANGE, V6, P763, DOI [10.1038/NCLIMATE3005, 10.1038/nclimate3005]; Cardak O., 2009, Journal of Applied Sciences, V9, P865, DOI 10.3923/jas.2009.865.873; Cava F., 2005, Science Content and Standards for Ocean Literacy: A Report on Ocean Literacy, P1; Chawla L., 1999, Journal of Environmental Education, V31, P15, DOI DOI 10.1080/00958969909598628; Chen CL, 2016, ENVIRON EDUC RES, V22, P958, DOI 10.1080/13504622.2015.1054266; Coll M, 2012, GLOBAL ECOL BIOGEOGR, V21, P465, DOI 10.1111/j.1466-8238.2011.00697.x; Coll M, 2010, PLOS ONE, V5, DOI 10.1371/journal.pone.0011842; Costa S, 2018, MAR POLICY, V87, P149, DOI 10.1016/j.marpol.2017.10.022; Cudaback C., 2006, Eos, V87, P418; Cummins S., 2000, Canadian Journal of Environmental Education, V5, P305; Dresser H.H., 1981, School science and mathematics, V81, P480; Erdogan M., 2009, EURASIA J MATH SCI T, V5, P15, DOI 10.12973/ejmste/75253; Falk J.H., 2007, WHY ZOOS AQUARIUMS M; Falk JH, 2003, J RES SCI TEACH, V40, P163, DOI 10.1002/tea.10070; Fauville G, 2019, ENVIRON EDUC RES, V25, P238, DOI 10.1080/13504622.2018.1440381; Feller RJ, 2007, OCEANOGRAPHY, V20, P170, DOI 10.5670/oceanog.2007.22; Fernandes PG, 2017, NAT ECOL EVOL, V1, DOI 10.1038/s41559-017-0170; Fisher K., 1983, Proceedings of the International Seminar on Misconceptions in Science and Mathematics, P407; Fletcher S, 2009, MAR POLICY, V33, P370, DOI 10.1016/j.marpol.2008.08.004; Fortner R., 1980, SCI EDUC, V64, P717; Fortner R.W., 1985, The Journal of Environmental Education, V16, P12; FORTNER RW, 1980, J ENVIRON EDUC, V11, P11, DOI 10.1080/00958964.1980.9941385; FORTNER RW, 1989, SCI EDUC, V73, P135, DOI 10.1002/sce.3730730203; FORTNER RW, 1985, J RES SCI TEACH, V22, P115, DOI 10.1002/tea.3660220203; Gelcich S, 2014, P NATL ACAD SCI USA, V111, P15042, DOI 10.1073/pnas.1417344111; Giorgi F, 2008, GLOBAL PLANET CHANGE, V63, P90, DOI 10.1016/j.gloplacha.2007.09.005; Goodwin H.L., 1978, A statement on the need for marine and aquatic education to inform Americans about the world of water; Gough A, 2017, MAR POLLUT BULL, V124, P633, DOI 10.1016/j.marpolbul.2017.06.069; Guest H, 2015, MAR POLICY, V58, P98, DOI 10.1016/j.marpol.2015.04.007; Guidetti P, 2014, PLOS ONE, V9, DOI 10.1371/journal.pone.0091841; Hartley BL, 2018, MAR POLICY, V96, P227, DOI 10.1016/j.marpol.2018.02.002; Hartley BL, 2015, MAR POLLUT BULL, V90, P209, DOI 10.1016/j.marpolbul.2014.10.049; Henriques L., 2000, CHILDRENS MISCONCEPT; Lambert J, 2006, INT J SCI EDUC, V28, P633, DOI 10.1080/09500690500339795; Lambert J., 2005, Journal of Geoscience Education, V53, P531, DOI DOI 10.5408/1089-9995-53.5.531; Lotze HK, 2011, TRENDS ECOL EVOL, V26, P595, DOI 10.1016/j.tree.2011.07.008; Mair P, 2007, Journal of Statistical Software, V20, DOI [10.18637/jss.v020.i09, DOI 10.18637/JSS.V020.I09]; McCright AM, 2010, POPUL ENVIRON, V32, P66, DOI 10.1007/s11111-010-0113-1; MCFADDEN DL, 1973, OCEANS, V6, P44; Meinhold JL, 2005, ENVIRON BEHAV, V37, P511, DOI 10.1177/0013916504269665; Mogias A, 2015, J ENVIRON EDUC, V46, P251, DOI 10.1080/00958964.2015.1050955; Mullis I. V. S., 2016, TIMSS 2015 INT RESUL; National Marine Educators Association, 2010, Ocean Literacy Scope &amp; Sequence for Grades K-12; National Oceanic and Atmospheric Administration [NOAA], 2013, OC LIT ESS PRINC FUN; García-Nieto AP, 2018, ECOL INDIC, V91, P589, DOI 10.1016/j.ecolind.2018.03.082; Payne DL, 2010, ASTE SER SCI EDUC, P81, DOI 10.1007/978-90-481-9222-9_6; Perry EE, 2014, OCEAN COAST MANAGE, V95, P107, DOI 10.1016/j.ocecoaman.2014.04.011; Philips W. C., 1991, Science Teacher, V58, P21; PICKER L, 1984, ENVIRONMENTALIST, V4, P59; Plankis B.J., 2010, INT ELECT J ENV ED, V1, P21; Rasch G., 1980, PROBABILISTIC MODELS; Rodríguez-Martínez R, 1999, OCEAN COAST MANAGE, V42, P1061, DOI 10.1016/S0964-5691(99)00061-7; Santoro F., 2017, Ocean Literacy for All - A toolkit, IOC/UNESCO UNESCO Venice Office; Schoedinger S., 2006, The Science Teacher, V73, P48; Steel BS, 2005, OCEAN COAST MANAGE, V48, P97, DOI 10.1016/j.ocecoaman.2005.01.002; Stepath C.M., 2007, J. Mar. Educ., V23, P45; Strang C., 2008, Current: The Journal of Marine Education, V24, P6; Umuhire ML, 2016, MAR POLLUT BULL, V102, P289, DOI 10.1016/j.marpolbul.2015.07.067; UNEP/MAP, 2015, Marine Litter Assessment in the Mediterranean; Visbeck M, 2018, NAT COMMUN, V9, DOI 10.1038/s41467-018-03158-3; Volosciuk C, 2016, SCI REP-UK, V6, DOI 10.1038/srep32450; Wen WC, 2013, ENVIRON EDUC RES, V19, P600, DOI 10.1080/13504622.2012.717219; Wilson M., 2004, Constructing Measures: An Item Response Modeling Approach: An Item Response Modeling Approach, DOI 10.4324/9781410611697</t>
  </si>
  <si>
    <t>JUL 10</t>
  </si>
  <si>
    <t>10.3389/fmars.2019.00396</t>
  </si>
  <si>
    <t>II0RB</t>
  </si>
  <si>
    <t>WOS:000474911700001</t>
  </si>
  <si>
    <t>Lucrezi, S</t>
  </si>
  <si>
    <t>Lucrezi, Serena</t>
  </si>
  <si>
    <t>Support for the research and monitoring of marine algae: a study of Italian coastal users</t>
  </si>
  <si>
    <t>Conero Riviera; Ecosystem services; Scuba diving; Beach recreation; Environmental education; Ocean Literacy; Citizen science; Macroalgae; Seaweeds</t>
  </si>
  <si>
    <t>SEAWEED RESOURCES; OCEAN LITERACY; SOCIAL LICENSE; FLORIDA; BLOOMS; PERCEPTIONS; WORLD</t>
  </si>
  <si>
    <t>Marine algae offer numerous extrinsic and intrinsic ecosystem services. Human impacts and climate change, however, have contributed to disrupting or compromising their ecology and distribution. Continuing research and monitoring of marine algae are pivotal but require public support. This study investigated public knowledge of and attitude towards marine algae and support for their research and monitoring. The focus was coastal users, a diversified group of interest for research into the perceptions of marine algae. The study was carried out in the Conero Riviera (Adriatic Sea, Italy), a location where coastal users come into contact with several types of marine algae. Semi-structured interviews were conducted in 2020 with 202 randomly selected scuba divers, beach and promenade visitors in the Riviera. Data analysis was thematic and statistical. Participants possessed basic knowledge of marine algae, which was more sophisticated among scuba divers. Coastal users ascribed both extrinsic and intrinsic values to marine algae. Most participants recognised the importance of protecting and managing marine algae while supported research and monitoring, prioritising types of marine algae which provide specific extrinsic and intrinsic ecosystem services. Based on the results, strategies of outreach, communication and engagement are suggested for the study location and types of coastal users. This study contributed to the growing body of research on Ocean Literacy, confirming the importance of investigating perceptions of marine resources to steer research, management and outreach strategies.</t>
  </si>
  <si>
    <t>[Lucrezi, Serena] North West Univ, Tourism Res Econ Environs &amp; Soc TREES, Potchefstroom, South Africa</t>
  </si>
  <si>
    <t>North West University - South Africa</t>
  </si>
  <si>
    <t>Lucrezi, S (corresponding author), North West Univ, Tourism Res Econ Environs &amp; Soc TREES, Potchefstroom, South Africa.</t>
  </si>
  <si>
    <t>23952997@nwu.ac.za</t>
  </si>
  <si>
    <t>National Research Foun-dation of South Africa (NRF) [119923]; Faculty of Economic and Management Sci-ences at North-West University, South Africa [NWU-00853-20-A4]</t>
  </si>
  <si>
    <t>National Research Foun-dation of South Africa (NRF)(National Research Foundation - South Africa); Faculty of Economic and Management Sci-ences at North-West University, South Africa</t>
  </si>
  <si>
    <t>The contribution of all participants in this study is greatly appreciated. Special thanks go to Agnese Riccar-di, Matilde Baruffaldi and Carlo Cerrano (Polytechnic University of Marche) for their assistance. This work is based on research funded by the National Research Foun-dation of South Africa (NRF Grant Number 119923) . The NRF was not involved in the study design, the collection, analysis and interpretation of data, the writing of the ar-ticle, or the decision to submit the article for publication. The research was approved by the Research Ethics Com-mittee of the Faculty of Economic and Management Sci-ences at North-West University, South Africa, under the ethics code NWU-00853-20-A4. This paper reflects only the author's view. The NRF and North-West University accept no liability in this regard.</t>
  </si>
  <si>
    <t>Accoroni S, 2012, CRYPTOGAMIE ALGOL, V33, P191, DOI 10.7872/crya.v33.iss2.2011.191; Al-Thawadi S., 2018, Arab J. Basic Appl. Sci., V25, P1, DOI DOI 10.1080/25765299.2018.1449344; Alves B, 2014, J COASTAL RES, P521, DOI 10.2112/SI70-088.1; Barbier M., 2019, PEGASUS-PHYCOMORPH European Guidelines for a Sustainable Aquaculture of Seaweeds; Boutilier RG, 2014, IMPACT ASSESS PROJ A, V32, P263, DOI 10.1080/14615517.2014.941141; Bulleri F, 2005, J APPL ECOL, V42, P1063, DOI 10.1111/j.1365-2664.2005.01096.x; Cerrano C, 2017, AQUAT CONSERV, V27, P303, DOI 10.1002/aqc.2663; Chapman RL, 2013, MITIG ADAPT STRAT GL, V18, P5, DOI 10.1007/s11027-010-9255-9; Claudet J, 2020, ONE EARTH, V2, P34, DOI 10.1016/j.oneear.2019.10.012; Contreras-Porcia L., 2017, Systems biology of marine ecosystems, P35, DOI [DOI 10.1007/978-3-319-62094-7_3, 10.1007/978-3-319-62094-7_3]; Cornish M, 2020, BOT MAR, V63, P1, DOI 10.1515/bot-2019-0093; Duffy JE, 2019, FRONT MAR SCI, V6, DOI 10.3389/fmars.2019.00317; Enzing C., 2014, JRC SCI POLICY REPOR; European Commission, 2021, FUND TEND OPP ONL MA; Fauville G, 2019, ENVIRON EDUC RES, V25, P238, DOI 10.1080/13504622.2018.1440381; Ferreira JC, 2021, EDUC SCI, V11, DOI 10.3390/educsci11020062; Forleo MB, 2021, MAR POLLUT BULL, V165, DOI 10.1016/j.marpolbul.2021.112160; Freiwald J, 2018, MAR ECOL-EVOL PERSP, V39, DOI 10.1111/maec.12470; Gallardo T, 2015, MARINE ALGAE: BIODIVERSITY, TAXONOMY, ENVIRONMENTAL ASSESSMENT, AND BIOTECHNOLOGY, P1; Gerovasileiou V, 2016, BIODIVERS DATA J, V4, DOI 10.3897/BDJ.4.e8692; Grattan LM, 2016, HARMFUL ALGAE, V57, P2, DOI 10.1016/j.hal.2016.05.003; Gregg P., 2019, ENERG POLICY, V133; Griffith AW, 2020, HARMFUL ALGAE, V91, DOI 10.1016/j.hal.2019.03.008; Ingrosso G, 2018, ADV MAR BIOL, V79, P61, DOI 10.1016/bs.amb.2018.05.001; Jacquin AG, 2014, ADV BOT RES, V71, P1, DOI 10.1016/B978-0-12-408062-1.00001-9; Kelly R, 2022, REV FISH BIOL FISHER, V32, P123, DOI 10.1007/s11160-020-09625-9; Kelly R, 2017, MAR POLICY, V81, P21, DOI 10.1016/j.marpol.2017.03.005; Kirkpatrick B, 2014, SCI TOTAL ENVIRON, V493, P898, DOI 10.1016/j.scitotenv.2014.06.083; Koutsopoulos K.C., OCEAN LITERACY UNDER; Kuhar SE, 2009, RISK ANAL, V29, P963, DOI 10.1111/j.1539-6924.2009.01228.x; Lähteenmäki-Uutela A, 2021, AQUACULT INT, V29, P487, DOI 10.1007/s10499-020-00633-x; Lapointe BE, 2007, HARMFUL ALGAE, V6, P421, DOI 10.1016/j.hal.2006.12.005; Largo D, 2020, BOT MAR, V63, P299, DOI 10.1515/bot-2020-0038; Le Chene M., 2012, ETHNOLOGIE FRANFAISE, V42, P657, DOI [10.3917/ethn.124.0657, DOI 10.3917/ETHN.124.0657]; Le Foil F., 2011, MILIEUX COTIERS RESS; Lucrezi S., 2018, Tourism in Marine Environments, V13, P85, DOI 10.3727/154427318x15225542424207; Lucrezi S, 2021, GLOB ECOL CONSERV, V28, DOI 10.1016/j.gecco.2021.e01649; Mac Monagail M, 2017, EUR J PHYCOL, V52, P371, DOI 10.1080/09670262.2017.1365273; Mancuso FP, 2018, MAR POLLUT BULL, V129, P762, DOI 10.1016/j.marpolbul.2017.10.068; Mannino AM, 2021, J MAR SCI ENG, V9, DOI 10.3390/jmse9030288; Merkel A, 2021, SCAND J HOSP TOUR, V21, P391, DOI 10.1080/15022250.2021.1879671; Mokos M, 2020, MEDITERR MAR SCI, V21, P592, DOI 10.12681/mms.23400; Mouritsen OleG., 2013, Seaweeds: Edible, Available, and Sustainable; Najdek M, 2020, FRONT MAR SCI, V7, DOI 10.3389/fmars.2020.602055; Napolitano A., 2018, ALGA TOSSICA SIROLO; Orlando-Bonaca M, 2019, MAR POLLUT BULL, V145, P656, DOI 10.1016/j.marpolbul.2019.06.065; Palmieri N, 2020, INT J GASTRON FOOD S, V20, DOI 10.1016/j.ijgfs.2020.100202; Pinna S, 2020, MAR ENVIRON RES, V159, DOI 10.1016/j.marenvres.2020.104955; Portman ME, 2020, MAR POLICY, V122, DOI 10.1016/j.marpol.2020.104133; Redazione Centro Pagina, 2021, PARC CON VINC PROG R; Redfern J, 2013, J BIOL EDUC, V47, P246, DOI 10.1080/00219266.2013.801872; Rindi F, 2020, BIODIVERS CONSERV, V29, P2275, DOI 10.1007/s10531-020-01973-z; Rindi F, 2019, FRONT MAR SCI, V6, DOI 10.3389/fmars.2019.00723; Sandelowski M, 2010, RES NURS HEALTH, V33, P77, DOI 10.1002/nur.20362; Schiro JAS, 2017, J COAST CONSERV, V21, P63, DOI 10.1007/s11852-016-0472-6; Sinopoli M, 2020, REG STUD MAR SCI, V38, DOI 10.1016/j.rsma.2020.101372; Skukan R, 2020, J ENVIRON EDUC, V51, P335, DOI 10.1080/00958964.2019.1688226; Stoll-Kleemann S, 2019, FRONT MAR SCI, V6, DOI 10.3389/fmars.2019.00273; Tarabelli M., 2017, ALGA TOSSICA VIETATA; Thiel M, 2014, OCEANOGR MAR BIOL, V52, P257; Turicchia E., 2021, FRONT MAR SCI, V1086; Villarreal JV, 2020, BIOTECHNOL BIOFUELS, V13, DOI 10.1186/s13068-020-01730-y; Wiener C.S., 2015, Journal of Environmental Studies and Sciences, P1, DOI [10.1007/s13412-015-0272-6, DOI 10.1007/S13412-015-0272-6]; Williams A., 2008, SHORE BEACH, V76, P63; Yin R.K., 2011, Quarterly research from start to finish</t>
  </si>
  <si>
    <t>10.12681/mms.27949</t>
  </si>
  <si>
    <t>WOS:000782982600011</t>
  </si>
  <si>
    <t>Güven, G; Yakar, A; Sülün, Y</t>
  </si>
  <si>
    <t>Guven, Gokhan; Yakar, Ali; Sulun, Yusuf</t>
  </si>
  <si>
    <t>Adaptation of the Energy Literacy Scale into Turkish: A Validity and Reliability Study</t>
  </si>
  <si>
    <t>CUKUROVA UNIVERSITY FACULTY OF EDUCATION JOURNAL</t>
  </si>
  <si>
    <t>Energy literacy; Validity; Reliability</t>
  </si>
  <si>
    <t>LEARNING PROGRESSION; KNOWLEDGE; STUDENTS; MIDDLE; AWARENESS; BEHAVIOR</t>
  </si>
  <si>
    <t>The purpose of the current study was to adapt the Energy Literacy Scale developed by DeWaters, Qaqish, Graham and Powers (2013) into Turkish and to ensure its reliability and validity for the Turkish context. The items were first translated into Turkish and then back translated into English. In the next stage, the consistency between the translations was checked to analyze any missing in meaning. English lecturer evaluated items' comprehensibility levels, word and sentence structures and cultural compliance level. The scale was administered to 550 students from middle schools in the city of Mugla. Then, Exploratory Factor Analysis (EFA) was firstly conducted to establish the construct validity of the scale. Later, to test the model fit of the item-factor structure obtained from EFA, Confirmatory Factor Analysis (CFA) was run. Finally, Cronbach Alpha reliability coefficient was calculated for the whole scale and for each factor. The results appeared a three-factor scale (cognitive, affective and behavioral). Moreover, the internal consistency coefficients for each factor ranged from .72 to .82 as well as the coefficient for the whole scale was found to be .83. Overall, a valid and reliable scale was developed to evaluate secondary school students' energy literacy levels of energy education.</t>
  </si>
  <si>
    <t>[Guven, Gokhan; Yakar, Ali; Sulun, Yusuf] Mugla Sitki Kocman Univ, Egitim Fak, Mugla, Turkey</t>
  </si>
  <si>
    <t>Mugla Sitki Kocman University</t>
  </si>
  <si>
    <t>Güven, G (corresponding author), Mugla Sitki Kocman Univ, Egitim Fak, Mugla, Turkey.</t>
  </si>
  <si>
    <t>Akitsu Y., 2017, Int. J. Environ. Sci. Educ., V12, P1067; [Anonymous], J TURKISH SCI ED; [Anonymous], ENV ED RES; [Anonymous], KASTAMONU ED J; [Anonymous], 2009, Necatibey Faculty of Education Electronic Journal of Science and Mathematics Education (EFMED); Barrow L., 1989, Journal of Environmental Education, V20, P22, DOI [10.1080/00958964.1989.9943027, DOI 10.1080/00958964.1989.9943027]; Bodzin A, 2012, INT J SCI EDUC, V34, P1255, DOI 10.1080/09500693.2012.661483; Bodzin AM, 2013, INT J SCI EDUC, V35, P1561, DOI 10.1080/09500693.2013.769139; Boylan C., 2008, International Electronic Journal of Elementary Education, V1, P1; Brounen D, 2013, ENERG ECON, V38, P42, DOI 10.1016/j.eneco.2013.02.008; Chen K.L., 2015, International Journal of Environmental and Science Education, V10, P201, DOI [DOI 10.12973/IJESE.2015.241A, 10.12973/ijese.2015.241a]; Chen SJ, 2015, ENERG EFFIC, V8, P791, DOI 10.1007/s12053-015-9327-5; Chikaire J. U., 2015, Agricultural Advances, V4, P84; Cotton DRE, 2015, INT J SUST HIGHER ED, V16, P456, DOI 10.1108/IJSHE-12-2013-0166; DeWaters J, 2013, J ENVIRON EDUC, V44, P56, DOI 10.1080/00958964.2012.682615; DeWaters J, 2013, J ENVIRON EDUC, V44, P38, DOI 10.1080/00958964.2012.711378; DeWaters JE, 2011, ENERG POLICY, V39, P1699, DOI 10.1016/j.enpol.2010.12.049; Fah L. Y., 2012, OIDA Int. J. Sustain. Dev., V3, P75; Fishbein M., 1980, UNDERSTANDING ATTITU; Gocuk A., 2016, J HUMAN SCI, V13, P3446; Guven G, 2017, RENEW SUST ENERG REV, V80, P663, DOI 10.1016/j.rser.2017.05.286; Jin H, 2012, J RES SCI TEACH, V49, P1149, DOI 10.1002/tea.21051; Karpudewan M, 2016, ASIA-PAC EDUC RES, V25, P229, DOI 10.1007/s40299-015-0256-z; Lay Y.-F., 2013, International Journal of Environmental ve Science Education, V8, P199; Lee HS, 2010, SCI EDUC, V94, P665, DOI 10.1002/sce.20382; Lee LS, 2015, ENERG POLICY, V76, P98, DOI 10.1016/j.enpol.2014.11.012; Liu X., 2004, Canadian Journal of Science, Mathematics and Technology Education, V4, P43; Opitz ST, 2015, RES SCI EDUC, V45, P691, DOI 10.1007/s11165-014-9444-8; Panwar NL, 2011, RENEW SUST ENERG REV, V15, P1513, DOI 10.1016/j.rser.2010.11.037; Rizaki A, 2013, SCI EDUC-NETHERLANDS, V22, P1141, DOI 10.1007/s11191-009-9213-7; Schermelleh-Engel K., 2003, METHODS PSYCHOL RES, V8, P23, DOI DOI 10.1002/0470010940; Secer I., 2013, SPSS ve LISREL ile pratik veri analizi ve raporlastirma; Sovacool BK, 2015, ENVIRON SCI POLICY, V54, P304, DOI 10.1016/j.envsci.2015.07.011; Tavsancil E., 2006, Tutumlarin Olculmesi ve SPSS ile Veri Analizi; Toman U, 2013, J ED INSTRUCTIONAL S, V3, P44; van der Horst D, 2016, J GEOGR HIGHER EDUC, V40, P67, DOI 10.1080/03098265.2015.1089477; 2007, ANGEW CHEM INT EDIT, V46, P52, DOI DOI 10.1002/ANIE.200602373</t>
  </si>
  <si>
    <t>CUKUROVA UNIV</t>
  </si>
  <si>
    <t>ADANA</t>
  </si>
  <si>
    <t>BALCALI CAMPUS, ADANA, 01330, TURKEY</t>
  </si>
  <si>
    <t>1302-9967</t>
  </si>
  <si>
    <t>CUKUROVA UNIV FAC ED</t>
  </si>
  <si>
    <t>Cukurova Univ. Fac. Educ. J.</t>
  </si>
  <si>
    <t>10.14812/cufej.489058</t>
  </si>
  <si>
    <t>HW2FX</t>
  </si>
  <si>
    <t>WOS:000466499700027</t>
  </si>
  <si>
    <t>Aguirre-Bielschowsky, I; Lawson, R; Stephenson, J; Todd, S</t>
  </si>
  <si>
    <t>Aguirre-Bielschowsky, I.; Lawson, R.; Stephenson, J.; Todd, S.</t>
  </si>
  <si>
    <t>Energy literacy and agency of New Zealand children</t>
  </si>
  <si>
    <t>energy literacy; children; electricity; energy knowledge; attitudes; agency</t>
  </si>
  <si>
    <t>STUDENTS KNOWLEDGE; EDUCATION; ATTITUDES; LEVEL; MIDDLE</t>
  </si>
  <si>
    <t>The development of energy literacy (knowledge, attitudes, and intended behaviour) and agency of New Zealand children (age 9-10) were investigated through thematic and exploratory statistical analyses of interviews (October 2011-April 2012) with 26 children, their parents and teachers, focus groups and photo elicitation. The children knew that electricity costs money and saw it as a finite resource. Half could name an energy source but few knew of any associated environmental issues. Most of the children had a positive attitude towards saving electricity, but did not intend to save energy to a further extent (low intended behaviour) and were not influencing their families to conserve energy (low agency). The children were learning about energy informally from a variety of sources, and acquired their attitudes mostly from talking to their parents. The results highlight the need for energy education for citizenship at school and conversations about energy both there and at home.</t>
  </si>
  <si>
    <t>[Aguirre-Bielschowsky, I.; Stephenson, J.] Univ Otago, Ctr Sustainabil, Dunedin, New Zealand; [Lawson, R.] Univ Otago, Dept Mkt, Dunedin, New Zealand; [Todd, S.] Griffith Univ, Nathan, Qld, Australia</t>
  </si>
  <si>
    <t>University of Otago; University of Otago; Griffith University</t>
  </si>
  <si>
    <t>Aguirre-Bielschowsky, I (corresponding author), Univ Otago, Ctr Sustainabil, Dunedin, New Zealand.</t>
  </si>
  <si>
    <t>ikerne.aguirre-bielschowsky@otago.ac.nz</t>
  </si>
  <si>
    <t>Mexican Council for Science and Technology (CONACYT); University of Otago, New Zealand</t>
  </si>
  <si>
    <t>Mexican Council for Science and Technology (CONACYT)(Consejo Nacional de Ciencia y Tecnologia (CONACyT)); University of Otago, New Zealand</t>
  </si>
  <si>
    <t>This work was made possible by funding from the Mexican Council for Science and Technology (CONACYT) and the University of Otago, New Zealand.</t>
  </si>
  <si>
    <t>Aguirre-Bielschowsky I., 2014, THESIS; AJZEN I, 1991, ORGAN BEHAV HUM DEC, V50, P179, DOI 10.1016/0749-5978(91)90020-T; [Anonymous], 2011, THESIS; [Anonymous], 1983, SCHOOL SCI MATH, DOI DOI 10.1111/J.1949-8594.1983.TB10142.X; [Anonymous], FIGURES CONT TRANSMI; [Anonymous], 1985, RES SCI EDUC, DOI DOI 10.1007/BF02356527; [Anonymous], 1948, THEORY PROBLEMS SOCI, DOI DOI 10.1037/10024-000; [Anonymous], 1979, SCI ED, DOI DOI 10.1002/SCE.3730630506; [Anonymous], CHARACTERISTICS HOUS; Armaroli N, 2007, ANGEW CHEM INT EDIT, V46, P52, DOI 10.1002/anie.200602373; Aronson E., 1999, Social psychology, V3rd; AYERS JB, 1977, SCH SCI MATH, V76, P238; Barr S, 2006, GEOFORUM, V37, P906, DOI 10.1016/j.geoforum.2006.05.002; Barrow L., 1989, Journal of Environmental Education, V20, P22, DOI [10.1080/00958964.1989.9943027, DOI 10.1080/00958964.1989.9943027]; Baumeister R.F., 2013, Social Psychology and Human Nature, Comprehensive Edition; Berk E. L., 2001, DEV LIFESPAN; Bodzin A, 2012, INT J SCI EDUC, V34, P1255, DOI 10.1080/09500693.2012.661483; Bodzin AM, 2013, INT J SCI EDUC, V35, P1561, DOI 10.1080/09500693.2013.769139; Boudet H, 2014, ENERG POLICY, V73, P439, DOI 10.1016/j.enpol.2014.05.044; Boylan C., 2008, International Electronic Journal of Elementary Education, V1, P1; Braun V, 2006, QUAL RES PSYCHOL, V3, P77, DOI [DOI 10.1191/1478088706QP063OA, 10.1191/1478088706qp063oa]; Breckler S., 2006, SOCIAL PSYCHOL ALIVE; CHRCE (The Centre for Human Rights and Citizenship Education), 2011, EV ED PROGR SUST EN; Coffey J. M., 1981, THESIS; COLLINS TA, 1979, J ENVIRON EDUC, V10, P18; Cornelius M, 2014, ENERG EFFIC, V7, P217, DOI 10.1007/s12053-013-9219-5; Curtin C, 2001, AM J OCCUP THER, V55, P295, DOI 10.5014/ajot.55.3.295; Demeo A. E., 2013, J. Sustain. Educ., V4, P1; DeWaters J, 2013, J ENVIRON EDUC, V44, P56, DOI 10.1080/00958964.2012.682615; DeWaters J, 2013, J ENVIRON EDUC, V44, P38, DOI 10.1080/00958964.2012.711378; DeWaters J, 2008, PROC FRONT EDUC CONF, P116; DeWaters JE, 2011, ENERG POLICY, V39, P1699, DOI 10.1016/j.enpol.2010.12.049; DeWaters JE., 2011, FRONTIERS ED C FIE 2, DOI DOI 10.1109/FIE.2011.6142961; Dias RA, 2004, ENERG POLICY, V32, P1339, DOI 10.1016/S0301-4215(03)00100-9; DUNLAP RE, 1978, J ENVIRON EDUC, V9, P10, DOI 10.1080/00958964.1978.10801875; Eagles P.F. J., 1999, Journal of Environmental Education, V30, P33, DOI [https://doi.org/10.1080/00958969909601882, DOI 10.1080/00958969909601882]; EASTERLING D, 1995, PSYCHOL MARKET, V12, P531, DOI 10.1002/mar.4220120606; Ekstrom K., 2010, CONSUMPTION BUBBLE, P149; Energy Efficiency and Conservation Authority, 2015, THE EN SPOT; Energy Star, 2014, EN STAR; Enviroschools, 2009, PREC EN LEARN GUID; Enviroschools Foundation, 2014, ENV; Erdogan M, 2011, INT J SCI EDUC, V33, P2375, DOI 10.1080/09500693.2010.550653; Fah L. Y., 2012, OIDA Int. J. Sustain. Dev., V3, P75; Fell MJ, 2014, ENERG POLICY, V65, P351, DOI 10.1016/j.enpol.2013.10.003; Fetscherin M, 2008, J ELECTRON COMMER RE, V9, P231; Gambro J.S., 1999, J ENVIRON EDUC, V30, P15, DOI DOI 10.1080/00958969909601866; GAMBRO JS, 1996, J ENVIRON EDUC, V0027; Garabuau-Moussaoui I., 2011, ENERGY EFFICIENCY, V4, P493; Gifford R., 2012, The Oxford handbook of environmental and conservation psychology, P65, DOI DOI 10.1093/OXFORDHB/9780199733026.013.0004; Gronhoj A., 2006, J CONSUM BEHAV, V5, P491, DOI 10.1002/cb.198; GUEST G., 2012, Applied thematic analysis, DOI 10.4135/9781483384436; Hair J.F., 2010, MULTIVARIATE DATA AN; Halder P, 2011, APPL ENERG, V88, P1233, DOI 10.1016/j.apenergy.2010.10.017; Hanson R., 1993, STUDIES ED EVALUATIO, V19, P287; Hart P., 1999, Studies in Science Education, V34, P1, DOI DOI 10.1080/03057269908560148; Huang YS, 2012, PROCD SOC BEHV, V51, P840, DOI 10.1016/j.sbspro.2012.08.250; IBM, 2011, SPSS STAT CORR AN; Ismail GA, 2009, J EGYPT PUBLIC HEAL, V84, P33; Ivy T.G. C., 1998, International Research in Geographical and Environmental Education, V7, P181, DOI [DOI 10.1080/10382049808667574, 10.1080/10382049808667574]; Jentsch M., 2011, 3 INT C ADV SERV COM; Kahn H. P., 2002, CHILDREN NATURE PSYC; Kasapoglu Aytuel, 2008, International Journal of Environmental Studies, V65, P225, DOI 10.1080/00207230701502316; Kennedy C, 2001, NURS RES, V50, P184, DOI 10.1097/00006199-200105000-00010; Kruger C, 2000, RES SCI TECHNOLOGICA, V18, P5; Larson LR, 2011, ENVIRON BEHAV, V43, P72, DOI 10.1177/0013916509345212; Larsson B, 2010, CHILDHOOD, V17, P129, DOI 10.1177/0907568209351554; Lawrenz F., 1988, SCH SCI MATH, V88, P543, DOI [10.1111/j.1949-8594.1988.tb11852.x, DOI 10.1111/SSM.1988.88.ISSUE-7]; Lawson R., 2012, AUSTR NZ MARK AC C A; Lay Y.-F., 2013, International Journal of Environmental ve Science Education, V8, P199; Liefländer AK, 2013, ENVIRON EDUC RES, V19, P370, DOI 10.1080/13504622.2012.697545; MAZZOCCHI M., 2008, STAT MARKETING CONSU, DOI DOI 10.4135/9780857024657; MBIE (Ministry of Business Innovation and Employment), 2013, EC DEV INF EL; Mehta R. C., 2010, IBM SPSS EXACT TESTS; Ministry of Education, 2007, NZ CURRICULUM; Ministry of Education, 2013, SCH DECL RAT; Morris C. R., 1982, HIGH SCH J, V65, P119; MORRISEY JT, 1984, SCI EDUC, V68, P365, DOI 10.1002/sce.3730680402; NERI (National Energy Research Institute) and University of Otago, 2008, EN AAT HOM; Neuendorf K., 2002, The content analysis guidebook; NEWBOROUGH M, 1991, APPL ENERG, V40, P119, DOI 10.1016/0306-2619(91)90018-S; Nies J. I., 1984, J VOCATIONAL HOME EC, V2, P93; Pelletier LG, 2011, CROSS CULT ADV POSIT, V1, P257, DOI 10.1007/978-90-481-9667-8_12; QSR International, 2013, NVIVO FEAT BEN; Reid A, 2013, INTERNATIONAL HANDBOOK OF RESEARCH ON ENVIRONMENTAL EDUCATION, P518; Reid L, 2010, PROG HUM GEOG, V34, P309, DOI 10.1177/0309132509346994; Rickinson M., 2001, ENVIRON EDUC RES, V7, P207, DOI [10.1080/13504620120065230, DOI 10.1080/13504620120065230]; Robelia B, 2012, ENVIRON EDUC RES, V18, P299, DOI 10.1080/13504622.2011.618288; SOLOMON J, 1985, SOC STUD SCI, V15, P343, DOI 10.1177/030631285015002005; Solomon J., 1992, SCH SOC; Solopova A., 2008, THESIS; Southwell B., 2012, AM PERCEIVED ACTUAL; Starkweather J., 2012, RES STAT SUPPORT COR; Stephenson J., 2010, The International Journal of Interdisciplinary Social Science, V5, P272, DOI DOI 10.18848/1833-1882/CGP/V05I07/51789; Stephenson J, 2010, ENERG POLICY, V38, P6120, DOI 10.1016/j.enpol.2010.05.069; STUBBS M, 1985, EDUC STUD, V11, P133, DOI 10.1080/0305569850110205; Sudderth P. L., 1984, THESIS; Taylor N.J., 2009, Children as Citizens?: International Voices; Todd S., 2003, AUSTR NZ MARK AC C A; Toth N, 2013, J ENVIRON PSYCHOL, V34, P36, DOI 10.1016/j.jenvp.2012.12.001; TRUMPER R, 1993, INT J SCI EDUC, V15, P139, DOI 10.1080/0950069930150203; Tsai T. C., 2013, 1 INT C GREEN COMP T; Vasquez R. P., 2005, GEOGRAFIA QUINTO FRA; Vaughan M. G., 2010, ESSENTIALS SOCIAL PS; Wilson C, 2007, ANNU REV ENV RESOUR, V32, P169, DOI 10.1146/annurev.energy.32.053006.141137; Zografakis N, 2008, ENERG POLICY, V36, P3226, DOI 10.1016/j.enpol.2008.04.021; Zyadin A, 2012, RENEW ENERG, V45, P78, DOI 10.1016/j.renene.2012.02.002</t>
  </si>
  <si>
    <t>10.1080/13504622.2015.1054267</t>
  </si>
  <si>
    <t>EW6FI</t>
  </si>
  <si>
    <t>WOS:000402603700005</t>
  </si>
  <si>
    <t>Mioni, E</t>
  </si>
  <si>
    <t>Mioni, Erika</t>
  </si>
  <si>
    <t>Contribution to the Special Issue: Ocean Literacy across the Mediterranean Sea region Percorsi nel Blu (Blue Paths): a long-lasting project to integrate ocean literacy and marine citizen science into school curricula</t>
  </si>
  <si>
    <t>Ocean literacy; marine citizen science; Blue School; global citizenship; interdisciplinary skills; environmental educa-tion; STEM; 2030 Agenda</t>
  </si>
  <si>
    <t>The Percorsi nel Blu project is a revolutionary Blue School model of well-integrated ocean literacy (OL) and marine citizen science (MCS), promoted by a science teacher and independent researcher of the ISA2 secondary school institute of La Spezia, Italy. Since 2011, the project has been setting up a network among schools, institutions and citizens, as well as a partnership with research centres for data collection activities within coastal sites located in the Pelagos Mammals' Sanctuary in the Ligurian and Tyrrhenian seas. The project focuses on the key points of OL and MCS, promoting a gradual implementation of scientific literacy in marine biology and coastal monitoring techniques in school curricula during a period of vertical and incremental long-lasting training, from kindergarten to university. Percorsi nel Blu harmonises the existing educational plans with the last recommendations of the United Nations Sustainable Development Goals (UN SDGs) of the 2030 Agenda in order to improve the teaching of science, technology, engineering and mathematics (STEM disciplines). The OL process follows the complete educational path, actively involving students in the recognition of marine flora and fauna during research activities on the beach and scuba surveys in research campaigns. The great impact on the community, the remarkable number of participants and the relevant scientific results of the first records of alien and native species increase students' interest in STEM disciplines and marine sciences and encourage them to disseminate their experiences, thus creating the awareness of global citizenship, which includes the whole community, both inside and outside school.</t>
  </si>
  <si>
    <t>[Mioni, Erika] Ist Comprens Statale ISA2, Viale Aldo Ferrari, I-19122 La Spezia, Italy</t>
  </si>
  <si>
    <t>Mioni, E (corresponding author), Ist Comprens Statale ISA2, Viale Aldo Ferrari, I-19122 La Spezia, Italy.</t>
  </si>
  <si>
    <t>[Anonymous], 2017, J. Res. Didact. Geogr; [Anonymous], 2012, Indicazioni nazionali per il curricolo della scuola dell'infanzia e del primo ciclo d'istruzione; Castoldi M., 2013, CURRICOLO COMPETENZE; Cava F., 2005, Science Content and Standards for Ocean Literacy: A Report on Ocean Literacy, P1; Cerrano C., 2012, PIXEL NEW PERSP SCI; Collins J, 2004, RADIOGRAPHICS, V24, P1483, DOI 10.1148/rg.245045020; Copejans E, 2012, J MARINE ED, V28, P43; Cortellini G., 2001, INSEGNAMENTO SCI VER, V2; Costa R. L., 2021, Ocean Literacy: Understanding the Ocean, P241, DOI [10.1007/978-3-030-70155-0, DOI 10.1007/978-3-030-70155-0, https://doi.org/10.1007/978-3-030-70155-0]; Damasio A., 1994, DESCARTES ERROR EMOT; Davies L., 2004, The needs of teachers and learners in global citizenship. Report of DFID funded project; Dupont S., 2017, Handbook on the Economics and Management of Sustainable Oceans, P519, DOI [10.4337/9781786430724, DOI 10.4337/9781786430724.00037]; EMSEA, 2021, EUROPEAN MARINE SCI; Escola Azul, 2021, BLUE SCH; European Commission, 2021, NETW EUR BLUE SCH; European Commission, 2021, The EU Blue Economy Report; European Commission, 2021, EU4 OC COAL EUR UN; Fauville G., 2019, Exemplary Practices in Marine Science Education: A Resource for Practitioners and Researchers, V9, P3, DOI DOI 10.1007/978-3-319-90778-9_1; Fauville G., 2013, MARINE BIOL, V1, P30; Fauville G., 2017, THESIS U GOTHENBURG; Garcia-Soto C., 2017, 23 EUR MAR BOARD EUR; Lin Y.-L., 2020, SUSTAINABILITY MDPI, V12, P1; MATTM Ministero dell'Ambiente e della Tutela del Territorio e del Mare, 2015, LIN GUID ED AMB; Merlino S., 2019, J OCEAN TECHNOL, V14, P43; Ministry of Education University and Research [MIUR], 2018, LIN GUID PERC PER CO; Mioni E., 2021, P EMSEA VIRTUAL C 20; Mioni E., 2017, P 1 CIT SCI C ROM IT, P64; Mioni E., 2018, P C IT SOC MAR BIOL, P224; Mioni E., 2020, P 11 INT C BIOL INV, P150; Mioni E, 2016, ADVANCES IN HIGHER EDUCATION, P45; MIUR Ministero dell'Istruzione dell'Universita e della Ricerca, 2019, LIN GUID ED CIV; Myers JP, 2006, THEOR RES SOC EDUC, V34, P370, DOI 10.1080/00933104.2006.10473313; Ocean Literacy, 2005, ESSENTIAL PRINCIPLES; Pola M, 2019, PLOS ONE, V14, DOI 10.1371/journal.pone.0215037; Wang HH, 2020, INT J STEM EDUC, V7, DOI 10.1186/s40594-019-0201-4</t>
  </si>
  <si>
    <t>10.12681/mms.27152</t>
  </si>
  <si>
    <t>0N4YT</t>
  </si>
  <si>
    <t>WOS:000782845600001</t>
  </si>
  <si>
    <t>Schiano-Phan, R; Gonçalves, JCS; Vallejo, JA</t>
  </si>
  <si>
    <t>Schiano-Phan, Rosa; Goncalves, Joana C. S.; Vallejo, Juan A.</t>
  </si>
  <si>
    <t>Pedagogy Pro-Design and Climate Literacy: Teaching Methods and Research Approaches for Sustainable Architecture</t>
  </si>
  <si>
    <t>environmental design; sustainable architecture; pedagogy; climate literacy; environmental architecture; curriculum; research</t>
  </si>
  <si>
    <t>POSTOCCUPANCY EVALUATION; STUDIO</t>
  </si>
  <si>
    <t>There is a genuine concern that the current level of sustainability education provided in the mainstream architectural curricula is no longer sufficient to combat urgent climate challenges, and that a stronger interdisciplinary approach needs to be followed where architectural students are formed and empowered with a different pedagogical paradigm, better tools, and diverse sets of skills. This paper examines the various pedagogical approaches to the teaching and learning of environmental design principles and practice in architectural education with a focus on recurrent methods applied in specialist curricula in the UK. An in-depth analysis of a pedagogical case study based on the eight-year experience of the Architecture and Environmental Design MSc course at the University of Westminster is presented with reference to the pedagogical methods identified in the literature. A reflective exercise based on the specific methods adopted in the course and examples of students' outputs and experiences allows a critical evaluation of the pedagogical case study. The paper concludes by highlighting the challenges and opportunities of introducing climate literacy at postgraduate level and the benefits of adopting a research-led approach based on collaborations with industry partners.</t>
  </si>
  <si>
    <t>[Schiano-Phan, Rosa; Goncalves, Joana C. S.; Vallejo, Juan A.] Univ Westminster, Sch Architecture &amp; Cities, London NW1 5LS, England; [Goncalves, Joana C. S.] Univ Sao Paulo, Fac Architecture &amp; Urbanism, BR-05508080 Sao Paulo, Brazil</t>
  </si>
  <si>
    <t>University of Westminster; Universidade de Sao Paulo</t>
  </si>
  <si>
    <t>Schiano-Phan, R (corresponding author), Univ Westminster, Sch Architecture &amp; Cities, London NW1 5LS, England.</t>
  </si>
  <si>
    <t>r.schianophan@westminster.ac.uk; j.soaresgoncalvesl@westminster.ac.uk; j.vallejo@westminster.ac.uk</t>
  </si>
  <si>
    <t>Schiano-Phan, Rosa/0000-0003-3950-1905</t>
  </si>
  <si>
    <t>Altomonte S., 2012, Education for Sustainable Environmental Design; [Anonymous], 2011, GOVT DUBAI GREEN BUI; [Anonymous], 2009, Higher Education; [Anonymous], 2012, THESIS QUEENS U BELF; Baird G, 2001, BUILD RES INF, V29, P469, DOI 10.1080/09613210110072656; Baker N., 2019, Healthy homes: designing with light and air for sustainability and wellbeing; Biggs J., 2011, TEACHING QUALITY LEA; Bordass B., 2005, ASSESSING BUILDING P; Borzak L., 1981, Field study. A source book for experiential learning; Breslin M, 2008, DES ISSUES, V24, P36, DOI 10.1162/desi.2008.24.1.36; Calleja H., 2017, DESIGN THRIVE P PLEA, V3; Candido C, 2016, BUILD RES INF, V44, P214, DOI 10.1080/09613218.2015.1072298; Chiles P., 2007, Live Projects: an Inspirational Model - the Student Perspective [online]; CIBSE, 2022, COVID 19 VENT GUID, P8; Cosgun N., 2020, IJEAD INT J ED ARCHI, V1, P2; Dodd M., 2012, LIVE PROJECTS DESIGN; Uzum MDD, 2021, ARCHIT SCI REV, V64, P56, DOI 10.1080/00038628.2020.1748870; Ekici B, 2019, BUILD ENVIRON, V147, P356, DOI 10.1016/j.buildenv.2018.10.023; Ford Brian., 2020, The Architecture of Natural Cooling, V2nd; geminidataloggers, TINYTAG GEMINI DATA; Goncalves J.C.S., 2021, ARQ URB, V32, P42; Gossauer E, 2007, ADV BUILD ENERGY RES, V1, P151, DOI 10.1080/17512549.2007.9687273; Grant EJ, 2020, BUILD CITIES, V1, P538, DOI 10.5334/bc.41; Harriss H, 2014, ARCHITECTURE LIVE PROJECTS: PEDAGOGY INTO PRACTICE, P1; Heywood H, 2019, 101 RULES THUMB SUST; Hoes P, 2009, ENERG BUILDINGS, V41, P295, DOI 10.1016/j.enbuild.2008.09.008; Kolb David A., 1984, EXPERIENCE SOURCE LE, DOI [10.1002/job.4030080408, DOI 10.1016/B978-0-7506-7223-8.50017-4, DOI 10.1002/JOB.4030080408]; Kunzig R., 2017, National Geographic; Lund Susan., 2021, The future of work after COVID-19, V18; Makstutis G., 2018, Design Process in Architecture: From Concept to Completion; Marco E., P 1 C ASS ARCH ED NO; Marston S., 2021, STRATEGY 2021 24 HEL; Masdéu M, 2017, ARCHNET-IJAR, V11, P6; Middleton R., 1982, BEAUX ARTS 19 CENTUR; Moore KD, 2010, ARQ-ARCHIT RES Q, V14, P105, DOI 10.1017/S1359135510000722; Morawska L, 2020, CLIN INFECT DIS, V71, P2311, DOI 10.1093/cid/ciaa939; Morrow R, 2014, ARCHITECTURE LIVE PROJECTS: PEDAGOGY INTO PRACTICE, pXVIII; Norouzi N, 2015, PROCD SOC BEHV, V172, P635, DOI 10.1016/j.sbspro.2015.01.413; O'Dwyer S, 2017, AAE CHARRETTE, V4, P97; Olgyay V, 2015, DESIGN WITH CLIMATE: BIOCLIMATIC APPROACH TO ARCHITECTURAL REGIONALISM, P1, DOI 10.1515/9781400873685; Ostergård T, 2017, ENERG BUILDINGS, V142, P8, DOI 10.1016/j.enbuild.2017.02.059; Pasin B, 2017, DES J, V20, pS1270, DOI 10.1080/14606925.2017.1352656; Peel MC, 2007, HYDROL EARTH SYST SC, V11, P1633, DOI 10.5194/hess-11-1633-2007; Pisello AL, 2012, APPL ENERG, V97, P419, DOI 10.1016/j.apenergy.2011.12.094; Reinhart CF, 2006, LEUKOS, V3, P7, DOI 10.1582/LEUKOS.2006.03.01.001; Roose K., 2020, The New York Times; Roudsari MS, 2013, BUILDING SIMULATION 2013: 13TH INTERNATIONAL CONFERENCE OF THE INTERNATIONAL BUILDING PERFORMANCE SIMULATION ASSOCIATION, P3128; Salama AM., 2005, Centre for Education in the Built Environment Transactions, DOI [10.11120/tran.2005.02020016, DOI 10.11120/TRAN.2005.02020016]; Sara R., 2006, CEBE BRIEFING GUIDE; Sara R., 2011, Journal for Education in the Built Environment, V6, P8, DOI [10.11120/jebe.2011, DOI 10.11120/JEBE.2011]; Schiano-Phan R., 2017, P 16 INT C SUSTAINAB; Schiano-Phan R., 2018, 2O LIMIT P PLEA 2018, V3, P1231; Schiano-Phan R., 2018, Future Cities Environ, V4, P782, DOI [10.5334/fce.47, DOI 10.5334/FCE.47]; Silva J., 2020, PLANNING POSTCARBON, V1, P541; Gonçalves JCS, 2018, ENERG BUILDINGS, V175, P17, DOI 10.1016/j.enbuild.2018.06.054; Szokolay S.V., 2004, INTRO ARCHITECTURAL; Szokoloy S., 2004, P 38 INT C ARCH SCI; Thomas R., 2014, ENV DESIGN, V3rd ed.; Turci G, 2019, UFF TEC, V10, P9; University of Westminster, 2021, THESIS U WESTMINSTE; Woiezechoski C.B., 2020, PLANNING POSTCARBON, V3, P1829; Wu C.H., 2020, PLANNING POSTCARBON, V3; Yannas S, 2013, P PLEA 2013 C; Yannas S, 2011, ARCHIT DESIGN, P62, DOI 10.1002/ad.1321; Zainal Z, 2007, JURNAL KEMANUSIAAN, V5</t>
  </si>
  <si>
    <t>10.3390/su14116791</t>
  </si>
  <si>
    <t>1Z8UF</t>
  </si>
  <si>
    <t>WOS:000809091500001</t>
  </si>
  <si>
    <t>Zhang, JK; Zhang, Y</t>
  </si>
  <si>
    <t>Zhang, Jiekuan; Zhang, Yan</t>
  </si>
  <si>
    <t>Examining the energy literacy of tourism peasant households in rural tourism destinations</t>
  </si>
  <si>
    <t>ASIA PACIFIC JOURNAL OF TOURISM RESEARCH</t>
  </si>
  <si>
    <t>Energy literacy; energy conservation behavior; knowledge-affect-behavior; tourism peasant households; rural tourism destinations</t>
  </si>
  <si>
    <t>CLIMATE-CHANGE IMPACTS; LOW-CARBON LITERACY; CO2 EMISSIONS; PERCEPTIONS; CONSUMPTION; BEHAVIOR; CONSUMERS; DEMAND; LABELS; CHINA</t>
  </si>
  <si>
    <t>Through questionnaires and interviews, we investigated the energy literacy characteristics of tourism peasant households in rural tourism destinations and distinguished the predictors of energy conservation behavior. The questionnaires show that the peasant households seem literate in energy; however, our interviews do not support this statement. There are significant correlations between energy knowledge, affect and behavior. Energy affect has the most remarkable impact on energy conservation behavior. These findings allow us to provide empirical evidence that attention must be poured into the energy as well as the low-carbon governance of extensive rural tourist destinations.</t>
  </si>
  <si>
    <t>[Zhang, Jiekuan] Guilin Tourism Univ, China Tourism Acad, Asean Tourism Res Ctr, Guilin, Peoples R China; [Zhang, Yan] Guilin Tourism Univ, Sch Tourism Management, Guilin, Peoples R China</t>
  </si>
  <si>
    <t>Guilin Tourism University; Guilin Tourism University</t>
  </si>
  <si>
    <t>Zhang, JK (corresponding author), Guilin Tourism Univ, China Tourism Acad, Asean Tourism Res Ctr, Guilin, Peoples R China.</t>
  </si>
  <si>
    <t>zhangjiekuan@126.com</t>
  </si>
  <si>
    <t>Zhang, Jiekuan/0000-0002-0598-0584</t>
  </si>
  <si>
    <t>National Natural Science Foundation of China [71764027, 41771151]</t>
  </si>
  <si>
    <t>National Natural Science Foundation of China(National Natural Science Foundation of China (NSFC))</t>
  </si>
  <si>
    <t>This work was supported by National Natural Science Foundation of China [grant numbers 71764027, 41771151].</t>
  </si>
  <si>
    <t>Alcock I, 2017, GLOBAL ENVIRON CHANG, V42, P136, DOI 10.1016/j.gloenvcha.2016.11.005; Atzori R, 2019, J TRAVEL RES, V58, P1373, DOI 10.1177/0047287518802089; Becken S, 2013, ASIA PAC J TOUR RES, V18, P72, DOI 10.1080/10941665.2012.688512; Blasch J, 2017, ENERG ECON, V68, P89, DOI 10.1016/j.eneco.2017.12.004; Brouder P, 2011, J SUSTAIN TOUR, V19, P919, DOI 10.1080/09669582.2011.573073; Brounen D, 2013, ENERG ECON, V38, P42, DOI 10.1016/j.eneco.2013.02.008; Chen SJ, 2015, ENERG EFFIC, V8, P791, DOI 10.1007/s12053-015-9327-5; Clifford KR, 2018, GLOBAL ENVIRON CHANG, V49, P1, DOI 10.1016/j.gloenvcha.2017.12.007; de Vita G, 2015, ENVIRON SCI POLLUT R, V22, P16652, DOI 10.1007/s11356-015-4861-4; DeWaters J. E., 2007, P 2007 ASEE ANN C EX; DeWaters J, 2013, J ENVIRON EDUC, V44, P56, DOI 10.1080/00958964.2012.682615; DeWaters J, 2013, J ENVIRON EDUC, V44, P38, DOI 10.1080/00958964.2012.711378; DeWaters JE, 2011, ENERG POLICY, V39, P1699, DOI 10.1016/j.enpol.2010.12.049; Dwyer C., 2011, Low Carbon Economy, V2, P123, DOI [10.4236/lce.2011.23016, DOI 10.4236/LCE.2011.23016]; Eijgelaar E, 2016, J SUSTAIN TOUR, V24, P398, DOI 10.1080/09669582.2015.1101129; Emberger-Klein A, 2018, J CLEAN PROD, V172, P253, DOI 10.1016/j.jclepro.2017.10.105; Gössling S, 2016, J CLEAN PROD, V111, P358, DOI 10.1016/j.jclepro.2014.08.067; Gössling S, 2012, ANN TOURISM RES, V39, P36, DOI 10.1016/j.annals.2011.11.002; Haldane J. B. S., 2016, RURAL ENERGY DEV CHI; Herington MJ, 2017, RENEW SUST ENERG REV, V67, P1412, DOI 10.1016/j.rser.2016.09.103; Hindley A, 2017, CURR ISSUES TOUR, V20, P1684, DOI 10.1080/13683500.2014.946477; Horng JS, 2014, ASIA PAC J TOUR RES, V19, P721, DOI 10.1080/10941665.2013.797002; Horng JS, 2013, TOURISM MANAGE, V35, P255, DOI 10.1016/j.tourman.2012.08.001; Howell RA, 2018, CARBON MANAG, V9, P25, DOI 10.1080/17583004.2017.1409045; Hu MLM, 2013, J HOSP LEIS SPORT TO, V13, P202, DOI 10.1016/j.jhlste.2013.09.006; Johnson PC, 2014, ANN TOURISM RES, V44, P255, DOI 10.1016/j.annals.2013.10.006; Juvan E, 2014, ANN TOURISM RES, V48, P76, DOI 10.1016/j.annals.2014.05.012; Juvan E, 2014, J SUSTAIN TOUR, V22, P175, DOI 10.1080/09669582.2013.826230; Katircioglu S, 2018, ENVIRON SCI POLLUT R, V25, P35266, DOI 10.1007/s11356-018-3448-2; Katircioglu ST, 2014, ECON MODEL, V41, P383, DOI 10.1016/j.econmod.2014.05.028; Katircioglu ST, 2014, RENEW SUST ENERG REV, V36, P180, DOI 10.1016/j.rser.2014.04.058; Katircioglu ST, 2014, RENEW SUST ENERG REV, V29, P634, DOI 10.1016/j.rser.2013.09.004; Katircioglu S, 2019, ENVIRON SCI POLLUT R, V26, P14393, DOI 10.1007/s11356-019-04750-w; Lee LS, 2015, ENERG POLICY, V76, P98, DOI 10.1016/j.enpol.2014.11.012; Li QW, 2017, J CLEAN PROD, V161, P1237, DOI 10.1016/j.jclepro.2017.04.154; [李鑫 LI Xin], 2015, [自然资源学报, Journal of Natural Resources], V30, P384; Liu TT, 2016, RENEW SUST ENERG REV, V53, P68, DOI 10.1016/j.rser.2015.08.050; Mainali B, 2014, ENERGY SUSTAIN DEV, V19, P15, DOI 10.1016/j.esd.2014.01.008; McNally B, 2018, CLIM CHANG MANAG, P271, DOI 10.1007/978-3-319-70479-1_17; Ministry of Culture and Tourism of the People's Republic of China National Development and Reform Commission Ministry of Natural Resources of the People's Republic of China &amp; Ministry of Ecology and Environment of the People's Republic of China, 2016, ACT PLAN POV ALL PRO; Morrison C, 2013, J SUSTAIN TOUR, V21, P173, DOI 10.1080/09669582.2012.681789; Murphy T.P., 2008, 3 MINNESOTA REPORT C; National Development and Reform Commission Ministry of Finance of the People's Republic of China Ministry of Human Resources and Social Security of the People's Republic of China &amp; Ministry of Culture and Tourism of the People's Republic of China, 2018, ACT PLAN PROM QUAL U; Nepal SK, 2008, TOURISM MANAGE, V29, P89, DOI 10.1016/j.tourman.2007.03.024; [秦宏 Qin Hong], 2016, [环境工程学报, Chinese Journal of Environmental Engineering], V10, P851; Schwartz T., 2013, Proceedings of the 31th International Conference on Human factors in Computing Systems: Changing Perspectives, Paris, France, P1193; Shen JF, 2015, RENEW SUST ENERG REV, V41, P1478, DOI 10.1016/j.rser.2014.09.007; Shewmake S, 2015, ECOL ECON, V119, P168, DOI 10.1016/j.ecolecon.2015.08.007; Teng CC, 2018, INT J CONTEMP HOSP M, V30, P1134, DOI 10.1108/IJCHM-04-2017-0203; Teng CC, 2014, ASIA PAC J TOUR RES, V19, P451, DOI 10.1080/10941665.2013.764336; Tervo-Kankare K, 2013, TOURISM GEOGR, V15, P292, DOI 10.1080/14616688.2012.726265; UNESCO, 2004, 13 UNESCO ED SECT; Wang XH, 2017, RENEW SUST ENERG REV, V68, P28, DOI 10.1016/j.rser.2016.10.004; Wu SM, 2017, NAT ENERGY, V2, DOI 10.1038/s41560-017-0003-1; Yeh SC, 2017, SUSTAINABILITY-BASEL, V9, DOI 10.3390/su9030423; Zhang JK, 2019, SUSTAIN DEV, V27, P296, DOI 10.1002/sd.1900; Zhang JK, 2018, ANN TOURISM RES, V69, P18, DOI 10.1016/j.annals.2017.12.009; Zhi GR, 2017, ENVIRON POLLUT, V223, P705, DOI 10.1016/j.envpol.2017.02.009</t>
  </si>
  <si>
    <t>1094-1665</t>
  </si>
  <si>
    <t>1741-6507</t>
  </si>
  <si>
    <t>ASIA PAC J TOUR RES</t>
  </si>
  <si>
    <t>Asia Pac. J. Tour. Res.</t>
  </si>
  <si>
    <t>APR 2</t>
  </si>
  <si>
    <t>10.1080/10941665.2020.1741410</t>
  </si>
  <si>
    <t>Hospitality, Leisure, Sport &amp; Tourism</t>
  </si>
  <si>
    <t>KV6KS</t>
  </si>
  <si>
    <t>WOS:000520591600001</t>
  </si>
  <si>
    <t>Freitas, C; Bellgrove, A; Venzo, P; Francis, P</t>
  </si>
  <si>
    <t>Freitas, Catia; Bellgrove, Alecia; Venzo, Paul; Francis, Prue</t>
  </si>
  <si>
    <t>Towards a 2025 National Ocean Literacy Strategy: Current Status and Future Needs in Primary Education</t>
  </si>
  <si>
    <t>ocean literacy; marine science education; school students; formal education; Australia; teachers; survey</t>
  </si>
  <si>
    <t>PRESERVICE TEACHERS KNOWLEDGE; MARINE; ATTITUDES</t>
  </si>
  <si>
    <t>Globally, ocean health has become critically compromised due to compounding negative human impacts. Marine science education can play a key role in raising collective understanding of the vulnerability of marine environments and the importance of their protection, and this may best begin with integration of ocean literacy in schools. Previous research shows that K-12 students worldwide have a limited understanding of the ocean. This lack of familiarity with the ocean has been linked to the absence of topics related to marine science in most national school curricula. Teachers are the ultimate arbiters deciding whether and how to include these topics in their classes. However, the extent to which marine science may be currently being taught in formal education is still unknown. We used the Australian public school system as a case study to investigate the marine science teaching practices of primary school teachers (Foundation - Grade 6), through an online survey. Our results indicate that while teachers value the importance of ocean education from a young age, most of them rarely or only occasionally cover marine science topics in their lessons. Teachers cited increased levels of marine science knowledge and a greater availability of ocean-related educational resources linked to the school curriculum as key areas for improvement in ocean education practices. This study highlights the importance of formal marine science education in primary education, along with the need for professional development opportunities for teachers.</t>
  </si>
  <si>
    <t>[Freitas, Catia; Francis, Prue] Deakin Univ, Queenscliff Marine Sci Ctr, Sch Life &amp; Environm Sci, Geelong, Vic, Australia; [Bellgrove, Alecia] Deakin Univ, Ctr Integrat Ecol, Sch Life &amp; Environm Sci, Warrnambool, Vic, Australia; [Venzo, Paul] Deakin Univ, Sch Commun &amp; Creat Arts, Geelong, Vic, Australia</t>
  </si>
  <si>
    <t>Freitas, C (corresponding author), Deakin Univ, Queenscliff Marine Sci Ctr, Sch Life &amp; Environm Sci, Geelong, Vic, Australia.</t>
  </si>
  <si>
    <t>Bellgrove, Alecia/0000-0002-0499-3439; Freitas, Catia/0000-0002-9637-3113; Francis, Prudence/0000-0003-3354-0532</t>
  </si>
  <si>
    <t>[SEBE-2020-38-MOD01]</t>
  </si>
  <si>
    <t>Funding This work was funded by Deakin University, School of Life and Environmental Sciences Higher Degree by Research funds (2022).</t>
  </si>
  <si>
    <t>ACARA, 2022, AUSTR CURR IS MOV VE; [Anonymous], 2021, QUALTR; Ansberry K., 2010, Picture-Perfect Science Lessons, Expanded 2nd Edition: Using Childrens Books to Guide Inquiry, P3; Ashley M, 2019, FRONT MAR SCI, V6, DOI 10.3389/fmars.2019.00288; Australian Curriculum Assessment and Reporting Authority (ACARA), 2018, AUSTR CURR ENGL; Ballantyne R., 2004, GEO J, V60, P159, DOI [https://doi.org/10.1023/B:GEJO.0000033579.19277.ff, DOI 10.1023/B:GEJO.0000033579.19277.FF]; Barracosa H, 2019, FRONT MAR SCI, V6, DOI 10.3389/fmars.2019.00626; Bennett S, 2016, MAR FRESHWATER RES, V67, P47, DOI 10.1071/MF15232; Boubonari T, 2013, J ENVIRON EDUC, V44, P232, DOI 10.1080/00958964.2013.785381; Brody M.J., 1996, J ENVIRON EDUC, V27, P21; Cava F., 2005, Science Content and Standards for Ocean Literacy: A Report on Ocean Literacy, P1; Costa S, 2018, MAR POLICY, V87, P149, DOI 10.1016/j.marpol.2017.10.022; Dennison W, 2013, J CONTEMP WAT RES ED, V150, P26, DOI 10.1111/j.1936-704X.2013.03139.x; Dupont S., 2017, Handbook on the Economics and Management of Sustainable Oceans, P519, DOI [10.4337/9781786430724, DOI 10.4337/9781786430724.00037]; Fauville G, 2019, ENVIRON EDUC RES, V25, P238, DOI 10.1080/13504622.2018.1440381; Fauville G, 2018, MAR POLICY, V91, P85, DOI 10.1016/j.marpol.2018.01.034; Otero RMF, 2019, FRONT MAR SCI, V6, DOI 10.3389/fmars.2019.00646; Francis PF, 2021, AUST J ENVIRON EDUC, V37, P167, DOI 10.1017/aee.2021.4; Gardner K, 2019, FRONT EDUC, V4, DOI 10.3389/feduc.2019.00026; Gough A, 2017, MAR POLLUT BULL, V124, P633, DOI 10.1016/j.marpolbul.2017.06.069; Guest H, 2015, MAR POLICY, V58, P98, DOI 10.1016/j.marpol.2015.04.007; Hadzigeorgiou Y., 2016, IMAGINATIVE SCI ED C, DOI [10.1007/978-3-319-29526-8, DOI 10.1007/978-3-319-29526-8]; IBM Corp, 2021, IBM SPSS STAT WINDOW; Jaksha A.P., 2019, EXEMPLARY PRACTICES, DOI [10.1007/978-3-319-90778-9, DOI 10.1007/978-3-319-90778-9]; Joyce J., 2019, Exemplary Practices in Marine Science Education, P171, DOI [DOI 10.1007/978-3-319-90778-9_11, 10.1007/978-3-319-90778-9_11, https://doi.org/10.1007/978-3-319-90778-9, DOI 10.1007/978-3-319-90778-9]; Kelly R, 2022, REV FISH BIOL FISHER, V32, P123, DOI 10.1007/s11160-020-09625-9; Ko A.C., 2003, Journal of Science Education and Technology, V12, P187, DOI 10.1023/A:1025094122118; Korpinen S, 2016, FRONT MAR SCI, V3, DOI 10.3389/fmars.2016.00153; Layton C, 2020, FRONT MAR SCI, V7, DOI 10.3389/fmars.2020.00074; Lin YL, 2020, SUSTAINABILITY-BASEL, V12, DOI 10.3390/su12177115; Lotze HK, 2018, OCEAN COAST MANAGE, V152, P14, DOI 10.1016/j.ocecoaman.2017.11.004; Mahzoon-Hagheghi M., 2018, Texas Journal of Literacy Education, V6, P41; Markos A, 2017, ENVIRON EDUC RES, V23, P231, DOI 10.1080/13504622.2015.1126807; Mogias A, 2019, FRONT MAR SCI, V6, DOI 10.3389/fmars.2019.00396; Mogias A, 2015, J ENVIRON EDUC, V46, P251, DOI 10.1080/00958964.2015.1050955; QSR International Pty Ltd, 2020, NVivo software; Quinn G. P., 2002, EXPERIMENTAL DESIGN; Ryabinin V, 2019, FRONT MAR SCI, V6, DOI 10.3389/fmars.2019.00470; Santoro F., 2017, OCEAN LITERACY ALL V; Scott J, 2019, SUSTAINABILITY-BASEL, V11, DOI 10.3390/su11226505; Seraphin KD, 2017, J RES SCI TEACH, V54, P1219, DOI 10.1002/tea.21403; Strang C., 2007, CURRENT J MARINE ED, V23, P7, DOI DOI 10.5281/ZENODO.30563; Sue V.M., 2007, CONDUCTING ONLINE SU; Thurstan RH, 2018, J APPL PHYCOL, V30, P1821, DOI 10.1007/s10811-017-1384-z; UNESCO, 2020, OC LIT DRAFT STRAT P; Uyarra MC, 2016, MAR POLLUT BULL, V104, P1, DOI 10.1016/j.marpolbul.2016.02.060; Visbeck M, 2018, NAT COMMUN, V9, DOI 10.1038/s41467-018-03158-3; Wells R, 2007, EARLY CHILD EDUC J, V35, P285, DOI 10.1007/s10643-007-0181-8</t>
  </si>
  <si>
    <t>JUN 30</t>
  </si>
  <si>
    <t>10.3389/fmars.2022.883524</t>
  </si>
  <si>
    <t>2Z6LR</t>
  </si>
  <si>
    <t>WOS:000826687400001</t>
  </si>
  <si>
    <t>Siegner, AB</t>
  </si>
  <si>
    <t>Siegner, Alana B.</t>
  </si>
  <si>
    <t>Experiential climate change education: Challenges of conducting mixed-methods, interdisciplinary research in San Juan Islands, WA and Oakland, CA</t>
  </si>
  <si>
    <t>Climate change education; Science communication; Social behavior change; Climate literacy and pedagogy</t>
  </si>
  <si>
    <t>SCHOOL; SUSTAINABILITY; PROGRAMS; SCIENCE; FARM</t>
  </si>
  <si>
    <t>Transitioning food, energy and water systems for adaptation and mitigation of climate change is a challenge requiring social as well as technological solutions. The best technological solutions will only be effective if combined with behavior changes placing climate change at the forefront of our socio-cultural consciousness. Education is central in creating such a shift. Climate researchers have an important role in aiding the uptake of climate change education in U.S. public schools, where educators are often untrained and uncomfortable teaching the subject. This paper assesses the efficacy of implementing an interdisciplinary, experiential climate change curriculum in school garden classrooms in terms of student climate literacy and teacher professional development. The questions of how to teach and research climate education are explored via a participatory research project with schools in Oakland, CA and Lopez Island, WA. Initial results show improvement in student learning and engagement as well as teacher preparation. Both qualitative and quantitative data are analyzed through student surveys, teacher interviews, and site observation; however, further qualitative methodologies to study process of climate and energy literacy development are needed. Specifically, this paper argues for new forms of assessment to capture dimensions of climate literacy including knowledge, engagement, and behavior change.</t>
  </si>
  <si>
    <t>[Siegner, Alana B.] Univ Calif Berkeley, Energy &amp; Resources Grp, 310 Barrows Hall, Berkeley, CA 94720 USA</t>
  </si>
  <si>
    <t>University of California System; University of California Berkeley</t>
  </si>
  <si>
    <t>Siegner, AB (corresponding author), Univ Calif Berkeley, Energy &amp; Resources Grp, 310 Barrows Hall, Berkeley, CA 94720 USA.</t>
  </si>
  <si>
    <t>asiegner@berkeley.edu</t>
  </si>
  <si>
    <t>Siegner, Alana/0000-0003-4670-4911</t>
  </si>
  <si>
    <t>University of California Agriculture and Natural Resources Division through the Graduate Students in Extension fellowship program; NSF-InFEWS grant program</t>
  </si>
  <si>
    <t>This research was funded by the University of California Agriculture and Natural Resources Division through the Graduate Students in Extension fellowship program, as well as by the NSF-InFEWS grant program, hosted by the Development Engineering Department at University of California, Berkeley.</t>
  </si>
  <si>
    <t>[Anonymous], 2009, GLOBAL WARMINGS 6 AM; [Anonymous], 1981, BIOGRAPHY SOC LIFE H; [Anonymous], 2011, AM TEENSKNOWLEDGE CL; [Anonymous], 2012, ENERGY CLIMATE ACTIO; [Anonymous], 2017, Fact sheet; Blair D, 2009, J ENVIRON EDUC, V40, P15, DOI 10.3200/JOEE.40.2.15-38; California Department of Education, 2015, ENV LIT TASK FORC BL; Caniglia G, 2016, INT J SUST HIGHER ED, V17, P827, DOI 10.1108/IJSHE-04-2015-0065; Capra F., 2014, The Systems View of Life: A Unifying Vision; Castree N, 2017, ENERGY RES SOC SCI, V26, P87, DOI 10.1016/j.erss.2017.01.023; Daccache A, 2014, ENVIRON RES LETT, V9, DOI 10.1088/1748-9326/9/12/124014; Francis CA, 2011, CRIT REV PLANT SCI, V30, P226, DOI 10.1080/07352689.2011.554497; Friere Paulo., 1970, PEDAGOGY OPPRESSED; Gilbert N, 2012, NATURE, DOI [10. 1038/nature. 2012. 11708, DOI 10.1038/NATURE.2012.11708]; Golden B. W., 2014, FALL M 2014 AM GEOPH; Guerriero S., 2017, Pedagogical knowledge and the Changing Nature of Teaching Profession, P19, DOI 10.1787/9789264270695-en; Ide T, 2017, WIRES CLIM CHANGE, V8, DOI 10.1002/wcc.456; Iles A, 2005, ENVIRON VALUE, V14, P163, DOI 10.3197/0963271054084894; Jones CM, 2011, ENVIRON SCI TECHNOL, V45, P4088, DOI 10.1021/es102221h; Joshi A, 2008, J HUNGER ENVIRON NUT, V3, P229, DOI 10.1080/19320240802244025; Kienk NL, 2015, SCIENCE, V350, P743, DOI 10.1126/science.aab1495; Knuckles J., 2012, Lopez Island 2025: Sustainable transformations for resilience; Kolb D.A., 1984, EXPERIENTIAL LEARNIN, V1; Kuppa S., 2018, DO MILLENNIALS SEE C; Lal R, 2011, J SOIL WATER CONSERV, V66, P276, DOI 10.2489/jswc.66.4.276; Leiserowitz A., AM KNOWLEDGE CLIMATE; Lieberman G., 1998, Closing the achievement gap: Using the environment as an integrating context for learning; Moezzi M, 2017, ENERGY RES SOC SCI, V31, P1, DOI 10.1016/j.erss.2017.06.034; Monroe MC, 2019, ENVIRON EDUC RES, V25, P791, DOI 10.1080/13504622.2017.1360842; Moser SC, 2007, CREATING A CLIMATE FOR CHANGE: COMMUNICATING CLIMATE CHANGE AND FACILITATING SOCIAL CHANGE, P1, DOI 10.1017/CBO9780511535871; Moser SC, 2009, AM COMP ENVIRON POLI, P283; National Center for Science Education, 2018, CLIM ED FUND WASH; Nielson J., 2014, GLOB ENV CHANGE, V24; Niepold F., 2018, CLIMATE CHANGE ED OP; Nisbet MC, 2009, ENVIRONMENT, V51, P12, DOI 10.3200/ENVT.51.2.12-23; NOAA, 2006, CLIM LIT ESS PRINC C; Oakland Food Policy Council, 2010, TRANSF OAKL FOOD SYS; Paustian K, 2016, NATURE, V532, P49, DOI 10.1038/nature17174; Pike C., 2010, Climate Communications and Behaviour Change: a guide for practitioners; Plutzer E., 2016, MIXED MESSAGES CLIMA; Rohling K., 2016, Journal for Applied Communications, V100, P17, DOI DOI 10.4148/1051-0834.1232; Small ML, 2009, ETHNOGRAPHY, V10, P5, DOI 10.1177/1466138108099586; Sovacool BK, 2014, ENERGY RES SOC SCI, V1, P1, DOI 10.1016/j.erss.2014.02.003; Stevenson KT, 2014, CLIMATIC CHANGE, V126, P293, DOI 10.1007/s10584-014-1228-7; Stokes Bruce, 2015, PEW RES; UNESCO, 2019, ED SUST DEV; USDA, 2016, FARM SCH CENS; Valley W, 2018, RENEW AGR FOOD SYST, V33, P467, DOI 10.1017/S1742170517000199; Westerhoff L., 2013, IRES WORKING PAPER S, V1; Wiek A, 2014, INT J SUST HIGHER ED, V15, P431, DOI 10.1108/IJSHE-02-2013-0013; Wolf J, 2011, WIRES CLIM CHANGE, V2, P547, DOI 10.1002/wcc.120; Wynes S., 2017, ENV RES LETT; Yoder AB, 2017, J HUNGER ENVIRON NUT, V12, P481, DOI 10.1080/19320248.2016.1227753</t>
  </si>
  <si>
    <t>10.1016/j.erss.2018.06.023</t>
  </si>
  <si>
    <t>GY8IS</t>
  </si>
  <si>
    <t>WOS:000448868500034</t>
  </si>
  <si>
    <t>Keener-Chavis, P; Hotaling, L; Haynes, S</t>
  </si>
  <si>
    <t>Keener-Chavis, Paula; Hotaling, Liesl; Haynes, Susan</t>
  </si>
  <si>
    <t>The NOAA Ship Okeanos Explorer: Continuing to Unfold the President's Panel on Ocean Exploration Recommendation for Ocean Literacy</t>
  </si>
  <si>
    <t>Okeanos Explorer; Ocean Science Literacy</t>
  </si>
  <si>
    <t>The NOAA Ship Okeanos Explorer, commissioned as the first federal vessel dedicated solely to ocean exploration, will offer unparalleled opportunities to the scientific and education communities for reaching out in new ways to stake-holders to improve the literacy of learners of all ages with respect to ocean issues (The President's Panel on Ocean Exploration, 2000) and for enhancing awareness of Ocean Literacy Essential Principle #7 - The ocean is little explored. Using a systematically mission-driven exploration protocol and advanced technological instrumentation and systems to explore little-known or unknown regions of the ocean, the ship will employ an integrated telepresence system that will provide broadband satellite transmission of data and discoveries in real time for science, education, and outreach. This paper describes the capabilities and assets of the ship, begins to address some of the opportunities that the ship will offer for learning in new ways, describes the Okeanos Explorer Education Forum held in the summer of 2008, and addresses some of the issues that will be taken into consideration in using real-time data in a variety of learning environments as the education program for the ship unfolds.</t>
  </si>
  <si>
    <t>[Keener-Chavis, Paula; Haynes, Susan] NOAA, Ocean Explorat &amp; Res Program, Washington, DC USA; [Hotaling, Liesl] Beacon Inst Rivers &amp; Estuaries, Beacon, NY USA</t>
  </si>
  <si>
    <t>Keener-Chavis, P (corresponding author), NOAA, Ocean Explorat &amp; Res Program, Washington, DC USA.</t>
  </si>
  <si>
    <t>[Anonymous], 2006, Science and Engineering Indicators 2006; Bransford J.D., 2003, How people learn: Brain, mind, experience, and school; HOTALING L, 2006, MARINE TECHNOLOGY SO; KLICEK B, 2003, 8 ANN C EUR LEARN ST; *NAT SCI BOARD, 2004, EM CRIT PROBL SCI LA; *NAT SCI BOARD, 2003, SCI ENG WORKF REAL A; O'Sullivan C.Y., 2003, NATIONS REPORT CARD; Piktialis D., 2003, Compensation and Benefits Review, V35, P57, DOI DOI 10.1177/0886368702239789; *PRES PAN OC EXPL, 2000, DISC EARTH FIN FRONT; ROWAND C, 2000, 2000090 NCES FRSS NA; *US DED, 1995, EIS REG CONS MATH SC; Warschauer M., 2000, Internet for English Teaching; YEPESBARAYA M, 2003, MINORITY STUDE UNPUB</t>
  </si>
  <si>
    <t>SPR</t>
  </si>
  <si>
    <t>10.4031/MTSJ.43.2.3</t>
  </si>
  <si>
    <t>459WO</t>
  </si>
  <si>
    <t>WOS:000267143600008</t>
  </si>
  <si>
    <t>Klapp, J; Bouvier-Brown, NC</t>
  </si>
  <si>
    <t>Klapp, Jamie; Bouvier-Brown, Nicole C.</t>
  </si>
  <si>
    <t>Climate literacy among undergraduate students who study science in Los Angeles</t>
  </si>
  <si>
    <t>Global warming; Climate change; Higher education; Science education; Undergraduate students; Climate literacy</t>
  </si>
  <si>
    <t>Purpose This study aims to analyze undergraduate science majors' perceptions of climate change. Design/methodology/approach Three science major student cohorts at Loyola Marymount University - first-year exposure (first-years taking a course related to climate science), first-year control (first-years taking a course unrelated to climate science) and non-first-year exposure (non-first-years interested in climate science taking a related course) - were given a climate literacy survey at the beginning and end of each course. Student perceptions were also compared with national and local data. Findings First-year students exposed to the topic showed increased awareness of climate change, trust in climate scientists and acknowledgment of the scientific consensus. Exposure also increased the non-first-year cohort's awareness that global warming is already affecting the country. All three cohorts showed greater awareness of humanity's role in causing climate change than the public. However, misconceptions regarding technical concepts persisted throughout. Research limitations/implications This was a single-institution study in Los Angeles with a limited sample. Exposure to specific topics varied between cohorts, depending on the learning outcomes of each course. Originality/value Undergraduate science majors have a greater understanding of climate change's anthropogenic nature compared with local and national populations. First-year students have a lower initial understanding of climate change and less trust in climate scientists than non-first-year students interested in the topic. All science majors can improve their understanding of general concepts and strengthen their confidence in scientists by taking a relevant course. Students struggle to learn specific technical concepts, but can improve their short-term comprehension through studying.</t>
  </si>
  <si>
    <t>[Klapp, Jamie] Loyola Marymount Univ, Dept Biol, Los Angeles, CA 90045 USA; [Bouvier-Brown, Nicole C.] Loyola Marymount Univ, Dept Chem &amp; Biochem, Los Angeles, CA 90045 USA</t>
  </si>
  <si>
    <t>Loyola Marymount University; Loyola Marymount University</t>
  </si>
  <si>
    <t>Bouvier-Brown, NC (corresponding author), Loyola Marymount Univ, Dept Chem &amp; Biochem, Los Angeles, CA 90045 USA.</t>
  </si>
  <si>
    <t>nbouvier@lmu.edu</t>
  </si>
  <si>
    <t>[Anonymous], 2010, The Earth System; Baird C., 2012, ENVIRON CHEM, VFifth Edit; Barthel Michael., 2016, Pew Research Center's Journalism Project; Betts A.K., 2017, EOS, V98, DOI 10.1029/2017EO077689; Burkholder KC, 2017, SUSTAINABILITY-BASEL, V9, DOI 10.3390/su9060913; Campbell AA, 2017, CHEM ENG NEWS, V95, P34; Cordero EC, 2008, B AM METEOROL SOC, V89, P865, DOI 10.1175/2007BAMS2432.1; Dunlap RE, 2016, ENVIRONMENT, V58, P4, DOI 10.1080/00139157.2016.1208995; Fiske ST, 2014, P NATL ACAD SCI USA, V111, P13593, DOI 10.1073/pnas.1317505111; Francis, 2015, Laudato si'; FRANCIS C, 1993, SCI EDUC, V77, P375, DOI 10.1002/sce.3730770403; Goldbort Robert., 2006, Writing for a Science; Groves F., 1999, J SCI EDUC TECHNOL, V8, P75, DOI [10.1023/A:1009433705790, DOI 10.1023/A:1009433705790]; Guerra F.J., 2020, CLIMATE CHANGE DATA; Hansen J., 2011, GLOBAL WARMING READE, P46; Hmielowski Jay D, 2014, Public Underst Sci, V23, P866, DOI 10.1177/0963662513480091; Howard KE, 2013, CHEM EDUC RES PRACT, V14, P51, DOI 10.1039/c2rp20074k; Huxster JK, 2015, J ENVIRON EDUC, V46, P149, DOI 10.1080/00958964.2015.1021661; Inhofe J.M., 2011, GLOBAL WARMING READE, P46; Jacob D J., 1999, Introduction to Atmospheric Chemistry, DOI DOI 10.1515/9781400841547; Jamelske E., 2013, J ENVIRON STUD SCI, V3, P269, DOI [DOI 10.1007/S13412-013-0144-X, 10.1007/s13412-013-0144-x]; Jeffries H., 2001, RES SCI TECHNOL EDUC, V19, P205, DOI DOI 10.1080/02635140120087731; Kenner Robert., 2014, Merchants of Doubt; Kerr SC, 2007, J CHEM EDUC, V84, P1693; Khalid T., 2001, CAN J ENVIRON EDUC, V6, P102; Leiserowitz A., 2021, Climate Change in the American Mind, September 2021; Leiserowitz A., 2018, Climate Change in the American Mind: March 2018; Leiserowitz AnthonyEdward Maibach., 2017, Climate Change in the American Mind: May 2017; McCuin J.L., 2014, J GEOSCIENCE ED, V62, P445, DOI [10.5408/13-068.1, DOI 10.5408/13-068.1]; Monroe MC, 2019, ENVIRON EDUC RES, V25, P791, DOI 10.1080/13504622.2017.1360842; MORGAN MD, 1995, B AM METEOROL SOC, V76, P1185; NOAA Climate.gov, 2021, ESSENTIAL PRINCIPLES; O'Neill S, 2015, NAT CLIM CHANGE, V5, P380, DOI 10.1038/nclimate2535; Pachauri RK, 2014, 2014 IEEE STUDENTS' CONFERENCE ON ELECTRICAL, ELECTRONICS AND COMPUTER SCIENCE (SCEECS); Papadimitriou V., 2004, J SCI EDUC TECHNOL, V13, P299, DOI [10.1023/B:JOST.0000031268.72848.6d, https://doi.org/10.1023/B:JOST.0000031268.72848.6d, DOI 10.1023/B:JOST.0000031268.72848.6D]; Popkin G., 2017, EOS, V98, DOI 10.1029/2017EO083163; Schuldt JP, 2014, ENVIRON COMMUN, V8, P529, DOI 10.1080/17524032.2014.909510; Versprille AN, 2015, J CHEM EDUC, V92, P603, DOI 10.1021/ed500589g; Wachholz S, 2014, INT J SUST HIGHER ED, V15, P128, DOI 10.1108/IJSHE-03-2012-0025; Yale Climate Connections, 2017, YOUTUBE</t>
  </si>
  <si>
    <t>NOV 1</t>
  </si>
  <si>
    <t>10.1108/IJSHE-09-2020-0343</t>
  </si>
  <si>
    <t>AUG 2021</t>
  </si>
  <si>
    <t>WN8RD</t>
  </si>
  <si>
    <t>WOS:000690386800001</t>
  </si>
  <si>
    <t>Fauville, G; Dupont, S; von Thun, S; Lundin, J</t>
  </si>
  <si>
    <t>Fauville, G.; Dupont, S.; von Thun, S.; Lundin, J.</t>
  </si>
  <si>
    <t>Can Facebook be used to increase scientific literacy? A case study of the Monterey Bay Aquarium Research Institute Facebook page and ocean literacy</t>
  </si>
  <si>
    <t>Online social media; Facebook; Ocean literacy; Scientific literacy; Science communication</t>
  </si>
  <si>
    <t>ONLINE; BENEFITS; RECALL; TEXT</t>
  </si>
  <si>
    <t>The Internet provides a unique opportunity for scientists to be in direct contact with the public in order to promote citizens' scientific literacy. Recently, Internet users have started to spend most of their online time on social networking sites (SNS). Knowledge of how these SNSs work as an arena for interaction, as well as for the development of scientific literacy, is important to guide scientists' activities online, and to be able to understand how people develop knowledge of science. This was evaluated by scrutinizing the Facebook page of the Monterey Bay Aquarium Research Institute and the consequences for users' ocean literacy. We investigated which practices could increase the number of users reached by a Facebook story. We also found that Facebook pages do not offer the appropriate social context to foster participation since it has only a few of the features of an arena where such practices could develop. (C) 2014 Elsevier Ltd. All rights reserved.</t>
  </si>
  <si>
    <t>[Fauville, G.] Univ Gothenburg, Dept Educ Commun &amp; Learning, S-40530 Gothenburg, Sweden; [Dupont, S.] Univ Gothenburg, Sven Loven Ctr Marine Sci Kristineberg, Dept Biodivers &amp; Environm Sci, S-45178 Fiskebackskil, Sweden; [von Thun, S.] Monterey Bay Aquarium Res Inst, Moss Landing, CA 95039 USA; [Lundin, J.] Univ Gothenburg, Chalmers Univ Technol, Dept Appl Informat Technol, S-41296 Gothenburg, Sweden</t>
  </si>
  <si>
    <t>University of Gothenburg; University of Gothenburg; Monterey Bay Aquarium Research Institute; Chalmers University of Technology; University of Gothenburg</t>
  </si>
  <si>
    <t>Fauville, G (corresponding author), Univ Gothenburg, Dept Educ Commun &amp; Learning, Box 300, S-40530 Gothenburg, Sweden.</t>
  </si>
  <si>
    <t>Geraldine.fauville@gu.se; sam.dupont@bioenv.gu.se; svonthun@mbari.org; johan.lundin@ait.gu.se</t>
  </si>
  <si>
    <t>Lundin, Johan/P-4973-2015; Dupont, Sam T/F-5527-2013</t>
  </si>
  <si>
    <t>Fauville, Geraldine/0000-0001-5462-2591; Lundin, Johan/0000-0001-5547-9395</t>
  </si>
  <si>
    <t>David and Lucile Packard Foundation; Linnaeus Centre for Marine Evolutionary Biology at the University of Gothenburg; Linnaeus grant from the Swedish Research Council VR; Linnaeus grant from the Swedish Research Council Formas; University of Gothenburg Learning and Media Technology Studio (LETStudio); Linnaeus Centre for Research on Learning, Interaction and Mediated Communication in Contemporary Society (LinCS)</t>
  </si>
  <si>
    <t>David and Lucile Packard Foundation(The David &amp; Lucile Packard Foundation); Linnaeus Centre for Marine Evolutionary Biology at the University of Gothenburg; Linnaeus grant from the Swedish Research Council VR(Swedish Research Council); Linnaeus grant from the Swedish Research Council Formas(Swedish Research Council Formas); University of Gothenburg Learning and Media Technology Studio (LETStudio); Linnaeus Centre for Research on Learning, Interaction and Mediated Communication in Contemporary Society (LinCS)</t>
  </si>
  <si>
    <t>This research was funded in part by the David and Lucile Packard Foundation's support to the Monterey Bay Aquarium Research Institute. SD was financially supported by the Linnaeus Centre for Marine Evolutionary Biology at the University of Gothenburg (http://www.cemeb.science.gu.se/) and supported by a Linnaeus grant from the Swedish Research Councils VR and Formas. GF was financially supported by the University of Gothenburg Learning and Media Technology Studio (LETStudio), and the Linnaeus Centre for Research on Learning, Interaction and Mediated Communication in Contemporary Society (LinCS).</t>
  </si>
  <si>
    <t>Alhabash S, 2012, CYBERPSYCH BEH SOC N, V15, P304, DOI 10.1089/cyber.2011.0611; [Anonymous], 2012, STAT WORLD FISH AQ; [Anonymous], 2009, Educational dialogues: Understanding and promoting productive interaction; [Anonymous], P 16 ANN C CAN ASS D; Ary D., 2002, Introduction to research in education; Cava F., 2005, Science Content and Standards for Ocean Literacy: A Report on Ocean Literacy, P1; de Mello RR, 2012, INT J EDUC PSYCHOL, V1, P127, DOI 10.4471/ijep.2012.08; Dewey J., 1913, INTEREST EFFORT ED; Ellison N, 2006, J COMPUT-MEDIAT COMM, V11; Facebook, 2013, FAC REP 1 QUART 2013; Falls J., 2012, ENTREPRENEUR; Frasco S., 2013, INCREASE YOUR FACEBO; Halpern BS, 2012, NATURE, V488, P615, DOI 10.1038/nature11397; Haydon J., 2013, 8 WAYS GET MORE REAC; HIDI S, 1990, REV EDUC RES, V60, P549, DOI 10.2307/1170506; HIDI S, 1988, READ RES QUART, V23, P465, DOI 10.2307/747644; Hidi S, 2006, EDUC PSYCHOL-US, V41, P111, DOI 10.1207/s15326985ep4102_4; IPCC, 2014, Climate change 2013: The physical science basis: Working group I contribution to the fifth assessment report of the intergovernmental panel on climate change, P1535, DOI 10.1017/CBO9781107415324; Kelly RP, 2011, SCIENCE, V332, P1036, DOI 10.1126/science.1203815; Koschmann T. D., 1999, P COMP SUPP COLL LEA; Krapp A., 2000, Motivational psychology of human development, P109, DOI DOI 10.1016/S0166-4115(00)80008-4; Kreijns K, 2003, COMPUT HUM BEHAV, V19, P335, DOI 10.1016/S0747-5632(02)00057-2; Lampe Cliff, 2006, P 2006 20 ANN C COMP, P167, DOI [10.1145/1180875.1180901, DOI 10.1145/1180875.1180901]; Lave J., 1991, SITUATED LEARNING LE; Lin HS, 2012, INT J SCI EDUC, V34, P25, DOI 10.1080/09500693.2010.551430; Lin PC, 2013, COMPUT EDUC, V60, P110, DOI 10.1016/j.compedu.2012.07.017; Moore M., 1989, AM J DISTANCE EDUC, V3, P1, DOI [10.1080/08923648909526659, DOI 10.1080/08923648909526659]; Politi S., 2012, 5 Tips to Maximize Your Brand's Facebook Reach; RENNINGER KA, 1985, DEV PSYCHOL, V21, P624, DOI 10.1037/0012-1649.21.4.624; Renninger KA, 2002, LEARN INSTR, V12, P467, DOI 10.1016/S0959-4752(01)00012-3; Saljo R., 2000, Larande i praktiken: ett sociokulturellt perspektiv; Schraw G, 2001, EDUC PSYCHOL REV, V13, P23, DOI 10.1023/A:1009004801455; Seidman G, 2014, COMPUT HUM BEHAV, V31, P367, DOI 10.1016/j.chb.2013.10.052; Sfard A., 1998, Educational Researcher, V27, P4, DOI DOI 10.3102/0013189X027002004; Silverman D., 2009, DOING QUALITATIVE RE, DOI DOI 10.3917/DS.293.0349; Starks H, 2007, QUAL HEALTH RES, V17, P1372, DOI 10.1177/1049732307307031; Subrahmanyam K, 2008, J APPL DEV PSYCHOL, V29, P420, DOI 10.1016/j.appdev.2008.07.003; Thoman D.B., 2007, Journal of Happiness Studies, V8, P335, DOI DOI 10.1007/S10902-006-9016-3; Vygotsky L. S., 1978, MIND SOC DEV HIGHER, DOI 10.2307/j.ctvjf9vz4; Wagner E.D., 1994, AM J DISTANCE EDUC, V8, P6, DOI 10.1080/08923649409526852; Wenger E., 1999, COMMUNITIES PRACTICE, DOI [10.1017/CBO9780511803932, DOI 10.1017/CBO9780511803932]; Wilson RE, 2012, PERSPECT PSYCHOL SCI, V7, P203, DOI 10.1177/1745691612442904; Zarrella D., 2012, DANZARELLA SOCIAL ME</t>
  </si>
  <si>
    <t>10.1016/j.compedu.2014.11.003</t>
  </si>
  <si>
    <t>CB6FP</t>
  </si>
  <si>
    <t>WOS:000349723200005</t>
  </si>
  <si>
    <t>Garcia-Vazquez, E; Garcia-Ael, C; Mesa, MLC; Dopico, E; Rodriguez, N</t>
  </si>
  <si>
    <t>Garcia-Vazquez, Eva; Garcia-Ael, Cristina; Mesa, Maritza Librada Caceres; Dopico, Eduardo; Rodriguez, Noemi</t>
  </si>
  <si>
    <t>Enhancing marine citizenship as a strategy to promote the reduction of single-use plastics consumption in different cultures</t>
  </si>
  <si>
    <t>consumer behavior; marine citizenship; Mexico; recycling; single-use plastics reduction; Spain</t>
  </si>
  <si>
    <t>OCEAN LITERACY; BEHAVIOR; BAGS; PERCEPTIONS; ATTITUDES; INTERVENTION; EDUCATION; DEBRIS; IMPACT; WASTE</t>
  </si>
  <si>
    <t>Single-use plastics (SUP) coming from the land represent a large fraction of marine plastic debris that threatens the ocean biota today and are one of the main causes of microplastic pollution. Consumer behavior is essential to stop the use and improper disposal of SUP, replacing plastic with alternative eco-friendly products. For the evident plastic pollution of beaches and seas, marine citizenship, interpreted as the personal responsibility that individuals take for the oceans, could help to reduce SUP use and change to sustainable alternatives. Here we studied SUP consumption behaviors in Spain (n = 585) and Mexico (n = 337) using a multivariate multiple regression approach. Different policies and social norms in the two countries were reflected in reduced SUP use in Mexico compared to Spain and more recycling in Spain than in Mexico. The main reasons for the use of SUP were the lack of alternatives and forgetting reusable goods in the two countries. Feeling responsible for the ocean predicted the intention to use eco-friendly alternatives, while sea frequentation predicted recycling. Gender, age, and education influenced significantly the willingness to use eco-friendly alternatives. From the results of this study, campaigns promoting awareness through increased ocean literacy and marine citizenship-even in regions far from the sea-could promote reductions in SUP consumption, enhancing the use of sustainable alternatives. Those campaigns could be tailored by country, taking into account local policies and habits, gender, age, and educational levels.</t>
  </si>
  <si>
    <t>[Garcia-Vazquez, Eva] Univ Oviedo, Fac Med, Dept Funct Biol, Oviedo, Spain; [Garcia-Vazquez, Eva; Garcia-Ael, Cristina] Univ Nacl Educ Distancia UNED, Fac Psychol, Madrid, Spain; [Mesa, Maritza Librada Caceres] Univ Autonoma Estado Hidalgo, Dept Educ Sci, Pachuca, Hidalgo, Mexico; [Dopico, Eduardo; Rodriguez, Noemi] Univ Oviedo, Dept Educ Sci, Oviedo, Spain</t>
  </si>
  <si>
    <t>University of Oviedo; Universidad Nacional de Educacion a Distancia (UNED); Universidad Autonoma del Estado de Hidalgo; University of Oviedo</t>
  </si>
  <si>
    <t>Garcia-Vazquez, E (corresponding author), Univ Oviedo, Fac Med, Dept Funct Biol, Oviedo, Spain.;Garcia-Vazquez, E (corresponding author), Univ Nacl Educ Distancia UNED, Fac Psychol, Madrid, Spain.</t>
  </si>
  <si>
    <t>egv@uniovi.es</t>
  </si>
  <si>
    <t>García-Ael, Cristina/L-1099-2017; rodriguez, noemi/JOZ-1125-2023</t>
  </si>
  <si>
    <t>García-Ael, Cristina/0000-0002-9460-9268; Garcia-Vazquez, Eva/0000-0002-8429-838X; Caceres Mesa, Maritza Librada/0000-0001-6220-0743; Dopico, Eduardo/0000-0001-6777-5407; Rodriguez Fernandez, Noemi/0000-0002-1374-7061</t>
  </si>
  <si>
    <t>Government of Asturias Principality; [AYUD/2021/50967]</t>
  </si>
  <si>
    <t>Government of Asturias Principality;</t>
  </si>
  <si>
    <t>Funding This study was supported by the Government of Asturias Principality, Grant AYUD/2021/50967.</t>
  </si>
  <si>
    <t>Abrokwah S, 2022, GEOJOURNAL, V87, P2611, DOI 10.1007/s10708-021-10390-w; Adam I, 2020, MAR POLICY, V116, DOI 10.1016/j.marpol.2020.103928; Adeyanju GC, 2021, DISCOV SUSTAIN, V2, DOI 10.1007/s43621-021-00015-0; Asih D., 2020, Management Science Letters, V10, P3367, DOI DOI 10.5267/J.MSL.2020.5.042; Baeyens An, 2015, Eur J Health Law, V22, P508; Bator RJ, 2011, ENVIRON BEHAV, V43, P295, DOI 10.1177/0013916509356884; Borg K, 2022, J CLEAN PROD, V344, DOI 10.1016/j.jclepro.2022.131077; Bravo M, 2009, MAR POLLUT BULL, V58, P1718, DOI 10.1016/j.marpolbul.2009.06.017; Carroll C., 2014, PARKS, P52, DOI [10.2305/IUCN.CH.2014.03.en, DOI 10.2305/IUCN.CH]; Chassignet EP, 2021, FRONT MAR SCI, V8, DOI 10.3389/fmars.2021.667591; Chen Y, 2021, SCI TOTAL ENVIRON, V752, DOI 10.1016/j.scitotenv.2020.141772; Costa S, 2018, MAR POLICY, V87, P149, DOI 10.1016/j.marpol.2017.10.022; de Groot JIM, 2013, SUSTAINABILITY-BASEL, V5, P1829, DOI 10.3390/su5051829; Deng LZ, 2020, RESOUR CONSERV RECY, V163, DOI 10.1016/j.resconrec.2020.105096; Dilkes-Hoffman L, 2019, RESOUR CONSERV RECY, V151, DOI 10.1016/j.resconrec.2019.104479; Dilkes-Hoffman LS, 2019, RESOUR CONSERV RECY, V147, P227, DOI 10.1016/j.resconrec.2019.05.005; Eriksen M, 2014, PLOS ONE, V9, DOI 10.1371/journal.pone.0111913; Ertz M, 2017, J ENVIRON MANAGE, V193, P334, DOI 10.1016/j.jenvman.2017.01.060; Escario JJ, 2020, WASTE MANAGE, V113, P251, DOI 10.1016/j.wasman.2020.05.043; European Commission, 2013, OPT STRENGTH RESP RE, DOI 10.2777/46253; Ferreira JC, 2021, EDUC SCI, V11, DOI 10.3390/educsci11020062; Fishbein M., 1980, UNDERSTANDING ATTITU; Fletcher S, 2007, COAST MANAGE, V35, P511, DOI 10.1080/08920750701525818; Gall SC, 2015, MAR POLLUT BULL, V92, P170, DOI 10.1016/j.marpolbul.2014.12.041; García-Gallego A, 2021, AQUAT CONSERV, V31, P3146, DOI 10.1002/aqc.3696; Gibovic D, 2021, RECYCLING-BASEL, V6, DOI 10.3390/recycling6020029; Gill MB, 2020, RESOUR CONSERV RECY, V161, DOI 10.1016/j.resconrec.2020.104965; Guest H, 2015, MAR POLICY, V58, P98, DOI 10.1016/j.marpol.2015.04.007; Heidbreder LM, 2020, SUSTAINABILITY-BASEL, V12, DOI 10.3390/su12114698; Heidbreder LM, 2019, SCI TOTAL ENVIRON, V668, P1077, DOI 10.1016/j.scitotenv.2019.02.437; HILL RJ, 1977, CONTEMP SOCIOL, V6, P244, DOI 10.2307/2065853; Hines J.M., 1987, J ENVIRON EDUC, V18, P1, DOI [DOI 10.1080/00958964.1987.9943482, 10.1080/00958964.1987.9943482]; IPSOS/Plastic Free July, 2022, ATT SINGL US PLAST G; ISCED, 2011, INT STAND CLASS ED; Jacobsen LF, 2022, WASTE MANAGE, V141, P63, DOI 10.1016/j.wasman.2022.01.021; Jakovcevic A, 2014, J ENVIRON PSYCHOL, V40, P372, DOI 10.1016/j.jenvp.2014.09.004; Jambeck JR, 2015, SCIENCE, V347, P768, DOI 10.1126/science.1260352; Jia LL, 2019, NAT COMMUN, V10, DOI 10.1038/s41467-019-12666-9; Jovarauskaite L, 2020, SAGE OPEN, V10, DOI 10.1177/2158244020983299; Kirchherr J, 2017, RESOUR CONSERV RECY, V127, P221, DOI 10.1016/j.resconrec.2017.09.005; Kollmuss A., 2002, ENVIRON EDUC RES, V8, P239, DOI [10.1080/13504620220145401, DOI 10.1080/13504620220145401]; Koralagama D, 2017, CURR OPIN ENV SUST, V24, P1, DOI 10.1016/j.cosust.2016.09.002; Lara O.H., 2020, PLASTICS AQUATIC ENV, V112, DOI [10.1007/698_2020_518, DOI 10.1007/698_2020_518]; Latinopoulos D, 2018, MAR POLLUT BULL, V131, P151, DOI 10.1016/j.marpolbul.2018.04.002; Lau WWY, 2020, SCIENCE, V369, P1455, DOI 10.1126/science.aba9475; Lee YK, 2014, J BUS RES, V67, P2097, DOI 10.1016/j.jbusres.2014.04.018; Lewin WC, 2020, J ENVIRON MANAGE, V272, DOI 10.1016/j.jenvman.2020.111062; Li WC, 2016, SCI TOTAL ENVIRON, V566, P333, DOI 10.1016/j.scitotenv.2016.05.084; Lin YL, 2020, SUSTAINABILITY-BASEL, V12, DOI 10.3390/su12177115; Loy LS, 2019, J ENVIRON PSYCHOL, V66, DOI 10.1016/j.jenvp.2019.101340; MacKinnon DP, 2002, PSYCHOL METHODS, V7, P83, DOI 10.1037/1082-989X.7.1.83; Mallett R.K., 2012, Ecopsychology, V4, P223, DOI [DOI 10.1089/ECO.2012.0031, 10.1089/eco.2012.0031]; Martinho G, 2017, WASTE MANAGE, V61, P3, DOI 10.1016/j.wasman.2017.01.023; McKinley E, 2012, MAR POLICY, V36, P839, DOI 10.1016/j.marpol.2011.11.001; McKinley E, 2010, OCEAN COAST MANAGE, V53, P379, DOI 10.1016/j.ocecoaman.2010.04.012; Munoz-Melendez G., 2021, Circular Economy: Recent Trends in Global Perspective, P497, DOI 10.1007/978-981-16-0913-8_16; Muposhi A, 2022, WASTE MANAGE RES, V40, P248, DOI 10.1177/0734242X211003965; O'Brien J, 2019, WASTE MANAGE, V84, P320, DOI 10.1016/j.wasman.2018.11.051; Owusu V, 2013, RESOUR CONSERV RECY, V78, P115, DOI 10.1016/j.resconrec.2013.07.002; Pacheco MHS, 2018, J SENS STUD, V33, DOI 10.1111/joss.12434; Qian N, 2018, WATER-SUI, V10, DOI 10.3390/w10010059; Rayon-Viña F, 2022, OCEAN COAST MANAGE, V219, DOI 10.1016/j.ocecoaman.2022.106040; Rayon-Viña F, 2018, MAR POLLUT BULL, V131, P727, DOI 10.1016/j.marpolbul.2018.04.066; Rech S, 2018, MAR POLLUT BULL, V137, P119, DOI 10.1016/j.marpolbul.2018.10.015; Rees JH, 2015, CLIMATIC CHANGE, V130, P439, DOI 10.1007/s10584-014-1278-x; Reichert F, 2019, TEACH TEACH EDUC, V77, P112, DOI 10.1016/j.tate.2018.09.005; Schulz W., 2018, BECOMING CITIZENS CH, DOI 10.1007/978-3-319-73963-2; Slavin C, 2012, MAR POLLUT BULL, V64, P1580, DOI 10.1016/j.marpolbul.2012.05.018; Steg L, 2014, J ENVIRON PSYCHOL, V38, P104, DOI 10.1016/j.jenvp.2014.01.002; Sun SY, 2010, J EDUC PSYCHOL, V102, P989, DOI 10.1037/a0019507; Sun Y, 2017, NAT HAZARDS, V89, P1327, DOI 10.1007/s11069-017-3022-0; UNESCO-IOC, 2021, IOC Ocean Decade Series, V19; Valerio MA, 2016, BMC MED RES METHODOL, V16, DOI 10.1186/s12874-016-0242-z; Vassanadumrongdee S., 2020, Appl Environm Res, DOI [10.35762/AER.2020.42.2.3, DOI 10.35762/AER.2020.42.2.3]; Villarrubia-Gómez P, 2018, MAR POLICY, V96, P213, DOI 10.1016/j.marpol.2017.11.035; Vimal KEK, 2020, J CLEAN PROD, V272, DOI 10.1016/j.jclepro.2020.122629; Wahinya M.K.P., 2020, IOSR J ENV SCI TOXIC, V14, P53, DOI [10.9790/2402-1406025361, DOI 10.9790/2402-1406025361]; Walker TR, 2021, HUM SOC SCI COMMUN, V8, DOI 10.1057/s41599-021-00747-4; Wang X, 2018, CLIM RISK MANAG, V20, P155, DOI 10.1016/j.crm.2018.02.005; Wayman C, 2021, ENVIRON SCI-PROC IMP, V23, DOI 10.1039/d0em00446d; Wiefek J., 2021, CLEAN RESPONS CONSUM, V3, DOI [10.1016/j.clrc.2021.100022, DOI 10.1016/J.CLRC.2021.100022]; Worm B., 2021, Ethics in Science and Environmental Politics, V21, P1, DOI DOI 10.3354/ESEP00196; Wuensch K.L., 2012, Screening data; Xanthos D, 2017, MAR POLLUT BULL, V118, P17, DOI 10.1016/j.marpolbul.2017.02.048; Nguyen XC, 2022, CHEMOSPHERE, V291, DOI 10.1016/j.chemosphere.2021.133059; Yoon A, 2021, SCI TOTAL ENVIRON, V774, DOI 10.1016/j.scitotenv.2020.144782; Zwicker MV, 2020, J ENVIRON PSYCHOL, V69, DOI 10.1016/j.jenvp.2020.101433</t>
  </si>
  <si>
    <t>SEP 13</t>
  </si>
  <si>
    <t>10.3389/fmars.2022.941694</t>
  </si>
  <si>
    <t>4X9NT</t>
  </si>
  <si>
    <t>WOS:000861163500001</t>
  </si>
  <si>
    <t>Kevrekidis, T; Markos, A; Boubonari, T; Mogias, A; Malea, P; Apostoloumi, C; Kevrekidou, A</t>
  </si>
  <si>
    <t>Kevrekidis, Theodoros; Markos, Angelos; Boubonari, Theodora; Mogias, Athanasios; Malea, Paraskevi; Apostoloumi, Chrisa; Kevrekidou, Alkistis</t>
  </si>
  <si>
    <t>Assessing the impact of an integrated educational program on Greek students' knowledge about coastal lagoons and attitudes towards marine environment conservation</t>
  </si>
  <si>
    <t>Coastal lagoons; Marine environment conservation; Educational program; Students; Knowledge; Attitudes</t>
  </si>
  <si>
    <t>PRESERVICE TEACHERS KNOWLEDGE; MEDITERRANEAN SEA LITERACY; HIGH-SCHOOL-STUDENTS; OCEAN LITERACY; SEAWATER DESALINATION; ISSUES; ECOSYSTEMS; PREDICTORS</t>
  </si>
  <si>
    <t>The primary objective of this study is to contribute to the conservation and sustainable use of seas by promoting Ocean Literacy. It investigates the impact of an educational program on Greek primary and secondary public school students' knowledge about coastal lagoons and attitudes towards marine environment conservation. An educational resource titled Exploring the Coastal Lagoons was developed to facilitate the non-formal educational intervention. The program involved classroom, fieldwork/outdoor and laboratory activities, focusing on enhancing understanding of coastal lagoons' abiotic and biotic characteristics and human interconnection. Results showed improved knowledge and slightly more positive attitudes after the didactic intervention. The study underlines the effectiveness of targeted educational interventions in marine sciences, suggesting that non-formal educational settings influence student outcomes more than family or informal sources. Younger students appeared more adaptable and responsive to educational stimuli. The study advocates for refined educational strategies integrating cognitive and emotional elements, emphasizing real nature experience.</t>
  </si>
  <si>
    <t>[Kevrekidis, Theodoros; Markos, Angelos; Boubonari, Theodora; Mogias, Athanasios; Apostoloumi, Chrisa] Democritus Univ Thrace, Dept Primary Educ, Lab Environm Res &amp; Educ, Alexandroupolis, Greece; [Malea, Paraskevi] Aristotle Univ Thessaloniki, Sch Biol, Dept Bot, Thessaloniki, Greece; [Kevrekidou, Alkistis] Aristotle Univ Thessaloniki, Dept Chem Engn, Environm Engn Lab, Thessaloniki, Greece</t>
  </si>
  <si>
    <t>Democritus University of Thrace; Aristotle University of Thessaloniki; Aristotle University of Thessaloniki</t>
  </si>
  <si>
    <t>Kevrekidis, T; Markos, A (corresponding author), Democritus Univ Thrace, Dept Primary Educ, Lab Environm Res &amp; Educ, Alexandroupolis, Greece.</t>
  </si>
  <si>
    <t>tkebreki@eled.duth.gr; amarkos@eled.duth.gr</t>
  </si>
  <si>
    <t>Markos, Angelos/N-9310-2013</t>
  </si>
  <si>
    <t>Markos, Angelos/0000-0002-4204-3573</t>
  </si>
  <si>
    <t>Hellenic Foundation for and Innovation (HFRI)</t>
  </si>
  <si>
    <t>This research was funded by the Hellenic Foundation for and Innovation (HFRI), 3rd Call for Action Science and Research, Innovation and Dissemination Hubs.</t>
  </si>
  <si>
    <t>Aboulail FS, 2021, J NUSANT STUD-JONUS, V6, P403, DOI 10.24200/jonus.volx6iss2pp403-423; Akwetey M.F.A., 2023, Limnol. Oceanogr. Bull., V32, P1; Andriopoulou A, 2022, MEDITERR MAR SCI, V23, P327, DOI 10.12681/mms.26942; [Anonymous], 2013, Ocean Literacy: The Essential Principles and Fundamental Concepts of Ocean Sciences; [Anonymous], 1996, NAT SCI ED STAND; Apostoloumi C, 2021, MAR POLLUT BULL, V173, DOI 10.1016/j.marpolbul.2021.112936; Araújo JL, 2022, CHEM EDUC RES PRACT, V23, P100, DOI 10.1039/d1rp00190f; Ballantyne R., 2004, GEO J, V60, P159, DOI [https://doi.org/10.1023/B:GEJO.0000033579.19277.ff, DOI 10.1023/B:GEJO.0000033579.19277.FF]; Barracosa H, 2019, FRONT MAR SCI, V6, DOI 10.3389/fmars.2019.00626; Bates D, 2015, J STAT SOFTW, V67, P1, DOI 10.18637/jss.v067.i01; Boubonari T, 2024, INT J SCI MATH EDUC, V22, P1265, DOI 10.1007/s10763-023-10431-5; Boubonari T, 2013, J ENVIRON EDUC, V44, P232, DOI 10.1080/00958964.2013.785381; Cava F., 2005, Science Content and Standards for Ocean Literacy: A Report on Ocean Literacy, P1; Cavas B, 2023, FRONT MAR SCI, V10, DOI 10.3389/fmars.2023.1200181; Chambers N., 2018, Exploring the Career Aspirations of Primary School Children from around the World. Drawing the Future, P104; Cheimonopoulou MT, 2022, MEDITERR MAR SCI, V23, P302, DOI 10.12681/mms.29172; Cheng J.C.H., 2008, EDIS, V2008, DOI [10.32473/edis-fr261-2008, DOI 10.32473/EDIS-FR261-2008]; Costa S, 2018, MAR POLICY, V87, P149, DOI 10.1016/j.marpol.2017.10.022; Cummins S., 2000, Canadian Journal of Environmental Education, V5, P305; Diaz S. M., 2019, GLOBAL ASSESSMENT RE, DOI DOI 10.4337/9781784710644; Dimopoulos D, 2008, J ENVIRON EDUC, V39, P47, DOI 10.3200/JOEE.39.3.47-61; Ero-Tolliver I, 2013, RES SCI EDUC, V43, P2137, DOI 10.1007/s11165-012-9348-4; Fauville G, 2019, ENVIRON EDUC RES, V25, P238, DOI 10.1080/13504622.2018.1440381; Fleming LE, 2019, PEOPLE NAT, V1, P276, DOI 10.1002/pan3.10038; Fortner R.W., 2011, EOS Trans. Am. Geophys. Union, V92, P109, DOI [10.1029/2011EO130002, DOI 10.1029/2011EO130002]; FORTNER RW, 1980, J ENVIRON EDUC, V11, P11, DOI 10.1080/00958964.1980.9941385; FORTNER RW, 1985, J RES SCI TEACH, V22, P115, DOI 10.1002/tea.3660220203; Gambro J.S., 1994, ERIC Document Reproduction Service; Guest H, 2015, MAR POLICY, V58, P98, DOI 10.1016/j.marpol.2015.04.007; Hartley BL, 2018, MAR POLICY, V96, P227, DOI 10.1016/j.marpol.2018.02.002; Hartley BL, 2015, MAR POLLUT BULL, V90, P209, DOI 10.1016/j.marpolbul.2014.10.049; Heck N, 2018, SCI TOTAL ENVIRON, V639, P785, DOI 10.1016/j.scitotenv.2018.05.163; Heck N, 2016, MAR POLICY, V68, P178, DOI 10.1016/j.marpol.2016.03.004; Jerrim J, 2019, LEARN INSTR, V61, P35, DOI 10.1016/j.learninstruc.2018.12.004; Kennish M., 2000, MAR SCI SER; Kevrekidis K, 2023, J MAR SCI ENG, V11, DOI 10.3390/jmse11030462; Kevrekidis T, 2004, INT REV HYDROBIOL, V89, P407, DOI 10.1002/iroh.200310703; Kim J.-M., 2013, Asia-Pac.Forum Sci. Learn. Teach., V14, P10; Klineberg SL, 1998, SOC SCI QUART, V79, P734; Koulouri P, 2022, MEDITERR MAR SCI, V23, P289, DOI 10.12681/mms.26797; Lambert J, 2006, INT J SCI EDUC, V28, P633, DOI 10.1080/09500690500339795; Lambert J., 2005, Journal of Geoscience Education, V53, P531, DOI DOI 10.5408/1089-9995-53.5.531; Liefländer AK, 2013, ENVIRON EDUC RES, V19, P370, DOI 10.1080/13504622.2012.697545; Liefländer AK, 2014, J ENVIRON EDUC, V45, P105, DOI 10.1080/00958964.2013.875511; Lin YL, 2020, SUSTAINABILITY-BASEL, V12, DOI 10.3390/su12177115; Makki M., 2003, ENVIRON EDUC RES, V9, P21, DOI [10.1080/13504620303468, DOI 10.1080/13504620303468]; Markos A, 2017, ENVIRON EDUC RES, V23, P231, DOI 10.1080/13504622.2015.1126807; McCrossan C, 2019, KMIS: PROCEEDINGS OF THE 11TH INTERNATIONAL JOINT CONFERENCE ON KNOWLEDGE DISCOVERY, KNOWLEDGE ENGINEERING AND KNOWLEDGE MANAGEMENT, VOL 3: KMIS, P325, DOI 10.5220/0008353003250332; Mogias A, 2022, MEDITERR MAR SCI, V23, P310, DOI 10.12681/mms.27059; Mogias A, 2021, INT RES GEOGR ENVIRO, V30, P314, DOI 10.1080/10382046.2021.1877953; Mogias A, 2019, FRONT MAR SCI, V6, DOI 10.3389/fmars.2019.00396; Mogias A, 2015, J ENVIRON EDUC, V46, P251, DOI 10.1080/00958964.2015.1050955; Mokos M, 2020, SUSTAINABILITY-BASEL, V12, DOI 10.3390/su122410647; Mokos M, 2020, MEDITERR MAR SCI, V21, P592, DOI 10.12681/mms.23400; NAAEE, 2021, Guidelines for excellence environmental education materials, P98; National Marine Educators Association [NMEA], 2010, 3 NMEA; Newton A, 2014, ESTUAR COAST SHELF S, V140, P95, DOI 10.1016/j.ecss.2013.05.023; Nicolaidou A, 2005, MEDITERR MAR SCI, V6, P31, DOI 10.12681/mms.184; NOAA (National Oceanic and Atmospheric Administration), 2019, Principles and concepts for estuaries 101; Paredes-Coral E, 2021, FRONT MAR SCI, V8, DOI 10.3389/fmars.2021.648492; Perez-Ruzafa A., 2019, Coasts and estuaries, P253, DOI DOI 10.1016/B978-0-12-814003-1.00015-0; Pérez-Ruzafa A, 2020, J NAT CONSERV, V57, DOI 10.1016/j.jnc.2020.125886; Plankis B.J., 2010, Int. Electron. J. Environ. Educ., V1, P1; Realdon G, 2019, REND ONLINE SOC GEOL, V49, P107, DOI 10.3301/ROL.2019.59; Rehman N, 2021, PRESENT ENV SUST DEV, V15, P5, DOI 10.15551/pesd2021151001; Rosseel Y, 2012, J STAT SOFTW, V48, P1, DOI 10.18637/jss.v048.i02; Schoedinger S., 2010, NMEA Special Report, V3, P3; Schubel JR, 2008, OCEANS-IEEE, P524; Sigit DV, 2020, INT J INSTR, V13, P125, DOI 10.29333/iji.2020.1318a; Stasinakis P. K., 2021, Interdiscip. J. Environ. Sci. Educ., V17, pe2234, DOI [https://doi.org/10.21601/ijese/9336, DOI 10.21601/IJESE/9336]; Steel BS, 2005, OCEAN COAST MANAGE, V48, P97, DOI 10.1016/j.ocecoaman.2005.01.002; Stepath C.M., 2007, J. Mar. Educ., V23, P45; Thompson J, 2016, SCI ACT, V53, P49, DOI 10.1080/00368121.2015.1135863; Tsai LT, 2019, INT J ENV RES PUB HE, V16, DOI 10.3390/ijerph16193672; Tsai LT, 2019, ENVIRON EDUC RES, V25, P264, DOI 10.1080/13504622.2018.1542487; UNESCO-IOC, 2021, IOC Ocean Decade Series, P19; Wells N.M., 2006, Children, Youth and Environments, V16, P1, DOI [https://doi.org/10.1353/cye.2006.0031, DOI 10.1353/CYE.2006.0031, 10.1353/cye.2006.0031, DOI 10.7721/CHILYOUTENVI.16.1.0001]; Whitmee S, 2015, LANCET, V386, P1973, DOI 10.1016/S0140-6736(15)60901-1; Zerinou I, 2020, SUSTAINABILITY-BASEL, V12, DOI 10.3390/su12156206; Zumbo BD, 2007, J MOD APPL STAT METH, V6, P21, DOI 10.22237/jmasm/1177992180</t>
  </si>
  <si>
    <t>10.1016/j.marpolbul.2024.116297</t>
  </si>
  <si>
    <t>QX1L9</t>
  </si>
  <si>
    <t>WOS:001224075700001</t>
  </si>
  <si>
    <t>Devenport, E; Brooker, E; Brooker, A; Leakey, C</t>
  </si>
  <si>
    <t>Devenport, Emilie; Brooker, Esther; Brooker, Adam; Leakey, Chris</t>
  </si>
  <si>
    <t>Insights and recommendations for involving young people in decision making for the marine environment</t>
  </si>
  <si>
    <t>Young people; Decision making; Public participation; Public engagement; Marine stewardship; Environmental awareness</t>
  </si>
  <si>
    <t>PUBLIC-PARTICIPATION; OCEAN LITERACY; COASTAL; ENGAGEMENT; MANAGEMENT; YOUTH; PERCEPTIONS; INVOLVEMENT; KNOWLEDGE; AWARENESS</t>
  </si>
  <si>
    <t>There is a growing movement to involve young people in decision making for the marine environment, with a wider trend towards public participation and greater accountability of environmental governance. Young people will inherit the consequences of decisions made today. In this paper, the authors provide an initial exploration of young people's views, awareness and participation (current and potential) in decisions and strategies for the marine environment, using Scotland as a case study. These discussions are based on the results of a survey of young people (aged 11-26) in Scotland, appraising levels of understanding and engagement with marine issues and exploring barriers to and opportunities for improved participation. This is set in the context of (a) the growth of local, national and global platforms for young people to express their views, and (b) the aspiration of many governments to empower the public, communities and young people in public decision making and marine stewardship. Education and ocean-literacy initiatives have a role to play, but there is also an aspiration for engagement mechanisms that accelerate a more fundamental rebalancing in public process to safeguard environmental integrity (and therefore economic and social well-being) for future generations. The authors conclude that marine planning, specifically the development of regional marine plans in Scotland, can provide a mechanism to integrate young people's views and needs into marine decision making.</t>
  </si>
  <si>
    <t>[Devenport, Emilie; Brooker, Esther] Scottish Environm LINK, 13 Marshall Pl, Perth PH2 8AH, Scotland; [Brooker, Adam] Univ Stirling, Fac Nat Sci, Inst Aquaculture, Stirling FK9 4LA, Scotland; [Leakey, Chris] Scottish Oceans Inst, MASTS, St Andrews KY16 8LB, Fife, Scotland</t>
  </si>
  <si>
    <t>University of Stirling; University of St Andrews</t>
  </si>
  <si>
    <t>Devenport, E; Brooker, E (corresponding author), Scottish Environm LINK, 13 Marshall Pl, Perth PH2 8AH, Scotland.;Brooker, A (corresponding author), Univ Stirling, Fac Nat Sci, Inst Aquaculture, Stirling FK9 4LA, Scotland.;Leakey, C (corresponding author), Scottish Oceans Inst, MASTS, St Andrews KY16 8LB, Fife, Scotland.</t>
  </si>
  <si>
    <t>eadevenport@gmail.com; estherebrooker@gmail.com; a.j.brooker@stir.ac.uk; chris.leakey@nature.scot</t>
  </si>
  <si>
    <t>Leakey, Chris/GYU-6305-2022</t>
  </si>
  <si>
    <t>Brooker, Esther/0000-0002-7196-9332</t>
  </si>
  <si>
    <t>Acerbi A, 2012, JASSS-J ARTIF SOC S, V15; [Anonymous], 2018, SEA SCOTLANDEMPOWERM; [Anonymous], 1996, ED CHILD PSYCHOL; ARNSTEIN SR, 1969, J AM I PLANNERS, V35, P216, DOI 10.1080/01944366908977225; Aston HJ, 2010, EDUC PSYCHOL PRACT, V26, P41, DOI 10.1080/02667360903522777; Ballantyne R., 2001, ENVIRON EDUC RES, V7, P22; Ballantyne R.R., 1996, J ENVIRON EDUC, V27, P25, DOI DOI 10.1080/00958964.1996.9941455; Barbas TA, 2009, LEARN MEDIA TECHNOL, V34, P61, DOI 10.1080/17439880902759943; Berkes F, 2006, ECOL SOC, V11; Bishop P, 2002, AUST J PUBL ADMIN, V61, P14, DOI 10.1111/1467-8500.00255; Brody M., 1990, J ENVIRON EDUC, V21, P16; Brooker EE, 2019, J ENVIRON PLANN MAN, V62, P2101, DOI 10.1080/09640568.2018.1532876; Chen CL, 2016, ENVIRON EDUC RES, V22, P958, DOI 10.1080/13504622.2015.1054266; Chilvers J, 2014, GLOBAL ENVIRON CHANG, V29, P165, DOI 10.1016/j.gloenvcha.2014.09.006; Citizenlab, 2017, WHAT IS DIFF CIT ENG; Cornelis I, 2009, J PERS, V77, P51, DOI 10.1111/j.1467-6494.2008.00538.x; COSEE (Centers for Ocean Sciences Education Excellence), 2013, PAMPHL RES 2 WEEK ON; Cummins S., 2000, Canadian Journal of Environmental Education, V5, P305; Cvitanovic C, 2018, MAR POLICY, V93, P195, DOI 10.1016/j.marpol.2018.04.010; De Santo EM, 2016, MAR POLICY, V64, P91, DOI 10.1016/j.marpol.2015.11.003; Derr V, 2016, LOCAL ENVIRON, V21, P1534, DOI 10.1080/13549839.2016.1145643; Devisch O, 2008, PLAN THEORY PRACT, V9, P209, DOI 10.1080/14649350802042231; Evans-Cowley J, 2010, PLAN PRACT RES, V25, P397, DOI 10.1080/02697459.2010.503432; Fauville G, 2015, COMPUT EDUC, V82, P60, DOI 10.1016/j.compedu.2014.11.003; Fletcher S, 2003, MAR POLICY, V27, P229, DOI 10.1016/S0308-597X(02)00085-4; Fletcher S, 2007, COAST MANAGE, V35, P511, DOI 10.1080/08920750701525818; Freeman C., 2003, Children's Geographies, V1, P53, DOI DOI 10.1080/14733280302182; Gazzola P, 2015, ENVIRON PLANN C, V33, P1156, DOI 10.1177/0263774X15612317; Gelcich S, 2014, P NATL ACAD SCI USA, V111, P15042, DOI 10.1073/pnas.1417344111; Gopnik M, 2012, MAR POLICY, V36, P1139, DOI 10.1016/j.marpol.2012.02.012; Gordon E, 2011, ENVIRON PLANN B, V38, P505, DOI 10.1068/b37013; GREENSTREET SPR, 2006, 0206 FISH RES SERV C; Guest H., 2005, MAR POLICY, V58, P98; Guest H, 2015, MAR POLICY, V58, P98, DOI 10.1016/j.marpol.2015.04.007; Hart Roger., 1992, em Innocenti Essay; Ho E, 2015, FUTURES, V67, P52, DOI 10.1016/j.futures.2015.01.006; Jefferson RL, 2014, MAR POLICY, V43, P327, DOI 10.1016/j.marpol.2013.07.004; Jefferson R, 2015, OCEAN COAST MANAGE, V115, P61, DOI 10.1016/j.ocecoaman.2015.06.014; Jupp E, 2007, ENVIRON PLANN A, V39, P2832, DOI 10.1068/a38204; Kearney J, 2007, COAST MANAGE, V35, P79, DOI 10.1080/08920750600970511; Kelly R, 2017, MAR POLICY, V81, P21, DOI 10.1016/j.marpol.2017.03.005; Lotze HK, 2018, OCEAN COAST MANAGE, V152, P14, DOI 10.1016/j.ocecoaman.2017.11.004; Lotze HK, 2011, TRENDS ECOL EVOL, V26, P595, DOI 10.1016/j.tree.2011.07.008; Loughland T., 2002, ENVIRON EDUC RES, V8, P187; Maguire B, 2011, MAR POLLUT BULL, V62, P2288, DOI 10.1016/j.marpolbul.2011.07.017; McKinley E, 2010, OCEAN COAST MANAGE, V53, P379, DOI 10.1016/j.ocecoaman.2010.04.012; Milcu AI, 2013, ECOL SOC, V18, DOI 10.5751/ES-05790-180344; PADGETT DA, 1993, COMPUT ENVIRON URBAN, V17, P513, DOI 10.1016/0198-9715(93)90049-B; Paris C., 2018, CLYDE MARINE PLANNIN; Parnell R, 2011, CHILD GEOGR, V9, P457, DOI 10.1080/14733285.2011.590715; Potts T, 2016, MAR POLICY, V72, P59, DOI 10.1016/j.marpol.2016.06.012; Powers JL, 2006, J PUBLIC HEALTH MAN, pS79, DOI 10.1097/00124784-200611001-00015; QGIS Development Team, 2018, QGIS GEOGR INF SYST; R Core Team, 2019, R LANG ENV STAT COMP; Reed MS, 2008, BIOL CONSERV, V141, P2417, DOI 10.1016/j.biocon.2008.07.014; Sanna S, 2017, ECOSYST SERV, V26, P1, DOI 10.1016/j.ecoser.2017.05.010; Scottish Government IPS Group, 2018, CHILDR ED SKILLS YOU; Smith G, 2018, MAR POLICY, V94, P1, DOI 10.1016/j.marpol.2018.04.017; Smith G, 2017, MAR POLICY, V84, P33, DOI 10.1016/j.marpol.2017.06.024; Stafford R, 2019, MAR POLICY, V103, P187, DOI 10.1016/j.marpol.2019.02.003; Stead SM, 2005, OCEAN COAST MANAGE, V48, P670, DOI 10.1016/j.ocecoaman.2005.08.001; Steel BS, 2005, OCEAN COAST MANAGE, V48, P97, DOI 10.1016/j.ocecoaman.2005.01.002; Thew H, 2018, INT ENVIRON AGREEM-P, V18, P369, DOI 10.1007/s10784-018-9392-2; UK Parliament, 2018, DIG CONN SCOTL REP; Voyer M, 2012, MAR POLICY, V36, P432, DOI 10.1016/j.marpol.2011.08.002; Wilson S., 2000, Youth Studies Australia, V19, P25; Wilson SJ, 2010, J YOUTH STUD, V13, P151, DOI 10.1080/13676260903233704; Wright LHV, 2017, INT J HUM RIGHTS, V21, P47, DOI 10.1080/13642987.2016.1248123; Wyles KJ, 2014, OCEAN COAST MANAGE, V88, P53, DOI 10.1016/j.ocecoaman.2013.10.005</t>
  </si>
  <si>
    <t>10.1016/j.marpol.2020.104312</t>
  </si>
  <si>
    <t>PU2VT</t>
  </si>
  <si>
    <t>WOS:000609164300004</t>
  </si>
  <si>
    <t>Salazar, J; Gómez, S; Vendrell-Simón, B; Pulgar, M; Viladrich, N; Ambroso, S; Baena, P; Santín, A; Montseny, M; Biel-Cabanelas, M; Gili, JM</t>
  </si>
  <si>
    <t>Salazar, Janire; Gomez, Silvia; Vendrell-Simon, Begona; Pulgar, Miroslav; Viladrich, Nuria; Ambroso, Stefano; Baena, Patricia; Santin, Andreu; Montseny, Maria; Biel-Cabanelas, Marina; Gili, Josep-Maria</t>
  </si>
  <si>
    <t>An urgent call for more ambitious ocean literacy strategies in marine protected areas: a collaboration project with small-scale fishers as a case study</t>
  </si>
  <si>
    <t>small-scale fishing; marine restoration; Cap de Creus; Gorgonian; Mediterranean Sea; environmental management; cultural consensus analysis; personal network analysis</t>
  </si>
  <si>
    <t>TRADITIONAL ECOLOGICAL KNOWLEDGE; ARTISANAL FISHERIES; PARAMURICEA-CLAVATA; DEEP-SEA; CORAL; CREUS; GULF; CAP; BIODIVERSITY; MANAGEMENT</t>
  </si>
  <si>
    <t>Cold-Water Corals play a paramount role in marine benthic ecosystems, increasing their complexity and providing spawning and nursery habitats to many species. However, due to their sessile lifestyle and ramified shape they are commonly entangled in nets and even by-caught during the practice of bottom-contact fishing, which includes impacts from both large-scale activities such as trawling and small-scale fishing (e.g., trammel nets or pots). In this context, passive and active restoration measures are crucial to avoid their damage and disappearance, which might cause the consequent loss of complexity and biodiversity of marine benthic communities. With the aim of modifying these fishing practices in the Marine Protected Area of Cap de Creus (North-Western Mediterranean), small-scale fishers and scientists (marine biologists) started a Participatory Process in which they agreed to develop a joint marine conservation program combining two distinct projects: a restoration project of the Cold-Water Corals incidentally captured on fishing nets for their subsequent reintroduction at sea (RESCAP project) and also a project on mitigation of fishing impacts on marine benthic communities (MITICAP project). Collaborative actions were carried out including interviews and exchanges of information with the purpose of collecting all the knowledge required for conducting the actions of the projects. This study shows the results of the assessment throughout five years (2017-2022) of cooperative work and highlights how crucial it is to develop long-term and revisable ocean literacy strategies for ensuring a sustainable ocean governance. An ocean literacy test evaluated the scientific knowledge of fishers at the end of the projects and revealed that despite all the efforts applied, still more work is needed, which reinforces the importance of improving the strategies of knowledge transfer for MPA management. Under the coordination of marine social anthropologists, a Cultural Consensus Analysis was conducted with the fishers. Results revealed a protoculture that should be characterized and considered when developing management strategies in the area. Additionally, the Personal Network Analysis showed that fishers have become agents of change and transmitted the learnings of the projects to their communities, fishers from nearby guilds, local educational centers and even the press. Furthermore, a list of recommendations is provided to optimize the multisector opportunities emerging from collaborative projects with marine scientists and fishers in MPAs.</t>
  </si>
  <si>
    <t>[Salazar, Janire; Vendrell-Simon, Begona; Viladrich, Nuria; Ambroso, Stefano; Baena, Patricia; Santin, Andreu; Biel-Cabanelas, Marina; Gili, Josep-Maria] Inst Ciencies Mar Consejo Super Invest Cient ICM C, Dept Biol Marina &amp; Oceanog, Barcelona, Spain; [Salazar, Janire; Vendrell-Simon, Begona] Univ Biol UB, Programa Ciencies Mar, Fac Ciencies Terra, Barcelona, Spain; [Gomez, Silvia; Pulgar, Miroslav] Campus Univ Autonoma Barcelona UAB, Fac Philosophy &amp; Letters, Dept Social &amp; Cultural Anthropol, Barcelona, Spain; [Vendrell-Simon, Begona] Escola St Gregori ESG, Dept Ciencies, Barcelona, Spain; [Viladrich, Nuria; Ambroso, Stefano; Montseny, Maria] Univ Barcelona UB, Dept Biol Evolut Ecol &amp; Ciencies Ambientals, Fac Biol, Barcelona, Spain; [Viladrich, Nuria; Ambroso, Stefano; Montseny, Maria] Univ Barcelona UB, Inst Recerca Biodiversitat IRBio, Barcelona, Spain; [Santin, Andreu] Univ Porto, Interdisciplinary Ctr Marine &amp; Environm Res, CIIMAR, Porto, Portugal</t>
  </si>
  <si>
    <t>Autonomous University of Barcelona; University of Barcelona; University of Barcelona; Universidade do Porto</t>
  </si>
  <si>
    <t>Salazar, J (corresponding author), Inst Ciencies Mar Consejo Super Invest Cient ICM C, Dept Biol Marina &amp; Oceanog, Barcelona, Spain.;Salazar, J (corresponding author), Univ Biol UB, Programa Ciencies Mar, Fac Ciencies Terra, Barcelona, Spain.</t>
  </si>
  <si>
    <t>jsalazar@icm.csic.es</t>
  </si>
  <si>
    <t>Muriel, Andreu Santín/Z-2737-2019; Salazar, Janire/ABE-3525-2022</t>
  </si>
  <si>
    <t>Muriel, Andreu Santín/0000-0003-1344-1211; Salazar, Janire/0000-0003-3418-8761; Gomez Mestres, Silvia/0000-0001-5956-3367; Cabanelas, Marina/0000-0002-7770-8256; Montseny, Maria/0000-0001-8985-5416</t>
  </si>
  <si>
    <t>Spanish Ministry for Ecological Transition, through the PLEAMAR Funding Program; European Maritime and Fisheries Fund; European Union; The Severo Ochoa Centre of Excellence'' accreditation [872146]; [CEX2019-000928-S]</t>
  </si>
  <si>
    <t>Spanish Ministry for Ecological Transition, through the PLEAMAR Funding Program; European Maritime and Fisheries Fund; European Union(European Union (EU)); The Severo Ochoa Centre of Excellence'' accreditation;</t>
  </si>
  <si>
    <t>The author(s) declare financial support was received for the research, authorship, and/or publication of this article. This work was performed under the MITICAP (https://www.programapleamar.es/miticap-implementacion-de-medidas-innovadoras-de-cooperacion-entre-pescadores-y-cientificos-para-una) and RESCAP (https://www.programapleamar.es/rescap-conservacion-y-recuperacion-de-poblaciones-de-gorgonias-y-corales-blandos-mediante) projects, which are funded by Fundacion Biodiversidad of the Spanish Ministry for Ecological Transition, through the PLEAMAR Funding Program, co-funded by the European Maritime and Fisheries Fund. Also, the research counted with the support of the European project RESBIOS that received funding from the European Union's Horizon 2020 Research and Innovation Programme under the Grant Agreement N degrees 872146. In addition, the authors affiliated to the Institut de Ciencies del Mar had the institutional support of the Severo Ochoa Centre of Excellence'' accreditation (CEX2019-000928-S).</t>
  </si>
  <si>
    <t>Althaus F, 2009, MAR ECOL PROG SER, V397, P279, DOI 10.3354/meps08248; Andrews AH, 2002, HYDROBIOLOGIA, V471, P101, DOI 10.1023/A:1016501320206; Armstrong CW, 2014, MAR POLICY, V50, P126, DOI 10.1016/j.marpol.2014.05.016; Aswani S, 2018, PLOS ONE, V13, DOI 10.1371/journal.pone.0195440; Baena P, 2023, POLAR BIOL, V46, P1069, DOI 10.1007/s00300-023-03184-y; Bavestrello G, 1997, AQUAT CONSERV, V7, P253, DOI 10.1002/(SICI)1099-0755(199709)7:3&lt;253::AID-AQC243&gt;3.0.CO;2-1; Berkes F, 2000, ECOL APPL, V10, P1251, DOI 10.2307/2641280; Berkes F., 1999, OCUS, V7, P19; Bianchi CN, 2000, MAR POLLUT BULL, V40, P367, DOI 10.1016/S0025-326X(00)00027-8; Biel-Cabanelas M, 2023, CONT SHELF RES, V255, DOI 10.1016/j.csr.2023.104925; Bijker W. E., 2022, Responsible Biosciences-A Manifesto for the Transformation of Science-Society Relations; BOE, 2018, Ley Organica 3/2018, de 5 de diciembre, de Proteccion de Datos Personales y garantia de los derechos digitales; BOE, 1998, Ley 4/1998, de 12 de marzo, de Proteccion de Cap de Creus, V127, P17613; BOE, 2014, Orden AAA/1299/2014, de 9 de julio, por la que se aprueba la propuesta deinclusion en la lista de lugares de importancia comunitaria de la Red Natura 2000 de los espacios marinos ESZZ16001 Sistema de canones submarinos occidentales del Golfo de Leon; Brooke S, 2003, CONT SHELF RES, V23, P847, DOI 10.1016/S0278-4343(03)00080-3; Calvo E, 2011, CLIM RES, V50, P1, DOI 10.3354/cr01040; Carbonell C. E., 2020, Estudios Atacamenos, V65, P3, DOI [10.22199/issn.0718-1043-2020-0024, DOI 10.22199/ISSN.0718-1043-2020-0024]; Cau A., 2020, P309; Caulkins D.Douglas., 2004, International Journal of Cross Cultural Management, V4, P317, DOI DOI 10.1177/1470595804047813; Cebrian E, 2012, BIOL INVASIONS, V14, P2647, DOI 10.1007/s10530-012-0261-6; Chan I, 2012, ZOOL STUD, V51, P27; Claudet J, 2008, ECOL LETT, V11, P481, DOI 10.1111/j.1461-0248.2008.01166.x; COURP T, 1990, CONT SHELF RES, V10, P1063, DOI 10.1016/0278-4343(90)90075-W; del Mar Otero Maria, 2019, P535; Dominguez-Carrió C, 2022, PROG OCEANOGR, V208, DOI 10.1016/j.pocean.2022.102877; Drew JA, 2005, CONSERV BIOL, V19, P1286, DOI 10.1111/j.1523-1739.2005.00158.x; Dudley N., 2008, Guidelines for Applying Protected Area Management Categories, DOI DOI 10.2305/IUCN.CH.2008.PAPS.2.EN; Estévez RA, 2015, MAR POLICY, V61, P1, DOI 10.1016/j.marpol.2015.06.022; Fock HO, 2011, MAR POLICY, V35, P181, DOI 10.1016/j.marpol.2010.09.003; Food and Agriculture Organization, 2009, Report of the Technical Consultation on International guidelines for the management of deep-sea fisheries in the high seas; Frometa J, 2017, MAR POLLUT BULL, V122, P91, DOI 10.1016/j.marpolbul.2017.06.009; GADGIL M, 1993, AMBIO, V22, P151; Gaymer CF, 2014, AQUAT CONSERV, V24, P128, DOI 10.1002/aqc.2508; Generalitat de Catalunya, 2023, Parcs naturals de Catalunya. Parc Natural de Cap de Creus. Historia de proteccio; Gili JM, 2001, POLAR BIOL, V24, P473, DOI 10.1007/s003000100257; Gili JM, 1998, TRENDS ECOL EVOL, V13, P316, DOI 10.1016/S0169-5347(98)01365-2; Gómez S, 2006, COAST MANAGE, V34, P217, DOI 10.1080/08920750500531389; Gomez S., 2017, Small-Scale fisheries guidelines. Global Implementation. Part 2, P401, DOI [10.1007/978-3-319-55074-9_19, DOI 10.1007/978-3-319-55074-9_19]; Gómez S, 2021, MAR POLICY, V129, DOI 10.1016/j.marpol.2021.104529; Gómez S, 2020, OCEAN COAST MANAGE, V197, DOI 10.1016/j.ocecoaman.2020.105323; Grinyo J., 2022, The ocean we want: inclusive and transformative ocean science, P74, DOI [10.20350/digitalCSIC/14069, DOI 10.20350/DIGITALCSIC/14069]; Guillen R. F., 1976, Natura; Henry Lea-Anne, 2017, P235; Higueruelo A, 2023, MAR ENVIRON RES, V192, DOI 10.1016/j.marenvres.2023.106211; Himes AH, 2003, COAST MANAGE, V31, P389, DOI 10.1080/08920750390232965; Johannes RE, 1998, TRENDS ECOL EVOL, V13, P243, DOI 10.1016/S0169-5347(98)01384-6; Liconti A, 2022, DIVERS DISTRIB, V28, P1430, DOI 10.1111/ddi.13553; Linares C, 2008, J APPL ECOL, V45, P688, DOI 10.1111/j.1365-2664.2007.01419.x; Lloret J, 2008, FISH RES, V91, P252, DOI 10.1016/j.fishres.2007.12.002; Lo Iacono C, 2012, ELSEV INSIGHT, P457, DOI 10.1016/B978-0-12-385140-6.00032-3; Lucrezi S, 2019, MAR POLICY, V108, DOI 10.1016/j.marpol.2019.103645; Macfadyen G., 2009, Abandoned; Markantonatou V, 2016, OCEAN COAST MANAGE, V120, P29, DOI 10.1016/j.ocecoaman.2015.11.023; Mateos-Molina D, 2015, OCEAN COAST MANAGE, V116, P435, DOI 10.1016/j.ocecoaman.2015.09.003; Jariego IM, 2018, OCEAN COAST MANAGE, V161, P105, DOI 10.1016/j.ocecoaman.2018.05.002; Maya-Jariego I, 2015, PSYCHOSOC INTERV, V24, P121; McCarty C., 2019, Conducting Personal Network Research: A Practical Guide; Mittermeier R. A., 1999, Hotspots: Earth's biologically richest and most endangered terrestrial ecoregions; Montseny M, 2021, BIOL CONSERV, V262, DOI 10.1016/j.biocon.2021.109301; Montseny M, 2020, AQUAT CONSERV, V30, P977, DOI 10.1002/aqc.3303; Myers N, 2000, NATURE, V403, P853, DOI 10.1038/35002501; Orejas Covadonga, 2019, P435; Plan Bleu, 2017, Strategic guidelines for a Blue Economy in the Mediterranean; Ponti M, 2016, MAR BIOL, V163, DOI 10.1007/s00227-016-2897-8; Purroy A, 2014, SCI MAR, V78, P449, DOI 10.3989/scimar.04000.21A; Purzycki BG, 2017, CROSS-CULT RES, V51, P51, DOI 10.1177/1069397116680352; R Core Team, 2023, R: A language and environment for statistical computing, DOI DOI 10.4135/9781473920446.N12; Resolution U. N. G. A, 2006, Operative Paragraphs, P80; Rivetti I, 2014, PLOS ONE, V9, DOI 10.1371/journal.pone.0115655; Roberts S, 2004, FRONT ECOL ENVIRON, V2, P123, DOI 10.1890/1540-9295(2004)002[0123:DCOOSB]2.0.CO;2; Rossi S., 2017, Mar. Anim. forests: Ecol. benthic biodiversity hotspots, P1; Rossi S, 2013, OCEAN COAST MANAGE, V84, P77, DOI 10.1016/j.ocecoaman.2013.07.004; Salazar J., 2022, The ocean we want: inclusive and transformative ocean science, P74, DOI [10.20350/digitalCSIC/14127, DOI 10.20350/DIGITALCSIC/14127]; Salazar J, 2019, FRONT MAR SCI, V6, DOI 10.3389/fmars.2019.00576; Santin A., 2022, The ocean we want: inclusive and transformative ocean science, P74, DOI [10.20350/digitalCSIC/14070, DOI 10.20350/DIGITALCSIC/14070]; Santin A., 2022, Ecological restoration of human-impacted Mediterranean benthic marine ecosystems through active strategies and participatory approach: the life project ECOREST; Schmink M., 1992, Traditional peoples and the biosphere: framing the issues and defining the terms; Shi H, 2005, CONSERV BIOL, V19, P1273, DOI 10.1111/j.1523-1739.2005.00225.x; Slattery M, 2021, FRONT MAR SCI, V8, DOI 10.3389/fmars.2021.654268; Stel J.H., 2021, Ocean Literacy: Background, Future Drivers, and Opportunities, P3, DOI [10.1007/978-3-030-70155-0_1, DOI 10.1007/978-3-030-70155-0_1]; Stone-Jovicich SS, 2011, ECOL SOC, V16; Teixidó N, 2013, PLOS ONE, V8, DOI 10.1371/journal.pone.0053742; UN, 2018, IOC EXECUTIVE COUNCI; Wating L, 2011, ADV MAR BIOL, V60, P41, DOI 10.1016/B978-0-12-385529-9.00002-0; White HK, 2012, P NATL ACAD SCI USA, V109, P20303, DOI 10.1073/pnas.1118029109; Wild C, 2009, AQUAT BIOL, V6, P133, DOI 10.3354/ab00181</t>
  </si>
  <si>
    <t>JAN 29</t>
  </si>
  <si>
    <t>10.3389/fmars.2024.1320515</t>
  </si>
  <si>
    <t>HH9B3</t>
  </si>
  <si>
    <t>WOS:001158709500001</t>
  </si>
  <si>
    <t>Lee, YF; Nguyen, HBN; Sung, HT</t>
  </si>
  <si>
    <t>Lee, Yi-Fang; Hoang Bao Ngoc Nguyen; Sung, Hsiu-Te</t>
  </si>
  <si>
    <t>Energy literacy of high school students in Vietnam and determinants of their energy-saving behavior</t>
  </si>
  <si>
    <t>Energy literacy; energy saving behavior; Vietnamese high school students</t>
  </si>
  <si>
    <t>VALUE-ATTITUDE-BEHAVIOR; PSYCHOLOGICAL-FACTORS; PLANNED BEHAVIOR; HOUSEHOLD; CONSUMPTION; KNOWLEDGE; EFFICIENCY; RESIDENTS; AWARENESS; EDUCATION</t>
  </si>
  <si>
    <t>Depletion of resources and climate change are important factors impacting sustainable development. Energy education, as part of education for sustainable development, is considered an efficient way to raise students' awareness of environmental protection and energy saving. This study aimed at understanding the energy literacy of high school students in Vietnam, and explored the factors that influence students' energy-saving behavior as a basis for considering the effectiveness of the energy education program. An online and paper version energy-literacy survey was conducted. Participants were 600 12th-graders from high schools in Northern, Central and Southern Vietnam. Structural equation modeling was used to test the hypotheses of the relationships between energy knowledge, energy-related values, attitude toward energy saving, energy saving intention and behavior. Welch's ANOVA was conducted to examine whether energy-saving behavior differed by group. The results showed that 12th-graders' energy knowledge tended to be low, while their perceived values, attitude, intention and behavior related to saving energy were relatively high. There was no direct effect of energy knowledge on their energy-saving intention or behavior, while an indirect effect was observed if value and attitude toward energy saving were taken as mediators. Based on the participants' self-reported data, public-school students performed more behaviors to reduce energy consumption than those from private schools. In addition, the major source from which students gained energy knowledge was the mass media. According to the results, implications related to energy policy and instruction were generated.</t>
  </si>
  <si>
    <t>[Lee, Yi-Fang; Hoang Bao Ngoc Nguyen; Sung, Hsiu-Te] Natl Taiwan Normal Univ, Dept Ind Educ, 162,Heping East Rd Sect 1, Taipei 106, Taiwan</t>
  </si>
  <si>
    <t>Nguyen, HBN (corresponding author), Natl Taiwan Normal Univ, Dept Ind Educ, 162,Heping East Rd Sect 1, Taipei 106, Taiwan.</t>
  </si>
  <si>
    <t>ngocnhb09@gmail.com</t>
  </si>
  <si>
    <t>Aguirre-Bielschowsky I, 2017, ENVIRON EDUC RES, V23, P832, DOI 10.1080/13504622.2015.1054267; AJZEN I, 1991, ORGAN BEHAV HUM DEC, V50, P179, DOI 10.1016/0749-5978(91)90020-T; Ajzen I, 1985, UNDERSTANDING ATTITU, P11, DOI [10.1007/978-3-642-69746-3_2, DOI 10.1007/978-3-642-69746-3_2]; Akitsu Y., 2017, Int. J. Environ. Sci. Educ., V12, P1067; Al-Shemmeri T, 2017, RENEW SUST ENERG REV, V68, P1130, DOI 10.1016/j.rser.2016.08.004; [Anonymous], 2020, TALENT CULTIVATION I; Arroyo R, 2020, TRANSPORT RES F-TRAF, V71, P8, DOI 10.1016/j.trf.2020.04.002; Belaid F, 2020, ENERG POLICY, V140, DOI 10.1016/j.enpol.2020.111406; Blasch J, 2019, RESOUR ENERGY ECON, V56, P39, DOI 10.1016/j.reseneeco.2017.06.001; Boudet H, 2014, ENERG POLICY, V73, P439, DOI 10.1016/j.enpol.2014.05.044; Cai SJ, 2019, J CLEAN PROD, V212, P602, DOI 10.1016/j.jclepro.2018.12.072; Chen K.L., 2015, International Journal of Environmental and Science Education, V10, P201, DOI [DOI 10.12973/IJESE.2015.241A, 10.12973/ijese.2015.241a]; Chen SJ, 2015, ENERG EFFIC, V8, P791, DOI 10.1007/s12053-015-9327-5; Cheung MFY, 2019, J RETAIL CONSUM SERV, V50, P145, DOI 10.1016/j.jretconser.2019.04.006; Cohen L., 2007, RES METHODS ED; DeWaters J, 2013, J ENVIRON EDUC, V44, P38, DOI 10.1080/00958964.2012.711378; DeWaters JE, 2011, ENERG POLICY, V39, P1699, DOI 10.1016/j.enpol.2010.12.049; Dias RA, 2021, RENEW SUST ENERG REV, V141, DOI 10.1016/j.rser.2021.110845; Ding ZH, 2017, ENERG POLICY, V100, P252, DOI 10.1016/j.enpol.2016.10.013; Eid MIM, 2016, COMPUT EDUC, V99, P14, DOI 10.1016/j.compedu.2016.04.007; Ek K, 2010, ENERG POLICY, V38, P1578, DOI 10.1016/j.enpol.2009.11.041; Fah L. Y., 2012, OIDA Int. J. Sustain. Dev., V3, P75; Frederiks ER, 2015, ENERGIES, V8, P573, DOI 10.3390/en8010573; Gill C, 2018, ENERG POLICY, V118, P88, DOI 10.1016/j.enpol.2018.03.058; Hair J.F., 2019, MULTIVARIATE DATA AN, V8th ed.; Hair J.F., 2010, MULTIVARIATE DATA AN; Hair JF, 2011, J MARKET THEORY PRAC, V19, P139, DOI 10.2753/MTP1069-6679190202; Halder P, 2011, APPL ENERG, V88, P1233, DOI 10.1016/j.apenergy.2010.10.017; Han MS, 2020, ENERG POLICY, V140, DOI 10.1016/j.enpol.2020.111405; HOMER PM, 1988, J PERS SOC PSYCHOL, V54, P638, DOI 10.1037/0022-3514.54.4.638; Hong J, 2019, J CLEAN PROD, V232, P154, DOI 10.1016/j.jclepro.2019.05.321; Hosen M, 2021, COMPUT EDUC, V172, DOI 10.1016/j.compedu.2021.104262; Jacobs K, 2018, J CLEAN PROD, V203, P1155, DOI 10.1016/j.jclepro.2018.07.320; Javali SB., 2011, Webmed Central, V2, P1, DOI DOI 10.9754/JOURNAL.WMC.2011.001649; KEMPTON W, 1992, AM PSYCHOL, V47, P1213, DOI 10.1037/0003-066X.47.10.1213; Kenny DA, 2015, SOCIOL METHOD RES, V44, P486, DOI 10.1177/0049124114543236; Larsson B, 2010, CHILDHOOD, V17, P129, DOI 10.1177/0907568209351554; Lee LS, 2019, ENERG POLICY, V135, DOI 10.1016/j.enpol.2019.111005; Lee LS, 2015, ENERG POLICY, V76, P98, DOI 10.1016/j.enpol.2014.11.012; Lillemo SC, 2014, ENERG POLICY, V66, P249, DOI 10.1016/j.enpol.2013.10.077; Liu XB, 2012, SUSTAIN DEV, V20, P293, DOI 10.1002/sd.484; Long XL, 2018, RENEW SUST ENERG REV, V82, P3962, DOI 10.1016/j.rser.2017.10.077; Loureiro A, 2019, UNIV PSYCHOL, V18, DOI 10.11144/Javeriana.upsy18-1.esbd; Martins A, 2020, ENERGY REP, V6, P454, DOI 10.1016/j.egyr.2019.09.007; Maurer M, 2020, STUD EDUC EVAL, V65, DOI 10.1016/j.stueduc.2020.100863; Ministry of Politics, 2020, RES NO 55 NQ TW OR V; MOET, 2010, OFF LETT NO 1665 BGD; Moussallem I., 2017, International Journal of Scientific Engineering Research, V8, P345; Lopes JRN, 2019, RESOUR CONSERV RECY, V145, P268, DOI 10.1016/j.resconrec.2019.02.042; Nguyen, 2019, EN VIETN CURR SIT DE; Nie HG, 2020, ENERG POLICY, V140, DOI 10.1016/j.enpol.2020.111424; Nie HG, 2019, J CLEAN PROD, V230, P29, DOI 10.1016/j.jclepro.2019.05.101; Ntona E, 2015, RENEW SUST ENERG REV, V46, P1, DOI 10.1016/j.rser.2015.02.033; Poruschi L, 2016, ENVIRON SCI POLICY, V66, P334, DOI 10.1016/j.envsci.2016.07.003; Pothitou M, 2017, INT J SUSTAIN ENERGY, V36, P398, DOI 10.1080/14786451.2015.1032290; Prime Minister, 2006, DEC NO 79 2006 QD TT; Prime Minister, 2019, DEC NO 280 QD TOT AP; Qu M, 2011, RENEW SUST ENERG REV, V15, P3649, DOI 10.1016/j.rser.2011.07.002; Reid L, 2010, PROG HUM GEOG, V34, P309, DOI 10.1177/0309132509346994; Richardson J, 2017, NURS EDUC TODAY, V54, P51, DOI 10.1016/j.nedt.2017.04.022; Rokeach M., NATURE HUMAN VALUES; Runnels J., 2012, International Journal of Language Studies, V6, P141; Sevencan F, 2017, ENVIRON SCI POLLUT R, V24, P3045, DOI 10.1007/s11356-016-7969-2; Shin YH, 2017, J HOSP TOUR MANAG, V33, P113, DOI 10.1016/j.jhtm.2017.10.010; Stephenson J, 2015, ENERGY RES SOC SCI, V7, P117, DOI 10.1016/j.erss.2015.03.005; STERN PC, 1992, AM PSYCHOL, V47, P1224, DOI 10.1037/0003-066X.47.10.1224; Tang ZY, 2019, RESOUR CONSERV RECY, V140, P216, DOI 10.1016/j.resconrec.2018.09.030; Trotta G, 2018, ENERG POLICY, V114, P529, DOI 10.1016/j.enpol.2017.12.042; U.S. Department of Energy, 2012, EN LIT ESS PRINC FUN; UNESCO, 2019, FRAM IMPL ED SUST DE; University of Wisconsin-Stevens Point, 2020, WISC K 12 EN ED PROG; van de Ven DJ, 2018, MITIG ADAPT STRAT GL, V23, P853, DOI 10.1007/s11027-017-9763-y; Wilkie W.L., 1990, CONSUMER BEHAV, V2; Wu M.L., 2007, ACER ConQuest version 2.0: Generalised item response modelling software; Yang S, 2016, ENERG POLICY, V93, P196, DOI 10.1016/j.enpol.2016.02.018; Yeh SC, 2017, SUSTAINABILITY-BASEL, V9, DOI 10.3390/su9030423; Yue T, 2020, J CLEAN PROD, V252, DOI 10.1016/j.jclepro.2019.119623; Zafar MW, 2020, J CLEAN PROD, V268, DOI 10.1016/j.jclepro.2020.122149; Zguir MF, 2021, J CLEAN PROD, V319, DOI 10.1016/j.jclepro.2021.128534; Zhang CY, 2018, J CLEAN PROD, V185, P285, DOI 10.1016/j.jclepro.2018.02.303; Zografakis N, 2008, ENERG POLICY, V36, P3226, DOI 10.1016/j.enpol.2008.04.021</t>
  </si>
  <si>
    <t>MAY 11</t>
  </si>
  <si>
    <t>10.1080/13504622.2022.2034752</t>
  </si>
  <si>
    <t>JAN 2022</t>
  </si>
  <si>
    <t>1C2AJ</t>
  </si>
  <si>
    <t>WOS:000753895100001</t>
  </si>
  <si>
    <t>Chen, SJ; Chou, YC; Yen, HY; Chao, YL</t>
  </si>
  <si>
    <t>Chen, Shr-Jya; Chou, Ying-Chyi; Yen, Hsin-Yi; Chao, Yu-Long</t>
  </si>
  <si>
    <t>Investigating and structural modeling energy literacy of high school students in Taiwan</t>
  </si>
  <si>
    <t>Energy literacy; Energy education; Structural equation model</t>
  </si>
  <si>
    <t>RENEWABLE ENERGY; ENVIRONMENTAL CONCERN; ATTITUDES; KNOWLEDGE; GENDER; EDUCATION; PERCEPTIONS; CONSEQUENCES; ELEMENTARY; BEHAVIOR</t>
  </si>
  <si>
    <t>The study investigated a sample population of 675 students drawn from high schools nationwide, to grasp how literate they were about energy issues and to construct accordingly, a model that depicted the interplay among their knowledge, attitudes, self-efficacy, and behaviors. Students were found to possess better knowledge about scientific basics than related issues of energy, attitudes favoring renewable energy underlaid by relatively anthropocentric environmental value, and energy-saving habits. In explaining personal energy-related behaviors, the most influential component was attitude, and knowledge had little effect. Males were more knowledgeable about energy but held a less positive attitude than females, whose energy literacy components were also more strongly interconnected in the structural relationship model. Implications and other findings including the role of family behavior are discussed.</t>
  </si>
  <si>
    <t>[Chen, Shr-Jya] Tunghai Univ, Grad Inst Educ, Taichung 40704, Taiwan; [Chou, Ying-Chyi] Tunghai Univ, Dept Business Adm, Taichung 40704, Taiwan; [Yen, Hsin-Yi] Tunghai Univ, Coll Management, Taichung 40704, Taiwan; [Chao, Yu-Long] Natl Kaohsiung Normal Univ, Grad Inst Sci Educ &amp; Environm Educ, Kaohsiung 82444, Taiwan</t>
  </si>
  <si>
    <t>Tunghai University; Tunghai University; Tunghai University; National Kaohsiung Normal University</t>
  </si>
  <si>
    <t>Chao, YL (corresponding author), Natl Kaohsiung Normal Univ, Grad Inst Sci Educ &amp; Environm Educ, 62 Shenjung Rd, Kaohsiung 82444, Taiwan.</t>
  </si>
  <si>
    <t>chaoyulong@gmail.com</t>
  </si>
  <si>
    <t>chen, shi jia/0000-0001-5596-485X</t>
  </si>
  <si>
    <t>Adelle C., 2008, EU and US public perceptions of environmental, climate change and energy issues; Alwitt L.F., 1996, J CONSUM PSYCHOL, V5, P49, DOI DOI 10.1207/S15327663JCP0501_03; [Anonymous], 2009 NAT EN C CONCL; [Anonymous], 95D0240 EBME; [Anonymous], THESIS MICHIGAN STAT; [Anonymous], ELECTRICNET; [Anonymous], ENV ED RES; [Anonymous], 2007, 2007 ANN C EXP; [Anonymous], 2011, AM TEENSKNOWLEDGE CL; [Anonymous], 1994, Physics Education, DOI DOI 10.1088/0031-9120/29/1/006; [Anonymous], CHINESE J SCI ED; [Anonymous], WIND EN CAN MARK RES; [Anonymous], P 2005 EUR COUNC EN; [Anonymous], 2006, ATT EN; [Anonymous], P 38 ASEE IEEE FRONT; Bamberg S, 2007, J ENVIRON PSYCHOL, V27, P14, DOI 10.1016/j.jenvp.2006.12.002; Bandura A., 1996, SOCIAL FDN THOUGHT A, DOI DOI 10.5465/AMR.1987.4306538; Barak J, 1997, INT J SCI EDUC, V19, P21, DOI 10.1080/0950069970190102; Blocker TJ, 1997, SOC SCI QUART, V78, P841; BOYES E, 1993, INT J SCI EDUC, V15, P531, DOI 10.1080/0950069930150507; Boyes E., 2001, CAN J ENVIRON EDUC, V6, P77; Boyes E, 2009, RES SCI EDUC, V39, P661, DOI 10.1007/s11165-008-9098-5; Boyes Edward, 2008, International Journal of Environmental Studies, V65, P239, DOI 10.1080/00207230701284543; Browne M.W., 1993, SOCIOL METHOD RES, P445; Chao YL, 2012, ENVIRON EDUC RES, V18, P437, DOI 10.1080/13504622.2011.634970; Chen KL, 2013, ENERG POLICY, V55, P396, DOI 10.1016/j.enpol.2012.12.025; Cornelius M, 2014, ENERG EFFIC, V7, P217, DOI 10.1007/s12053-013-9219-5; Daniel B., 2004, International Journal of Environmental Studies, V61, P211, DOI [DOI 10.1080/0020723032000087907, 10.1080/0020723032000087907]; Davidson DJ, 1996, ENVIRON BEHAV, V28, P302, DOI 10.1177/0013916596283003; Dawson T.L., 2006, Applications of Rasch measurement in science education, P111; DeWaters J. E., 2007, P 2007 ASEE ANN C EX; DeWaters J, 2013, J ENVIRON EDUC, V44, P56, DOI 10.1080/00958964.2012.682615; DeWaters J, 2013, J ENVIRON EDUC, V44, P38, DOI 10.1080/00958964.2012.711378; DeWaters JE, 2011, ENERG POLICY, V39, P1699, DOI 10.1016/j.enpol.2010.12.049; Dietz T, 2002, SOC SCI QUART, V83, P353, DOI 10.1111/1540-6237.00088; GROB A, 1995, J ENVIRON PSYCHOL, V15, P209, DOI 10.1016/0272-4944(95)90004-7; Hair J., 1992, Multivariate Data Analysis; Halder P, 2012, BIOENERG RES, V5, P247, DOI 10.1007/s12155-011-9121-y; Halder P, 2010, ENERG POLICY, V38, P3058, DOI 10.1016/j.enpol.2010.01.046; Hayes BC, 2001, POLIT RES QUART, V54, P657, DOI 10.1177/106591290105400309; Hines J.M., 1987, J ENVIRON EDUC, V18, P1, DOI [DOI 10.1080/00958964.1987.9943482, 10.1080/00958964.1987.9943482]; Hu L., 1995, STRUCTURAL EQUATION, P76, DOI DOI 10.1080/10705519909540118; Huang YS, 2012, PROCD SOC BEHV, V51, P840, DOI 10.1016/j.sbspro.2012.08.250; Hungerford H.R., 1990, J ENVIRON EDUC, V21, P8, DOI [DOI 10.1080/00958964.1990.10753743, 10.1080/00958964.1990.10753743]; Jaramillo P, 2008, IEEE INT S ELECT ENV, P1; Jenkins EW, 2006, INT J SCI EDUC, V28, P765, DOI 10.1080/09500690500498336; Jennings P, 2001, RENEW ENERG, V22, P113, DOI 10.1016/S0960-1481(00)00028-8; Jennings P, 2009, RENEW ENERG, V34, P435, DOI 10.1016/j.renene.2008.05.005; Jenson B.B., 2002, ENVIRON EDUC RES, V8, P325, DOI [DOI 10.1080/13504620220145474, 10.1080/13504620220145474]; Jin H, 2012, J RES SCI TEACH, V49, P1149, DOI 10.1002/tea.21051; Kaiser FG, 1999, J ENVIRON PSYCHOL, V19, P1, DOI 10.1006/jevp.1998.0107; Kandpal TC, 1999, APPL ENERG, V64, P71, DOI 10.1016/S0306-2619(99)00076-8; Khambalkar VP, 2010, INT J AMBIENT ENERGY, V31, P133, DOI 10.1080/01430750.2010.9675112; Kilinc A., 2011, Eurasia Journal of Mathematics, Science Technology Education, V7, P121; Kollmuss A., 2002, ENVIRON EDUC RES, V8, P239, DOI [10.1080/13504620220145401, DOI 10.1080/13504620220145401]; Liarakou G., 2011, INT J ENV SCI ED, V6, P79; Liarakou G, 2009, J SCI EDUC TECHNOL, V18, P120, DOI 10.1007/s10956-008-9137-z; Liu SY, 2012, J ASIAN ARCHIT BUILD, V11, P185, DOI 10.3130/jaabe.11.185; Liu X., 2004, Canadian Journal of Science, Mathematics and Technology Education, V4, P43; Liu XF, 2005, J RES SCI TEACH, V42, P493, DOI 10.1002/tea.20060; Liu XF, 2008, J RES SCI TEACH, V45, P554, DOI 10.1002/tea.20232; Liu Xiufeng, 2005, J Appl Meas, V6, P224; McCright AM, 2010, POPUL ENVIRON, V32, P66, DOI 10.1007/s11111-010-0113-1; McNeill KL, 2012, RES SCI EDUC, V42, P373, DOI 10.1007/s11165-010-9202-5; Punter P, 2011, INT J SCI EDUC, V33, P447, DOI 10.1080/09500693.2010.492253; Qu M, 2011, RENEW SUST ENERG REV, V15, P3649, DOI 10.1016/j.rser.2011.07.002; SCHAHN J, 1990, ENVIRON BEHAV, V22, P767, DOI 10.1177/0013916590226003; Schelly C, 2012, J ENVIRON EDUC, V43, P143, DOI 10.1080/00958964.2011.631611; Schreiner C., 2005, Studies in Science Education, V41, P3, DOI [DOI 10.1080/03057260508560213, 10.1080/03057260508560213, https://doi.org/10.1080/03057260508560213]; Schultz PW, 2005, J CROSS CULT PSYCHOL, V36, P457, DOI 10.1177/0022022105275962; Smith-Sebasto N.J., 1994, The Journal of Environmental Education, V25, P23, DOI [10.1080/00958964.1994.9941961, DOI 10.1080/00958964.1994.9941961]; Stern PC, 2000, J SOC ISSUES, V56, P407, DOI 10.1111/0022-4537.00175; Toth N, 2013, J ENVIRON PSYCHOL, V34, P36, DOI 10.1016/j.jenvp.2012.12.001; Valkila N, 2013, ENERGY SUSTAIN DEV, V17, P24, DOI 10.1016/j.esd.2012.10.001; Watts D.M., 1983, PHYS EDUC, V18, P213, DOI DOI 10.1088/0031-9120/18/5/307; Yilmaz O, 2004, INT J SCI EDUC, V26, P1527, DOI 10.1080/0950069042000177280; Zelezny LC, 2000, J SOC ISSUES, V56, P443, DOI 10.1111/0022-4537.00177; Zografakis N, 2008, ENERG POLICY, V36, P3226, DOI 10.1016/j.enpol.2008.04.021; Zyadin A, 2012, RENEW ENERG, V45, P78, DOI 10.1016/j.renene.2012.02.002</t>
  </si>
  <si>
    <t>10.1007/s12053-015-9327-5</t>
  </si>
  <si>
    <t>CM9RN</t>
  </si>
  <si>
    <t>WOS:000358046700010</t>
  </si>
  <si>
    <t>Appiah, MK; Gyening, EK; Teye, PK; Frimpong, C; Nsowah, A</t>
  </si>
  <si>
    <t>Appiah, Michael Karikari; Gyening, Emmanuel Kwaku; Teye, Portia Korlekie; Frimpong, Charles; Nsowah, Alex</t>
  </si>
  <si>
    <t>The implications of energy literacy on energy savings behavior: A model of contingent effects of energy value and attitude</t>
  </si>
  <si>
    <t>Attitude towards energy; Energy literacy; Energy savings behavior; Energy sustainability</t>
  </si>
  <si>
    <t>PERSONAL VALUES; COGNITIVE SKILLS; SUSTAINABILITY; UNIVERSITY; PERFORMANCE; STUDENTS; INDUSTRY; IMPACT</t>
  </si>
  <si>
    <t>Sustainable energy production and consumption is essential to the realization of the United Nations 2030 Agenda for Sustainable Development and the Paris Climate Agreement. According to the International Energy Agency, presently around 755 million people worldwide do not have access to electricity. Understanding the energy literacy and consumption behavior are of substantial importance for providing effective energy education and energy efficiency. This paper aims to develop a baseline model to explain the relationship between energy literacy (EL), attitude towards energy, personal energy value, and energy savings behavior (ESB) with a perspective from a Lower Middle-Income Country by integrating Value Belief Norm theory and Theory of Planned Behavior. The positivists' research paradigm, and quantitative approach guided this paper. Survey based questionnaire has been used to solicit data from 250 professional workers in Ghana with a focus on Hydro-Electricity Power. Our hypotheses have been tested using a Variance Based Structural Equation Modeling and SMART-PLS version 3.3.3. Our indicative results have showed that energy literacy positively affect energy saving behavior. Moreover, attitude towards energy and personal energy value have significantly mediated the relationships between EL and ESB. These results have implications on energy consumption behavior theories and practices in Ghana and the rest of Sub-Saharan African Countries. The newly developed ESB model could be used to explain the drivers of energy savings behavior in lower income economies where such knowledge remains largely unexplored. These results stimulate the need to encourage sustainable energy production and consumption, and re-enforce existing legislature in order to attain the Sustainable Development Goal Seven.&amp; COPY; 2023 The Author(s). Published by Elsevier Ltd. This is an open access article under the CC BY-NC-ND license (http://creativecommons.org/licenses/by-nc-nd/4.0/).</t>
  </si>
  <si>
    <t>[Appiah, Michael Karikari; Teye, Portia Korlekie; Frimpong, Charles] Univ Environm &amp; Sustainable Dev, Dept Sustainable Energy &amp; Resources, Somanya, Ghana; [Gyening, Emmanuel Kwaku] Kwame Nkrumah Univ Sci &amp; Technol, Sch Grad Studies, Kumasi, Ghana; [Nsowah, Alex] Accra Inst Technol, Sch Grad Studies, Accra, Ghana</t>
  </si>
  <si>
    <t>Kwame Nkrumah University Science &amp; Technology</t>
  </si>
  <si>
    <t>Appiah, MK (corresponding author), Univ Environm &amp; Sustainable Dev, Dept Sustainable Energy &amp; Resources, Somanya, Ghana.</t>
  </si>
  <si>
    <t>kofikarikari@yahoo.com</t>
  </si>
  <si>
    <t>Appiah, Michael Karikari/0000-0002-3350-9597</t>
  </si>
  <si>
    <t>Abediniangerabi B, 2022, ADV BUILD ENERGY RES, V16, P542, DOI 10.1080/17512549.2021.2011410; Abrahamse W., 2012, ENV PSYCHOL INTRO, P223, DOI DOI 10.1002/9781119241072.CH26; Ahmadi MH, 2014, ENERG CONVERS MANAGE, V88, P1051, DOI 10.1016/j.enconman.2014.09.041; Akhound A, 2022, MANAG ENVIRON QUAL, V33, P166, DOI 10.1108/MEQ-03-2021-0048; [Anonymous], 2019, EIA INT ENERGY OUTLO; Appiah K.M, 2022, INT J SUSTAIN ENG, V35, DOI [10.54337/ijsepm.7223A, DOI 10.54337/IJSEPM.7223A]; Appiah MK, 2022, COGENT BUS MANAG, V9, DOI 10.1080/23311975.2022.2102127; Appiah MK, 2022, AFR J ECON MANAG STU, V13, P551, DOI 10.1108/AJEMS-03-2022-0095; Appiah MK, 2022, COGENT ECON FINANC, V10, DOI 10.1080/23322039.2022.2071387; Appiah MK, 2021, HELIYON, V7, DOI 10.1016/j.heliyon.2021.e08426; Appiah MK, 2021, COGENT BUS MANAG, V8, DOI 10.1080/23311975.2021.1948795; Avordeh TK, 2022, INT J ENERGY SECT MA, V16, P605, DOI 10.1108/IJESM-05-2020-0014; Bialynicki-Birula P, 2022, ENERGIES, V15, DOI 10.3390/en15155368; Buana Y, 2023, INT J ENERGY SECT MA, V17, P474, DOI 10.1108/IJESM-05-2021-0021; Bull R, 2018, INT J SUST HIGHER ED, V19, P1220, DOI 10.1108/IJSHE-09-2017-0157; Bulunga AAL, 2018, INT J SUST HIGHER ED, V19, P773, DOI 10.1108/IJSHE-07-2017-0107; Carrico AR, 2011, J ENVIRON PSYCHOL, V31, P1, DOI 10.1016/j.jenvp.2010.11.004; Castañeda-Garza G, 2023, ENVIRON EDUC RES, V29, P410, DOI 10.1080/13504622.2022.2135687; Cheah SKA, 2022, ASIA PAC J MARKET LO, V34, P944, DOI 10.1108/APJML-11-2020-0835; Chiang W.-J., 2010, P 10 WSEAS INT C MUL; Cieciuch J, 2016, SOC DEV, V25, P503, DOI 10.1111/sode.12147; Cole LB, 2019, INT J SUST HIGHER ED, V20, P264, DOI 10.1108/IJSHE-09-2018-0149; Cotton DRE, 2015, INT J SUST HIGHER ED, V16, P456, DOI 10.1108/IJSHE-12-2013-0166; Da Silva Añaña E, 2010, INT J PUBLIC SECT MA, V23, P158, DOI 10.1108/09513551011022500; DeWaters J, 2013, J ENVIRON EDUC, V44, P56, DOI 10.1080/00958964.2012.682615; DeWaters J, 2013, J ENVIRON EDUC, V44, P38, DOI 10.1080/00958964.2012.711378; DeWaters JE, 2011, ENERG POLICY, V39, P1699, DOI 10.1016/j.enpol.2010.12.049; Dion H, 2023, J ENG DES TECHNOL, V21, P552, DOI 10.1108/JEDT-04-2022-0200; Esbati S, 2020, ENERGY SCI ENG, V8, P959, DOI 10.1002/ese3.328; Filimonova I.V., 2021, ENERGY REP, V7, DOI [10.1016/j.egyr.2021.07.115,2352358-365-4847, DOI 10.1016/J.EGYR.2021.07.115,2352358-365-4847]; Fonseca P, 2018, INT J SUST HIGHER ED, V19, P790, DOI 10.1108/IJSHE-09-2017-0145; Franco D, 2022, INT J SUST HIGHER ED, V23, P1648, DOI 10.1108/IJSHE-10-2021-0432; Fu H.Y., 2007, THESIS NATL TAIWAN N; Fu SK, 2023, ENERGIES, V16, DOI 10.3390/en16010568; Gadenne D, 2011, ENERG POLICY, V39, P7684, DOI 10.1016/j.enpol.2011.09.002; Gao L, 2017, RESOUR CONSERV RECY, V127, P107, DOI 10.1016/j.resconrec.2017.08.030; Han MS, 2020, ENERG POLICY, V140, DOI 10.1016/j.enpol.2020.111405; Hanel PHP, 2018, FRONT PSYCHOL, V9, DOI 10.3389/fpsyg.2018.01643; Hanif MW, 2023, INT J ENERGY SECT MA, V17, P265, DOI 10.1108/IJESM-07-2021-0013; Harun SA, 2022, MANAG ENVIRON QUAL, V33, P1207, DOI 10.1108/MEQ-12-2021-0271; Hasanah U, 2020, J PENELIT PEMBELAJAR, V6, P36, DOI 10.30870/jppi.v6i1.7140; Henni S, 2022, ENERG BUILDINGS, V266, DOI 10.1016/j.enbuild.2022.112116; Henseler J, 2015, J ACAD MARKET SCI, V43, P115, DOI 10.1007/s11747-014-0403-8; Hidalgo-Crespo J, 2022, ENERGY REP, V8, P103, DOI 10.1016/j.egyr.2022.01.116; Hoyle R.H., 1995, STRUCTURAL EQUATION, DOI DOI 10.1037/0008-400X.26.2.210; Jamaludin AA, 2023, INT J SUST HIGHER ED, V24, P678, DOI 10.1108/IJSHE-03-2022-0084; Appiah MK, 2022, INT J SUSTAIN ENG, V15, P314, DOI 10.1080/19397038.2022.2149875; Khairullina E.R., 2019, EURASIA J BIOSCI, V13, P2311; Kim YK, 2015, J INT STUDENTS, V5, P526; Knafo A, 2011, J CROSS CULT PSYCHOL, V42, P178, DOI 10.1177/0022022110396863; Knafo A, 2011, DEV PSYCHOL, V47, P726, DOI 10.1037/a0021910; Lai BX, 2021, NEUROCOMPUTING, V444, P179, DOI 10.1016/j.neucom.2020.08.090; Salvia AL, 2020, INT J SUST HIGHER ED, V21, P1607, DOI 10.1108/IJSHE-05-2020-0180; Ledden L, 2007, J BUS RES, V60, P965, DOI 10.1016/j.jbusres.2007.01.021; Lee YF, 2022, ENVIRON EDUC RES, V28, P907, DOI 10.1080/13504622.2022.2034752; Liuchong W., 2007, THESIS NATL KAOHSIUN; Maio GR, 2010, ADV EXP SOC PSYCHOL, V42, P1, DOI 10.1016/S0065-2601(10)42001-8; Moghayedi A, 2023, FACILITIES, V41, P321, DOI 10.1108/F-06-2022-0089; Newton S, 2023, INT J BUILD PATHOL, V41, P182, DOI 10.1108/IJBPA-04-2021-0046; Ng AW, 2021, SUSTAINABILITY-SCI P, V17, P377, DOI 10.1080/15487733.2021.1999079; O'Brien LT, 2020, SOC PSYCHOL EDUC, V23, P449, DOI 10.1007/s11218-019-09538-x; Oppenheim-Weller S, 2018, J RES PERS, V76, P38, DOI 10.1016/j.jrp.2018.07.006; Lasuen UO, 2020, INT J SUST HIGHER ED, V21, P1277, DOI 10.1108/IJSHE-12-2019-0363; Owusu-Manu DG, 2022, INT J ENERGY SECT MA, V16, P1130, DOI 10.1108/IJESM-09-2021-0010; Ozili P.K., 2022, Journal of Money and Business, V2, P186, DOI DOI 10.1108/JMB-03-2022-0019; Pascarella E. T., 2005, How college affects students: A third decade of research, V2; Phillis A, 2021, INT J SUST DEV WORLD, V28, P18, DOI 10.1080/13504509.2020.1780646; Qudrat-Ullah H, 2021, ENERGY REP, V7, P3877, DOI 10.1016/j.egyr.2021.05.083; Razmjoo AA, 2020, ENERG SOURCE PART A, V42, P1041, DOI 10.1080/15567036.2019.1602215; Razmjoo A, 2019, ENERG SOURCE PART A, DOI 10.1080/15567036.2019.1687623; Rebelatto BG, 2019, INT J SUST HIGHER ED, V20, P842, DOI 10.1108/IJSHE-01-2019-0023; Roccas S, 2014, J PERS, V82, P144, DOI 10.1111/jopy.12041; Sagiv L, 2017, NAT HUM BEHAV, V1, P630, DOI 10.1038/s41562-017-0185-3; Sahin U., 2019, International Journal of Progressive Education, V15, P74; Sarstedt Marko., 2021, Partial Least Squares Structural Equation Modeling; Schwartz SH., 2015, HDB VALUE PERSPECTIV, P63; Shahidul S.M., 2016, J SOC SCI HUMANIT RE, V1, P83; SheromovaTS, 2020, EURASIA J Math Sci and Tech Ed, V16, pm1895, DOI [10.29333/ejmste/8538, DOI 10.29333/EJMSTE/8538]; Spigliantini G, 2019, INT J BUILD PATHOL, V37, P306, DOI 10.1108/IJBPA-12-2017-0062; Syaiful Z.A., 2016, INT J APPL ENV SCI, V11, P703; Tarabashkina L, 2011, ISS EDUC RES, V21, P210; Thiel GP, 2021, SCI TECHNOL BUILT EN, V27, P776, DOI 10.1080/23744731.2021.1879564; Valle CR, 2019, FACILITIES, V37, P762, DOI 10.1108/F-03-2017-0027; Vringer K, 2007, ENERG POLICY, V35, P553, DOI 10.1016/j.enpol.2005.12.025; Wang QC, 2023, ENERGY REP, V9, P1354, DOI 10.1016/j.egyr.2022.12.051; Ward EG., 2021, Bulletin of the Ecological Society of America, V102, P1; Waris I, 2020, INT J ENERGY SECT MA, V14, P1297, DOI 10.1108/IJESM-11-2019-0012; Weder F, 2019, CORP COMMUN, V24, P368, DOI 10.1108/CCIJ-01-2018-0014; Weerasinghe AS, 2022, FACILITIES, V40, P774, DOI 10.1108/F-02-2022-0025; Wehner J, 2021, INT J LOGIST MANAG, V33, P1, DOI 10.1108/IJLM-10-2019-0270; Xu P.H., 2009, THESIS NATL KAOHSIUN; Xu Q., 2022, COMPLEX ENG SYST, V2, P1, DOI [10.20517/ces.2022.20, DOI 10.20517/CES.2022.20]; Zhang JK, 2020, ASIA PAC J TOUR RES, V25, P441, DOI 10.1080/10941665.2020.1741410; Zhao SJ, 2022, ENERGY REP, V8, P6876, DOI 10.1016/j.egyr.2022.05.023; Zikmund W., 2012, BUSINESS RES METHODS, V7; Zun MT, 2023, SUSTAIN ENERGY TECHN, V56, DOI 10.1016/j.seta.2022.103007</t>
  </si>
  <si>
    <t>10.1016/j.egyr.2023.06.008</t>
  </si>
  <si>
    <t>L7BB0</t>
  </si>
  <si>
    <t>WOS:001024763400001</t>
  </si>
  <si>
    <t>Koulouri, P; Mogias, A; Mokos, M; Cheimonopoulou, M; Realdon, G; Boubonari, T; Previati, M; Formoso, AT; Kideys, AE; Hassaan, MA; Patti, P; Korfiatis, K; Fabri, S; Juan, X</t>
  </si>
  <si>
    <t>Koulouri, Panayota; Mogias, Athanasios; Mokos, Melita; Cheimonopoulou, Maria; Realdon, Giulia; Boubonari, Theodora; Previati, Monica; Formoso, Alba Tojeiro; Kideys, Ahmet Erkan; Hassaan, Mohamed Aly; Patti, Patrizia; Korfiatis, Kostas; Fabri, Sandra; Juan, Xavier</t>
  </si>
  <si>
    <t>Ocean Literacy across the Mediterranean Sea basin: Evaluating Middle School Students' Knowledge, Attitudes, and Behaviour towards Ocean Sciences Issues</t>
  </si>
  <si>
    <t>Ocean Literacy; cross-national study; content knowledge; environmental attitudes; environmental behaviour; middle school students; environmental education; Mediterranean region</t>
  </si>
  <si>
    <t>PRESERVICE TEACHERS KNOWLEDGE; ENVIRONMENTAL LITERACY; MARINE-ENVIRONMENT; EDUCATION; MISCONCEPTIONS; PERCEPTIONS; PROTECTION; PORTUGAL</t>
  </si>
  <si>
    <t>The Mediterranean Sea is characterized by rich biodiversity, and its region hosts people living in several countries with a rich variety of cultures, but - at the same time - it is under siege, due to anthropogenic pressures. To address these pressures, many actions are needed aiming, among others, at establishing Ocean Literacy (OL) across the Mediterranean countries and preparing the future generation of Mediterranean Sea-literate citizens. Towards this aim, the present cross-national study investigated OL issues in relation to content knowledge, possible common misconceptions, attitudes, and the self-reported behaviour of 2,533 middle school students from eight Mediterranean countries (Croatia, Cyprus, Egypt, Greece, Italy, Malta, Spain and Turkey), as well as certain background elements (e.g., gender, grade level, environmental education experience, sources of relevant information). The results of this study revealed that middle school students of all studied countries possess a moderate level of ocean sciences content knowledge, while they showed satisfactory pro-environmental attitudes and behaviour. These findings along with further research are expected to function as a baseline for the design, implementation, and launch of specifically targeted programmes, educational activities, teaching resources, curricula and school textbooks, which will be achieved through close collaboration between schools, universities, research institutes, and Ministries of Education, thus contributing to the future protection and sustainable development of the Mediterranean Sea region.</t>
  </si>
  <si>
    <t>[Koulouri, Panayota] Hellen Ctr Marine Res, Inst Marine Biol Biotechnol &amp; Aquaculture, Iraklion 71500, Crete, Greece; [Mogias, Athanasios; Boubonari, Theodora] Democritus Univ Thrace, Dept Primary Educ, Lab Environm Res &amp; Educ, Nea Chili 68100, Alexandroupolis, Greece; [Mokos, Melita] Univ Zadar, Dept Ecol Agron &amp; Aquaculture, Trg Kneza Viseslava 9, Zadar 23000, Croatia; [Cheimonopoulou, Maria] Minist Rural Dev &amp; Food, Hydrobiol Stn Pella, Pasa Tsair 58200, Edessa, Greece; [Realdon, Giulia] Univ Camerino, UNICA Mearth Grp, Geol Sect, Via Gentile III Da Varano, I-62032 Camerino, Italy; [Previati, Monica] Underwater BioCartog UBICA Srl, Via San Siro 6 Int 1, I-16124 Genoa, Italy; [Formoso, Alba Tojeiro] SUBMON, Carrer dOrtigosa 14, Barcelona 08003, Spain; [Kideys, Ahmet Erkan] Middle East Tech Univ, Inst Marine Sci, Erdemli, Mersin, Turkey; [Hassaan, Mohamed Aly] Natl Inst Oceanog &amp; Fisheries, Alexandria, Egypt; [Patti, Patrizia] EcoMarine, Oakfields 4,Mst1135, Triq Nicolo Isouard Most, Malta; [Korfiatis, Kostas] Univ Cyprus, Dept Educ, POB 20537, CY-1678 Nicosia, Cyprus; [Fabri, Sandra] Assoc Sci 18 Isontina, Biblioteca Comunale Via Madonnina 4, I-34070 Fogliano Redipuglia, GO, Italy; [Juan, Xavier] Assoc Espanola Ensenanza Ciencias Tierra, Madrid, Spain</t>
  </si>
  <si>
    <t>Hellenic Centre for Marine Research; Democritus University of Thrace; University of Zadar; University of Camerino; Middle East Technical University; Egyptian Knowledge Bank (EKB); National Institute of Oceanography &amp; Fisheries (NIOF); University of Cyprus</t>
  </si>
  <si>
    <t>Hassaan, Mohamed A./AAI-2548-2020; KIDEYS, Ahmet/HZK-4698-2023; Realdon, Giulia/ABC-6270-2020</t>
  </si>
  <si>
    <t>Hassaan, Mohamed A./0000-0002-8513-5304; KIDEYS, Ahmet/0000-0002-1113-2434; Realdon, Giulia/0000-0001-8269-4269; Mokos, Melita/0000-0002-9152-4971; Cheimonopoulou, Maria/0000-0002-2933-3285; Koulouri, Panayota (Yolanda)/0000-0002-3418-7980; Mogias, Athanasios/0000-0001-6673-7660</t>
  </si>
  <si>
    <t>Mersin Greater City Municipality</t>
  </si>
  <si>
    <t>We would like to cordially thank the middle school teachers and the hundreds of students from the eight Mediterranean countries for their substantial assistance in the participation of the research. In addition, thanks to the project entitled 2019-2020 Monitoring Poison-ous jellyfishes and Awareness Raising on Marine Bio-diversity including negative effects of marine litter for Middle School Pupils of Mersin supported by Mersin Greater City Municipality. We would also like to thank Prof. Ahmed El Nemr, Director of The National Institute of Oceanography and Fisheries, for his assistance and support by facilitating our mission to make this studyin Egypt. Finally, we would like to thank Mrs Margaret Eleftheriou for the English spelling and language correc-tions as well as the two reviewers for their contribution towards improving our manuscript.</t>
  </si>
  <si>
    <t>[Anonymous], 2006, LEARN THINK SPAT; [Anonymous], 2013, Ocean Literacy: The Essential Principles and Fundamental Concepts of Ocean Sciences; [Anonymous], 2016, WATER WORLD ADVENTUR; [Anonymous], 2002, Model-based reasoning: Science, technology, values, DOI [10.1007/978-1-4615-0605-8_20, DOI 10.1007/978-1-4615-0605-8_20]; [Anonymous], 1985, Children's ideas in science; Ashley M, 2019, FRONT MAR SCI, V6, DOI 10.3389/fmars.2019.00288; Ballantyne R., 2004, GEO J, V60, P159, DOI [https://doi.org/10.1023/B:GEJO.0000033579.19277.ff, DOI 10.1023/B:GEJO.0000033579.19277.FF]; Ben-zvi-Assarf O., 2005, J GEOSCIENCE ED, V53, P366, DOI [10.5408/1089-9995-53.4.366, DOI 10.5408/1089-9995-53.4.366]; Bongaarts J, 2019, POPUL DEV REV, V45, P680, DOI 10.1111/padr.12283; Borja A, 2020, FRONT MAR SCI, V6, DOI 10.3389/fmars.2019.00837; Boubonari T, 2013, J ENVIRON EDUC, V44, P232, DOI 10.1080/00958964.2013.785381; Brennan C, 2019, FRONT MAR SCI, V6, DOI 10.3389/fmars.2019.00360; Brody M.J., 1996, J ENVIRON EDUC, V27, P21; Carey S, 2000, J APPL DEV PSYCHOL, V21, P13, DOI 10.1016/S0193-3973(99)00046-5; Cava F., 2005, Science Content and Standards for Ocean Literacy: A Report on Ocean Literacy, P1; Chang CC, 2019, SAGE OPEN, V9, DOI 10.1177/2158244019844085; Cheimonopoulou M.Th., 2019, 7 EUR MAR SCI ED ASS, P7; Cheimonopoulou M.Th., 2019, 7 EUR MAR SCI ED ASS, P24; Coll M, 2012, GLOBAL ECOL BIOGEOGR, V21, P465, DOI 10.1111/j.1466-8238.2011.00697.x; Costa S, 2018, MAR POLICY, V87, P149, DOI 10.1016/j.marpol.2017.10.022; Cuttelod A., 2008, The 2008 Review of The IUCN Red List of Threatened Species; Donert K., 2015, EU SEA CHANGE PROJEC; Dupont S., 2017, Handbook on the Economics and Management of Sustainable Oceans, P519, DOI [10.4337/9781786430724, DOI 10.4337/9781786430724.00037]; Eisler AD, 2003, J ENVIRON PSYCHOL, V23, P89, DOI 10.1016/S0272-4944(02)00083-X; Fauville G, 2019, ENVIRON EDUC RES, V25, P238, DOI 10.1080/13504622.2018.1440381; Feller RJ, 2007, OCEANOGRAPHY, V20, P170, DOI 10.5670/oceanog.2007.22; Francek M, 2013, INT J SCI EDUC, V35, P31, DOI 10.1080/09500693.2012.736644; Goris T.V., 2010, ASEE ILLINOIS INDIAN; Gough A, 2017, MAR POLLUT BULL, V124, P633, DOI 10.1016/j.marpolbul.2017.06.069; Guest H, 2015, MAR POLICY, V58, P98, DOI 10.1016/j.marpol.2015.04.007; Hartley BL, 2015, MAR POLLUT BULL, V90, P209, DOI 10.1016/j.marpolbul.2014.10.049; Henriques L, 2000, P ANN M NATL ASS RES; Hsu Shih-Jang., 1998, Environmental Education Research, V4, P229, DOI DOI 10.1080/1350462980040301; Hynes S, 2014, MAR POLICY, V47, P57, DOI 10.1016/j.marpol.2014.02.002; Jones C, 2010, J CLEAN PROD, V18, P1229, DOI 10.1016/j.jclepro.2010.04.007; Kahn PH, 2002, ENVIRON BEHAV, V34, P405, DOI 10.1177/00116502034004001; Klöckner CA, 2013, GLOBAL ENVIRON CHANG, V23, P1028, DOI 10.1016/j.gloenvcha.2013.05.014; Kopke K, 2019, FRONT MAR SCI, V6, DOI 10.3389/fmars.2019.00060; Lee Y.H., 2019, J OCEAN CULTURE, V2, P136, DOI DOI 10.33522/JOC.2019.2.136; Leitao R, 2018, INTED PROC, P5058; Lin YL, 2020, SUSTAINABILITY-BASEL, V12, DOI 10.3390/su12177115; Lotze HK, 2018, OCEAN COAST MANAGE, V152, P14, DOI 10.1016/j.ocecoaman.2017.11.004; Martin AJ, 2016, J RES SCI TEACH, V53, P1364, DOI 10.1002/tea.21332; McKinley E., 2020, Final report produced for the Ocean Conservation Trust and Defra; Meinhold JL, 2005, ENVIRON BEHAV, V37, P511, DOI 10.1177/0013916504269665; Mogias A, 2019, FRONT MAR SCI, V6, DOI 10.3389/fmars.2019.00396; Mogias A, 2015, J ENVIRON EDUC, V46, P251, DOI 10.1080/00958964.2015.1050955; Mokos M, 2020, SUSTAINABILITY-BASEL, V12, DOI 10.3390/su122410647; Mokos M, 2020, MEDITERR MAR SCI, V21, P592, DOI 10.12681/mms.23400; Müderrisoglu H, 2011, INT J ENVIRON SCI TE, V8, P159; National Marine Educators Association [NMEA], 2010, OCEAN LITERACY SCOPE; National Research Council, 1999, How people learn: Brain, mind, experience, and school, DOI DOI 10.17226/9853; NELSON BD, 1992, J GEOGR, V91, P76, DOI 10.1080/00221349208979083; Niedoszytko G., 2018, EXEMPLARY PRACTICES, P123; Okumah M, 2020, LAND-BASEL, V9, DOI 10.3390/land9050135; Pe'er S, 2007, J ENVIRON EDUC, V39, P45, DOI 10.3200/JOEE.39.1.45-59; Philips W. C., 1991, Science Teacher, V58, P21; Plankis B.J., 2010, INT ELECT J ENV ED, V1, P21; Realdon G, 2019, REND ONLINE SOC GEOL, V49, P107, DOI 10.3301/ROL.2019.59; Sakurai R, 2019, ENVIRON EDUC RES, V25, P222, DOI 10.1080/13504622.2018.1436698; Santoro F., 2017, IOC MANUALS GUIDES, V80; Soeharto S., 2019, Jurnal Pendidikan IPA Indonesia, V8, P247, DOI [10.15294/jpii.v8i2.18649, DOI 10.15294/JPII.V8I2.18649]; Stoll-Kleemann S, 2019, FRONT MAR SCI, V6, DOI 10.3389/fmars.2019.00273; Strang C., 2007, CURRENT J MARINE ED, V23, P7, DOI DOI 10.5281/ZENODO.30563; Tsai LT, 2019, SUSTAINABILITY-BASEL, V11, DOI 10.3390/su11205810; Tsai LT, 2019, ENVIRON EDUC RES, V25, P264, DOI 10.1080/13504622.2018.1542487; U.S. Commission on Ocean Policy, 2004, OCEAN BLUEPRINT 21 C; UNESCO-IOC, 2021, IOC OCEAN DECADE SER, V22; Vosniadou S., 2008, International handbook of research on conceptual change, P3; Wen WC, 2013, ENVIRON EDUC RES, V19, P600, DOI 10.1080/13504622.2012.717219; Yavetz B, 2009, ENVIRON EDUC RES, V15, P393, DOI 10.1080/13504620902928422</t>
  </si>
  <si>
    <t>10.12681/mms.26797</t>
  </si>
  <si>
    <t>WOS:000782982600003</t>
  </si>
  <si>
    <t>Manez, KS; Stoll-Kleemann, S; Rozwadowski, HM</t>
  </si>
  <si>
    <t>Manez, Kathleen Schwerdtner; Stoll-Kleemann, Susanne; Rozwadowski, Helen M.</t>
  </si>
  <si>
    <t>Ocean literacies: the promise of regional approaches integrating ocean histories and psychologies</t>
  </si>
  <si>
    <t>ocean sustainability; ocean history; behavior change; emotions; regional approach</t>
  </si>
  <si>
    <t>PUBLIC PERCEPTIONS; MARINE</t>
  </si>
  <si>
    <t>The current concept of ocean literacy reflects a prerequisite for achieving ocean sustainability. Existing ocean literacy reflects a fundamentally western view of oceans that works in tension with ocean literacy goals. Although ocean literacy practitioners and researchers are, laudably, starting to incorporate Indigenous knowledges and perspectives from BIPOC communities, attention to historical change continues to be left out of ocean literacy, to the detriment of ocean literacy goals. This article points out that, given the reality that human-ocean relationships have changed over time, and differed among cultural groups in the past as well as in the present, ocean literacy needs to incorporate ocean history at a foundational level. Because there are historical differences in human relationships with oceans, it stands to reason that regional ocean literacies must be more effective than a universal and timeless ocean literacy framework. Following the logical efficacy of a regional approach to ocean literacy, this article further argues that regional ocean literacies should involve the systematic inclusion of emotional elements. Regional ocean literacies should be constructed through knowledge co-production, involving diverse types of expertise, knowledge and actors to produce context-specific knowledge and pathways towards a sustainable future. To fully exploit the potential of ocean literacy, there is a need for the UN Ocean Decade to work towards regional and place-based approaches that incorporate history as well as culture in an iterative and collaborative process involving diverse types of expertise, knowledge and actors.</t>
  </si>
  <si>
    <t>[Manez, Kathleen Schwerdtner; Stoll-Kleemann, Susanne] Univ Greifswald, Inst Geog &amp; Geol, Greifswald, Mecklenburg Vor, Germany; [Rozwadowski, Helen M.] Univ Connecticut, Coll Liberal Arts &amp; Sci, Dept Hist, Storrs, CT USA</t>
  </si>
  <si>
    <t>Universitat Greifswald; University of Connecticut</t>
  </si>
  <si>
    <t>Manez, KS (corresponding author), Univ Greifswald, Inst Geog &amp; Geol, Greifswald, Mecklenburg Vor, Germany.</t>
  </si>
  <si>
    <t>schwerdtne@uni-greifswald.de</t>
  </si>
  <si>
    <t>3R Oceans project, 2022, HIGH SEAS DEEP OC RE; Adler Antony., 2019, Neptune's Laboratory: Fantasy, Fear, and Science at Sea; Amel E, 2017, SCIENCE, V356, P275, DOI 10.1126/science.aal1931; Anand RamPrakash., 1983, ORIGIN DEV LAW SEA; Antonetti P, 2014, J BUS ETHICS, V124, P117, DOI 10.1007/s10551-013-1841-9; Arch Jakobina., 2018, BRINGING WHALES ASHO; Ashley M, 2019, FRONT MAR SCI, V6, DOI 10.3389/fmars.2019.00288; Bamberg S, 2007, J ENVIRON PSYCHOL, V27, P14, DOI 10.1016/j.jenvp.2006.12.002; Bandura A., 2016, Moral Disengagement: How People Do Harm and Live With Themselves; Borja A, 2020, FRONT MAR SCI, V6, DOI 10.3389/fmars.2019.00837; Brennan C, 2019, FRONT MAR SCI, V6, DOI 10.3389/fmars.2019.00360; Buchan PM, 2023, PLOS ONE, V18, DOI 10.1371/journal.pone.0280518; Canadian Ocean Literacy Coalition, 2021, CAN OC LIT STRAT 202; CaNOE, 2023, US; Cava F., 2005, Science Content and Standards for Ocean Literacy: A Report on Ocean Literacy, P1; Chaplin Joyce E., 2014, Pacific Histories: Ocean, Land, People, P53, DOI DOI 10.1007/978-1-137-00164-1; Crosman KM, 2022, CONSERV LETT, V15, DOI 10.1111/conl.12885; Demuth Bathsheba., 2019, Floating Coast: An Environmental History of the Bering Strait; DICKERSON CA, 1992, J APPL SOC PSYCHOL, V22, P841, DOI 10.1111/j.1559-1816.1992.tb00928.x; Domegan C., 2019, SOCIAL MARKETING ACT, P393; Feinberg R, 2003, CARTOGR J, V40, P243, DOI 10.1179/000870403225012943; FESTINGER L, 1962, SCI AM, V207, P93, DOI 10.1038/scientificamerican1062-93; Fletcher S, 2007, COAST MANAGE, V35, P511, DOI 10.1080/08920750701525818; Gerhardt C., 2023, SEA CHANGE ATLAS ISL; Gillis JohnR., 2012, The Human Shore : Seacoasts in History; Hau'ofa E., 1993, OUR SEA ISLANDS; IOC-UNESCO, 2022, A New Blue Curriculum-A Toolkit for Policy-Makers IOC Manuals and Guides, 90; IOC-UNESCO, 2022, STAT OC REP PIL ED; Jacob D., 2022, RES PRIORITIES SUSTA; Jefferson R, 2015, OCEAN COAST MANAGE, V115, P61, DOI 10.1016/j.ocecoaman.2015.06.014; Kollmuss A., 2002, ENVIRON EDUC RES, V8, P239, DOI [10.1080/13504620220145401, DOI 10.1080/13504620220145401]; Kopke K, 2019, FRONT MAR SCI, V6, DOI 10.3389/fmars.2019.00060; Kroll Gary, 2008, AM OCEAN WILDERNESS; Lotze HK, 2018, OCEAN COAST MANAGE, V152, P14, DOI 10.1016/j.ocecoaman.2017.11.004; Markowitz EM, 2012, NAT CLIM CHANGE, V2, P243, DOI [10.1038/nclimate1378, 10.1038/NCLIMATE1378]; McCauley V, 2019, ENVIRON EDUC RES, V25, P280, DOI 10.1080/13504622.2018.1553234; McGregor D, 2023, J GREAT LAKES RES, V49, pS22, DOI 10.1016/j.jglr.2023.02.009; McKinley E, 2023, MAR POLLUT BULL, V186, DOI 10.1016/j.marpolbul.2022.114467; McKinley E., 2020, Understanding Ocean Literacy and Ocean Climate-Related Behaviour Change in the UK-Work Package 1: Evidence Synthesis; McKinley E, 2020, ENVIRON SCI POLICY, V108, P85, DOI 10.1016/j.envsci.2020.03.015; Michigan Sea Grant, 2018, GREAT LAK LIT; Mokos M, 2020, MEDITERR MAR SCI, V21, P592, DOI 10.12681/mms.23400; Nielsen KS, 2021, NAT HUM BEHAV, V5, P550, DOI 10.1038/s41562-021-01109-5; Norstrom AV, 2020, NAT SUSTAIN, V3, P182, DOI 10.1038/s41893-019-0448-2; O'Halloran C, 2022, FRONT MAR SCI, V9, DOI 10.3389/fmars.2022.976006; O'Hara CC, 2021, SCIENCE, V372, P84, DOI 10.1126/science.abe6731; Patterson J, 2017, ENVIRON INNOV SOC TR, V24, P1, DOI 10.1016/j.eist.2016.09.001; PAULY D, 1995, TRENDS ECOL EVOL, V10, P430, DOI 10.1016/S0169-5347(00)89171-5; *PEW OC COMM, 2003, AM LIV OC CHART COUR; Pressey RL, 2009, ORYX, V43, P464, DOI 10.1017/S0030605309990500; Reid JoshuaL., 2015, SEA IS MY COUNTRY MA; Reidy MS, 2014, ISIS, V105, P338, DOI 10.1086/676571; Reidy MichaelS., 2008, Tides of History: Ocean Science and Her Majesty's Navy; Rozwadowski H. M., 2020, PARK STEWARDSHIP FOR, V36, P365, DOI [10.5070/P536349841, DOI 10.5070/P536349841]; Rozwadowski H. M., 2018, VAST EXPANSES; Ryabinin V, 2019, FRONT MAR SCI, V6, DOI 10.3389/fmars.2019.00470; Schwerdtner Manez K., 2020, SAVE NATURE PLEASE B; Somerville ATP, 2017, COMP LITERATURE, V69, P25, DOI 10.1215/00104124-3794579; Steinberg PhilipE., 2001, The Social Construction ofthe Ocean; Steinberg T., 2006, Acts of God the Unnatural History of Natural Disaster in America, V2nd; Stoll-Kleemann S, 2022, SUSTAINABILITY-BASEL, V14, DOI 10.3390/su14105742; Stoll-Kleemann S, 2020, SUSTAINABILITY-BASEL, V12, DOI 10.3390/su12030935; Tsai LT, 2019, ENVIRON EDUC RES, V25, P264, DOI 10.1080/13504622.2018.1542487; UNESCO, 2018, OC LIT PORT; Worm B., 2021, Ethics in Science and Environmental Politics, V21, P1, DOI DOI 10.3354/ESEP00196</t>
  </si>
  <si>
    <t>JUL 11</t>
  </si>
  <si>
    <t>10.3389/fmars.2023.1178061</t>
  </si>
  <si>
    <t>M8LT5</t>
  </si>
  <si>
    <t>WOS:001032682800001</t>
  </si>
  <si>
    <t>Leitao, R; Maguire, M; Turner, S; Guimaraes, L</t>
  </si>
  <si>
    <t>Leitao, Rui; Maguire, Martin; Turner, Sarah; Guimaraes, Laura</t>
  </si>
  <si>
    <t>A systematic evaluation of game elements effects on students' motivation</t>
  </si>
  <si>
    <t>EDUCATION AND INFORMATION TECHNOLOGIES</t>
  </si>
  <si>
    <t>Educational tools; Motivation; Engagement; Gamification; Mobile applications; Ocean literacy</t>
  </si>
  <si>
    <t>SELF-DETERMINATION THEORY; INTRINSIC MOTIVATION; OCEAN LITERACY; EXTRINSIC REWARDS; GAMIFICATION; EDUCATION; DESIGN; ENGAGEMENT; CLASSROOM</t>
  </si>
  <si>
    <t>Motivation theory is indispensable when discussing processes of learning. Learners who are motivated can learn almost everything. Students' motivation is probably one of the most important factors for teacher effectiveness both for engagement in the learning process and high academic performance. To have effective environmental education, it is not only necessary to inform the public about the ocean but also to involve and engage them is essential. Motivation and engagement are some of the most commonly mentioned concepts in gamification, thus, a gamified application seems to have the necessary features to improve the motivation of students in the learning context of Ocean Literacy topics. The main aims of this work were: i) to understand through a systematic evaluation, how game elements affect the different motivation layers; and ii) to compare them in terms of enhancing the motivation to recycle among secondary school students (11-14 years). To measure students' motivation, a pre-test and a post-test using a recycling situational motivation survey were administered in a classroom environment in Portugal and the UK. Findings show a trend regarding the effect of game elements mainly on the most autonomous forms of motivation. The different game elements, each one with different degrees of effects, were shown to have potential to increase motivation.</t>
  </si>
  <si>
    <t>[Leitao, Rui; Maguire, Martin] Loughborough Univ, Sch Design &amp; Creat Arts, Epinal Way, Loughborough LE11 3TU, Leics, England; [Leitao, Rui; Guimaraes, Laura] Univ Porto, Interdisciplinary Ctr Marine &amp; Environm Res CIIMA, Porto, Portugal; [Turner, Sarah] Loughborough Univ, Ctr Acad Practice, Epinal Way, Loughborough LE11 3TU, Leics, England</t>
  </si>
  <si>
    <t>Leitao, R (corresponding author), Loughborough Univ, Sch Design &amp; Creat Arts, Epinal Way, Loughborough LE11 3TU, Leics, England.;Leitao, R (corresponding author), Univ Porto, Interdisciplinary Ctr Marine &amp; Environm Res CIIMA, Porto, Portugal.</t>
  </si>
  <si>
    <t>r.leitao@lboro.ac.uk; m.c.maguire@lboro.ac.uk; s.turner4@lboro.ac.uk; lcoutinho@ciimar.up.pt</t>
  </si>
  <si>
    <t>Guimarães, Laura/AGD-8925-2022; Leitao, Rui/GQY-8640-2022</t>
  </si>
  <si>
    <t>Guimarães, Laura/0000-0003-3360-3783; Leitao, Rui/0000-0003-3971-3289</t>
  </si>
  <si>
    <t>Arts and Humanities Research Council Design Star CDT [AH/L503770/1]; project OceanClass - Do oceano para a sala de aula - Blue Growth Programme of EEA Grants Portugal [EEA.BG.SGS3.022.2019]; FCT (Foundation for the Science and Technology) [UIDB/04423/2020, UIDP/04423/2020]</t>
  </si>
  <si>
    <t>Arts and Humanities Research Council Design Star CDT(UK Research &amp; Innovation (UKRI)Arts &amp; Humanities Research Council (AHRC)); project OceanClass - Do oceano para a sala de aula - Blue Growth Programme of EEA Grants Portugal; FCT (Foundation for the Science and Technology)(Fundacao para a Ciencia e a Tecnologia (FCT))</t>
  </si>
  <si>
    <t>The authors are thankful to the student participants who took part of the study as well as the schools involved. We would also like to thank the Interdisciplinary Centre of Marine and Environmental Research (CIIMAR) for their help. This research was supported by the Arts and Humanities Research Council Design Star CDT (AH/L503770/1). The research was also supported by project OceanClass - Do oceano para a sala de aula funded by the Blue Growth Programme of EEA Grants Portugal (EEA.BG.SGS3.022.2019), (2021-2023) and by national funds through FCT (Foundation for the Science and Technology) within the scope of UIDB/04423/2020 and UIDP/04423/2020.</t>
  </si>
  <si>
    <t>Abramovich S, 2013, ETR&amp;D-EDUC TECH RES, V61, P217, DOI 10.1007/s11423-013-9289-2; Ankamah-Yeboah I, 2020, FRONT MAR SCI, V7, DOI 10.3389/fmars.2020.00137; [Anonymous], 2016, OCTALYSIS MEDIA, DOI DOI 10.1017/CBO9781107415324.004; Brophy J., 2010, Motivating students to learn, V3rd, DOI 10.4324/9780203858318; Çakiroglu O, 2017, COMPUT HUM BEHAV, V69, P98, DOI 10.1016/j.chb.2016.12.018; Cava F., 2005, Science Content and Standards for Ocean Literacy: A Report on Ocean Literacy, P1; Chee CM, 2017, IETE TECH REV, V34, P593, DOI 10.1080/02564602.2017.1315965; Consolvo S., 2006, P SIGCHI C HUMAN FAC, P457, DOI [10.1145/1124772.1124840, DOI 10.1145/1124772.1124840]; Costa S, 2018, MAR POLICY, V87, P149, DOI 10.1016/j.marpol.2017.10.022; Csikszentmihalyi M, 1999, AM PSYCHOL, V54, P821, DOI 10.1037/0003-066X.54.10.821; Csikszentmihalyi M., 1975, BOREDOM ANXIETY, DOI DOI 10.1037/10516-164; Csikszentmihalyi M., 2014, Flow and the Foundations of Positive Psychology: The Collected Works of Mihaly Csikszentmihalyi, P209, DOI DOI 10.1007/978-94-017-9088-8_14; Daigle D, 2003, VALUES AT SEA, P230; de-Marcos L, 2014, COMPUT EDUC, V75, P82, DOI 10.1016/j.compedu.2014.01.012; Deci E.L., 1985, INTRINSIC MOTIVATION, DOI DOI 10.1007/978-1-4899-2271-7; Deci EL, 1999, PSYCHOL BULL, V125, P627, DOI 10.1037/0033-2909.125.6.627; Deci EL, 2001, REV EDUC RES, V71, P1, DOI 10.3102/00346543071001001; Denny P, 2018, PROCEEDINGS OF THE 2018 CHI CONFERENCE ON HUMAN FACTORS IN COMPUTING SYSTEMS (CHI 2018), DOI 10.1145/3173574.3173885; Deterding S., 2011, GAMIFICATION USING G; Deterding S., 2013, WORKSH PAP CHI2013; Deterding S, 2015, HUM-COMPUT INTERACT, V30, P294, DOI 10.1080/07370024.2014.993471; Dichev C, 2017, INT J EDUC TECHNOL H, V14, DOI 10.1186/s41239-017-0042-5; Dicheva D, 2019, INT J SERIOUS GAMES, V6, P5, DOI 10.17083/ijsg.v6i3.299; Dicheva D, 2018, IEEE INT CONF ADV LE, P408, DOI 10.1109/ICALT.2018.00102; Dijkstra P, 2008, REV EDUC RES, V78, P828, DOI 10.3102/0034654308321210; Domínguez A, 2013, COMPUT EDUC, V63, P380, DOI 10.1016/j.compedu.2012.12.020; EEA E. E. A, 2019, EUR SEAS COASTS; Esteves J. M., 2017, Academy of Management Proceedings, V2017, P13560, DOI [10.5465/AMBPP.2017.13560ABSTRACT, DOI 10.5465/AMBPP.2017.13560ABSTRACT]; Falasca-Zamponi, 2010, WASTE CONSUMPTION WA, DOI [10.4324/9780203834275, DOI 10.4324/9780203834275]; Fauville G, 2019, ENVIRON EDUC RES, V25, P238, DOI 10.1080/13504622.2018.1440381; Frick J, 2004, PERS INDIV DIFFER, V37, P1597, DOI 10.1016/j.paid.2004.02.015; Goodale T.A., 2020, Journal of Education for Sustainable Development, V14, P5, DOI DOI 10.1177/0973408220934645; Guay F, 2000, MOTIV EMOTION, V24, P175, DOI 10.1023/A:1005614228250; Guest H, 2015, MAR POLICY, V58, P98, DOI 10.1016/j.marpol.2015.04.007; Hakulinen L, 2014, INT CONF TEACH LEARN, P9, DOI 10.1109/LaTiCE.2014.10; Hamari J, 2014, P ANN HICSS, P3025, DOI 10.1109/HICSS.2014.377; Hanus MD, 2015, COMPUT EDUC, V80, P152, DOI 10.1016/j.compedu.2014.08.019; Ibáñez MB, 2014, IEEE T LEARN TECHNOL, V7, P291, DOI 10.1109/TLT.2014.2329293; Kapp K.M., 2013, GAMIFICATION LEARNIN; Kirillov AV., 2018, TURK ONLINE J DES AR, V8, P1044, DOI [10.7456/1080SSE/144, DOI 10.7456/1080SSE/144]; Kornevs M, 2019, INT J SERIOUS GAMES, V6, P23, DOI 10.17083/ijsg.v6i2.293; Landers RN, 2017, COMPUT HUM BEHAV, V71, P508, DOI 10.1016/j.chb.2015.08.008; Lawlor J, 2016, TECHNOL PEDAGOG EDUC, V25, P187, DOI 10.1080/1475939X.2015.1023828; Leitao R, 2019, EDULEARN PROC, P5381; Leitao R, 2018, INTED PROC, P5058; Lister M.C., 2015, Issues and Trends in Educational Technology, V3, P2, DOI DOI 10.2458/AZUITETV3I2LISTER; Liu D, 2017, MIS QUART, V41, P1011; Lonsdale C, 2011, PSYCHOL SPORT EXERC, V12, P284, DOI 10.1016/j.psychsport.2010.11.003; Loughrey K, 2018, 2018 IEEE GAMES, ENTERTAINMENT, MEDIA CONFERENCE (GEM), P529, DOI 10.1109/GEM.2018.8516535; Magni M, 2010, INT J HUM-COMPUT ST, V68, P572, DOI 10.1016/j.ijhcs.2010.03.004; Maguire R, 11 ANN INT C ED NEW, P3110, DOI [10.21125/edulearn.2019.0841, DOI 10.21125/EDULEARN.2019.0841]; Mandl J, 2014, LEARNING GAMES QUALI; Mekler E., 2013, CHI 13 EXTENDED ABST, DOI DOI 10.1145/2468356.2468559; Mensah, 2010, ELECT J RES SCI MATH, V1; Mercer TG, 2017, INT J SUST HIGHER ED, V18, P359, DOI 10.1108/IJSHE-03-2015-0064; Nevin CR, 2014, POSTGRAD MED J, V90, P685, DOI 10.1136/postgradmedj-2013-132486; Osterlie O, 2019, COGENT EDUC, V6, DOI 10.1080/2331186X.2019.1603613; Pant E., 2019, International Information Library Review, V51, P247, DOI [10.1080/10572317.2019.1629067, DOI 10.1080/10572317.2019.1629067, https://doi.org/10.1080/10572317.2019.1629067]; Park J, 2019, COMPUT EDUC, V142, DOI 10.1016/j.compedu.2019.103643; Parr J, 2017, EGU GEN ASS C, P13965; Przybylski AK, 2010, REV GEN PSYCHOL, V14, P154, DOI 10.1037/a0019440; Rapp A, 2019, INT J HUM-COMPUT ST, V127, P1, DOI 10.1016/j.ijhcs.2018.11.007; Reeve J, 1996, PERS SOC PSYCHOL B, V22, P24, DOI 10.1177/0146167296221003; Rigby CS, 2014, GAMEFUL WORLD: APPROACHES, ISSUES, APPLICATIONS, P113; Ryan RM, 2006, MOTIV EMOTION, V30, P347, DOI 10.1007/s11031-006-9051-8; Ryan RM, 2000, CONTEMP EDUC PSYCHOL, V25, P54, DOI 10.1006/ceps.1999.1020; Ryan RM, 2000, AM PSYCHOL, V55, P68, DOI 10.1037/0003-066X.55.1.68; Sailer M, 2017, COMPUT HUM BEHAV, V69, P371, DOI 10.1016/j.chb.2016.12.033; Schunk DH., 2019, The Oxford handbook of human motivation; Seaborn K, 2015, INT J HUM-COMPUT ST, V74, P14, DOI 10.1016/j.ijhcs.2014.09.006; Silpasuwanchai C, 2016, DIS 2016: PROCEEDINGS OF THE 2016 ACM CONFERENCE ON DESIGNING INTERACTIVE SYSTEMS, P459, DOI 10.1145/2901790.2901836; Standage M, 2003, J SPORT EXERCISE PSY, V25, P19, DOI 10.1123/jsep.25.1.19; Thiebes S., 2014, P EUR C INF SYT TEL; Tran L.C., 2009, COMMUNICATIONS-GER, P1; Turner Clayton A., 2014, International Journal of e-Education, e-Business, e-Management and e-Learning, V4, P243, DOI 10.7763/IJEEEE.2014.V4.338; Turner S., 2019, OCEAN LITERACY APP 6; Werbach K., 2014, PERSUASIVE TECHNOLOG, P266, DOI [DOI 10.1007/978-3-319-07127-5_23/COVER, 10.1007/978-3-319-07127-5_23, DOI 10.1007/978-3-319-07127-5_23]; Werbach K., 2012, WIN GAME THINKING CA; Williams K.C., 2011, Research in Higher Education Journal, V12, P1, DOI DOI 10.1080/15389588.2010.515631; Winks L, 2020, ENVIRON EDUC RES, V26, P969, DOI 10.1080/13504622.2020.1758631; Xu Y., 2011, LIT REV WEB APPL GAM; Zichermann G., 2011, Gamification by Design: Implementing Game Mechanics in Web and Mobile Apps; Zuckerman O, 2014, PERS UBIQUIT COMPUT, V18, P1705, DOI 10.1007/s00779-014-0783-2</t>
  </si>
  <si>
    <t>1360-2357</t>
  </si>
  <si>
    <t>1573-7608</t>
  </si>
  <si>
    <t>EDUC INF TECHNOL</t>
  </si>
  <si>
    <t>Educ. Inf. Technol.</t>
  </si>
  <si>
    <t>10.1007/s10639-021-10651-8</t>
  </si>
  <si>
    <t>JUL 2021</t>
  </si>
  <si>
    <t>YQ5XA</t>
  </si>
  <si>
    <t>WOS:000670725600006</t>
  </si>
  <si>
    <t>Dzambo, AM; Mooney, M; Handlos, ZJ; Lindstrom, S; Hang, Y; Ackerman, SA</t>
  </si>
  <si>
    <t>Dzambo, Andrew M.; Mooney, Margaret; Handlos, Zachary J.; Lindstrom, Scott; Hang, Yun; Ackerman, Steve A.</t>
  </si>
  <si>
    <t>An Interactive Online Course in Climate and Climate Change Advancing Climate Literacy for Non-Atmospheric Science Majors</t>
  </si>
  <si>
    <t>BULLETIN OF THE AMERICAN METEOROLOGICAL SOCIETY</t>
  </si>
  <si>
    <t>Since 2013, the Department of Atmospheric and Oceanic Sciences at the University of Wisconsin-Madison has offered an online course titled Climate and Climate Change. Students enrolled in this course learn the physical principles governing Earth's climate and climate change within the broader context of societal impacts and global political considerations. Students interact weekly with each other about these topics, and frequent instructor interaction stimulates further learning related to the course goals. The course was delivered through a balanced mix of forum discussions, weekly worksheets, quizzes, and a final project. For this study, student climate literacy was assessed through voluntary pre- and post-course surveys containing student self-assessment questions and a variety of questions directly based on course content. Post-course survey results indicate 99% of students taking this course feel fairly well informed or very well informed about their physical understanding of Earth's climate and the numerous processes governing climate change. The 2019 cohort observed a statistically significant increase in the percentage of students adopting the viewpoint that climate change is caused primarily by human activities. We present a template for implementation in other Earth science or atmospheric science curricula, which includes discussion forum, quiz, and worksheet examples from this course.</t>
  </si>
  <si>
    <t>[Dzambo, Andrew M.; Hang, Yun; Ackerman, Steve A.] Univ Wisconsin, Dept Atmospher &amp; Ocean Sci, Madison, WI 53706 USA; [Mooney, Margaret; Lindstrom, Scott; Ackerman, Steve A.] Univ Wisconsin, Cooperat Inst Meteorol Satellite Studies, Madison, WI USA; [Handlos, Zachary J.] Georgia Inst Technol, Sch Earth &amp; Atmospher Sci, Atlanta, GA 30332 USA; [Lindstrom, Scott] Madison Area Tech Coll, Madison, WI USA</t>
  </si>
  <si>
    <t>University of Wisconsin System; University of Wisconsin Madison; University of Wisconsin System; University of Wisconsin Madison; University System of Georgia; Georgia Institute of Technology</t>
  </si>
  <si>
    <t>Dzambo, AM (corresponding author), Univ Wisconsin, Dept Atmospher &amp; Ocean Sci, Madison, WI 53706 USA.</t>
  </si>
  <si>
    <t>adzambo@wisc.edu</t>
  </si>
  <si>
    <t>American Meteorological Society, 2020, CLIMATE CHANGE; American Meteorological Society, 2019, Climate Change: An Information Statement; Anderson A., 2012, Journal of Education for Sustainable Development, V6, P191, DOI [10.1177/0973408212475199, DOI 10.1177/0973408212475199]; [Anonymous], 2000, CLIM CHANG IMP US PO; Bedford D, 2016, J GEOGR, V115, P187, DOI 10.1080/00221341.2015.1105851; Boykoff MT, 2004, GLOBAL ENVIRON CHANG, V14, P125, DOI 10.1016/j.gloenvcha.2003.10.001; Clary R.M., 2014, Journal of Geoscience Education, V62, P402, DOI DOI 10.5408/13-077.1; Conca J., 2019, FORBES MAGAZINE; Cook J., 2014, J Geosci Educ, V62, P296, DOI DOI 10.5408/13-071.1; Cordero EC, 2008, B AM METEOROL SOC, V89, P865, DOI 10.1175/2007BAMS2432.1; Cordero EC, 2020, PLOS ONE, V15, DOI 10.1371/journal.pone.0206266; Garfin G, 2013, NCA REGION INPUT REP, P1, DOI 10.5822/978-1-61091-484-0; Hanrahan J, 2019, B AM METEOROL SOC, V100, P1209, DOI 10.1175/BAMS-D-17-0332.1; Hess DJ, 2018, J CLEAN PROD, V170, P1451, DOI 10.1016/j.jclepro.2017.09.215; Holton D.L., 2009, Journal of Online Learning and Teaching, V5, P348; IPCC, 2019, CLIM LAND SUMM POL; Jeffries H., 2001, RES SCI TECHNOL EDUC, V19, P205, DOI DOI 10.1080/02635140120087731; John R., 2014, Canvas LMS course design: Design, build, and teach your very own online course using the powerful tools of the Canvas Learning Management System; Kirk KarinB., 2014, J GEOSCIENCE ED, V62, P538, DOI DOI 10.5408/13-054; Kluver D.B., 2018, J GEOSCIENCE ED, V66, P25, DOI [10.1080/10899995.2018.1411734, DOI 10.1080/10899995.2018.1411734]; Leiserowitz A., 2012, Climate Change in the American mind: American's global warming beliefs and attitudes in September 2012. Yale University and George Mason University; Lindstrom S. S., 2012, 2012 FALL M SAN FRAN; Lindstrom S. S, 2013, 2013 FALL M SAN FRAN; Lynds S., 2013, ANN M DENV CO GEOPH; Mittenzwei D., 2019, EURASIA Journal of Mathematics, Science and Technology Education, V15, P1, DOI DOI 10.29333/EJMSTE/105637; Mooney M. E., 2014, 23 S ED ATL GA AM ME, P212; Mooney M. E, 2014, 2014 FALL M SAN FRAN; Mooney M. E, 2012, EARTH SCI, V28, P30; Naveh G, 2010, INTERNET HIGH EDUC, V13, P127, DOI 10.1016/j.iheduc.2010.02.004; Nurminen JK, 2008, CONSUM COMM NETWORK, P1228, DOI 10.1109/ccnc08.2007.281; Reidmiller D.R., 2018, IMPACTS RISKS ADAPTA, DOI [10.7930/NCA4.2018, DOI 10.7930/NCA4.2018]; Somerville RCJ, 2011, PHYS TODAY, V64, P48, DOI 10.1063/PT.3.1296; Stenhouse N, 2017, B AM METEOROL SOC, V98, P219, DOI 10.1175/BAMS-D-15-00265.1; Ungar S, 2000, PUBLIC UNDERST SCI, V9, P297, DOI 10.1088/0963-6625/9/3/306; van der Linden S, 2017, GLOB CHALL, V1, DOI 10.1002/gch2.201600008; Yale Program on Climate Change Communication, 2020, GLOBAL WARMINGS 6 AM; 2007, CLIMATE CHANGE 2007, P1</t>
  </si>
  <si>
    <t>AMER METEOROLOGICAL SOC</t>
  </si>
  <si>
    <t>BOSTON</t>
  </si>
  <si>
    <t>45 BEACON ST, BOSTON, MA 02108-3693 USA</t>
  </si>
  <si>
    <t>0003-0007</t>
  </si>
  <si>
    <t>1520-0477</t>
  </si>
  <si>
    <t>B AM METEOROL SOC</t>
  </si>
  <si>
    <t>Bull. Amer. Meteorol. Soc.</t>
  </si>
  <si>
    <t>E1697</t>
  </si>
  <si>
    <t>E1708</t>
  </si>
  <si>
    <t>10.1175/BAMS-D-19-0271.1</t>
  </si>
  <si>
    <t>Meteorology &amp; Atmospheric Sciences</t>
  </si>
  <si>
    <t>OP9FJ</t>
  </si>
  <si>
    <t>WOS:000588395600010</t>
  </si>
  <si>
    <t>Arto-Blanco, M; Meira-Cartea, PA; Gutiérrez-Pérez, J</t>
  </si>
  <si>
    <t>Arto-Blanco, Monica; Angel Meira-Cartea, Pablo; Gutierrez-Perez, Jose</t>
  </si>
  <si>
    <t>Climate literacy among university students in Mexico and Spain: influence of scientific and popular culture in the representation of the causes of climate change</t>
  </si>
  <si>
    <t>climate change; global warming; causes; climate literacy; higher education</t>
  </si>
  <si>
    <t>KNOWLEDGE; TEACHERS</t>
  </si>
  <si>
    <t>This article analyses climate literacy among university students, using their knowledge about the causes of climate change. Based on the theory of social representation, this comparative study examined a sample of 503 students. Using drawings and text, students were asked to respond to the question 'What is climate change?' They then completed an ad hoc survey. Qualitative and quantitative analysis of the data revealed that most students recognised human responsibility in climate change but demonstrated gaps in their understanding of the phenomenon. The results show that more specialised university education in the natural and technological sciences did not translate into more accurate representation, which was affected by common culture and scientific representation. In light of these findings, we offer recommendations for incorporating climate change into higher education curricula.</t>
  </si>
  <si>
    <t>[Arto-Blanco, Monica; Angel Meira-Cartea, Pablo] Fac Ciencias Educ, Campus Vida,Rua Xose Maria Suarez Nunez S-N, Santiago De Compostela 15782, Spain; [Gutierrez-Perez, Jose] Fac Ciencias Educ, Campus Univ Cartuja S-N, Granada 18071, Spain</t>
  </si>
  <si>
    <t>Universidade de Santiago de Compostela</t>
  </si>
  <si>
    <t>Arto-Blanco, M (corresponding author), Fac Ciencias Educ, Campus Vida,Rua Xose Maria Suarez Nunez S-N, Santiago De Compostela 15782, Spain.</t>
  </si>
  <si>
    <t>monica.arto.blanco@usc.es; pablo.meira@usc.es; jguti@ugr.es</t>
  </si>
  <si>
    <t>Meira-Cartea, Pablo Ángel/G-2631-2016; GUTIERREZ-PEREZ, JOSE/C-4202-2008; Gutierrez Pacherres, Jose Rodolfo/HZL-0476-2023</t>
  </si>
  <si>
    <t>Meira-Cartea, Pablo Ángel/0000-0003-0194-7477; GUTIERREZ-PEREZ, JOSE/0000-0003-4211-9694;</t>
  </si>
  <si>
    <t>Ministry of Economy and Competitiveness-Government of Spain [EDU2012-33456]</t>
  </si>
  <si>
    <t>Ministry of Economy and Competitiveness-Government of Spain</t>
  </si>
  <si>
    <t>This research is part of the RESCLIMA project supported by the Ministry of Economy and Competitiveness-Government of Spain, VI National Program of R+D+i 2008-2011 call 2012, REF. EDU2012-33456 (http://www.resclima.info).</t>
  </si>
  <si>
    <t>[Anonymous], ETH IMPL GLOB CLIM C; [Anonymous], INT HUM DEV IND; [Anonymous], SOC ANTE CAMBIO CLIM; [Anonymous], 2013, RESPUESTA SOC ESPANO; [Anonymous], 2010, CLIMATE CHANGE GENER; Boon HJ, 2010, AUST J TEACH EDUC, V35, P104, DOI 10.14221/ajte.2016v41n4.3; BOYES E., 1995, ENV ED, V1, P133; Caney Simon., 2010, COSMOPOLITANISM CONT, P19; Capstick S, 2015, WIRES CLIM CHANGE, V6, P35, DOI 10.1002/wcc.321; Çelikler D, 2011, PROCD SOC BEHV, V15, P1438, DOI 10.1016/j.sbspro.2011.03.308; Cimer S., 2011, Educational Research and Reviews, V6, P592; Correa M, 2012, PERCEPCION SOCIAL CA, P107; Danielson KI, 2015, CBE-LIFE SCI EDUC, V14, DOI 10.1187/cbe.14-11-0209; Dove J., 1996, ENVIRON EDUC RES, V2, P89, DOI [DOI 10.1080/1350462960020108, https://doi.org/10.1080/1350462960020108]; Dupigny-Giroux LAL, 2010, GEOGR COMPASS, V4, P1203, DOI 10.1111/j.1749-8198.2010.00368.x; Flick U., 2007, El diseno de investigacion cualitativa; Gardiner SM, 2004, ETHICS, V114, P555, DOI 10.1086/382247; GONZALEZ-GAUDIANO E., 2013, Los jovenes universitarios y el cambio climatico: un estudio de representaciones sociales; Groves F., 1999, J SCI EDUC TECHNOL, V8, P75, DOI [10.1023/A:1009433705790, DOI 10.1023/A:1009433705790]; Hempel M., 2014, GOBERNAR SOSTENIBILI, P79; IPCC, 2019, IPCC SPECIAL REPORT, DOI [10.1017/CBO9781107415324.024, DOI 10.1017/CBO9781107415324]; IPCC, 2018, IPCC, DOI [DOI 10.1017/9781009157926.005, DOI 10.1017/CBO9781107415324]; Jamelske E., 2013, J ENVIRON STUD SCI, V3, P269, DOI [DOI 10.1007/S13412-013-0144-X, 10.1007/s13412-013-0144-x]; Jarman R., 2010, DESARROLLO ALFABETIS; Kalipci E., 2009, World Applied Science Journal, V7, P67; Khalid T., 2001, CAN J ENVIRON EDUC, V6, P102; Libarkin JC, 2015, INT J SCI EDUC, V37, P2214, DOI 10.1080/09500693.2015.1074757; Lombardi D, 2012, RES SCI EDUC, V42, P201, DOI 10.1007/s11165-010-9196-z; Manolas Evangelos I., 2010, International Journal of Environmental Studies, V67, P599, DOI 10.1080/00207233.2010.499208; McCuin J.L., 2014, J GEOSCIENCE ED, V62, P445, DOI [10.5408/13-068.1, DOI 10.5408/13-068.1]; Moscovici S., 1979, El psicoanalisis, su imagen y su publico; National Oceanic and Atmospheric Administration, 2009, CLIM LIT ESS PRINC C; Norgaard KariM., 2009, World Bank Policy Research Working Paper 4940, DOI DOI 10.1596/1813-9450-4940; Page EA, 2006, CLIMATE CHANGE, JUSTICE AND FUTURE GENERATIONS, P1; Papadimitriou V., 2004, J SCI EDUC TECHNOL, V13, P299, DOI [10.1023/B:JOST.0000031268.72848.6d, https://doi.org/10.1023/B:JOST.0000031268.72848.6d, DOI 10.1023/B:JOST.0000031268.72848.6D]; Pruneau D., 2001, CAN J ENVIRON EDUC, V6, P121; READ D, 1994, RISK ANAL, V14, P971, DOI 10.1111/j.1539-6924.1994.tb00066.x; Ungar S, 2000, PUBLIC UNDERST SCI, V9, P297, DOI 10.1088/0963-6625/9/3/306; VELAYOS Carmen., 2008, Etica y cambio climatico; Ventura A.P., 2011, THESIS; Versprille AN, 2015, J CHEM EDUC, V92, P603, DOI 10.1021/ed500589g; Wachholz S, 2014, INT J SUST HIGHER ED, V15, P128, DOI 10.1108/IJSHE-03-2012-0025; Wagner W., 2011, El discurso de lo cotidiano y el sentido comun. La teoria de las representaciones sociales</t>
  </si>
  <si>
    <t>10.1504/IJGW.2017.10005896</t>
  </si>
  <si>
    <t>WOS:000418492700009</t>
  </si>
  <si>
    <t>Force, TS; Longe, OM</t>
  </si>
  <si>
    <t>Force, Tlotlo Shenaz; Longe, Omowunmi Mary</t>
  </si>
  <si>
    <t>Impact of Energy Literacy on Energy Consumption, Expenditure and Management</t>
  </si>
  <si>
    <t>2022 IEEE NIGERIA 4TH INTERNATIONAL CONFERENCE ON DISRUPTIVE TECHNOLOGIES FOR SUSTAINABLE DEVELOPMENT (IEEE NIGERCON)</t>
  </si>
  <si>
    <t>4th IEEE-Nigeria-Section International Conference on Disruptive Technologies for Sustainable Development (IEEE NIGERCON)</t>
  </si>
  <si>
    <t>MAY 15-19, 2022</t>
  </si>
  <si>
    <t>Nile Univ Nigeria, Abuja, NIGERIA</t>
  </si>
  <si>
    <t>Nile Univ Nigeria</t>
  </si>
  <si>
    <t>Energy Consumption; Energy Expenditure; Energy Literacy; Energy Management; Load shedding</t>
  </si>
  <si>
    <t>Load shedding is a major issue presently in South Africa with year 2020 being the worst experience till date. However, statistics have reported that 2021 recorded 76% of the amount of load shedding that occurred in 2020. Poor energy management culture by many consumers have contributed to energy wastage, and consequently making the utility provider to carry out load shedding in order to stabilise the grid. Therefore, we thought it necessary to carry out a study to assess the energy management culture of consumers across the country based on their level of energy literacy. The easy-to-use format of the questionnaire through the designed Google form showed acceptable content validity and good internal consistency. Structured interviews were conducted among 701 residents of South Africa across all the nine provinces. It is observed that 70.6% of the respondents do not use energy efficiently as they are mostly energy illiterate about the power ratings of their appliances. Hence, it is imperative that manufacturers and other stakeholders in the energy use sector find ways to educate people about power ratings of appliances, energy tariffs and encourage the adoption of Home Solar Energy (HSE) to reduce the demand on the utility grid and help curtail the frequency of load shedding in the country.</t>
  </si>
  <si>
    <t>[Force, Tlotlo Shenaz; Longe, Omowunmi Mary] Univ Johannesburg, Elect &amp; Elect Engn Sci, Johannesburg, South Africa</t>
  </si>
  <si>
    <t>University of Johannesburg</t>
  </si>
  <si>
    <t>Force, TS (corresponding author), Univ Johannesburg, Elect &amp; Elect Engn Sci, Johannesburg, South Africa.</t>
  </si>
  <si>
    <t>tlotloforce93@gmail.com; omowunmil@uj.ac.za</t>
  </si>
  <si>
    <t>Longe, Omowunmi Mary/AGQ-8461-2022; Longe, Omowunmi Mary/GWV-4808-2022</t>
  </si>
  <si>
    <t>Longe, Omowunmi Mary/0000-0002-2170-7289; Longe, Omowunmi Mary/0000-0002-2170-7289</t>
  </si>
  <si>
    <t>[Anonymous], 2015, BUSINESSTECH STAFF W; DEP'TOFDEF, 2018, Summary of the 2018 National Defense Strategy', P3; Department of Energy South Africa, 2012, SURV EN REL BEH PERC; Department of Energy United States of America, 2017, EN LIT ESS PRINC FUN; Hall Andrew, 2021, CLIMATESCORECARD A H; Longe OM, 2014, 2014 IEEE PES INNOVATIVE SMART GRID TECHNOLOGIES CONFERENCE (ISGT); Longe OM, 2018, ENERGIES, V11, DOI 10.3390/en11040947; Longe OM, 2017, SUSTAINABILITY-BASEL, V9, DOI 10.3390/su9071088; Longe OM, 2017, SUSTAINABILITY-BASEL, V9, DOI 10.3390/su9010120; Martins A, 2020, ENERGY REP, V6, P454, DOI 10.1016/j.egyr.2019.09.007; Murphy T.P., 2002, The Minnesota report card on environmental literacy; Powe Technology by Jack Unwin Collins, 2019, POWE TECHNOLOGY JU C; Ratshomo K., 2019, S AFRICAN ENERGY SEC, P2; Statistics South Africa, 2020, GEN HOUS SURV 2019; This Old House Germany, 2015, GERM CAN TEACH US HO; Trotta G., 2017, HEAD SUST EN SYST EV; Winkler H., 2006, THESIS U CAPE TOWN C</t>
  </si>
  <si>
    <t>978-1-6654-7978-3</t>
  </si>
  <si>
    <t>10.1109/NIGERCON54645.2022.9803004</t>
  </si>
  <si>
    <t>Computer Science, Interdisciplinary Applications; Green &amp; Sustainable Science &amp; Technology; Engineering, Multidisciplinary</t>
  </si>
  <si>
    <t>Computer Science; Science &amp; Technology - Other Topics; Engineering</t>
  </si>
  <si>
    <t>BU0HF</t>
  </si>
  <si>
    <t>WOS:000869204000062</t>
  </si>
  <si>
    <t>He, ST; Blasch, J; van Beukering, P; Wang, JF</t>
  </si>
  <si>
    <t>He, Shutong; Blasch, Julia; van Beukering, Pieter; Wang, Junfeng</t>
  </si>
  <si>
    <t>Energy labels and heuristic decision-making: The role of cognition and energy literacy</t>
  </si>
  <si>
    <t>Energy label; Household decision-making; Heuristics; Cognitive style; Energy literacy</t>
  </si>
  <si>
    <t>INTERACTION TERMS; EFFICIENCY; BEHAVIOR; CULTURE; THINKING; INFORMATION; COST; FRAMEWORK; STYLES; CHOICE</t>
  </si>
  <si>
    <t>Energy labels are used worldwide to overcome the inefficiency in household energy use. Presenting energy efficiency in grade-like categories has been found to induce heuristic decision-making, known as the class valuation effect. This study investigates whether visualising energy efficiency using a continuous-scale label increases consumers' consciousness when purchasing appliances. We examine this question in an online survey with randomised decision tasks conducted in China and the Netherlands. In the Dutch sample, the effectiveness of continuous-scale labels depends on individuals' holistic cognitive tendency and the type of comparison they are faced with, whereas the Chinese sample is not sensitive to these moderators. Moreover, energy literacy shows mixed influence on individual decisions. Results suggest that representing energy efficiency on continuous scales can be used as supportive visual information to facilitate purchase decisions. Regarding energy education, knowledge that directly links to daily energy use seems to translate well into consumers' conscious decisions.</t>
  </si>
  <si>
    <t>[He, Shutong; Blasch, Julia; van Beukering, Pieter] Vrije Univ Amsterdam, Inst Environm Studies IVM, De Boelelaan 1111, NL-1081 HV Amsterdam, Netherlands; [Blasch, Julia] TH Ingolstadt, Esplanade 10, D-85049 Ingolstadt, Germany; [Wang, Junfeng] Nankai Univ, Coll Environm Sci &amp; Engn, Tongyan Rd 38, Tianjin 300350, Peoples R China; [Wang, Junfeng] Nankai Univ, Res Ctr Resource Energy &amp; Environm Policy, Tongyan Rd 38, Tianjin 300350, Peoples R China</t>
  </si>
  <si>
    <t>Vrije Universiteit Amsterdam; Nankai University; Nankai University</t>
  </si>
  <si>
    <t>He, ST (corresponding author), Vrije Univ Amsterdam, Inst Environm Studies IVM, De Boelelaan 1111, NL-1081 HV Amsterdam, Netherlands.;Wang, JF (corresponding author), Nankai Univ, Coll Environm Sci &amp; Engn, Tongyan Rd 38, Tianjin 300350, Peoples R China.;Wang, JF (corresponding author), Nankai Univ, Res Ctr Resource Energy &amp; Environm Policy, Tongyan Rd 38, Tianjin 300350, Peoples R China.</t>
  </si>
  <si>
    <t>shutong.he@vu.nl; jfwangnk@126.com</t>
  </si>
  <si>
    <t>He, Shutong/KDF-5960-2024; van Beukering, Pieter/L-3509-2013</t>
  </si>
  <si>
    <t>He, Shutong/0000-0003-0172-1259; van Beukering, Pieter/0000-0001-7146-4409; Blasch, Julia/0000-0002-1082-9272</t>
  </si>
  <si>
    <t>PBL Netherlands Environmental Assessment Agency; National Natural Science Foundation of China [72174097]; China Scholarship Council</t>
  </si>
  <si>
    <t>PBL Netherlands Environmental Assessment Agency; National Natural Science Foundation of China(National Natural Science Foundation of China (NSFC)); China Scholarship Council(China Scholarship Council)</t>
  </si>
  <si>
    <t>We would like to thank PBL Netherlands Environmental Assessment Agency, the National Natural Science Foundation of China [72174097], and China Scholarship Council for their financial supports. We appreciate comments and suggestions from Bianca Vermeer, Fujin Zhou, Jantsje Mol, Katarzyna Negacz, Kees Vringer, Linh Nguyen, MirtheBoomsma, and Peter Robinson in developing and translating the survey questionnaire. We would also like to express our sincere thanks to the participants of SABE2020, PhD Conference in Behavioural Science and Policy, 6th BEHAVE, 1st online IAEE, and 26th EAERE for their valuable feedback, as well as highly constructive comments from an anonymous reviewer.</t>
  </si>
  <si>
    <t>Abas AEP, 2018, ENERGY REP, V4, P671, DOI 10.1016/j.egyr.2018.10.003; Ai CR, 2003, ECON LETT, V80, P123, DOI 10.1016/S0165-1765(03)00032-6; Alberini A, 2016, ENERG J, V37, P315, DOI 10.5547/01956574.37.3.aalb; Allcott H, 2012, J ECON PERSPECT, V26, P3, DOI 10.1257/jep.26.1.3; ANDERSON CD, 1982, J CONSUM RES, V9, P163, DOI 10.1086/208909; Andor MA, 2019, ENERG ECON, V84, DOI 10.1016/j.eneco.2019.104527; Andor MA, 2020, ENERG J, V41, P83, DOI 10.5547/01956574.41.1.mand; [Anonymous], 2019, Energy Efficiency Indicators 2019 - Highlights; [Anonymous], 2017, Every Student Succeeds Act-High School Graduation Rate-Non-Regulatory Guidance, P1; [Anonymous], 1994, 1994 ACEEE SUMMER ST; Blasch J, 2021, ECON ENERGY ENV POL, V10, P149, DOI 10.5547/2160-5890.10.2.jbla; Blasch J, 2019, RESOUR ENERGY ECON, V56, P39, DOI 10.1016/j.reseneeco.2017.06.001; Boyano A, 2020, ENERG EFFIC, V13, P51, DOI 10.1007/s12053-019-09829-4; Brent DA, 2018, J ENVIRON ECON MANAG, V90, P181, DOI 10.1016/j.jeem.2018.05.004; Brounen D, 2013, ENERG ECON, V38, P42, DOI 10.1016/j.eneco.2013.02.008; Carroll J, 2016, J CONSUM POLICY, V39, P23, DOI 10.1007/s10603-015-9306-4; CHIU LH, 1972, INT J PSYCHOL, V7, P235, DOI 10.1080/00207597208246604; Choi I, 2003, J PERS SOC PSYCHOL, V84, P46, DOI 10.1037/0022-3514.84.1.46; Choi I, 1997, COGNITION, V65, P15, DOI 10.1016/S0010-0277(97)00034-6; Choi I, 2007, PERS SOC PSYCHOL B, V33, P691, DOI 10.1177/0146167206298568; Codagnone C, 2016, ECON POLIT-ITALY, V33, P403, DOI 10.1007/s40888-016-0042-2; d'Adda G, 2022, NAT ENERGY, V7, P360, DOI 10.1038/s41560-022-01002-z; Deng H., 2016, CHINAS ENERGY EFFICI, P75; Dethman L., 2000, P 2000 ACEEE SUMMER; Deutsch M, 2010, ENERG EFFIC, V3, P303, DOI 10.1007/s12053-010-9076-4; DeWaters J, 2013, J ENVIRON EDUC, V44, P56, DOI 10.1080/00958964.2012.682615; DeWaters J, 2013, J ENVIRON EDUC, V44, P38, DOI 10.1080/00958964.2012.711378; DeWaters JE, 2011, ENERG POLICY, V39, P1699, DOI 10.1016/j.enpol.2010.12.049; Ding ZH, 2018, RESOUR CONSERV RECY, V132, P3, DOI 10.1016/j.resconrec.2018.01.013; E XT, 2017, TRANSPORT RES F-TRAF, V45, P110, DOI 10.1016/j.trf.2016.11.007; Egan C., 2005, SUMMER STUDY PROC EU, P811; Egan C., 2000, EVALUATION FEDERAL T; Egan C., 2000, 2000 ACEEE SUMM STUD; European Commission, 2012, Energy roadmap 2050; Frederiks ER, 2015, RENEW SUST ENERG REV, V41, P1385, DOI 10.1016/j.rser.2014.09.026; Gillingham K, 2014, REV ENV ECON POLICY, V8, P18, DOI 10.1093/reep/ret021; Greene DL, 2009, REDUCING CLIMATE IMPACTS IN THE TRANSPORTATION SECTOR, P181, DOI 10.1007/978-1-4020-6979-6_11; Heinzle SL, 2012, J CONSUM POLICY, V35, P43, DOI 10.1007/s10603-012-9189-6; Hori S, 2013, ENERG POLICY, V52, P354, DOI 10.1016/j.enpol.2012.09.043; Hossain MT, 2018, J CONSUM RES, V45, P615, DOI 10.1093/jcr/ucy020; Jain M, 2021, ENERG J, V42, P253, DOI 10.5547/01956574.42.2.mjai; Ji LJ, 2000, J PERS SOC PSYCHOL, V78, P943, DOI 10.1037/0022-3514.78.5.943; Kallbekken S, 2013, J CONSUM POLICY, V36, P1, DOI 10.1007/s10603-012-9211-z; Karaca-Mandic P, 2012, HEALTH SERV RES, V47, P255, DOI 10.1111/j.1475-6773.2011.01314.x; Leenheer J., 2014, STUDY EFFECTS CONSUM; Levinson J. D., 2007, Journal of Behavioral Finance, V4, P32; Li ZG, 2021, SUSTAINABILITY-BASEL, V13, DOI 10.3390/su13041923; London Economics, 2015, STUD IMP EN LAB POT; Ma K, 2018, J RETAIL CONSUM SERV, V43, P218, DOI 10.1016/j.jretconser.2018.03.014; Masuda T, 2001, J PERS SOC PSYCHOL, V81, P922, DOI 10.1037//0022-3514.81.5.922; Min J, 2014, ECOL ECON, V97, P42, DOI 10.1016/j.ecolecon.2013.10.015; Mize TD, 2019, SOCIOL METHODOL, V49, P152, DOI 10.1177/0081175019852763; Mize TD, 2019, SOCIOL SCI, V6, P81, DOI 10.15195/v6.a4; Monga AB, 2007, J CONSUM RES, V33, P529, DOI 10.1086/510227; Monga AB, 2010, J MARKETING, V74, P80, DOI 10.1509/jmkg.74.3.80; Monga AB, 2008, J CONSUM PSYCHOL, V18, P320, DOI 10.1016/j.jcps.2008.09.009; Newell RG, 2014, J ASSOC ENVIRON RESO, V1, P555, DOI 10.1086/679281; Nisbett RE, 2001, PSYCHOL REV, V108, P291, DOI 10.1037//0033-295X.108.2.291; Nisbett RE, 2003, P NATL ACAD SCI USA, V100, P11163, DOI 10.1073/pnas.1934527100; Norenzayan A, 2002, COGNITIVE SCI, V26, P653, DOI 10.1207/s15516709cog2605_4; Norton EC, 2004, STATA J, V4, P154, DOI 10.1177/1536867X0400400206; Orth UR, 2014, J SERV RES-US, V17, P296, DOI 10.1177/1094670514529606; Rohling M., 2013, ENERGY LABELS HOUSEH, V21; Schleich J, 2021, ENERG POLICY, V149, DOI 10.1016/j.enpol.2020.112069; Schubert R, 2015, FRONT ENERGY RES, DOI 10.3389/fenrg.2015.00007; Sejas-Portillo R, 2020, LTD ATTENTION HOUSIN; Stadelmann M, 2018, ECOL ECON, V144, P112, DOI 10.1016/j.ecolecon.2017.07.031; Steg L, 2014, J ENVIRON PSYCHOL, V38, P104, DOI 10.1016/j.jenvp.2014.01.002; Thogersen J., 2000, Journal of Consumer Policy, V23, P285, DOI DOI 10.1023/A:1007122319675; Thorne J., 2002, P 2002 SUMMER STUDY; Valkila N, 2013, ENERGY SUSTAIN DEV, V17, P24, DOI 10.1016/j.esd.2012.10.001; van den Broek KL, 2019, ENERGY RES SOC SCI, V57, DOI 10.1016/j.erss.2019.101256; Waechter S, 2016, ENERGY RES SOC SCI, V15, P86, DOI 10.1016/j.erss.2016.03.022; Waechter S, 2015, PLOS ONE, V10, DOI 10.1371/journal.pone.0134132; Waide P., 2013, NEW EUROPEAN ENERGY; Waide P., 2004, C P ACEEE SUMMER STU; Wiel S., 2005, Energy efficiency labels and standards: A guidebook for aplliances, equipment, and lighting; Zha DL, 2020, ENERG ECON, V90, DOI 10.1016/j.eneco.2020.104839</t>
  </si>
  <si>
    <t>10.1016/j.eneco.2022.106279</t>
  </si>
  <si>
    <t>SEP 2022</t>
  </si>
  <si>
    <t>5A4AG</t>
  </si>
  <si>
    <t>WOS:000862830200011</t>
  </si>
  <si>
    <t>Barracosa, H; de los Santos, CB; Martins, M; Freitas, C; Santos, R</t>
  </si>
  <si>
    <t>Barracosa, Helena; de los Santos, Carmen B.; Martins, Marcio; Freitas, Catia; Santos, Rui</t>
  </si>
  <si>
    <t>Ocean Literacy to Mainstream Ecosystem Services Concept in Formal and Informal Education: The Example of Coastal Ecosystems of Southern Portugal</t>
  </si>
  <si>
    <t>ocean literacy; behavior change; project-based learning; blue carbon; coastal ecosystems; citizen science; environmental education; participatory action research</t>
  </si>
  <si>
    <t>SEAGRASS ECOSYSTEMS; CLIMATE-CHANGE</t>
  </si>
  <si>
    <t>The concept of ecosystem services (ES) emerges as strategic to explain the influences that the ocean, and in particular coastal ecosystems, have on us and how we influence them back. Despite being a term coined several decades ago and being already widespread in the scientific community and among policy-makers, the ES concept still lacks recognition among citizens and educators. There is therefore a need to mainstream this concept in formal education and through Ocean Literacy resources. Although important developments in OL were done in the United States, particularly through the National Marine Educators Association (NMEA), this concept was only recently introduced in Europe. In Portugal, several informal OL education programs were developed in the last years, yet formal education on OL and, in particular, on ES is still very deficient. To address this limitation, the Environmental Education Network for Ecosystem Services (REASE), founded in 2017 in the Algarve region by a consortium of educational, environmental and scientific institutions, aims to increase OL through the dissemination of the perspective of how ES provided by coastal vegetation may contribute to the human well-being. The projects and activities implemented by REASE focus mostly on formal-education of school children and include: (1) capacity building for K-12 teachers, (2) educational programs to support and develop ES projects in schools, including a citizen science project to evaluate blue carbon stocks in the Algarve, (3) the publication of a children's book about the ES provided by the local Ria Formosa coastal lagoon, with a community-based participatory design (illustrations made by schoolchildren) and (4) a diverse array of informal education activities to raise awareness on the importance of coastal ecosystems on human well-being. REASE challenges are being successfully addressed by identifying threats to local coastal ecosystems that people worry about, and highlighting solutions to improve and maintain their health.</t>
  </si>
  <si>
    <t>[Barracosa, Helena] Escola Secundaria Joao de Deus, Agrupamento Escolas Joao de Deus, Faro, Portugal; [Barracosa, Helena; de los Santos, Carmen B.; Martins, Marcio; Freitas, Catia; Santos, Rui] Univ Algarve, ALGAE Marine Plant Ecol Res Grp, Ctr Marine Sci, Faro, Portugal; [Barracosa, Helena] CFAE Levante Algarvio, Vila Real Santo Antonio, Portugal</t>
  </si>
  <si>
    <t>Universidade do Algarve</t>
  </si>
  <si>
    <t>Santos, R (corresponding author), Univ Algarve, ALGAE Marine Plant Ecol Res Grp, Ctr Marine Sci, Faro, Portugal.</t>
  </si>
  <si>
    <t>rosantos@ualg.pt</t>
  </si>
  <si>
    <t>de los Santos, Carmen B/L-3723-2014; de los Santos, Carmen B./AAB-6942-2021; Santos, Rui/B-4168-2008</t>
  </si>
  <si>
    <t>de los Santos, Carmen B/0000-0002-7013-494X; de los Santos, Carmen B./0000-0002-7013-494X; Martins, Marcio/0000-0002-6969-2215; Santos, Rui/0000-0002-7861-4366; Freitas, Catia/0000-0002-9637-3113</t>
  </si>
  <si>
    <t>Fundo Ambiental, ENEA 2020; Portuguese national funds from FCT - Foundation for Science and Technology [UID/Multi/04326/2019, SFRH/BPD/119344/2016]; Fundação para a Ciência e a Tecnologia [SFRH/BPD/119344/2016] Funding Source: FCT</t>
  </si>
  <si>
    <t>Fundo Ambiental, ENEA 2020; Portuguese national funds from FCT - Foundation for Science and Technology; Fundação para a Ciência e a Tecnologia(Fundacao para a Ciencia e a Tecnologia (FCT))</t>
  </si>
  <si>
    <t>This work was funded by Fundo Ambiental, ENEA 2020 and Portuguese national funds from FCT - Foundation for Science and Technology through project UID/Multi/04326/2019 granted to CCMAR, and the post-doctoral fellowship (SFRH/BPD/119344/2016) granted to CS.</t>
  </si>
  <si>
    <t>[Anonymous], 2016, WATER WORLD ADVENTUR; [Anonymous], 2005, Ecosystems and human well-being, V5, DOI DOI 10.1119/1.2344558; [Anonymous], 2018, Curriculum Flexibility and Autonomy in Portugal - an OECD Review; Ballantyne R., 2006, ENVIRON EDUC RES, V12, P413, DOI [DOI 10.1080/1350462980040304, https://doi.org/10.1080/1350462980040304]; Bamberg S, 2007, J ENVIRON PSYCHOL, V27, P14, DOI 10.1016/j.jenvp.2006.12.002; Barbier EB, 2011, ECOL MONOGR, V81, P169, DOI 10.1890/10-1510.1; Barton B., 1990, STORIES CLASSROOM ST; Bonney R., 2014, SCIENCE, V243, P1427; Cheung WWL, 2013, NATURE, V497, P365, DOI 10.1038/nature12156; Chmura GL, 2013, OCEAN COAST MANAGE, V83, P25, DOI 10.1016/j.ocecoaman.2011.09.006; Cook T. D., 1979, QUASIEXPERIMENTATION; Cullen-Unsworth LC, 2018, SCIENCE, V361, P446, DOI 10.1126/science.aat7318; Dewey, 1997, EXPERIENCE ED; Dickinson JL, 2012, FRONT ECOL ENVIRON, V10, P291, DOI 10.1890/110236; Duarte CM, 2013, NAT CLIM CHANGE, V3, P961, DOI [10.1038/NCLIMATE1970, 10.1038/nclimate1970]; Dupont S., 2017, HDB EC MANAGEMENT SU; Fabry VJ, 2008, ICES J MAR SCI, V65, P414, DOI 10.1093/icesjms/fsn048; Fauville G, 2013, MAR BIOL, V160, P1863, DOI 10.1007/s00227-012-1943-4; Fiennes C., 2015, The existing evidence base about the effectiveness of outdoor learning: report; Fourqurean JW, 2012, NAT GEOSCI, V5, P505, DOI 10.1038/ngeo1477; Hoegh-Guldberg O, 2010, SCIENCE, V328, P1523, DOI 10.1126/science.1189930; Lamb JB, 2017, SCIENCE, V355, P731, DOI 10.1126/science.aal1956; Lotze HK, 2006, SCIENCE, V312, P1806, DOI 10.1126/science.1128035; Nellemann C., 2008, Blue Carbon: The Role of Healthy Oceans in Binding Carbon; Ocean Literacy Campaign, 2013, OC LIT ESS PRINC OC; OECD, 2018, OECD SKILLS STUD; Ondiviela B, 2014, COAST ENG, V87, P158, DOI 10.1016/j.coastaleng.2013.11.005; Pendleton L, 2012, PLOS ONE, V7, DOI 10.1371/journal.pone.0043542; Santiago P., 2012, OECD REV EVALUATION; Schoedinger S., 2006, The Science Teacher, V73, P44; Stern MJ, 2014, ENVIRON EDUC RES, V20, P581, DOI 10.1080/13504622.2013.838749; Unsworth RKF, 2019, CONSERV LETT, V12, DOI 10.1111/conl.12566; Uzzell D. L, 1994, EV5VCT920157 EUR COM; Waycott M, 2009, P NATL ACAD SCI USA, V106, P12377, DOI 10.1073/pnas.0905620106</t>
  </si>
  <si>
    <t>OCT 11</t>
  </si>
  <si>
    <t>10.3389/fmars.2019.00626</t>
  </si>
  <si>
    <t>JD7HQ</t>
  </si>
  <si>
    <t>WOS:000490152200001</t>
  </si>
  <si>
    <t>Suhaimi, N; Mahmud, SND</t>
  </si>
  <si>
    <t>Suhaimi, Najibah; Mahmud, Siti Nur Diyana</t>
  </si>
  <si>
    <t>A Bibliometric Analysis of Climate Change Literacy between 2001 and 2021</t>
  </si>
  <si>
    <t>bibliometric analysis; climate change; climate literacy; SCOPUS; VOSViewer</t>
  </si>
  <si>
    <t>PRODUCTIVITY; HEALTH</t>
  </si>
  <si>
    <t>This paper presents a bibliometric analysis overview of climate literacy, focusing on 740 articles published between 2001 and 2021 from the SCOPUS database. The main aim of this study was to examine related climate literacy publications. A bibliometric analysis was conducted to identify the growth trend of climate literacy research over the last twenty years (2001 to 2021), in addition to collaborations between authors, institutions, and countries in related fields. Thematic and keyword analyses were carried out to identify recent and current research topics. Based on the findings, an increasing trend in the number of publications related to climate change, 740 articles in total, was found for the last twenty years (2001 to 2021). Meanwhile, Ford, J. D. was identified as the most productive author, and the United States, United Kingdom and Australia were found to be the most influential countries producing research on climate literacy. In addition, the University of Melbourne (Australia), University of Washington and Columbia University in the United States were among the top universities to have contributed to climate literacy publications. Furthermore, Weather, Climate and Society was found to be the most represented journal, ranking Q1 in SCOPUS, with the highest publications in climate literacy. Four major thematic focus areas were identified: climate change activity, climate literacy, climate event and demographic of research studies. Based on the bibliometric analysis, the authors suggest that future research on climate literacy should focus on climate literacy among young people and the relationships between climate literacy components.</t>
  </si>
  <si>
    <t>[Suhaimi, Najibah; Mahmud, Siti Nur Diyana] Univ Kebangsaan Malaysia, Fac Educ, Bangi 43600, Malaysia</t>
  </si>
  <si>
    <t>Universiti Kebangsaan Malaysia</t>
  </si>
  <si>
    <t>Mahmud, SND (corresponding author), Univ Kebangsaan Malaysia, Fac Educ, Bangi 43600, Malaysia.</t>
  </si>
  <si>
    <t>diyana@ukm.edu.my</t>
  </si>
  <si>
    <t>MAHMUD, SITI NUR DIYANA/0000-0001-6398-1166</t>
  </si>
  <si>
    <t>National University of Malaysia [GG-2021-004]</t>
  </si>
  <si>
    <t>National University of Malaysia</t>
  </si>
  <si>
    <t>This researchwas funded by National University of Malaysia (grant numberGP-2020-K018066). Funding grant GG-2021-004.</t>
  </si>
  <si>
    <t>Anderson A., 2012, Journal of Education for Sustainable Development, V6, P191, DOI [10.1177/0973408212475199, DOI 10.1177/0973408212475199]; [Anonymous], 2016, The sustainable development goals report; [Anonymous], 2013, ENVIGOGIKA CHARLES U, DOI DOI 10.14712/18023061.419; [Anonymous], UN FRAMEWORK CONVENT; Costa R., 2015, J TRAUMA STRESS DISO, V4, P2, DOI [DOI 10.4172/2324-8947, 10.4172/2324-8947.1000146, DOI 10.4172/2324-8947.1000146]; Djeki E, 2022, J COMPUT EDUC, V9, P727, DOI 10.1007/s40692-021-00218-4; Faver CA, 2013, J HUM BEHAV SOC ENVI, V23, P345, DOI 10.1080/10911359.2013.763712; Fu HZ, 2022, CLIMATIC CHANGE, V170, DOI 10.1007/s10584-022-03324-z; Goksu I, 2021, TELEMAT INFORM, V56, DOI 10.1016/j.tele.2020.101491; Ha C.T., 2020, EURASIA J MATH SCI T, V16, pem1889, DOI [10.29333/ejmste/8500, DOI 10.29333/EJMSTE/8500]; Hanifah M, 2020, ASIA PACIFIC SOCIAL, V20, P142; Hernández-Torrano D, 2020, THINK SKILLS CREAT, V35, DOI 10.1016/j.tsc.2019.100625; Pham HH, 2021, SCIENTOMETRICS, V126, P5201, DOI 10.1007/s11192-021-03965-4; Johnston J.D., 2018, ENCY SUSTAINABLE DEV; Kuthe A., 2020, Applied Environmental Education Communication, V19, P375, DOI [DOI 10.1080/1533015X.2019.1597661, 10.1080/1533015X.2019, DOI 10.1080/1533015X.2019]; Thu HLT, 2021, EDUC SCI, V11, DOI 10.3390/educsci11070353; Leal W, 2018, J CLEAN PROD, V177, P589, DOI 10.1016/j.jclepro.2017.12.144; Limaye VS, 2020, HEALTH AFFAIR, V39, P2182, DOI 10.1377/hlthaff.2020.01116; Long HY, 2014, CREATIVITY RES J, V26, P353, DOI 10.1080/10400419.2014.929425; Longworth B, 2008, CLIMATE LITERACY ESS; Mardiyati S, 2021, IOP C SER EARTH ENV, V681, DOI 10.1088/1755-1315/681/1/012080; Matsumoto K, 2019, J CLEAN PROD, V216, P528, DOI 10.1016/j.jclepro.2018.12.127; Miller SE, 2014, SOC WORK EDUC, V33, P280, DOI 10.1080/02615479.2013.805192; Mongeon P, 2016, SCIENTOMETRICS, V106, P213, DOI 10.1007/s11192-015-1765-5; Otto IM, 2020, P NATL ACAD SCI USA, V117, P2354, DOI 10.1073/pnas.1900577117; Quarderer NA, 2021, J RES SCI TEACH, V58, P1527, DOI 10.1002/tea.21717; Ramírez Andrea, 2012, Rev. salud pública, V14, P570; Roson Roberto, 2012, International Journal of Sustainable Economy, V4, P270, DOI 10.1504/IJSE.2012.047933; Salas R.N., 2019, Lancet Countdown; Santos RM, 2021, HELIYON, V7, DOI 10.1016/j.heliyon.2021.e08219; Sawassi A, 2021, SUSTAINABILITY-BASEL, V13, DOI 10.3390/su13126738; Steffen W, 2015, SCIENCE, V347, DOI 10.1126/science.1259855; Zupic I, 2015, ORGAN RES METHODS, V18, P429, DOI 10.1177/1094428114562629</t>
  </si>
  <si>
    <t>10.3390/su141911940</t>
  </si>
  <si>
    <t>5H0WC</t>
  </si>
  <si>
    <t>WOS:000867406900001</t>
  </si>
  <si>
    <t>Dominitz, S; Parush, A; Metcalfe, D</t>
  </si>
  <si>
    <t>Dominitz, Sagit; Parush, Avi; Metcalfe, Daniel</t>
  </si>
  <si>
    <t>Domestic electricity consumers and the interactive bill: design intervention for improved energy literacy and empowerment</t>
  </si>
  <si>
    <t>Energy literacy; Empowerment; Electricity consumption; Design; Design research</t>
  </si>
  <si>
    <t>CONSUMPTION; USERS; LIFE</t>
  </si>
  <si>
    <t>Domestic electricity consumption has been the subject of numerous interventions that address environmental, economic, social, and technical issues, with the primary objective of reducing the consumed kilowatt per hour (kWh). Taking a mixed-method approach, this research explores a design intervention through a prototype of a digital interactive electricity bill. This innovative bill had a dual purpose: 1. A design probe for improving usability, usefulness, and user experience; and 2. A research tool for generating knowledge and understanding of the perceptions, attitudes, and behaviors of domestic electricity consumers. This three-phase study involved domestic electricity consumers, who explored and interacted with the prototype. Findings show that the interactive bill is more understandable and useful compared to the current printed or e-document bill, and thus may enhance users' empowerment, sense of control, curiosity to seek additional information and energy literacy. The study provides a direction for further research, toward establishing a connection between design and smarter energy consumption.</t>
  </si>
  <si>
    <t>[Dominitz, Sagit; Metcalfe, Daniel] Technion Israel Inst Technol, Fac Architecture &amp; Town Planning, Haifa, Israel; [Parush, Avi] Technion Israel Inst Technol, Fac Data &amp; Decis Sci, Haifa, Israel</t>
  </si>
  <si>
    <t>Technion Israel Institute of Technology; Technion Israel Institute of Technology</t>
  </si>
  <si>
    <t>Dominitz, S (corresponding author), Technion Israel Inst Technol, Fac Architecture &amp; Town Planning, Haifa, Israel.</t>
  </si>
  <si>
    <t>Sagit.d@campus.technion.ac.il; aparush@technion.ac.il; daniel.met@technion.ac.il</t>
  </si>
  <si>
    <t>Abrahamse W, 2005, J ENVIRON PSYCHOL, V25, P273, DOI 10.1016/j.jenvp.2005.08.002; Aloise-Young PA, 2016, IET POWER ENERGY SER, V81, P319, DOI 10.1049/PBPO081E_ch12; Backlund S., 2006, DRS WONDERGROUND C; Better Regulation Executive and National Consumer Council, 2007, WARN TOO MUCH INF CA; Bong W.K., 2019, ENV RES PUBLIC HEALT; Braun V, 2006, QUAL RES PSYCHOL, V3, P77, DOI [DOI 10.1191/1478088706QP063OA, 10.1191/1478088706qp063oa]; Broms L., 2011, SUSTAINABLE INTERACT; Brounen D, 2013, ENERG ECON, V38, P42, DOI 10.1016/j.eneco.2013.02.008; Cattaneo LB, 2010, AM PSYCHOL, V65, P646, DOI 10.1037/a0018854; Cetkovic A., 2016, GOING DIGITAL INNOVA; Chappells H, 2005, BUILD RES INF, V33, P32, DOI 10.1080/0961321042000322762; Cormack J., 2018, SAGE Research Methods Cases; Costanza E., 2012, UBICOMP 12; Dalsgaard P., 2010, OZCHI 2010; Davis F. J. d., 1985, TECNOLOGY ACCEPTANCE; Denzin, 2008, STRATEGIES QUALITATI; DeWaters J, 2013, J ENVIRON EDUC, V44, P56, DOI 10.1080/00958964.2012.682615; Ehrhardt-Martinez K, 2011, ENERGY, SUSTAINABILITY AND THE ENVIRONMENT: TECHNOLOGY, INCENTIVES, BEHAVIOR, P273; Elbaz S, 2016, SCI ANN ECON BUS, V63, P89, DOI 10.1515/saeb-2016-0137; Ergon Energy, 2019, REV TAR STRUCT STAT; Fraser MW, 2010, RES SOCIAL WORK PRAC, V20, P459, DOI 10.1177/1049731509358424; Fujisawa M, 2020, INT REAL ESTATE REV, V23, P733; Goulden M, 2014, ENERGY RES SOC SCI, V2, P21, DOI 10.1016/j.erss.2014.04.008; Guba EG., 2005, SAGE HDB QUALITATIVE, P191, DOI DOI 10.1002/EV.1427; Haines V., 2013, INTELLIGENT BUILDING, V2nd, P133; Hargreaves T, 2010, ENERG POLICY, V38, P6111, DOI 10.1016/j.enpol.2010.05.068; Harris L. R., 2010, PRACTICAL ASSESSMENT, P15; Hauttekeete L., 2010, SMART SMARTER SMARTE; Herrmann MR, 2018, ENERG EFFIC, V11, P1703, DOI 10.1007/s12053-017-9555-y; Human S., 2020, 53 HAWAII INT C SYST; IEA International Energy Agency, 2020, WORLD EL FIN CONS SE; IEA IRENA UNSD World Bank and WHO, 2021, tech. rep.; Iyer M, 2006, ENERG BUILDINGS, V38, P988, DOI 10.1016/j.enbuild.2005.11.009; Klassen AC, 2012, QUAL LIFE RES, V21, P377, DOI 10.1007/s11136-012-0122-x; Koch M., 2018, P 16 EUR C COMP SUPP, P1, DOI DOI 10.18420/ECSCW2018_3; Liu YP, 2018, SUSTAINABILITY-BASEL, V10, DOI 10.3390/su10041262; Martiskainen M., 2007, AFFECTING CONSUMER B; Mooney Chris., 2015, The Washington Post; NIELSEN J, 1994, HUMAN FACTORS IN COMPUTING SYSTEMS, CHI '94 CONFERENCE PROCEEDINGS - CELEBRATING INTERDEPENDENCE, P152, DOI 10.1145/191666.191729; Nowell LS, 2017, INT J QUAL METH, V16, DOI 10.1177/1609406917733847; Pierce J., 2010, DIS 2010; Pierce J, 2011, 29TH ANNUAL CHI CONFERENCE ON HUMAN FACTORS IN COMPUTING SYSTEMS, P2405; Prentice C., 2016, Services Marketing Quarterly, V37, P36, DOI DOI 10.1080/15332969.2015.1112182; Quesnelle K., 2004, PAY AS YOU GO POWER; Rhodes C., GHOSTWRITING RES POS; Richman WL, 1999, J APPL PSYCHOL, V84, P754, DOI 10.1037/0021-9010.84.5.754; Rogers ES, 1997, PSYCHIATR SERV, V48, P1042; Rolin K., 2020, ROUTLEDGE HDB FEMINI, V1st; Rothman J., 1994, Intervention research: design and development for human services; Routarinne S., 2007, DOMESTICATION DESIGN; S. s. F. J. Zimmerman. J, 2010, ANAL CRITIQUE RES DE; Sehgal R., 2006, QUALITY IMPACT QUALI; Shove E., 2003, J CONSUM POLICY, V26, P395, DOI DOI 10.1023/A:1026362829781; Simonsen J, 2013, Routledge international handbook of participatory design, DOI 10.4324/9780203108543; Stappers P. J., 2014, ENCY HUMAN COMPUTER, V2nd; Strengers Y, 2011, J CONSUM CULT, V11, P319, DOI 10.1177/1469540511417994; The Electricity Authority, 2020, REP STAT EL SECT 202; Thüring M, 2007, INT J PSYCHOL, V42, P253, DOI 10.1080/00207590701396674; Tractinsky N., 1997, INPROCEEDINGS ACM SI; Turner M, 2014, INT ENERG SUSTAIN; Vaismoradi M, 2013, NURS HEALTH SCI, V15, P398, DOI 10.1111/nhs.12048; van den Broek KL, 2019, J ENVIRON PSYCHOL, V62, P95, DOI 10.1016/j.jenvp.2019.02.008; Z. P. Cor. E, 2014, PROCEDIA CIRP, V15</t>
  </si>
  <si>
    <t>10.1016/j.erss.2023.103209</t>
  </si>
  <si>
    <t>AUG 2023</t>
  </si>
  <si>
    <t>P7YA1</t>
  </si>
  <si>
    <t>WOS:001052778900001</t>
  </si>
  <si>
    <t>Kolenaty, M; Kroufek, R; Cincera, J</t>
  </si>
  <si>
    <t>Kolenaty, Miloslav; Kroufek, Roman; Cincera, Jan</t>
  </si>
  <si>
    <t>What Triggers Climate Action: The Impact of a Climate Change Education Program on Students' Climate Literacy and Their Willingness to Act</t>
  </si>
  <si>
    <t>climate change education; climate literacy; youth's climate action; knowledge-action gap; climate change concern; self-efficacy; willingness to act; climate change behavior model</t>
  </si>
  <si>
    <t>SELF-EFFICACY; YOUNG-PEOPLE; KNOWLEDGE; CHILDREN; POLICY; CONSTRUCTIVIST; ADOLESCENTS; PERCEPTIONS; ENGAGEMENT; ATTITUDES</t>
  </si>
  <si>
    <t>There has been an intensive debate in the field of climate change education about what predictors influence youth's climate-related behavior and what educational strategies and practices stimulate such behavior. This study investigated the impact of the 'CO2 League' program which involved 47 schools (N = 123). For the analyses, we used pre-/-post quasi-experimental design which combined quantitative and qualitative methods: an extensive pre-/-post survey for analyzing several components of students' climate literacy (system/action/effectiveness knowledge, climate change concern, self-efficacy, willingness for climate-protective behavior) and focus group interviews. The analyses revealed a significant impact of sufficient climate change knowledge on climate change concern which subsequently positively influenced participants' self-efficacy and their willingness to act. The findings of this study suggest that knowledge is a key initial driver for climate action, especially for young people, and confirm the conclusion of previous studies that willingness to adopt pro-climatic behavior presupposes a clear and explicit understanding of climate dynamics and its causal relations. The focus group interviews also revealed that the reported increased willingness to act often translated into actual climate action and that learning about the concept of carbon footprint and the process of calculating and decreasing it proved to be a very accessible and fast path to participants' engagement in personal climate action.</t>
  </si>
  <si>
    <t>[Kolenaty, Miloslav] Jan Evangelista Purkyne Univ Usti nad Labem, Fac Environm, Dept Environm Studies, Usti Nad Labem 40096, Czech Republic; [Kroufek, Roman] Jan Evangelista Purkyne Univ Usti nad Labem, Fac Educ, Dept Presch &amp; Primary Educ, Usti Nad Labem 40096, Czech Republic; [Cincera, Jan] Masaryk Univ, Dept Environm Studies, Jostova 10, Brno 60200, Czech Republic</t>
  </si>
  <si>
    <t>University of Jan Evangelista Purkyne; University of Jan Evangelista Purkyne; Masaryk University Brno</t>
  </si>
  <si>
    <t>Kolenaty, M (corresponding author), Jan Evangelista Purkyne Univ Usti nad Labem, Fac Environm, Dept Environm Studies, Usti Nad Labem 40096, Czech Republic.</t>
  </si>
  <si>
    <t>miloslav.kolenaty@ujep.cz</t>
  </si>
  <si>
    <t>Kolenaty, Miloslav/AAQ-4761-2020; Kroufek, Roman/GQH-3857-2022; Cincera, Jan/X-3277-2019</t>
  </si>
  <si>
    <t>Kolenaty, Miloslav/0000-0002-5392-9855; Kroufek, Roman/0000-0003-4188-8715; Cincera, Jan/0000-0003-0704-7402</t>
  </si>
  <si>
    <t>Aitken C, 2011, GLOBAL ENVIRON CHANG, V21, P752, DOI 10.1016/j.gloenvcha.2011.01.002; Ajzen I, 2002, J APPL SOC PSYCHOL, V32, P665, DOI 10.1111/j.1559-1816.2002.tb00236.x; AJZEN I, 1991, ORGAN BEHAV HUM DEC, V50, P179, DOI 10.1016/0749-5978(91)90020-T; Anderson A., 2012, Journal of Education for Sustainable Development, V6, P191, DOI [10.1177/0973408212475199, DOI 10.1177/0973408212475199]; [Anonymous], 2011, AM TEENSKNOWLEDGE CL; [Anonymous], 2010, 3 ANN C UK TEACH ED; Azevedo J, 2017, INT J GLOBAL WARM, V12, P414, DOI 10.1504/IJGW.2017.10005893; Bamberg S, 2007, J ENVIRON PSYCHOL, V27, P14, DOI 10.1016/j.jenvp.2006.12.002; BANDURA A, 1977, PSYCHOL REV, V84, P191, DOI 10.1037/0033-295X.84.2.191; Bangay C, 2010, INT J EDUC DEV, V30, P359, DOI 10.1016/j.ijedudev.2009.11.011; Bardsley DK, 2007, GEOGR RES-AUST, V45, P329, DOI 10.1111/j.1745-5871.2007.00472.x; Bedford D, 2016, J GEOGR, V115, P187, DOI 10.1080/00221341.2015.1105851; Bodzin AM., 2014, Journal of Geoscience Education, V62, P417, DOI DOI 10.5408/13-042.1; Bofferding L, 2015, ENVIRON EDUC RES, V21, P275, DOI 10.1080/13504622.2014.888401; Boyes E, 2009, RES SCI EDUC, V39, P661, DOI 10.1007/s11165-008-9098-5; Braun V, 2006, QUAL RES PSYCHOL, V3, P77, DOI [DOI 10.1191/1478088706QP063OA, 10.1191/1478088706qp063oa]; Buhr Sullivan S.M, 2014, J GEOSCI ED, V62, P535, DOI [10.5408/1089-9995-62.4.535.1, DOI 10.5408/1089-9995-62.4.535.1]; Burgess J, 1998, ENVIRON PLANN A, V30, P1445, DOI 10.1068/a301445; Busch KC, 2022, CLIMATIC CHANGE, V171, DOI 10.1007/s10584-022-03349-4; Busch KC, 2019, INT J SCI EDUC, V41, P2389, DOI 10.1080/09500693.2019.1680903; Busch KC, 2019, ENVIRON EDUC RES, V25, P955, DOI 10.1080/13504622.2018.1514588; Cantell H, 2019, ENVIRON EDUC RES, V25, P717, DOI 10.1080/13504622.2019.1570487; Chhokar K, 2011, INT J SCI MATH EDUC, V9, P1167, DOI 10.1007/s10763-010-9254-z; Christensen R., 2015, International Journal of Environmental and Science Education, V10, P773, DOI DOI 10.12973/IJESE.2015.276A; Clary B.R.M, 2012, J COLL SCI TEACH, V41, P70; Cordero EC, 2020, PLOS ONE, V15, DOI 10.1371/journal.pone.0206266; Corner A., 2014, YOUNG VOICES; Corner A, 2015, WIRES CLIM CHANGE, V6, P523, DOI 10.1002/wcc.353; Cutter-Mackenzie A, 2019, CHILD GEOGR, V17, P90, DOI 10.1080/14733285.2018.1467556; Deisenrieder V, 2020, SUSTAINABILITY-BASEL, V12, DOI 10.3390/su12051748; Devine-Wright P., 2004, ENVIRON EDUC RES, V10, P493, DOI DOI 10.1080/1350462042000291029; DeWaters J.E., 2014, Journal of Geoscience Education, V62, P469; Dietz T, 2007, RURAL SOCIOL, V72, P185, DOI 10.1526/003601107781170026; Dijkstra EM, 2012, ENVIRON EDUC RES, V18, P733, DOI 10.1080/13504622.2012.662213; Eilks I, 2011, CTR ED POLICY STUDIE, V1, P93, DOI DOI 10.26529/CEPSJ.442; Ergas C, 2012, SOC SCI RES, V41, P965, DOI 10.1016/j.ssresearch.2012.03.008; Fahey SJ, 2014, J APPL RES HIGH EDUC, V6, P44, DOI 10.1108/JARHE-01-2013-0003; Fosnot C.T., 2005, CONSTRUCTIVISM THEOR; Frick J, 2004, PERS INDIV DIFFER, V37, P1597, DOI 10.1016/j.paid.2004.02.015; Garrison DR, 2016, THINKING COLLABORATIVELY: LEARNING IN A COMMUNITY OF INQUIRY, P1; Gokmen A., 2021, J. Pedagog. Res, V5, P243, DOI [DOI 10.33902/JPR.2021167799, 10.33902/JPR.2021167799]; Guy S, 2014, EUR J SOC PSYCHOL, V44, P421, DOI 10.1002/ejsp.2039; Hallar AG, 2011, B AM METEOROL SOC, V92, P909, DOI 10.1175/2011BAMS3026.1; Hayden M., 2011, Journal for Activism in Science Technology Education, V3, P118; Hines J.M., 1987, J ENVIRON EDUC, V18, P1, DOI [DOI 10.1080/00958964.1987.9943482, 10.1080/00958964.1987.9943482]; Hodkovicova N., 2021, KLIMA SE M N COMY; Hu LT, 1999, STRUCT EQU MODELING, V6, P1, DOI 10.1080/10705519909540118; Hung CC, 2014, CLIMATE CHANGE EDUCATION: KNOWING, DOING AND BEING, P1; Intergovernmental Panel on Climate Change, 2021, CLIMATE CHANGE 2021, DOI [10.1017/9781009157896.003, DOI 10.1017/9781009157896.003]; Jakucionyte-Skodiene M, 2021, J CLEAN PROD, V281, DOI 10.1016/j.jclepro.2020.125189; Jenson B.B., 2002, ENVIRON EDUC RES, V8, P325, DOI [DOI 10.1080/13504620220145474, 10.1080/13504620220145474]; Kagawa F, 2010, ROUTL RES EDUC, V30, P241; Kaplan D, 1999, SAGE HDB QUANTITATIV, P317; Keller L, 2019, GAIA, V28, P35, DOI 10.14512/gaia.28.1.10; Khadka A., 2021, Applied Environmental Education Communication, V20, P77, DOI [10.1080/1533015X.2020.1719238, DOI 10.1080/1533015X.2020.1719238]; Knight KW, 2019, SOC SCI J, V56, P627, DOI 10.1016/j.soscij.2018.08.013; Kollmuss A., 2002, ENVIRON EDUC RES, V8, P239, DOI [10.1080/13504620220145401, DOI 10.1080/13504620220145401]; Krajhanzl J, 2021, ESK KLIMA 2021, P5; Krathwohl DR, 2002, THEOR PRACT, V41, P212, DOI 10.1207/s15430421tip4104_2; Kuthe A, 2019, J ENVIRON EDUC, V50, P172, DOI 10.1080/00958964.2019.1598927; Leat D, 2015, EDUC TODAY, V65, P12; Lehnert M, 2020, ENVIRON EDUC RES, V26, P864, DOI 10.1080/13504622.2019.1694140; Lehtonen A., 2019, Sustainability, human well-being, and the future of education, P339, DOI [DOI 10.1007/978-3-319-78580-611, DOI 10.1007/978-3-319-78580-6_11]; Leiserowitz A., 2020, YALE PROGRAM CLIMATE; Leiserowitz A., 2010, KNOWLEDGE CLIMATE CH; Li C, 2018, ENVIRON BEHAV, V50, P454, DOI 10.1177/0013916517708325; Li CJ, 2019, ENVIRON EDUC RES, V25, P936, DOI 10.1080/13504622.2017.1367916; Liefländer AK, 2013, ENVIRON EDUC RES, V19, P370, DOI 10.1080/13504622.2012.697545; Liefländer AK, 2014, J ENVIRON EDUC, V45, P105, DOI 10.1080/00958964.2013.875511; Littleton K, 2012, ORCHESTRATING INQUIRY LEARNING, P1; Lorenzoni I, 2007, GLOBAL ENVIRON CHANG, V17, P445, DOI 10.1016/j.gloenvcha.2007.01.004; McCright AM, 2010, POPUL ENVIRON, V32, P66, DOI 10.1007/s11111-010-0113-1; McNeal K.S., 2014, Journal of Geoscience Education, V62, P291, DOI DOI 10.5408/1089-9995-62.3.291; McNeill KL, 2012, RES SCI EDUC, V42, P373, DOI 10.1007/s11165-010-9202-5; Mead E, 2012, ATL J COMMUN, V20, P31, DOI 10.1080/15456870.2012.637027; Meinhold JL, 2005, ENVIRON BEHAV, V37, P511, DOI 10.1177/0013916504269665; Milér T, 2011, PROCD SOC BEHV, V12, P150, DOI 10.1016/j.sbspro.2011.02.021; Milfont TL, 2012, RISK ANAL, V32, P1003, DOI 10.1111/j.1539-6924.2012.01800.x; Minelgaite A, 2021, ENVIRON DEV SUSTAIN, V23, P16083, DOI 10.1007/s10668-021-01329-9; Monroe MC, 2019, ENVIRON EDUC RES, V25, P791, DOI 10.1080/13504622.2017.1360842; Neuman W.L., 2014, SOCIAL RES METHODS Q, V7th, P431; Niepold F., 2007, 5 INT S DIG EARTH; Ojala M., 2012, International Journal of Environmental &amp; Science Education, V7, P537; Ojala M, 2013, SUSTAINABILITY-BASEL, V5, P2191, DOI 10.3390/su5052191; Ojala M, 2012, ENVIRON EDUC RES, V18, P625, DOI 10.1080/13504622.2011.637157; Ojala M, 2012, J ENVIRON PSYCHOL, V32, P225, DOI 10.1016/j.jenvp.2012.02.004; Özdem Y, 2014, INT RES GEOGR ENVIRO, V23, P294, DOI 10.1080/10382046.2014.946323; Park NE, 2020, ASIA-PAC SCI EDUC, V6, P15, DOI 10.1163/23641177-bja00004; Patton M.Q, 2015, QUALITATIVE RES EVAL, V4th, P621; Ratinen I, 2020, SUSTAINABILITY-BASEL, V12, DOI 10.3390/su12062181; Roser-Renouf C, 2020, AM ADOLESCENTSKNOWLE, P8; Rousell D, 2020, CHILD GEOGR, V18, P191, DOI 10.1080/14733285.2019.1614532; Sipos Y., 2008, INT J SUSTAINABILITY, V9, P68, DOI DOI 10.1108/14676370810842193; Sterling StephenR., 2001, Sustainable Education: re-visioning learning and change; Stern PC, 2000, J SOC ISSUES, V56, P407, DOI 10.1111/0022-4537.00175; Stevenson KT, 2018, CLIMATIC CHANGE, V151, P589, DOI 10.1007/s10584-018-2313-0; Stevenson RB., 2017, Curriculum Perspectives, V37, P67, DOI [DOI 10.1007/S41297-017-0015-9, 10.1007/s41297-017-0015-9]; Stoutenborough JW, 2014, ENVIRON SCI POLICY, V37, P23, DOI 10.1016/j.envsci.2013.08.002; Suter G, 2022, INTEGR ENVIRON ASSES, V18, P1117; Tasquier G, 2017, INT J SCI EDUC, V39, P1846, DOI 10.1080/09500693.2017.1355078; Teksoz G, 2012, J SCI EDUC TECHNOL, V21, P157, DOI 10.1007/s10956-011-9294-3; Theodori GL, 2002, SOC NATUR RESOUR, V15, P471, DOI 10.1080/08941920290069128; Tobias S., 2009, Constructivist instruction: Success or failure?, DOI DOI 10.4324/9780203878842; Trott CD, 2020, SUSTAINABILITY-BASEL, V12, DOI 10.3390/su12166400; Trott CD, 2019, ACTION RES-LONDON, V17, P42, DOI 10.1177/1476750319829209; Truelove HB, 2012, J ENVIRON PSYCHOL, V32, P246, DOI 10.1016/j.jenvp.2012.04.002; Voza D, 2022, TEME, V46, P175, DOI [10.22190/TEME201116010V, DOI 10.22190/TEME201116010V]; Wang CC, 2021, J CLEAN PROD, V321, DOI 10.1016/j.jclepro.2021.128952; Wise S., 2010, Journal of Geoscience Education, V58, P297, DOI DOI 10.5408/1.3559695; Xiao CY, 2012, SOC NATUR RESOUR, V25, P1067, DOI 10.1080/08941920.2011.651191; Yencken D., 2000, Environment, education and society in the Asia-Pacific: Local traditions and global discourses</t>
  </si>
  <si>
    <t>10.3390/su141610365</t>
  </si>
  <si>
    <t>4B1BZ</t>
  </si>
  <si>
    <t>WOS:000845523600001</t>
  </si>
  <si>
    <t>Henni, S; Franz, P; Staudt, P; Peukert, C; Weinhardt, C</t>
  </si>
  <si>
    <t>Henni, Sarah; Franz, Paulina; Staudt, Philipp; Peukert, Christian; Weinhardt, Christof</t>
  </si>
  <si>
    <t>Evaluation of an interactive visualization tool to increase energy literacy in the building sector</t>
  </si>
  <si>
    <t>ENERGY AND BUILDINGS</t>
  </si>
  <si>
    <t>Sustainable buildings; Energy literacy; Energy-related technologies; Energy efficiency; Informative website</t>
  </si>
  <si>
    <t>TECHNOLOGY ACCEPTANCE MODEL; INFORMATION-TECHNOLOGY; USER ACCEPTANCE; EXTENSION</t>
  </si>
  <si>
    <t>The building sector, and especially residential households and office buildings, account for a large share of global emissions. Meanwhile, energy literacy is extremely low amongst residents and citizens in gen-eral, leading to insufficient evaluations of energy efficiency measures and technology equipment for buildings. To address this issue, we develop a research model and design an experiment to evaluate the ability of a website with interactive and vivid features to convey information in an engaging way, thus increasing the users' enjoyment and their intention to (re)-use and recommend the website as well as the usefulness for information retrieval and technology evaluation. We conduct an experiment with two treatments in which the participants interact with an animated and a static website, respectively. While participants' self-assessed knowledge improvement is statistically higher in the animated treat-ment, no difference was found in tested knowledge assessment or technology-specific knowledge. We find that the vividness of the website plays an important role for both the utilitarian and hedonic purpose of the website. However, somewhat contrasting to existing theories, interactivity did not increase enjoy-ment or diagnosticity. (c) 2022 Elsevier B.V. All rights reserved.</t>
  </si>
  <si>
    <t>[Henni, Sarah; Franz, Paulina; Staudt, Philipp; Peukert, Christian; Weinhardt, Christof] Karlsruhe Inst Technol, Kaiserstr 12, D-76131 Karlsruhe, Germany</t>
  </si>
  <si>
    <t>Helmholtz Association; Karlsruhe Institute of Technology</t>
  </si>
  <si>
    <t>Henni, S (corresponding author), Karlsruhe Inst Technol, Kaiserstr 12, D-76131 Karlsruhe, Germany.</t>
  </si>
  <si>
    <t>Staudt, Philipp/0000-0003-1328-5765; Weinhardt, Christof/0000-0002-7945-4077</t>
  </si>
  <si>
    <t>Ministry of the Environment, Climate Protection and the Energy Sector Baden Wuerttemberg [BWED19003]; German Research Foundation (DFG) as part of the Research Training Group GRK 2153</t>
  </si>
  <si>
    <t>Ministry of the Environment, Climate Protection and the Energy Sector Baden Wuerttemberg; German Research Foundation (DFG) as part of the Research Training Group GRK 2153(German Research Foundation (DFG))</t>
  </si>
  <si>
    <t>research and development project was funded by the Ministry of the Environment, Climate Protection and the Energy Sector Baden Wuerttemberg (funding number BWED19003) and imple-mented by the Project Management Agency Karlsruhe (PTKA). The authors are responsible for the content of this publication. This work was supported by the German Research Foundation (DFG) as part of the Research Training Group GRK 2153: Energy Status Data -Informatics Methods for its Collection, Analysis and Exploitation. We further want to thank the ISPE team at the Forschungszentrum Informatik (FZI) Karlsruhe for the implementation of the evaluated demonstrators.</t>
  </si>
  <si>
    <t>ALDAG RJ, 1986, DECISION SCI, V17, P572, DOI 10.1111/j.1540-5915.1986.tb00243.x; [Anonymous], 1983, The Psychology of Human-Computer Interaction; [Anonymous], 2018, GLOBAL STATUS REPORT; Balog A, 2010, STUD INFORM CONTROL, V19, P319; Billger M, 2017, ENVIRON PLAN B-URBAN, V44, P1012, DOI 10.1177/0265813516657341; Bishop ID, 2013, ENVIRON PLANN B, V40, P213, DOI 10.1068/b38159; Blasch J. E., 2017, CER ETH EC WORKING P, DOI [10.3929/ethz-b-000187391, DOI 10.3929/ETHZ-B-000187391]; Bock O, 2014, EUR ECON REV, V71, P117, DOI 10.1016/j.euroecorev.2014.07.003; Brauer B., ACCEPTANCE MODEL USE; Brounen D, 2013, ENERG ECON, V38, P42, DOI 10.1016/j.eneco.2013.02.008; Chellaswamy C., FRAMEWORK BUILDING E; Chen D.L., OTREE AN OPEN SOURCE; Chen SQ, 2020, BUILD SIMUL-CHINA, V13, P803, DOI 10.1007/s12273-020-0625-2; Chen Y., MEASURES IMPROVE ENE; Chen Z, 2021, BUILD SIMUL-CHINA, V14, P63, DOI 10.1007/s12273-019-0599-0; Cotton DRE, 2015, INT J SUST HIGHER ED, V16, P456, DOI 10.1108/IJSHE-12-2013-0166; Czaja SJ, 2006, PSYCHOL AGING, V21, P333, DOI 10.1037/0882-7974.21.2.333; Dalen A., DETERMINING OPTIMAL; DAVIS FD, 1989, MIS QUART, V13, P319, DOI 10.2307/249008; Deckert A., DIGITAL TOOLS STAKEH; Diederich Stephan., 2019, Promoting sustainable mobility beliefs with persuasive and anthropomorphic design: Insights from an experiment with a conversational agent; Fiukowski J., STAKEHOLDER EMPOWERM; Flett G., MODELLING INDIVIDUAL; Fu F.-L., EGAMEFLOW SCALE MEAS; Gefen D, 2011, MIS QUART, V35, pIII; Graf V., SUPPORTING CITIZENS; Grainger S., ENV DATA VISUALISATI; Hair J.F., 2016, A premier on partial least squares structural equation modeling (PLS-SEM), V2nd, DOI DOI 10.15358/9783800653614; Henkel C., PROENVIRONMENTAL BEH; Huijts NMA, 2012, RENEW SUST ENERG REV, V16, P525, DOI 10.1016/j.rser.2011.08.018; Jenkin T.A., AGENDA GREEN INFORM; Jiang Z., RES NOTE INVESTIGATI; Jin Y., DATA DRIVEN MODEL PR; Jin Y., APPLIANCE USE BEHAV; Koufaris M, 2002, INFORM SYST RES, V13, P205, DOI 10.1287/isre.13.2.205.83; Kranz J., WHY ARE CONSUMERS GO; Lee M.K., ACCEPTANCE INTERNET; Liu D, 2017, MIS QUART, V41, P1011; Loock C.-M., MOTIVATING ENERGY EF; Lorenz S., TAILORING VISUAL COM; Martinez-Torres M.R., TECHNOLOGICAL ACCEPT; Martins A, 2020, ENERGY REP, V6, P454, DOI 10.1016/j.egyr.2019.09.007; McInerny G.J., INFORM VISUALISATION; Naranjo-Zolotov M, 2019, INFORM TECHNOL PEOPL, V32, P364, DOI 10.1108/ITP-08-2017-0257; Nisbett R.E., 1980, HUMAN INTERFACE STRA; Paulsson A., REV SUBJECTIVE VALUE; Peukert C, 2019, J MANAGE INFORM SYST, V36, P755, DOI 10.1080/07421222.2019.1628889; Phillips Brandon K., 2014, International Journal of an Emerging Transdiscipline, V17, P1; Ringle C.M., 2015, SMARTPLS 3, DOI DOI 10.1037/0003-066X.55.1.68; Schlosser AE, 2003, J CONSUM RES, V30, P184, DOI 10.1086/376807; Schweizer-Ries P., 2010, Aktivitat und Teilhabe-Akzeptanz Erneuerbarer Energien durch Beteiligung steigern; Seidel S., DESIGN PRINCIPLES SE; Shevchuk N., EXPLORING GREEN INFO; Shevchuk N., 2019, Proceedings of the 40th International Conference on Information Systems, ICIS 2019, P1; Venkatesh V, 2000, MANAGE SCI, V46, P186, DOI 10.1287/mnsc.46.2.186.11926; Venkatesh V, 2003, MIS QUART, V27, P425, DOI 10.2307/30036540; Venkatesh V, 2012, MIS QUART, V36, P157; Wahlstrom M., 2019, Research; Xexakis G., ARE INTERACTIVE WEB; Ye Y., EVALUATING ENERGY IM; Zhong X., VERIFICATION BEHAV M</t>
  </si>
  <si>
    <t>ELSEVIER SCIENCE SA</t>
  </si>
  <si>
    <t>PO BOX 564, 1001 LAUSANNE, SWITZERLAND</t>
  </si>
  <si>
    <t>0378-7788</t>
  </si>
  <si>
    <t>1872-6178</t>
  </si>
  <si>
    <t>ENERG BUILDINGS</t>
  </si>
  <si>
    <t>Energy Build.</t>
  </si>
  <si>
    <t>JUL 1</t>
  </si>
  <si>
    <t>10.1016/j.enbuild.2022.112116</t>
  </si>
  <si>
    <t>APR 2022</t>
  </si>
  <si>
    <t>Construction &amp; Building Technology; Energy &amp; Fuels; Engineering, Civil</t>
  </si>
  <si>
    <t>Construction &amp; Building Technology; Energy &amp; Fuels; Engineering</t>
  </si>
  <si>
    <t>1P0KC</t>
  </si>
  <si>
    <t>WOS:000801708000002</t>
  </si>
  <si>
    <t>Pazoto, CE; Silva, EP; Duarte, MR</t>
  </si>
  <si>
    <t>Pazoto, Carmen Edith; Silva, Edson Pereira; Duarte, Michelle Rezende</t>
  </si>
  <si>
    <t>Ocean literacy in Brazilian school curricula: An opportunity to improve coastal management and address coastal risks?</t>
  </si>
  <si>
    <t>Governance; Public policies; Stakeholders; Formal education; Quantitative analyses</t>
  </si>
  <si>
    <t>KNOWLEDGE; SCIENCES; GOVERNANCE; EDUCATION; TEACHERS; QUALITY; LESSONS; CLIMATE; AREAS; ZONE</t>
  </si>
  <si>
    <t>Ocean literacy (OL) is defined as the understanding of the ocean's influence on human beings and vice versa. It aims to improve knowledge on marine environments, enabling citizens to make responsible decisions concerning marine-related issues. To this purpose, formal education mediated by curricula plays an important hole. Therefore, the goal of this study was to investigate both the presence (if the principle or concept were identified) and frequency of occurrence (number of times each principle or concept was found) of OL principles and concepts in Brazilian curricular documents at federal [Common National Curriculum Base (Base Nacional Curricular Comum-BNCC)] and regional [Brazilian Federative Curricular Guidelines (Referenciais Curriculares das Unidades Federativas-RCs)] levels. OL topics were mostly found in RCs than in the BNCC, especially concerning principle 1 (The Earth has one big ocean with many features). However, most of the concepts from principles 2 (The ocean and life in the ocean shape the features of the Earth), 4 (The ocean makes Earth habitable), and 5 (The ocean supports a great diversity of life and ecosystems) were poorly addressed, and there was no mention of principle 7 (The ocean is largely unexplored). Non-parametric statistics was performed and showed significant differences in the frequency of occurrence of OL principles and concepts among the RCs from the five Brazilian geographical regions (Kruskal-Wallis test, p = 0.034), as well as those from coastal and non-coastal areas (U-Mann-Whitney test, p = 0.021). Principal component analysis discriminated the Brazilian curricula from different geographical regions into two different groups. These clusters were formed by South-Southeast-Midwest regions and North-Northeast (Principal component 1 explained 99.33% of the total variation, with a 0.95 correlation with the frequency of OL principles and concepts in the RCs), showing certain heterogeneity among the RCs of the different Brazilian Federative Units. The results indicated that Brazilian curricula address more OL contents than do other countries. However, the representativeness of OL in Brazilian documents is below the recommended for a person to be considered ocean literate, especially for topics dealing with environmental risks in coastal zones. Furthermore, the inclusion of OL in classrooms will depend on the teacher's approach to the curricula, which, therefore, depends on their professional training to deal with the subject. An effort to improve curricula in terms of OL contents can be a helpful strategy to overcome one of the main challenges for social participation in a bottom-up management, the lack of information.</t>
  </si>
  <si>
    <t>[Pazoto, Carmen Edith; Silva, Edson Pereira; Duarte, Michelle Rezende] Univ Fed Fluminense, Dept Biol Marinha, Lab Genet Marinha &amp; Evolucao, Niteroi, RJ, Brazil</t>
  </si>
  <si>
    <t>Duarte, MR (corresponding author), Univ Fed Fluminense, Dept Biol Marinha, Lab Genet Marinha &amp; Evolucao, Niteroi, RJ, Brazil.</t>
  </si>
  <si>
    <t>michellerezendeduarte@id.uff.br</t>
  </si>
  <si>
    <t>CAPES (Coordenacao de Aperfeicoamento de Pessoal de Nivel Superior)</t>
  </si>
  <si>
    <t>CAPES (Coordenacao de Aperfeicoamento de Pessoal de Nivel Superior)(Coordenacao de Aperfeicoamento de Pessoal de Nivel Superior (CAPES))</t>
  </si>
  <si>
    <t>The authors would like to acknowledge the very valuable contributions of the anonymous reviewers and thanks CAPES (Coordenacao de Aperfeicoamento de Pessoal de Nivel Superior) for scholarships granted to MRD (Post-doctorate).</t>
  </si>
  <si>
    <t>Adger WN, 2005, SCIENCE, V309, P1036, DOI 10.1126/science.1112122; Ballantyne R., 2004, GEO J, V60, P159, DOI [https://doi.org/10.1023/B:GEJO.0000033579.19277.ff, DOI 10.1023/B:GEJO.0000033579.19277.FF]; Bardin L, 2004, ANALISE CONTEUDO, P70, DOI DOI 10.1017/CBO9781107415324.004; Barracosa H, 2019, FRONT MAR SCI, V6, DOI 10.3389/fmars.2019.00626; Berchez FAS, 2016, BRAZ J OCEANOGR, V64, DOI 10.1590/S1679-875920160932064sp2; Brasil, 2017, Base Nacional Comum Curricular: Educacao Infantil, Ensino Fundamental e Ensino Medio; Brasil, 1997, LEI NUM 9478 1997; Brasil, 2004, DECR 5300; Brasil, 1988, CONSTITUICAO REPUBLI; Buruaem LM, 2013, ESTUAR COAST SHELF S, V130, P179, DOI 10.1016/j.ecss.2013.06.006; Castle Z, 2010, OCEAN YEARB, V24, P425, DOI 10.1163/22116001-90000066; CEMBRA, 2012, BRAS MAR SEC 21 REL; Chang CC, 2021, SUSTAINABILITY-BASEL, V13, DOI 10.3390/su13084314; CNM, 2010, EST TECN CNM CONF NA; Crowder LB, 2006, SCIENCE, V313, P617, DOI 10.1126/science.1129706; de Suarez JM, 2014, OCEAN COAST MANAGE, V90, P27, DOI 10.1016/j.ocecoaman.2013.08.007; deReynier YL, 2010, MAR POLICY, V34, P534, DOI 10.1016/j.marpol.2009.10.010; Diegues AC, 1999, OCEAN COAST MANAGE, V42, P187, DOI 10.1016/S0964-5691(98)00053-2; Dupont S., 2017, Handbook on the Economics and Management of Sustainable Oceans, P519, DOI [10.4337/9781786430724, DOI 10.4337/9781786430724.00037]; Fauville G, 2013, MAR BIOL, V160, P1863, DOI 10.1007/s00227-012-1943-4; Fielding S, 2019, FRONT MAR SCI, V6, DOI 10.3389/fmars.2019.00340; FIRJAN, 2018, IND FIRJAN DES MUN A; Gerhardinger LC, 2009, OCEAN COAST MANAGE, V52, P154, DOI 10.1016/j.ocecoaman.2008.12.007; Ghilardi-Lopes NP, 2019, Coastal and marine environmental education, P119; Golden JS, 2017, NAT ECOL EVOL, V1, DOI 10.1038/s41559-016-0017; Gough A, 2017, MAR POLLUT BULL, V124, P633, DOI 10.1016/j.marpolbul.2017.06.069; Guest H, 2015, MAR POLICY, V58, P98, DOI 10.1016/j.marpol.2015.04.007; Hair F., 2005, Multivariate Data Analysis, V6th; Hammer Oyvind, 2001, Palaeontologia Electronica, V4, pUnpaginated; Hoffman M., 2007, REVOLUTIONIZING EART; Jablonski S, 2008, OCEAN COAST MANAGE, V51, P536, DOI 10.1016/j.ocecoaman.2008.06.008; Jefferson RL, 2014, MAR POLICY, V43, P327, DOI 10.1016/j.marpol.2013.07.004; Kuijper MWM, 2003, MAR POLLUT BULL, V47, P265, DOI 10.1016/S0025-326X(02)00469-1; Larson A., 2004, Eur. J. Dev. Res., V16, P1, DOI [DOI 10.1080/09578810410001688707, 10.1080/09578810410001688707]; Lucrezi S, 2019, MAR POLICY, V108, DOI 10.1016/j.marpol.2019.103645; Marroni EV, 2013, OCEAN COAST MANAGE, V76, P30, DOI 10.1016/j.ocecoaman.2013.02.011; Martins KA, 2017, COAST ENG J, V59, DOI 10.1142/S0578563417400071; McKinley E, 2010, OCEAN COAST MANAGE, V53, P379, DOI 10.1016/j.ocecoaman.2010.04.012; McManus D.A., 2000, CTR OC SCI ED EXC CO; McPherson K., 2018, Appl. Environ. Educ. Commun., V19, P129, DOI [10.1080/1533015X.2018.1533439, DOI 10.1080/1533015X.2018.1533439]; McPherson K., 2018, Int. J. Learn. Teach. Educ. Res., V17, P1, DOI [10.26803/ijlter.17.11.1, DOI 10.26803/IJLTER.17.11.1]; Miloslavich P, 2011, PLOS ONE, V6, DOI 10.1371/journal.pone.0014631; Mogias A, 2015, J ENVIRON EDUC, V46, P251, DOI 10.1080/00958964.2015.1050955; Monteiro Joana, 2015, Rev. Bras. Econ., V69, P467, DOI 10.5935/0034-7140.20150022; Munang R, 2013, CURR OPIN ENV SUST, V5, P47, DOI 10.1016/j.cosust.2013.02.002; Neto R.S., 2018, REV BRAS GESTAO DESE, V14, P293; Ocean Literacy Network, 2013, OC LIT ESS PRINC FUN; Payne DL, 2010, ASTE SER SCI EDUC, P81, DOI 10.1007/978-90-481-9222-9_6; Pedrini A. G., 2019, COASTAL MARINE ENV E, P87, DOI DOI 10.1007/978-3-030-05138-9; Pinheiro AB, 2021, REV GEOGR AM CENT, DOI 10.15359/rgac.66-1.6; Reis Diego Araujo, 2015, Rev. Adm. Pública, V49, P91, DOI 10.1590/0034-76121815; Roca E, 2018, OCEAN COAST MANAGE, V162, P127, DOI 10.1016/j.ocecoaman.2018.02.001; Rodríguez-Martínez R, 1999, OCEAN COAST MANAGE, V42, P1061, DOI 10.1016/S0964-5691(99)00061-7; Roth F, 2016, MAR POLLUT BULL, V106, P43, DOI 10.1016/j.marpolbul.2016.03.048; Ryabinin V, 2019, FRONT MAR SCI, V6, DOI 10.3389/fmars.2019.00470; Santoro F., 2017, Ocean Literacy for All - A toolkit, IOC/UNESCO UNESCO Venice Office; Schoedinger S., 2010, NMEA Special Report, V3, P3; Silva Andressa Hennig., 2015, Qualitas Revista Eletronica, V16; Silva R, 2014, J COASTAL RES, P1, DOI 10.2112/SI71-001.1; Smith HD, 2002, OCEAN COAST MANAGE, V45, P573, DOI 10.1016/S0964-5691(02)00087-X; Steel B, 2005, COAST MANAGE, V33, P37, DOI 10.1080/08920750590883105; Steel BS, 2005, OCEAN COAST MANAGE, V48, P97, DOI 10.1016/j.ocecoaman.2005.01.002; Stefanelli-Silva G, 2019, FRONT MAR SCI, V6, DOI 10.3389/fmars.2019.00389; Stocker T.F., 2013, CONTR WORK GROUP 1 5; Turra A, 2013, GLOBAL CHANGE BIOL, V19, P1965, DOI 10.1111/gcb.12186; Umuhire ML, 2016, MAR POLLUT BULL, V102, P289, DOI 10.1016/j.marpolbul.2015.07.067; UNEP, 2006, MARINE COASTAL ECOSY; United Nations, 2018, REV ROADM UN DEC OC; Uyarra MC, 2016, MAR POLLUT BULL, V104, P1, DOI 10.1016/j.marpolbul.2016.02.060; Visbeck M, 2018, NAT COMMUN, V9, DOI 10.1038/s41467-018-03158-3; Wever L, 2012, OCEAN COAST MANAGE, V66, P63, DOI 10.1016/j.ocecoaman.2012.05.001; Young OR, 2007, ENVIRONMENT, V49, P20, DOI 10.3200/ENVT.49.4.20-33</t>
  </si>
  <si>
    <t>10.1016/j.ocecoaman.2022.106047</t>
  </si>
  <si>
    <t>2P7LP</t>
  </si>
  <si>
    <t>WOS:000819917900006</t>
  </si>
  <si>
    <t>Tracing the occurrence of ocean sciences issues in Greek secondary education textbooks</t>
  </si>
  <si>
    <t>Ocean Literacy; Science textbooks; Content analysis; Secondary education</t>
  </si>
  <si>
    <t>RELIABILITY</t>
  </si>
  <si>
    <t>This study aims to investigate the presence of ocean sciences issues in Greek secondary education (grades 7-12) science textbooks, in respect of the Ocean Literacy Framework. Content analysis was undertaken concerning both textual and pictorial materials of the Biology, Chemistry, Physics, and Geography - Geology courses. Results revealed that the textbooks under study contain limited and fragmented information with regard to the seven essential principles of the Framework, while a comparison with the Ocean Literacy Scope &amp; Sequence evidences inconsistencies. The suggestions arising from this study could help curriculum designers, textbook authors, marine educators, and marine scientists to cooperate on a wider scale towards the inclusion of ocean literacy topics into national curricula worldwide.</t>
  </si>
  <si>
    <t>[Mogias, Athanasios; Boubonari, Theodora; Kevrekidis, Theodoros] Democritus Univ Thrace, Dept Primary Educ, Lab Environm Res &amp; Educ, GR-68100 Nea Chili, Alexandroupolis, Greece</t>
  </si>
  <si>
    <t>Mogias, A (corresponding author), Democritus Univ Thrace, Dept Primary Educ, Lab Environm Res &amp; Educ, GR-68100 Nea Chili, Alexandroupolis, Greece.</t>
  </si>
  <si>
    <t>[Anonymous], 2010, NMEA Special Report #3: The Ocean Literacy Campaign; [Anonymous], 2017, Education for Sustainable Development Goals: Learning Objectives, DOI [10.0978/-92-3-100209-0, DOI 10.31142/IJTSRD5889]; [Anonymous], 2010, 3 NAT MAR ED ASS; Assaraf OBZ, 2005, J RES SCI TEACH, V42, P518, DOI 10.1002/tea.20061; Binns I.C., 2013, Critical Analysis of Science Textbooks, P239, DOI [10.1007/978-94-007-4168-3_12, DOI 10.1007/978-94-007-4168-3_12]; Tracana RB, 2008, INT RES GEOGR ENVIRO, V17, P199, DOI 10.1080/10382040802168289; Cava F., 2005, Science Content and Standards for Ocean Literacy: A Report on Ocean Literacy, P1; Dahlgren T, 2014, 2 MAR SCI ED ASS C G; Downe-Wamboldt B, 1992, Health Care Women Int, V13, P313; Escola Azul, 2020, OC LIT; EU-CANADA-US Research Alliance, 2013, GALW STAT ATL OC COO; EurOCEAN, 2014, ROM DECL; Fauville G., 2017, THESIS U GOTHENBURG; Glithero L, 2020, NATL REPORT; Gotensparre S.M., 2017, METAANALYSIS CONSULT; Gough A, 2017, MAR POLLUT BULL, V124, P633, DOI 10.1016/j.marpolbul.2017.06.069; Hayes AF, 2007, COMMUN METHODS MEAS, V1, P77, DOI 10.1080/19312450709336664; Kim SY, 2011, INT J SCI EDUC, V33, P197, DOI 10.1080/09500690903563819; Krippendorff K., 2004, CONTENT ANAL INTRO I, DOI DOI 10.2307/2288384; Lal N., 2017, Pacific Journal of Education, V1, P47; Liu Y., 2013, Critical Analysis of Science Textbooks, P287, DOI DOI 10.1007/978-94-007-4168-3_14; Marrero M., 2010, CURRENT J MARINE ED, V26, P2; Marrero M., 2012, MARINE SCI DYNAMIC O; McHugh M, 2020, TECHNOL PEDAGOG EDUC, V29, P89, DOI 10.1080/1475939X.2020.1715241; McPherson K., 2018, Appl. Environ. Educ. Commun., V19, P129, DOI [10.1080/1533015X.2018.1533439, DOI 10.1080/1533015X.2018.1533439]; Mogias A, 2021, INT RES GEOGR ENVIRO, V30, P314, DOI 10.1080/10382046.2021.1877953; Moran J.M., 2011, OCEAN STUDIES INTRO; Murray N, 2015, 3 MAR SCI ED ASS C C; National Oceanic and Atmospheric Administration, 2013, 2 WEEK ONL WORKSH OC; National Research Council, 2013, NEXT GENERATION SCIE; Park KA, 2020, J KOR EARTH SCI SOC, V41, P248, DOI 10.5467/JKESS.2020.41.3.248; Pinto A, 2016, 4 MAR SCI ED ASS C B; Potter WJ, 1999, J APPL COMMUN RES, V27, P258, DOI 10.1080/00909889909365539; Santoro F., 2017, OCEAN LITERACY ALL A; Santos T., 2019, 7 MAR SCI ED ASS C S; Schoedinger S., 2010, NMEA Special Report, V3, P3; Segar D.A., 1998, INTRO OCEAN SCI; Stasinakis P, 2021, INTERDISCIPLINARY J, V17, pe2234; Stemler S., 2001, Practical Assessment, Research Evaluation, V17, DOI [10.7275/Z6FM-2E34, DOI 10.7275/Z6FM-2E34, 10.7275/z6fm-2-34, DOI 10.7275/Z6FM-2-34, 10.7275/z6fm-2e34]; Thompson J, 2016, SCI ACT, V53, P49, DOI 10.1080/00368121.2015.1135863; Thurman H., 2004, Introductory Oceanography; Tyedmers P., 2018, INT J LEARNING TEACH, V17, P1; van der Meer L, 2014, 2 MAR SCI ED ASS C G; Weber P., 1990, BASIC CONTENT ANAL, V2nd</t>
  </si>
  <si>
    <t>10.12681/mms.27059</t>
  </si>
  <si>
    <t>WOS:000782982600005</t>
  </si>
  <si>
    <t>Martinez, C; Gorell, F; Keener-Chavis, P</t>
  </si>
  <si>
    <t>Martinez, Catalina; Gorell, Fred; Keener-Chavis, Paula</t>
  </si>
  <si>
    <t>Reaching out in new ways: Working with alternative schools and underrepresented groups to improve ocean literacy through the National Oceanic and Atmospheric Administration's Office of Ocean Exploration</t>
  </si>
  <si>
    <t>The National Oceanic and Atmospheric Administration's Office of Ocean Exploration (OE) was born out of a growing national concern over the state of the ocean, and out of the urgent need for a better understanding of our ocean globally. The US Government empowered a panel of experts in 2000 to develop a national strategy for ocean exploration and the result was a report titled Discovering Earth's Final Frontier: A U.S. Strategy for Ocean Exploration [4]. Created in direct response to the recommendations of this panel, OE has funded a multitude of expeditions and projects to gain a more thorough understanding of little-known or unknown ocean regions. With the establishment of OE, NOAA developed an opportunity to reach out in new ways to teachers, students, and the general public to share the excitement of daily discoveries while at sea and to demonstrate the cutting-edge technology and science behind these exploration initiatives. Ten percent of OE program funds are invested in a robust and diverse Education and Outreach Program designed to support Key Objective 4 of the President's Panel Report. This objective specifically calls for reaching out in new ways to stakeholders to improve the literacy of learners with respect to ocean issues. As exciting expeditions are the core of our NOAA program, education and outreach efforts are focused around these missions. Through various initiatives, OE works with traditional and non-traditional programs to provide opportunities to enhance ocean literacy.</t>
  </si>
  <si>
    <t>NOAA, Off Ocean Explorat, Narragansett, RI USA</t>
  </si>
  <si>
    <t>Martinez, C (corresponding author), NOAA, Off Ocean Explorat, Narragansett, RI USA.</t>
  </si>
  <si>
    <t>[Anonymous], 2004, OC BLUEPR 21 CENT; *BAYER CORP, 1998, BAYER FACTS SCI ED S; CALSYN C, 2004, HIGHLIGHTS TIMSS TRE; GERBNER G, 1989, IMAGES SCI PRIME TIM; Kozol Jonathan, 1991, SAVAGE INEQUALITIES; *NAT OC ATM ADM CO, 2005, IN PRESS OC LIT ESS; *NAT RES COUNC NAT, 2003, EXPL SEAS VOYAG UNKN; *PEW OC COM, 2003, AM LIV OC CHART COUR; *US DEP COMM NAT O, 2000, DISC EARTHS FIN FRON; *US DEP COMM NAT O, 2005, RES NOAA UND PRED EA; *US OC ACT PLAN, 2004, BUSH ADM RESP US COM; 2005, MINORITIES HIGHER ED</t>
  </si>
  <si>
    <t>WOS:000238978700144</t>
  </si>
  <si>
    <t>Marchi, L; Felicioni, L; Sabatini, F; Errante, L</t>
  </si>
  <si>
    <t>Marchi, Lia; Felicioni, Licia; Sabatini, Francesca; Errante, Lidia</t>
  </si>
  <si>
    <t>Exploring Energy Literacy in Italian Social Housing: A Survey of Inhabitants Preparing the Ground for Climate Transition</t>
  </si>
  <si>
    <t>environmental awareness; energy transition; Next Generation EU; environmental design; fake news; social housing</t>
  </si>
  <si>
    <t>AWARENESS; BEHAVIOR; SYSTEM</t>
  </si>
  <si>
    <t>A low level of energy literacy can hamper the adoption of climate-responsive solutions in the built environment. This is often the case of social housing neighborhoods, where the implementation of improvement measures such as those from the EU Recovery Plan (PNRR in Italy) may become difficult because of the specific socio-cultural and economic criticalities. Here, inhabitants are more prone to misinformation as well as energy poverty. Therefore, understanding the level of knowledge and willingness to implement certain design actions at both site and building levels is of utmost importance to make the transition as effective and just as needed. The article presents a pilot survey conducted in two Italian social housing neighborhoods to assess residents' understanding and preparedness to implement climate-responsive strategies, as well as literacy gaps about energy transition and related public fundings. This can prepare the ground for developing effective solutions to improve the livability of the built environment based on local needs and features that can be combined synergistically with financial incentives. The survey results are discussed, in addition to the upscaling potential.</t>
  </si>
  <si>
    <t>[Marchi, Lia; Sabatini, Francesca] Univ Bologna, Dept Architecture, I-40136 Bologna, Italy; [Felicioni, Licia] Czech Tech Univ, Univ Ctr Energy Efficient Bldg, Trinecka 1024, Bustehrad 27343, Czech Republic; [Errante, Lidia] Mediterranea Univ Reggio Calabria, Dept Heritage Architecture &amp; Urbanism PAU, I-89124 Reggio Di Calabria, Italy</t>
  </si>
  <si>
    <t>University of Bologna; Czech Technical University Prague; Universita Mediterranea di Reggio Calabria</t>
  </si>
  <si>
    <t>Marchi, L (corresponding author), Univ Bologna, Dept Architecture, I-40136 Bologna, Italy.</t>
  </si>
  <si>
    <t>ia.marchi3@unibo.it; licia.felicioni@cvut.cz; f.sabatini@unibo.it; lidia.errante@unirc.it</t>
  </si>
  <si>
    <t>Marchi, Lia/AAQ-9089-2021</t>
  </si>
  <si>
    <t>Marchi, Lia/0000-0002-2009-576X; Sabatini, Francesca/0000-0001-8685-1866; Felicioni, Licia/0000-0003-0133-6887</t>
  </si>
  <si>
    <t>Agenzia delle Entrate, SUP 110; [Anonymous], The 100 Climate-Neutral and Smart Cities by 2030 - Eurocities Available online; [Anonymous], 2020, Employment, Labour and Social Affairs Policy Briefs; Ardoin NM, 2023, AMBIO, V52, P30, DOI 10.1007/s13280-022-01764-6; Baum Chad M., 2017, Journal of Bioeconomics, V19, P53, DOI 10.1007/s10818-016-9238-3; Bennett NJ, 2019, SUSTAINABILITY-BASEL, V11, DOI 10.3390/su11143881; Blasch J, 2019, RESOUR ENERGY ECON, V56, P39, DOI 10.1016/j.reseneeco.2017.06.001; Brounen D, 2013, ENERG ECON, V38, P42, DOI 10.1016/j.eneco.2013.02.008; Cappa F, 2020, J ENVIRON MANAGE, V269, DOI 10.1016/j.jenvman.2020.110759; Carfora A, 2022, RENEW ENERG, V195, P1262, DOI 10.1016/j.renene.2022.06.098; Castaño-Rosa R, 2019, ENERG BUILDINGS, V193, P36, DOI 10.1016/j.enbuild.2019.03.039; Corrias P., 2021, FINE VITA FOTOVOLTAI; Cotton DRE, 2021, J CLEAN PROD, V278, DOI 10.1016/j.jclepro.2020.123876; Di Biagi P., 2001, PIANO INA CASA ITALI; Dias RA, 2021, RENEW SUST ENERG REV, V141, DOI 10.1016/j.rser.2021.110845; Dodman D., 2022, Cities, settlements and key infrastructure; Economidou M., 2011, EUROPES BUILDINGS MI; ENEA, 2022, RAPP ANN DETR FISC E; ENEA Portale Efficienza Energetica Edifici Esistenti, PORT EFF EN ED ES; ENEA Radiazione Solare Globale Giornaliera Media, RAD SOL GLOB GIORN M; Errante L, 2021, TECHNE, V22, P181, DOI 10.36253/techne-10596; European, 2021, TACKL EN POV LOC ACT; European Commission, 2019, COM2019640FINAL; European Commission, European Green Deal: Commission Proposes 2030 Zero-Emissions Target for New City Buses and 90% Emissions Reductions for New Trucks by 2040; European Commission EU Energy Poverty Observatory, 2021, EN POV ADV HUB; European Union, NEW EUR BAUH; Fort J, 2022, J CLEAN PROD, V343, DOI 10.1016/j.jclepro.2022.131079; Fox M.S., 2022, INDEP STUDY PROJ ISP, P3441; Furmankiewicz M., 2020, IOP Conference Series: Earth and Environmental Science, Proceedings of the 6th World Multidisciplinary Earth Sciences Symposium, Prague, Czech Republic, 7-11 September 2020, VVolume 609, P012033; Gaman F, 2022, SUSTAINABILITY-BASEL, V14, DOI 10.3390/su14116855; Gaspari J., 2019, Urban Fuel Poverty, P211; Gaspari J, 2021, SUSTAINABILITY-BASEL, V13, DOI 10.3390/su13095268; GRETA Project, US; Horsbol A., 2019, P DISK KONSTR WIRKL; Housing Europe, HOUS EUR; ISPRA, ALB MIGL QUAL VIT NE; Khuc QV, 2023, URBAN SCI, V7, DOI 10.3390/urbansci7010013; Leonidou A., 2021, TECNOLOGIE STRATEGIE; Li J, 2019, ECOL ECON, V160, P145, DOI 10.1016/j.ecolecon.2019.02.020; Mahima M., 2022, Frontiers in Engineering and Built Environment, V2, P69, DOI [10.1108/FEBE-09-2021-0040, DOI 10.1108/FEBE-09-2021-0040]; Marchi L, 2017, TECHNE, V14, P261; McCauley D, 2018, ENERG POLICY, V119, P1, DOI 10.1016/j.enpol.2018.04.014; McLeman R, 2018, POPUL ENVIRON, V39, P319, DOI 10.1007/s11111-017-0290-2; Next Generation Europe, US; O'Rourke D, 2015, ANNU REV ENV RESOUR, V40, P233, DOI 10.1146/annurev-environ-102014-021224; Petrucci F., FIRMATO DECRETO AGRI; Piano Nazionale di Ripresa e Resilienza (PNRR), about us; Poggio T., 2017, Critical Housing Analysis, V4, P112; Presidenza del Consiglio dei Ministri, 2021, Piano Nazionale di Ripresa e Resilienza; Sareen S., 2020, Global Transitions, V2, P47, DOI [10.1016/j.glt.2020.02.001, DOI 10.1016/J.GLT.2020.02.001]; Shukla J S., 2022, Climate Change 2022: Mitigation of Climate Change. Contribution of Working Group III to the Sixth Assessment Report of the Intergovernmental Panel on Climate Change; Spano D., 2021, G20 Climate Risk Atlas Impacts, policy and economics in the G20, DOI [10.25424/cmcc/g20_climaterisk, DOI 10.25424/CMCC/G20_CLIMATERISK]; UNDP, UN FRAM IMM SOC RESP; Vasist PN, 2023, J CLEAN PROD, V388, DOI 10.1016/j.jclepro.2023.135933; Vurro G, 2022, CLIMATE, V10, DOI 10.3390/cli110040055; Wahlund M, 2022, ENERGY RES SOC SCI, V87, DOI 10.1016/j.erss.2021.102482</t>
  </si>
  <si>
    <t>MAY 24</t>
  </si>
  <si>
    <t>10.3390/su15118544</t>
  </si>
  <si>
    <t>I8XP5</t>
  </si>
  <si>
    <t>WOS:001005560600001</t>
  </si>
  <si>
    <t>García-Manzano, R; Ramallo-González, AP; Sanchez-Iborra, R</t>
  </si>
  <si>
    <t>Corrado, V; Fabrizio, E; Gasparella, A; Patuzzi, F</t>
  </si>
  <si>
    <t>Garcia-Manzano, Roberto; Ramallo-Gonzalez, Alfonso P.; Sanchez-Iborra, Ramon</t>
  </si>
  <si>
    <t>Energy Representation Tool for Air Conditioning that Enhance Energy Savings and Improve Energy Literacy on Users</t>
  </si>
  <si>
    <t>PROCEEDINGS OF BUILDING SIMULATION 2019: 16TH CONFERENCE OF IBPSA</t>
  </si>
  <si>
    <t>Building Simulation Conference Proceedings</t>
  </si>
  <si>
    <t>16th Conference of the International-Building-Performance-Simulation-Association (IBPSA)</t>
  </si>
  <si>
    <t>SEP 02-04, 2019</t>
  </si>
  <si>
    <t>Rome, ITALY</t>
  </si>
  <si>
    <t>Augmented reality can be considered as a nascent field for building simulation of variables that are not visible for the naked eye. Luckily, the proliferation of smart-phones and the developments on Augmented Reality (AR) are opening new avenues for the better information transfer to these users. For energy and conditioning, AR can offer tools for improving energy literacy at home. This work shows the evaluation of four different AR methods for the representation of energy consumption by A/C machines. These methods use simple analogies instead of letters or numbers. The systems have been tested with 25 participants with heterogeneous demographics with the SUS survey, and it has been seen that there is a large will to use these systems among the participants in all demographic groups. It has been proven that depending on the demographic group, participants preferred specific representations which keep a high level of correlation with age. There is therefore a high customization potential for this type of services. This makes the technology highly interesting as its cost is virtually null in users with a smartphone and an A/C machine connected to the Internet (as the latest models available in the market).</t>
  </si>
  <si>
    <t>[Garcia-Manzano, Roberto; Ramallo-Gonzalez, Alfonso P.; Sanchez-Iborra, Ramon] Univ Murcia, Murcia, Spain</t>
  </si>
  <si>
    <t>University of Murcia</t>
  </si>
  <si>
    <t>García-Manzano, R (corresponding author), Univ Murcia, Murcia, Spain.</t>
  </si>
  <si>
    <t>Sanchez-Iborra, Ramon/HZJ-8548-2023</t>
  </si>
  <si>
    <t>Sanchez-Iborra, Ramon/0000-0002-0069-3017</t>
  </si>
  <si>
    <t>Spanish Ministry of Economy and Competitiveness through PERSEIDES project [TIN2017-86885-R]; Spanish Ministry of Economy and Competitiveness through CHIST-ERA project [PCIN-2016010]; MINECO [BES-2015-071956]; Consejeria de Educacion y Universidades of CARM,Fundacion Seneca-YAgencia de Ciencia y Tecnologia de la Region de Murcia [220035/SF/16]</t>
  </si>
  <si>
    <t>Spanish Ministry of Economy and Competitiveness through PERSEIDES project; Spanish Ministry of Economy and Competitiveness through CHIST-ERA project; MINECO(Spanish Government); Consejeria de Educacion y Universidades of CARM,Fundacion Seneca-YAgencia de Ciencia y Tecnologia de la Region de Murcia</t>
  </si>
  <si>
    <t>This work has been sponsored by the Spanish Ministry of Economy and Competitiveness through PERSEIDES (ref. TIN2017-86885-R) and CHIST-ERA (ref. PCIN-2016010) projects and by MINECO grant BES-2015-071956. Ramallo-Gonzalez thanks the program Saavedra Fajardo (grant number220035/SF/16) funded by Consejeria de Educacion y Universidades of CARM,Fundacion SenecaAgencia de Ciencia y Tecnologia de la Region de Murcia.</t>
  </si>
  <si>
    <t>Bangor A., 2009, Determining What Individual SUS Scores Mean: Adding an Adjective Rating Scale, V4, n.o; Barnum C.M., 2011, Usability Testing Essentials: Ready; Fiesta-audit.eu, 2018, MET OBJ; Gardner G. T., 2002, ENV PROBLEMS HUMAN B; Jervey B., 2012, WHY ENERGY LITERACY; Pahl S., 2016, ROLE ENERGY; Pellicia L, 2015, ENERGY VISUALIZATION; Pérez-Lombard L, 2008, ENERG BUILDINGS, V40, P394, DOI 10.1016/j.enbuild.2007.03.007; Ramallo-Gonzalez A.P., DELIVERABLE 5 3 PERF; Rashed-Ali H., 2014, USE AUGMENTEDREALITY; Sauro J., 2018, MEASURING MEASURING; Usability.gov, 2013, SYST US SCAL SUS</t>
  </si>
  <si>
    <t>INT BUILDING PERFORMANCE SIMULATION ASSOC-IBPSA</t>
  </si>
  <si>
    <t>TORONTO</t>
  </si>
  <si>
    <t>C/O MILLER-THOMPSON, 40 KING ST W, STE 5800, TORONTO, M5H 3S1, CANADA</t>
  </si>
  <si>
    <t>2522-2708</t>
  </si>
  <si>
    <t>978-1-7750520-1-2</t>
  </si>
  <si>
    <t>BUILD SIMUL CONF PR</t>
  </si>
  <si>
    <t>10.26868/25222708.2019.211006</t>
  </si>
  <si>
    <t>Construction &amp; Building Technology; Operations Research &amp; Management Science</t>
  </si>
  <si>
    <t>BS3CE</t>
  </si>
  <si>
    <t>WOS:000709431302100</t>
  </si>
  <si>
    <t>Scowcroft, G; Bishop, T; Hotaling, L; Keener, P; McDonnell, J; Peach, C; Tuddenham, P</t>
  </si>
  <si>
    <t>Scowcroft, Gail; Bishop, Tina; Hotaling, Liesl; Keener, Paula; McDonnell, Janice; Peach, Cheryl; Tuddenham, Peter</t>
  </si>
  <si>
    <t>An Ocean Science Education Network for the Decade</t>
  </si>
  <si>
    <t>Editorial Material</t>
  </si>
  <si>
    <t>Ocean science education and ocean literacy are overarching components of all Ocean Decade challenges. Educating the next generation of ocean scientists will help achieve Ocean Decade objectives, while increasing public ocean literacy will motivate citizens to engage in the ocean science enterprise. During the UN Ocean Decade, a coordinated flow of information among scientists, educators, policy makers, business leaders, and the public will help guide research priorities in addition to enhancing citizens' ocean literacy. Ocean literacy is about more than the acquisition of ocean science knowledge. It also relates to critical needs for citizens to become responsible in sustainably using the ocean and its resources. Society must gain scientific understanding of the ocean's responses to pressures and make management decisions that are fundamental for sustainable development of its resources. U. S. ocean science education, outreach, and communication initiatives have been greatly expanded since 2002 due to the work of the National Science Foundation-funded, national Centers for Ocean Sciences Education Excellence (COSEE; now the Consortium for Ocean Science Exploration and Engagement) network. The infrastructure established by COSEE is well-poised to take on the establishment of a network of networks to forge U.S. leadership in robust international collaborations in support of Ocean Decade objectives.</t>
  </si>
  <si>
    <t>[Scowcroft, Gail] Univ Rhode Isl, Grad Sch Oceanog, Kingston, RI 02881 USA; [Scowcroft, Gail] Univ Rhode Isl, Consortium Ocean Sci Explorat &amp; Engagement, Kingston, RI 02881 USA; [Bishop, Tina; Tuddenham, Peter] Coll Explorat, Seattle, WA USA; [Hotaling, Liesl] Marine Technol Soc &amp; Eidos Educ, Seattle, WA USA; [Keener, Paula] Global Ocean Vis, Seattle, WA USA; [McDonnell, Janice] Rutgers State Univ, Piscataway, NJ USA; [Peach, Cheryl] Scripps Inst Oceanog, La Jolla, CA USA</t>
  </si>
  <si>
    <t>University of Rhode Island; University of Rhode Island; Rutgers University System; Rutgers University New Brunswick; University of California System; University of California San Diego; Scripps Institution of Oceanography</t>
  </si>
  <si>
    <t>Scowcroft, G (corresponding author), Univ Rhode Isl, Grad Sch Oceanog, Kingston, RI 02881 USA.;Scowcroft, G (corresponding author), Univ Rhode Isl, Consortium Ocean Sci Explorat &amp; Engagement, Kingston, RI 02881 USA.</t>
  </si>
  <si>
    <t>gailscow@uri.edu</t>
  </si>
  <si>
    <t>Tuddenham, Peter/0000-0001-8441-1111; Scowcroft, Gail/0000-0002-3879-8690; Hotaling, Liesl/0000-0002-1638-4024</t>
  </si>
  <si>
    <t>WH4GZ</t>
  </si>
  <si>
    <t>WOS:000707639700031</t>
  </si>
  <si>
    <t>McCrossan, C; Molloy, O</t>
  </si>
  <si>
    <t>Bernardino, J; Salgado, A; Filipe, J</t>
  </si>
  <si>
    <t>McCrossan, Conor; Molloy, Owen</t>
  </si>
  <si>
    <t>Measuring Individuals' Knowledge, Attitude and Behaviour on Specific Ocean Related Topics</t>
  </si>
  <si>
    <t>KMIS: PROCEEDINGS OF THE 11TH INTERNATIONAL JOINT CONFERENCE ON KNOWLEDGE DISCOVERY, KNOWLEDGE ENGINEERING AND KNOWLEDGE MANAGEMENT, VOL 3: KMIS</t>
  </si>
  <si>
    <t>11th International Joint Conference on Knowledge Discovery, Knowledge Engineering and Knowledge Management / 11th International Conference on Knowledge Management and Information Systems (KMIS)</t>
  </si>
  <si>
    <t>SEP 17-19, 2019</t>
  </si>
  <si>
    <t>Vienna, AUSTRIA</t>
  </si>
  <si>
    <t>Ocean Literacy; Ocean Knowledge; Ocean Attitude; Ocean Behaviour; Micro-plastics; Coastal Tourism; Sustainable Fisheries</t>
  </si>
  <si>
    <t>In order to measure the effectiveness of Ocean Literacy (OL) tools we can measure people's knowledge of, and attitude and behaviour towards, specific ocean-related topics, both before and after their use of the tool. The research described in this paper aims at development of more accurate, focused survey tools. In particular we are interested in ensuring that we can accurately assess knowledge on specific topics, rather than assessing broad ocean literacy levels. Surveys were created to measure the levels of knowledge, attitude, and behaviour of university students. The topics which the surveys focused on were micro-plastics, coastal tourism, and sustainable fisheries. The knowledge, attitude, and behaviour questions in the surveys are based on work carried out as part of the H2020 ResponSEAble project on Ocean Literacy. The results show that while the students have a high level of pro-ocean-environmental attitude, their existing behaviour is low to medium, and their future intended behaviour is at a higher level than their existing behaviour. The findings provide useful pointers on how to improve both the ocean literacy tools (no statistically significant correlation between knowledge and either attitude or behaviour) as well as the design of the survey and questions themselves.</t>
  </si>
  <si>
    <t>[McCrossan, Conor; Molloy, Owen] Natl Univ Ireland, Univ Rd, Galway, Ireland</t>
  </si>
  <si>
    <t>Ollscoil na Gaillimhe-University of Galway</t>
  </si>
  <si>
    <t>McCrossan, C (corresponding author), Natl Univ Ireland, Univ Rd, Galway, Ireland.</t>
  </si>
  <si>
    <t>Molloy, Owen/0000-0002-8781-9742</t>
  </si>
  <si>
    <t>Bitly, 2018, BITL LINK MAN SYST; Bond T. G., 2007, Applying the Rasch Model: fundamental measurement in the human sciences, V2nd; Coastal Tourism, 2018, COASTAL TOURISM KEY; ELL, 2007, ENV LIT LADD; Fah L. Y., 2014, JURNAL PEMIKIR PENID, V5, P119; Fauville G, 2019, ENVIRON EDUC RES, V25, P238, DOI 10.1080/13504622.2018.1440381; Girard N., 2016, MICROBEADS TIP TOXIC, P210; Google Forms, 2018, CREAT ONL FORMS GOOG; Greely T., 2008, Ocean literacy and reasoning about ocean issues: The influence of content, experience and morality; Michalos A. C, 2017, Development of Quality of Life Theory and its Instruments: The Selected works of Alex Michalos; Micro-Plastics, 2018, MICR PLAST COSM KEY; Microbead Ban, 2018, AUSTR GOV EXP VOL MI; Ocean Plastic, 2017, MAN MAD FIBR PLAST F; Outfit, 2018, WHAT INF OUTF MEAN S; ResponSEAble, 2015, RESP PROJ; Sustainable Fisheries, 2018, SUST FISH KEY STOR; ToC, 2019, THEOR CHANG COMM BAS; Trienekens JH, 2012, ADV ENG INFORM, V26, P55, DOI 10.1016/j.aei.2011.07.007; Umuhire ML, 2016, MAR POLLUT BULL, V102, P289, DOI 10.1016/j.marpolbul.2015.07.067; Xanthos D, 2017, MAR POLLUT BULL, V118, P17, DOI 10.1016/j.marpolbul.2017.02.048</t>
  </si>
  <si>
    <t>SCITEPRESS</t>
  </si>
  <si>
    <t>SETUBAL</t>
  </si>
  <si>
    <t>AV D MANUELL, 27A 2 ESQ, SETUBAL, 2910-595, PORTUGAL</t>
  </si>
  <si>
    <t>978-989-758-382-7</t>
  </si>
  <si>
    <t>10.5220/0008353003250332</t>
  </si>
  <si>
    <t>Computer Science, Artificial Intelligence; Computer Science, Information Systems</t>
  </si>
  <si>
    <t>BQ5SF</t>
  </si>
  <si>
    <t>WOS:000607176800035</t>
  </si>
  <si>
    <t>Figueiredo, M; Dias, A; Neves, J; Vicente, H</t>
  </si>
  <si>
    <t>Figueiredo, Margarida; Dias, Alexandre; Neves, Jose; Vicente, Henrique</t>
  </si>
  <si>
    <t>Assessment of Literacy to Biotechnological Solutions for Environmental Sustainability in Portugal</t>
  </si>
  <si>
    <t>environmental literacy; sustainability; biotechnology; artificial neural networks</t>
  </si>
  <si>
    <t>OCEAN LITERACY</t>
  </si>
  <si>
    <t>In today's world, the importance of preserving the environment has become increasingly evident. As a result, more sustainable solutions and techniques are being developed to combat environmental destruction. Higher education institutions are now including environmental themes in their technological courses to promote sustainable behavior and indirectly enhance environmental literacy among the population. This study aims to evaluate the level of literacy to biotechnological solutions for environmental sustainability in four areas, namely Air Pollution, Aquatic Pollution, Global Warming, and Energy Resources. A questionnaire was developed and distributed to a sample consisting of 471 individuals of both genders, age range between 15 and 78 years old, to collect data characterizing the sample and assess their literacy in environmental issues. The questionnaire was distributed in Portugal, and the participants were asked to indicate their level of agreement with several statements related to the aforementioned environmental themes. The findings suggest that literacy regarding biotechnological solutions for environmental sustainability is influenced by age group and academic qualifications. The age group above 65 years old is the one with the lowest levels of literacy, exhibiting frequencies of response I don't know exceeding 50% in 10 out of the 22 issues present in the questionnaire. The findings also suggest that the levels of literacy are higher in the thematic areas of Global Warming and Aquatic Pollution and lower in the thematic areas of Air Pollution and Energy Resources, with lower levels of literacy in the issues that have not been widely disseminated by the media. Additionally, a model based on Artificial Neural Networks was presented to predict literacy to biotechnological solutions for environmental sustainability. The proposed model performs well, achieving accuracy rates of 90.8% for the training set and 86.6% for the test set.</t>
  </si>
  <si>
    <t>[Figueiredo, Margarida; Vicente, Henrique] Univ Evora, Dept Quim &amp; Bioquim, Escola Ciencias &amp; Tecnol, Rua Romao Ramalho 59, P-7000671 Evora, Portugal; [Figueiredo, Margarida] Univ Evora, Ctr Invest Educ &amp; Psicol, Rua Barba Rala 1,Edificio B, P-7005345 Evora, Portugal; [Dias, Alexandre] Itf Healthvita, Rua D Antonio Ribeiro 9, P-1495049 Alges, Portugal; [Neves, Jose] Cooperat Ensino Super Politecn &amp; Univ CESPU, Inst Univ Ciencias Saude, Rua Jose Antonio Vidal 81, P-4760409 Famalicao, Portugal; [Neves, Jose; Vicente, Henrique] Univ Minho, Ctr Algoritmi LASI, Rua Univ, P-4710057 Braga, Portugal; [Vicente, Henrique] Univ Evora, Rede Quim &amp; Tecnol Lab Associado Quim Verde REQUIM, Rua Romao Ramalho 59, P-7000671 Evora, Portugal</t>
  </si>
  <si>
    <t>University of Evora; University of Evora; Universidade do Minho; University of Evora</t>
  </si>
  <si>
    <t>Vicente, H (corresponding author), Univ Evora, Dept Quim &amp; Bioquim, Escola Ciencias &amp; Tecnol, Rua Romao Ramalho 59, P-7000671 Evora, Portugal.;Vicente, H (corresponding author), Univ Minho, Ctr Algoritmi LASI, Rua Univ, P-4710057 Braga, Portugal.;Vicente, H (corresponding author), Univ Evora, Rede Quim &amp; Tecnol Lab Associado Quim Verde REQUIM, Rua Romao Ramalho 59, P-7000671 Evora, Portugal.</t>
  </si>
  <si>
    <t>mtf@uevora.pt; alexandre_d29@hotmail.com; jneves@di.uminho.pt; hvicente@uevora.pt</t>
  </si>
  <si>
    <t>Figueiredo, Margarida/M-6250-2013; Vicente, Henrique/J-5948-2012</t>
  </si>
  <si>
    <t>Figueiredo, Margarida/0000-0002-8969-0380; Vicente, Henrique/0000-0001-8456-7773</t>
  </si>
  <si>
    <t>FCT/MCTES, Fundacao para a Ciencia e Tecnologia and Ministerio da Ciencia, Tecnologia e Ensino Superior [UIDB/50006/2020, UIDP/50006/2020]</t>
  </si>
  <si>
    <t>FCT/MCTES, Fundacao para a Ciencia e Tecnologia and Ministerio da Ciencia, Tecnologia e Ensino Superior(Fundacao para a Ciencia e a Tecnologia (FCT))</t>
  </si>
  <si>
    <t>This work received financial support from PT national funds (FCT/MCTES, Fundacao para a Ciencia e Tecnologia and Ministerio da Ciencia, Tecnologia e Ensino Superior) through the projects UIDB/50006/2020 and UIDP/50006/2020.</t>
  </si>
  <si>
    <t>Abuduxike G, 2017, NEW HORIZ REG SCI, P131; Adetunji C.O., 2021, MICROBIAL REJUVENATI, V27, P239, DOI [10.1007/978-981-15-7459-7_11, DOI 10.1007/978-981-15-7459-7_11]; Aggarwal C. C., 2018, Neural Networks and Deep Learning: A Textbook, DOI [10.1007/978-3-319-94463-0, DOI 10.1007/978-3-319-94463-0]; Akcay S., 2023, J AHMET KELESOGLU ED, V5, P139, DOI [10.38151/akef.2023.48, DOI 10.38151/AKEF.2023.48]; Alshayeji MH, 2022, BIOMED SIGNAL PROCES, V71, DOI 10.1016/j.bspc.2021.103141; [Anonymous], 2011, SUST US EPA; Arora N.K., 2018, Environmental Sustainability, V1, P309, DOI [DOI 10.1007/S42398-018-00038-W, 10.1007/s42398-018-00038-w]; Avtar R, 2019, RESOURCES-BASEL, V8, DOI 10.3390/resources8030136; Bashir MA, 2022, FUEL PROCESS TECHNOL, V227, DOI 10.1016/j.fuproc.2021.107120; Batista LF, 2021, FOOD BIOPROD PROCESS, V126, P164, DOI 10.1016/j.fbp.2021.01.002; Bell J., 2010, Doing your research project: A guide for first time researchers in education, health and social science; Bigini V, 2021, PLANTS-BASEL, V10, DOI 10.3390/plants10061146; Biswas A, 2020, ENVIRON SCI POLLUT R, V27, P5922, DOI 10.1007/s11356-019-07290-5; Bosnjakovic M, 2020, APPL SCI-BASEL, V10, DOI 10.3390/app10228181; Carducci A, 2021, INT J ENV RES PUB HE, V18, DOI 10.3390/ijerph18063306; Chai WS, 2021, ENVIRON POLLUT, V269, DOI 10.1016/j.envpol.2020.116236; Chittora D, 2020, BIOCHEM BIOPHYS REP, V22, DOI 10.1016/j.bbrep.2020.100737; Cincera J, 2023, ENVIRON EDUC RES, V29, P1276, DOI 10.1080/13504622.2022.2107618; Cohen L., 2000, RES METHODS ED, DOI [DOI 10.4324/9781315456539, 10.4324/9780203224342]; Dawood T, 2021, J CLEAN PROD, V291, DOI 10.1016/j.jclepro.2020.125266; DeKetele J-M., 2016, METHODOLOGIE RECUEIL; Disinger J.F., 1992, ENVIRONMENTALIST, V12, P165, DOI [10.1007/BF01267599, DOI 10.1007/BF01267599]; Fang W.-T., 2023, LIVING ENV ED SOUND, DOI [10.1007/978-981-19-4234-1, DOI 10.1007/978-981-19-4234-1]; Fernandes A, 2020, IOP C SER EARTH ENV, V612, DOI 10.1088/1755-1315/612/1/012028; Fernandes A, 2016, LECT NOTES COMPUT SC, V10018, P415, DOI 10.1007/978-3-319-48057-2_29; Florkowski Christopher M, 2008, Clin Biochem Rev, V29 Suppl 1, pS83; Frank E., 2016, The WEKA workbench. Online appendix for data mining: practical machine learning tools and techniques, VFourth; Goldman D., 2020, CONCEPTUALIZING ENV, P115, DOI [10.1007/978-3-030-20249-1_8, DOI 10.1007/978-3-030-20249-1_8]; Goudarzi G, 2021, CHEMOSPHERE, V283, DOI 10.1016/j.chemosphere.2021.131285; Hall M., 2009, ACM SIGKDD Explor. Newslett., V11, P10, DOI [DOI 10.1145/1656274.1656278, 10.1145/1656274.1656278]; Hamadani H., 2020, BIOREMEDIATION BIOTE, P93, DOI [10.1007/978-3-030-35691-0_5, DOI 10.1007/978-3-030-35691-0_5]; Haykin S., 2009, NEURAL NETWORKS LEAR; Hollweg K.S., 2011, DEV FRAMEWORK ASSESS; Holzinger A, 2023, NEW BIOTECHNOL, V74, P16, DOI 10.1016/j.nbt.2023.02.001; Hou WH, 2021, BMC PUBLIC HEALTH, V21, DOI 10.1186/s12889-021-11658-z; Intergovernmental Panel on Climate Change, 2015, Climate change 2014: Mitigation of climate change: Working group III contribution to the IPCC fifth assessment report.; IPCC, 2021, Climate Change 2021: The Physical Science Basis. Contribution of Working Group I to the Sixth Assessment Report of the Intergovernmental Panel on Climate Change, DOI DOI 10.1017/9781009157896; Kapahi M, 2019, J HEALTH POLLUT, V9, DOI 10.5696/2156-9614-9.24.191203; Kewley RH, 2000, IEEE T NEURAL NETWOR, V11, P668, DOI 10.1109/72.846738; Kour D, 2020, BIOCATAL AGR BIOTECH, V23, DOI 10.1016/j.bcab.2019.101487; Kumar M, 2020, SCI TOTAL ENVIRON, V716, DOI 10.1016/j.scitotenv.2020.137116; Kumari P, 2022, FRONT GENET, V13, DOI 10.3389/fgene.2022.914029; Li AH, 2022, HELIYON, V8, DOI 10.1016/j.heliyon.2022.e10677; Li C, 2022, ENVIRON POLLUT, V304, DOI 10.1016/j.envpol.2022.119234; Liyanage CP, 2017, SUSTAINABILITY-BASEL, V9, DOI 10.3390/su9081405; Lokko Y, 2018, NEW BIOTECHNOL, V40, P5, DOI 10.1016/j.nbt.2017.06.005; Lomartire S, 2022, APPL SCI-BASEL, V12, DOI 10.3390/app12063123; Manisalidis I, 2020, FRONT PUBLIC HEALTH, V8, DOI 10.3389/fpubh.2020.00014; Aron NSM, 2020, INT J ENERG RES, V44, P9266, DOI 10.1002/er.5557; McClaren M, 2019, J ENVIRON EDUC, V50, P416, DOI 10.1080/00958964.2019.1687408; McMillan J., 2009, RES ED EVIDENCE BASE; Miftahuddin M., 2023, INDONES J ED, V3, P44; Molinuevo-Salces B., 2019, Microalgae Biotechnology for Development of Biofuel and Wastewater Treatment, P505, DOI [10.1007/978-981-13-2264-8_20, DOI 10.1007/978-981-13-2264-8_20]; Munaweera T. I. K., 2022, Agriculture &amp; Food Security, V11, P26, DOI 10.1186/s40066-022-00369-2; Nanda S, 2022, ENVIRON CHEM LETT, V20, P379, DOI 10.1007/s10311-021-01334-4; Neupane D, 2023, BIOENGINEERING-BASEL, V10, DOI 10.3390/bioengineering10010029; O'Halloran C, 2022, FRONT MAR SCI, V9, DOI 10.3389/fmars.2022.976006; Parra G., 2020, Environmental Discourses in Science Education, P149; Patton M.Q., 1990, QUALITATIVE EVALUATI; Priya, 2022, Materials Today: Proceedings, P1178, DOI 10.1016/j.matpr.2021.08.227; Ramirez-Guzman N., 2020, MRev No. 356, DOI 10.1016/B978-0-12-819978-7.00001-4; Rashid MA, 2018, ASIAN J WATER ENVIRO, V15, P67, DOI 10.3233/AJW-180007; Roth C.E., 1992, Environmental literacy: Its roots, evolution, and directions in the 1990; Salgado CM, 2022, APPL RADIAT ISOTOPES, V185, DOI 10.1016/j.apradiso.2022.110215; Santos FD, 2022, CLIMATE, V10, DOI 10.3390/cli10050075; Sasa Tala, 2022, WSEAS Transactions on Environment and Development, P1012, DOI 10.37394/232015.2022.18.97; Sharma I., 2020, TRACE METALS ENV NEW, P263, DOI DOI 10.5772/INTECHOPEN.90453; Singh D., 2022, Curr. Res. Green Sustain. Chem., DOI DOI 10.1016/J.CRGSC.2022.100261; Squizzato S, 2017, ATMOS RES, V186, P51, DOI 10.1016/j.atmosres.2016.11.011; Steel BS, 2005, OCEAN COAST MANAGE, V48, P97, DOI 10.1016/j.ocecoaman.2005.01.002; Thakur Neelam., 2020, New and Future Developments in Microbial Biotechnology and Bioengineering, P243, DOI DOI 10.1016/B978-0-12-820526-6.00016-6; Tumpa P, 2021, Sens Int, V2, DOI [10.1016/j.sintl.2021.100128, DOI 10.1016/J.SINTL.2021.100128]; UN, 2015, TRANSF OUR WORLD 203; Vilhena J, 2016, J BIOMED INFORM, V62, P265, DOI 10.1016/j.jbi.2016.07.013; Wang RY, 2018, NEW BIOTECHNOL, V40, P46, DOI 10.1016/j.nbt.2017.08.002; Witten IH, 2017, DATA MINING: PRACTICAL MACHINE LEARNING TOOLS AND TECHNIQUES, 4TH EDITION, pCP1; Yadav D., 2022, Asian Journal of Green Chemistry, V6, P112, DOI [10.22034/ajgc.2022.2.2, DOI 10.22034/AJGC.2022.2.2]; Yi H, 2020, CRIT REV BIOTECHNOL, V40, P99, DOI 10.1080/07388551.2019.1682964</t>
  </si>
  <si>
    <t>10.3390/su151310056</t>
  </si>
  <si>
    <t>M2AV9</t>
  </si>
  <si>
    <t>WOS:001028269500001</t>
  </si>
  <si>
    <t>Work in progress: A pilot study to assess the impact of a special topics energy module on improving energy literacy of high school youth</t>
  </si>
  <si>
    <t>36TH ANNUAL FRONTIERS IN EDUCATION, CONFERENCE PROGRAM, VOLS 1-4: BORDERS: INTERNATIONAL, SOCIAL AND CULTURAL</t>
  </si>
  <si>
    <t>36th Annual Frontiers in Education (FIE 2006)</t>
  </si>
  <si>
    <t>OCT 28-31, 2006</t>
  </si>
  <si>
    <t>San Diego, CA</t>
  </si>
  <si>
    <t>energy education; energy literacy; hydrogen fuel cell; project-based learning; societal context</t>
  </si>
  <si>
    <t>An energy education program that embeds energy topics within a societal context that is meaningful to students may improve energy literacy and effectively prepare students to interpret energy issues and maize sound actions and choices as voters, consumers, and professionals. High school environmental science students participate in a project-based energy module where they explore technical, environmental, societal, and economic concerns related to the production, delivery, and use of hydrogen fuel and fuel cells for transportation. In-depth assessment evaluates the course's impact on students' energy-related knowledge, attitudes, and behaviors, as well as their feelings of general self-efficacy. The analysis uses a triangulated mixed-methods design, including pre/post written questionnaires, classroom observations, post-program focus group interviews, and post-program opinion surveys.</t>
  </si>
  <si>
    <t>[DeWaters, Jan] Clarkson Univ, Clarkson Ctr Environm, Potsdam, NY 13676 USA; [Powers, Susan] Clarkson Univ, Civil &amp; Environm Engn, Potsdam, NY 13676 USA</t>
  </si>
  <si>
    <t>DeWaters, J (corresponding author), Clarkson Univ, Clarkson Ctr Environm, Potsdam, NY 13676 USA.</t>
  </si>
  <si>
    <t>Arvai J.L., 2004, J ENVIRON EDUC, V36, P33; Barrow L., 1989, Journal of Environmental Education, V20, P22, DOI [10.1080/00958964.1989.9943027, DOI 10.1080/00958964.1989.9943027]; Gambro J.S., 1999, J ENVIRON EDUC, V30, P15, DOI DOI 10.1080/00958969909601866; HOLDEN CC, 1984, J RES SCI TEACH, V21, P187, DOI 10.1002/tea.3660210209; JERSUALEM M, GEN SELFEFFICACY SCA; MORRISEY JT, 1984, SCI EDUC, V68, P365, DOI 10.1002/sce.3730680402; 2002, AM LOW ENERGYIQ RISK; 2005, B AM METEOROLOGICAL, V86, P775</t>
  </si>
  <si>
    <t>978-1-4244-0256-4</t>
  </si>
  <si>
    <t>Computer Science, Information Systems; Computer Science, Interdisciplinary Applications; Education &amp; Educational Research; Education, Scientific Disciplines</t>
  </si>
  <si>
    <t>BGC22</t>
  </si>
  <si>
    <t>WOS:000245981400066</t>
  </si>
  <si>
    <t>Keener-Chavis, P; McDonough, J; Martinez, C; Gorell, F</t>
  </si>
  <si>
    <t>Keener-Chavis, Paula; McDonough, John; Martinez, Catalina; Gorell, Fred</t>
  </si>
  <si>
    <t>The NOAA Ship Okeeanos Explorer: Live...to Scientists and Educators Ashore</t>
  </si>
  <si>
    <t>The National Oceanic and Atmospheric Administration (NOAA) will commission a ship of exploration, the NOAA Ship Memos Explorer, the only Federal vessel dedicated to exploring our largely unknown ocean. The vessel will provide ocean explorers with a new cutting-edge capability in that it is designed to operate under the command of mission scientists working from shore-based Exploration Command Centers using telepresence. This paper discusses the vision for science, ocean literacy, presents ideas discussed for the ship's maiden voyage, plans for workshops to discuss ocean literacy efforts, and provides a brief overview of the ship's status to date.</t>
  </si>
  <si>
    <t>[Keener-Chavis, Paula] NOAA, Ocean Explorat Program, Charleston, SC 29406 USA; [McDonough, John; Gorell, Fred] NOAA Ocean Explorat Program, Silver Spring, MD USA; [Martinez, Catalina] NOAA Ocean Explorat Program, Silver Narragansett, RI USA</t>
  </si>
  <si>
    <t>Keener-Chavis, P (corresponding author), NOAA, Ocean Explorat Program, Charleston, SC 29406 USA.</t>
  </si>
  <si>
    <t>WOS:000256526301115</t>
  </si>
  <si>
    <t>Valenzuela-Flores, A; Marín-Restrepo, L; Pereira-Ruchansky, L; Pérez-Fargallo, A</t>
  </si>
  <si>
    <t>Valenzuela-Flores, Andrea; Marin-Restrepo, Laura; Pereira-Ruchansky, Lucia; Perez-Fargallo, Alexis</t>
  </si>
  <si>
    <t>Impact of energy literacy on vulnerable families: Case study-The Chilean Good Energy (Con Buena Energia) Program, Los Rios Region</t>
  </si>
  <si>
    <t>Energy effi ciency; Residential electricity consumption; Energy education; Energy literacy; Citizen energy training; Energy vulnerability</t>
  </si>
  <si>
    <t>FUEL POVERTY</t>
  </si>
  <si>
    <t>In Chile, the Good Energy (Con Buena Energia) Program (PCBE) promotes energy education and technological change in the residential sector. However, five years into its implementation, its impact has not been evaluated. This article aims to measure the energy impact of this program for social housing in the Los Rios Region, propose improvements, and contribute to the design of measures for residential energy literacy at an international level. To this end, a characterization survey was applied to 64 families, and their electricity consumption before and after their participation in the program was analyzed. The results show that the greatest impact is obtained in families with an average monthly per capita consumption of between 25 and 35 kWh, who do not use electric heating, have 3 or more members, where the beneficiary has completed their secondary education, their per capita income is under CLP100,000, they are from income quintile 2, and they are under the poverty line. For social groups with other characteristics, specific programs must be built. Finally, this study contributes to gauging the energy impact of the PCBE, and also to establishing guidelines so that other programs can be evaluated, improved, and/or designed.</t>
  </si>
  <si>
    <t>[Valenzuela-Flores, Andrea; Perez-Fargallo, Alexis] Univ Bio Bio, Dept Bldg Sci, Concepcion, Chile; [Valenzuela-Flores, Andrea] Minist Energy, Div Sustainable Energies, Educ &amp; Outreach Unit, Valdivia, Chile; [Marin-Restrepo, Laura] Catholic Univ Louvain, Louvain Res Inst Landscape, Architecture &amp; Climate, Architecture,Built Environm, Louvain, Belgium; [Pereira-Ruchansky, Lucia] Univ Republica, Fac Architecture Design &amp; Urbanism, Dept Built Environm, Montevideo, Uruguay</t>
  </si>
  <si>
    <t>Universidad del Bio-Bio; Universite Catholique Louvain; Universidad de la Republica, Uruguay</t>
  </si>
  <si>
    <t>Marín-Restrepo, L (corresponding author), Off A 017,Pl Levant 1,Vinci Bldg, bte L5-05-04, B-1348 Louvain La Neuve, Belgium.</t>
  </si>
  <si>
    <t>laura.marinrestrepo@uclouvain.be</t>
  </si>
  <si>
    <t>Pérez Fargallo, Alexis/K-1975-2014; Marin Restrepo, Laura/P-6959-2017</t>
  </si>
  <si>
    <t>Pérez Fargallo, Alexis/0000-0001-7071-7523; Marin Restrepo, Laura/0000-0002-1534-0396</t>
  </si>
  <si>
    <t>National Research and Development Agency of Chile (ANID); Confort Ambiental Pobreza Energetica research group of the Universidad del Bio-Bio, Chile [GI/C 19450]; Thematic Network 722RT0135 Red Iberoamericana de Pobreza Energetica Bienestar Ambiental (RIPEBA) - call for Thematic Networks of the CYTED Program [722RT0135]; ANID</t>
  </si>
  <si>
    <t>National Research and Development Agency of Chile (ANID); Confort Ambiental Pobreza Energetica research group of the Universidad del Bio-Bio, Chile; Thematic Network 722RT0135 Red Iberoamericana de Pobreza Energetica Bienestar Ambiental (RIPEBA) - call for Thematic Networks of the CYTED Program; ANID</t>
  </si>
  <si>
    <t>This paper is part of the project Fondecyt Regular 1200551 -Energy poverty prediction based on social housing architectural design in the central and central-southern zones of Chile: an innovative index to analyse and reduce the risk of energy poverty, funded by the National Research and Development Agency of Chile (ANID). The authors would like to acknowledge the support provided by Confort Ambiental Pobreza Energetica research group of the Universidad del Bio-Bio, Chile (GI/C 19450) and the Thematic Network 722RT0135 Red Iberoamericana de Pobreza Energetica Bienestar Ambiental (RIPEBA) financed by the call for Thematic Networks of the CYTED Program for 2021. In addition, the authors would like to thank the national master's scholarship program of ANID (A.V.F.), the Sociedad Austral de Electricidad SA (SAESA) for providing the electricity consumption records and the Ministry of Energy of Chile for selecting and contacting the participants.</t>
  </si>
  <si>
    <t>Adams J, 2022, ENERGY RES SOC SCI, V91, DOI 10.1016/j.erss.2022.102718; Agencia Chilena de Eficiencia Energetica, 2018, APR AH GUIA PRACT BU; Ambrose AR, 2015, INDOOR BUILT ENVIRON, V24, P913, DOI 10.1177/1420326X15598821; Bid I.E.A., 2012, GOBERNANZA EFICIENCI; Boardman Brenda., 2013, FIXING FUEL POVERTY; Calvo R., 2019, Hacia un indicador territorializado y tridimensional de pobreza energetica; Castaño-Rosa R, 2020, REV HABITAT SUSTENTA, V10, P9, DOI 10.22320/07190700.2020.10.01.01; Climate-Data, 2022, TEMP CLIM TABL CLIM; Crentsil AO, 2019, ENERG POLICY, V133, DOI 10.1016/j.enpol.2019.110884; de Energia de Chile Ministerio, 2013, DECR 64 APR REGL EST; de Energia de Chile Ministerio, 2012, DECR 97 APR REGL EST; de Energia Ministerio, 2016, EN 2050 POL EN CHIL, P158; de Energia Ministerio, 2022, BEN PROGR BUEN EN; de Trabajo D., 2018, POLITICAS PUBLICAS P; DeWaters JE, 2011, ENERG POLICY, V39, P1699, DOI 10.1016/j.enpol.2010.12.049; Dias RA, 2004, ENERG POLICY, V32, P1339, DOI 10.1016/S0301-4215(03)00100-9; Dias RA, 2021, RENEW SUST ENERG REV, V141, DOI 10.1016/j.rser.2021.110845; Dobravec V, 2021, ENERGY SUSTAIN SOC, V11, DOI 10.1186/s13705-020-00277-y; Energia de, INF AV IMPL PROGR RE; G20, 2019, G20 LEAD DECL BUILD; Gadonneix P., 2010, SURV EN RES, P593; Garcia-Ochoa R., 2019, ESTUD SOC, V29, DOI 10.; Guerra L., 2021, LEYES EFICIENCIA ENE; Instituto Nacional de Estadisticas, 2018, Sintesis de Resultados CENSO 2017; International Energy Agency, 2017, ENERGY TECHNOLOGY PE, P7; International Energy Agency, 2018, EN POL IEA COUNTR CH; Jimenez Mori R., 2020, HOUSEHOLDS CONSUME E, DOI [10.18235/0002874, DOI 10.18235/0002874]; Chévez PJ, 2020, ECON SOC TERRIT, V20, P303, DOI 10.22136/est20201541; Kirby S.D., 2009, J EXT, V47, P44; Kirby S.D., 2014, HOUS SOC, V41, P71, DOI [10.1080/08882746.2014.11430622, DOI 10.1080/08882746.2014.11430622]; Kirby SD, 2015, J EXT, V53; Li CZ, 2020, CHINA ECON REV, V60, DOI 10.1016/j.chieco.2019.101397; Love J, 2015, INDOOR BUILT ENVIRON, V24, P986, DOI 10.1177/1420326X15601722; Martinez P., 2010, ANALISIS RECAMBIO RE; Martins A, 2022, ENERGY REP, V8, P172, DOI 10.1016/j.egyr.2022.01.082; Martins A, 2020, ENERGIES, V13, DOI 10.3390/en13133412; Martins A, 2020, ENERGY REP, V6, P454, DOI 10.1016/j.egyr.2019.09.007; Mehmood A, 2022, ENERGY REP, V8, P332, DOI 10.1016/j.egyr.2022.01.050; Mejía Guillermo, 2014, Rev. esc.adm.neg, P122; Mieres Brevis Michelle, 2020, RAE, V35, P91; Ministerio de Desarrollo social, 2021, INF MENS INF MENS, V2021, P8; Ministerio de Medio Ambiente, 2022, SIST INF NAC CAL AIR; National Energy Commission, 2020, ANN STAT EN 2020, P164; National Energy Foundation EEUU, 2020, ANN REPORT; National Energy Foundation UK, 2019, IMP REP; OCDE, 2018, EST EC OCDE CHIL; Pérez-Fargallo A, 2020, ENERGY SUSTAIN DEV, V58, P63, DOI 10.1016/j.esd.2020.07.009; Pietrapertosa F, 2021, J CLEAN PROD, V278, DOI 10.1016/j.jclepro.2020.123949; Pringle L., 1975, ENERGY POWER PEOPLE; Reddy BS, 2010, Energy efficiency and climate change: conserving power for a sustainable future; Rosenow J, 2013, ENERG POLICY, V62, P1194, DOI 10.1016/j.enpol.2013.07.103; Sharma SV, 2019, ENERG POLICY, V132, P1184, DOI 10.1016/j.enpol.2019.06.068; Snell C, 2015, ENERGY RES SOC SCI, V10, P123, DOI 10.1016/j.erss.2015.07.012; Tewathia N., 2014, International Journal of Energy Economics and Policy, V4, P337; UN, 2019, The Sustainable Development Goals Report 2020: The need for data innovations in the time of COVID-19; van den Broek KL, 2019, ENERGY RES SOC SCI, V57, DOI 10.1016/j.erss.2019.101256</t>
  </si>
  <si>
    <t>10.1016/j.enpol.2023.113650</t>
  </si>
  <si>
    <t>K8YB8</t>
  </si>
  <si>
    <t>WOS:001019228000001</t>
  </si>
  <si>
    <t>Fung, MK; Tedesco, LR; Katz, ME</t>
  </si>
  <si>
    <t>Fung, Megan K.; Tedesco, Laura R.; Katz, Miriam E.</t>
  </si>
  <si>
    <t>Games and climate literacy</t>
  </si>
  <si>
    <t>NATURE GEOSCIENCE</t>
  </si>
  <si>
    <t>Letter</t>
  </si>
  <si>
    <t>[Fung, Megan K.; Katz, Miriam E.] Rensselaer Polytech Inst, Dept Earth &amp; Environm Sci, Troy, NY 12180 USA; [Tedesco, Laura R.] Troy High Sch, Troy, NY 12180 USA</t>
  </si>
  <si>
    <t>Rensselaer Polytechnic Institute</t>
  </si>
  <si>
    <t>Fung, MK (corresponding author), Rensselaer Polytech Inst, Dept Earth &amp; Environm Sci, 110 8th St, Troy, NY 12180 USA.</t>
  </si>
  <si>
    <t>fungm2@rpi.edu</t>
  </si>
  <si>
    <t>Tedesco, Laura/HHZ-5493-2022</t>
  </si>
  <si>
    <t>National Science Foundation [0742436]; Division Of Graduate Education; Direct For Education and Human Resources [0742436] Funding Source: National Science Foundation</t>
  </si>
  <si>
    <t>National Science Foundation(National Science Foundation (NSF)); Division Of Graduate Education; Direct For Education and Human Resources(National Science Foundation (NSF)NSF - Directorate for STEM Education (EDU))</t>
  </si>
  <si>
    <t>We would like to thank the National Science Foundation for funding the Graduate STEM Fellows in K-12 Education (GK-12 award # 0742436). Rensselaer Polytechnic Institute's overarching GK-12 theme of discovery-based activities in energy and the environment creates a link between graduate work at RPI with students and teachers at Troy High School. The interactions between these two institutions has allowed for the development of original science curriculum content.</t>
  </si>
  <si>
    <t>Fung M. K., 2012, 2012 ANN M GSA, V44, P97; LEPPER MR, 1992, MOTIV EMOTION, V16, P187, DOI 10.1007/BF00991651; NGSS Lead States, 2013, NGSS LEAD STAT NEXT</t>
  </si>
  <si>
    <t>NATURE PUBLISHING GROUP</t>
  </si>
  <si>
    <t>75 VARICK ST, 9TH FLR, NEW YORK, NY 10013-1917 USA</t>
  </si>
  <si>
    <t>1752-0894</t>
  </si>
  <si>
    <t>1752-0908</t>
  </si>
  <si>
    <t>NAT GEOSCI</t>
  </si>
  <si>
    <t>Nat. Geosci.</t>
  </si>
  <si>
    <t>10.1038/ngeo2499</t>
  </si>
  <si>
    <t>CN8ZQ</t>
  </si>
  <si>
    <t>WOS:000358735500002</t>
  </si>
  <si>
    <t>Leitao, R; Maguire, M; Turner, S</t>
  </si>
  <si>
    <t>Leitao, Rui; Maguire, Martin; Turner, Sarah</t>
  </si>
  <si>
    <t>STUDENT'S PARTICIPATION IN THE DESIGN PROCESS: A STUDY ON USER EXPERIENCE OF AN EDUCATIONAL GAME-LIKE APPLICATION</t>
  </si>
  <si>
    <t>EDULEARN19: 11TH INTERNATIONAL CONFERENCE ON EDUCATION AND NEW LEARNING TECHNOLOGIES</t>
  </si>
  <si>
    <t>EDULEARN Proceedings</t>
  </si>
  <si>
    <t>11th International Conference on Education and New Learning Technologies (EDULEARN)</t>
  </si>
  <si>
    <t>JUL 01-03, 2019</t>
  </si>
  <si>
    <t>Palma, SPAIN</t>
  </si>
  <si>
    <t>Participatory design; learner experience; gamification; educational technologies</t>
  </si>
  <si>
    <t>OCEAN LITERACY; PORTUGAL</t>
  </si>
  <si>
    <t>Gamification is increasingly used in the education context due to its engaging and motivating features that could enhance the learning/teaching process. While there is rich and growing work on game-like applications across fields, there is little multidisciplinary dialogue between pupils, researchers and game designers about how to design them for more effective mobile educational games. To be able to make the learning experiences more engaging, different methodologies have been used to provide designers with input from their target. Although it is broadly accepted that end users should be consulted when designing information and communication technologies (ICT), when the participants are children, the extent and type of consulting is more controversial. Although some considerations are necessary regarding the conclusions drawn from children's enthusiastic play behaviours and reactions, they are the tomorrow's power-users of everything, from the Internet to communications technologies. This paper explores the concept of participatory design in the process of designing a mobile gamified learning application about recycling and its effects on the ocean. This approach aims to understand how the inclusion of pupils from the beginning of the design process could influence the directions of the prototype. The consideration of pupils' game-based learning experiences intends to ensure that the prototype design will adapt to the interests, knowledge and styles of the learners who will use it and, therefore, promote a more engaging and effective learning experience. Based on Druin's framework of children's roles (as a user, as a tester, and as an informant), pupils (end users) participated since the early stages in the design process, providing different types of inputs. The sample of this study consists of 36 children in Portugal and the UK (PT=20, UK=16) within the age group 12-14 years (digital natives). Pupils were able to bring and discuss ideas related to game elements (e.g. badges and leader boards), game mechanics (e.g. challenging, progression), graphic image (e.g. illustrations, iconography) and interaction (e.g. animal behaviour). The results suggest that when children are brought into the design process, they can produce new ideas and highlight system interactions in the way they interpret the context.</t>
  </si>
  <si>
    <t>[Leitao, Rui; Maguire, Martin; Turner, Sarah] Loughborough Univ, Design Sch, Loughborough, Leics, England</t>
  </si>
  <si>
    <t>Loughborough University</t>
  </si>
  <si>
    <t>Leitao, R (corresponding author), Loughborough Univ, Design Sch, Loughborough, Leics, England.</t>
  </si>
  <si>
    <t>Leitao, Rui/GQY-8640-2022</t>
  </si>
  <si>
    <t>Leitao, Rui/0000-0003-3971-3289</t>
  </si>
  <si>
    <t>Bebell D., 2012, EMERGING RESULTS NAT, P1; Blumberg FC, 2013, NEW DIR CHILD ADOLES, V139, P1, DOI 10.1002/cad.20026; Buckley R., 1999, WEBNET 99 WORLD C WW; Chen K., 2017, J AM STAT ASSOC, P1; Cotton D., 2010, SUSTAINABILITY ED PE, P39, DOI DOI 10.4324/9781849776516; Cowburn B, 2018, MAR POLLUT BULL, V133, P956, DOI 10.1016/j.marpolbul.2018.04.065; Crompton H, 2017, COMPUT EDUC, V110, P51, DOI 10.1016/j.compedu.2017.03.013; Dicheva D, 2015, EDUC TECHNOL SOC, V18, P75; Drossel K, 2017, EDUC INF TECHNOL, V22, P551, DOI 10.1007/s10639-016-9476-y; Druin A, 2002, BEHAV INFORM TECHNOL, V21, P1, DOI [10.1080/014492901101008659, 10.1080/01449290110108659]; EAUC, 2019, GREEN GOWN AW; Fegely, 2019, SYSTEMATIC EXPLORATI, P137, DOI [10.4018/978-1-5225-7473-6.ch007, DOI 10.4018/978-1-5225-7473-6.CH007]; Foster J., 2001, ENVIRON EDUC RES, V7, P153, DOI [10.1080/13504620120043162, DOI 10.1080/13504620120043162]; Fowles RA, 2000, COLLABORATIVE DESIGN, P59; Guest H, 2015, MAR POLICY, V58, P98, DOI 10.1016/j.marpol.2015.04.007; Hassler B, 2016, J COMPUT ASSIST LEAR, V32, P139, DOI 10.1111/jcal.12123; Irwin, 2018, INT C ADV LEARN TECH; ISO, 2018, ERGONOMICS HUMAN SYS; Kapp K.M., 2013, GAMIFICATION LEARNIN; Large A, 2006, LIBR INFORM SCI RES, V28, P64, DOI 10.1016/j.lisr.2005.11.014; Leitao R, 2018, INTED PROC, P5058; Leitao R, 2017, ICERI PROC, P5156; Leivaditis E., 2014, SAVE SEAS; Macleod M., 1993, People and Computers VIII. Proceedings of HCI 93, P293; Maguire M, 2001, INT J HUM-COMPUT ST, V55, P587, DOI 10.1006/ijhc.2001.0503; Maguire M, 2001, INT J HUM-COMPUT ST, V55, P453, DOI 10.1006/ijhc.2001.0486; Maguire M., 1989, People and Computers V. Proceedings of the Fifth Conference of the British Computer Society Human-Computer Interaction Specialist Group, P375; Mang C. F., 2012, J INFORM TECHNOLOGY, V11, P17; McGrath M., 2018, BBC News; Mercer TG, 2017, INT J SUST HIGHER ED, V18, P359, DOI 10.1108/IJSHE-03-2015-0064; Moreno-Ger P, 2012, ADV HUM-COMPUT INTER, V2012, DOI 10.1155/2012/369637; Muller Michael J., 2003, DEV PROCESS, V4235, P165; MULLER MJ, 1993, COMMUN ACM, V36, P26; Najjar L. J., 1996, MULTIMEDIA INFORM LE, V5, P1; Nielsen J., 1994, Usability Inspection Methods, DOI [10.1145/259963.260531, DOI 10.1145/259963.260531]; Oblinger D., 2005, ED NET GENERATION, V48; Pacurar E, 2015, EDUC INF TECHNOL, V20, P537, DOI 10.1007/s10639-013-9301-9; Postigo Y, 2019, INT J SCI EDUC, V41, P210, DOI 10.1080/09500693.2018.1548043; Prensky M., 2001, DIGITAL GAME BASED L, V5, P5, DOI DOI 10.1016/J.IHEDUC.2004.12.001; Raes A, 2014, J LEARN SCI, V23, P316, DOI 10.1080/10508406.2013.836656; Ruddick Graham., 2017, The Guardian; Ryoo K, 2019, J RES SCI TEACH, V56, P270, DOI 10.1002/tea.21519; Titlestad O., 2009, SCAND J INF SYST, V21; Trenberth KE, 2018, EARTHS FUTURE, V6, P730, DOI 10.1029/2018EF000825; Tsinakos A.A., 2013, GLOBAL MOBILE LEARNI; Webb BR, 1996, BEHAV INFORM TECHNOL, V15, P76, DOI 10.1080/014492996120283; Zaman B, 2010, 9TH INTERNATIONAL CONFERENCE ON INTERACTION DESIGN AND CHILDREN (IDC2010), P156</t>
  </si>
  <si>
    <t>2340-1117</t>
  </si>
  <si>
    <t>978-84-09-12031-4</t>
  </si>
  <si>
    <t>EDULEARN PROC</t>
  </si>
  <si>
    <t>BP4FG</t>
  </si>
  <si>
    <t>WOS:000551093105076</t>
  </si>
  <si>
    <t>Escoz-Roldán, A; Gutiérrez-Pérez, J; Meira-Cartea, PA</t>
  </si>
  <si>
    <t>Escoz-Roldan, Amor; Gutierrez-Perez, Jose; Angel Meira-Cartea, Pablo</t>
  </si>
  <si>
    <t>Water and Climate Change, Two Key Objectives in the Agenda 2030: Assessment of Climate Literacy Levels and Social Representations in Academics from Three Climate Contexts</t>
  </si>
  <si>
    <t>water; climate change; territorial context; Sustainable Development Goals; Agenda 2030; university students; climate literacy; social representation</t>
  </si>
  <si>
    <t>The relationship between climate change and water is an obvious and key issue within the United Nations Sustainable Development Goals. This study aims to investigate the social representation created around this relationship in three different territorial contexts in order to evaluate the influence of the territory on the perception of the risk of climate change and its relationship with water. By means of a questionnaire completed by 1709 university students, the climatic literacy of the individual was evaluated in order to relate it to other dimensions on the relationship between climate change and water (information, training previous on climate change and pro-environmental attitudes) in their different dimensions in three different territorial contexts. Three hypotheses have been tested: (1) The denial of the CC is significantly associated with a representation that belittles the consequences of global warming and other extreme phenomena. (2) Territorial contexts with high average rainfall levels and low average annual temperatures tend to minimize the social representation of water risks associated with the CC. (3) There is significant interaction between the socio-cultural context and social representations on the causes, consequences and solutions to the problems of CC and water. The first two hypotheses have been rejected, while the third has been accepted. The research results show high climate literacy in the samples of selected university students. It is noted that students recognize a close relationship between the problem of water and the climate crisis. Likewise, they identify different types of causes, consequences, physical processes and solutions. Different climatological contexts do not show significant differences in the social representations that students show about climate change, while socio-educational variables such as available scientific information, or ideology orientation do show significant differences.</t>
  </si>
  <si>
    <t>[Escoz-Roldan, Amor; Gutierrez-Perez, Jose] Univ Granada, Dept Educ Methodol Res, E-18071 Granada, Spain; [Angel Meira-Cartea, Pablo] Univ Santiago de Compostela, Dept Pedag &amp; Didact, Santiago De Compostela 15705, Spain</t>
  </si>
  <si>
    <t>University of Granada; Universidade de Santiago de Compostela</t>
  </si>
  <si>
    <t>Gutiérrez-Pérez, J (corresponding author), Univ Granada, Dept Educ Methodol Res, E-18071 Granada, Spain.</t>
  </si>
  <si>
    <t>amorescoz@correo.ugr.es; jguti@ugr.es; pablo.meira@usc.es</t>
  </si>
  <si>
    <t>Gutierrez Pacherres, Jose Rodolfo/HZL-0476-2023; GUTIERREZ-PEREZ, JOSE/C-4202-2008; Meira-Cartea, Pablo Ángel/G-2631-2016</t>
  </si>
  <si>
    <t>GUTIERREZ-PEREZ, JOSE/0000-0003-4211-9694; Meira-Cartea, Pablo Ángel/0000-0003-0194-7477; Escoz Roldan, Amor/0000-0002-2210-2388</t>
  </si>
  <si>
    <t>Ministry of Economy and Competitiveness of the Government of Spain [RTI2018-094074-B-100]; European Regional Development Fund (ERDF) [RTI2018-094074-B-100]; Sustainability in Higher Education: Evaluation of the scope of the 2030 Agenda in curriculum innovation and teacher professional development in Andalusian Universities [B-SEJ-424-UGR18]</t>
  </si>
  <si>
    <t>Ministry of Economy and Competitiveness of the Government of Spain(Spanish Government); European Regional Development Fund (ERDF)(European Union (EU)); Sustainability in Higher Education: Evaluation of the scope of the 2030 Agenda in curriculum innovation and teacher professional development in Andalusian Universities</t>
  </si>
  <si>
    <t>This research is part of the Resclima-Edu2 Project, Educacion para el cambio climatico en educacion secundaria: investigacion aplicada sobre representaciones y estrategias pedagogicas en la transicion ecologica funded by the Ministry of Economy and Competitiveness of the Government of Spain and the European Regional Development Fund (ERDF), Ref. RTI2018-094074-B-100; and the Sustainability in Higher Education: Evaluation of the scope of the 2030 Agenda in curriculum innovation and teacher professional development in Andalusian Universities, Ref. B-SEJ-424-UGR18.</t>
  </si>
  <si>
    <t>[Anonymous], 2016, PREVENTING DIS HLTH; [Anonymous], 2012, Environmental Outlook to 2050: The Consequences of Inaction; [Anonymous], 2018, B AM METEOROL SOC; [Anonymous], 4 WWAP UN WORLD WAT; [Anonymous], 2019, EUROBAROMETRO; [Anonymous], 2011, [No title captured]; Bates B.C., 2008, Climate Change and Water, Technical Paper of the Intergovern-Mental Panel on Climate Change, DOI DOI 10.1016/J.JMB.2010.08.039; BOSTROM A, 1994, RISK ANAL, V14, P959, DOI 10.1111/j.1539-6924.1994.tb00065.x; Cereceda J. D., 1941, Estudios Geograficos, V2, P35; Comision Europea, 2009, ACT EUR HAC CAMB CLI; Cook J, 2016, ENVIRON RES LETT, V11, DOI 10.1088/1748-9326/11/4/048002; Correa M., 2012, PERCEPCION SOCIAL CA, P108; CRED (Centre for Research on the Epidemiology of Disasters), 2013, DISASTER DATA BALANC; Duan WL, 2019, J CLEAN PROD, V220, P212, DOI 10.1016/j.jclepro.2019.02.040; Edgar G.G., 2009, TRAYECTORIAS, V11, P6; Ekins P., 2000, EC GROWTH ENV SUSTAI, P51; Escoz-Roldan A., 2019, INT J INTERDISCIP EN, V13, P1, DOI [10.18848/2329-1621/CGP/v13i02/1-14, DOI 10.18848/2329-1621/CGP/V13I02/1-14]; Farr R., 1983, Revista Mexicana de Sociologia, VXLV, P641, DOI DOI 10.2307/3540263; Fernandez G, 2011, ENSEN CIENC, V29, P427; Ferreras Chasco C., 1987, BOSQUES GUIA FISICA; Garcia C., 2013, XIHMAI, V15, P95; Gaudiano E., 2014, EDUC REV-CURITIBA, V3, P35, DOI [10.1590/0104-4060.38106, DOI 10.1590/0104-4060.38106]; Guha-Sapir DebaratiPhilippe Hoyois Regina Below., 2015, ANN DISASTER STAT RE; Guppy L., 2017, WATER CRISIS REPORT; Hutton G., 2016, COSTS M 2030 SUSTAIN; Intergovernmental Panel on Climate Change, 2015, CLIMATE CHANGE 2014, P811, DOI [10.1017/cbo9781107415416.017, DOI 10.1017/CBO9781107415416.017]; García MJ, 2011, ENSEN CIENC, V29, P61; Kindelan C., 2013, THESIS; Knutson TR, 2018, B AM METEOROL SOC, V99, pS11, DOI 10.1175/BAMS-D-17-0104.1; Kulp SA, 2019, NAT COMMUN, V10, DOI 10.1038/s41467-019-12808-z; Lazaro L., ESPANOLES ANTE CAMBI; LeMaitre DC, 1997, J HYDROL, V193, P240, DOI 10.1016/S0022-1694(96)03144-7; McRae L., LIVING PLANET REPORT; Meira-Cartea P., 2018, PSYECOLOGY, V9, P259, DOI [10.1080/21711976.2018.1493775, DOI 10.1080/21711976.2018.1493775]; Nerem RS, 2018, P NATL ACAD SCI USA, V115, P2022, DOI 10.1073/pnas.1717312115; OCDE, 2015, PISA 2015; Padilla R., 2010, THESIS; Pavez-Soto Iskra, 2016, Rev.latinoam.cienc.soc.niñez juv, V14, P1435; Program U.S.G.C.R, 2009, SCIENCE, V17, P4; Ramsar Wetland Convention, 2016, RAMSAR WETLAND CONVE; [Scheffran J. Messerschmid Messerschmid], 2012, Climate Change, Human Security and Violent Conflict, Hexagon Series on Human and Environmental Security and Peace; Schmidt C, 2017, ENVIRON SCI TECHNOL, V51, P12246, DOI 10.1021/acs.est.7b02368; Semenza JC, 2009, LANCET INFECT DIS, V9, P365, DOI 10.1016/S1473-3099(09)70104-5; Siegner A, 2020, ENVIRON EDUC RES, V26, P511, DOI 10.1080/13504622.2019.1607258; Sippel S, 2018, B AM METEOROL SOC, V99, pS80, DOI 10.1175/BAMS-D-17-0135.1; Spinoni J., 2018, P 20 EGU GEN ASSEMBL, P9557; Thompson DWJ, 2011, NAT GEOSCI, V4, P741, DOI [10.1038/NGEO1296, 10.1038/ngeo1296]; UN, 2018, Goal 6: Ensure access to water and sanitation for all; UNEP, 2007, GLOB ENV OUTL 4 ENV; Ungar S, 2000, PUBLIC UNDERST SCI, V9, P297, DOI 10.1088/0963-6625/9/3/306; Veliz N., 2019, DOMINIO CIENCIAS, V5, P459, DOI [10.23857/dc.v5i1.872, DOI 10.23857/DC.V5I1.872]; Veolia and IFPRI (International Food Policy Research Institute), 2015, A WHITE PAPER; Victor DG, 2014, CLIMATE CHANGE 2014: MITIGATION OF CLIMATE CHANGE, P111; Victor DG, 2015, NATURE, V520, P27, DOI 10.1038/520027a; Vie J. C., 2009, Wildlife in a Changing WorldAn Analysis of the 2008 IUCN Red List of Threatened Species; Willett W, 2019, LANCET, V393, P447, DOI 10.1016/S0140-6736(18)31788-4; Wu S., 2008, CAMBIO CLIMATICO; WWAP UN, 2017, WASTEWATER UNTAPPED; Zou S, 2019, SUSTAINABILITY-BASEL, V11, DOI 10.3390/su11113084; [No title captured]</t>
  </si>
  <si>
    <t>10.3390/w12010092</t>
  </si>
  <si>
    <t>KU6TM</t>
  </si>
  <si>
    <t>Green Submitted, Green Published, gold</t>
  </si>
  <si>
    <t>WOS:000519847200092</t>
  </si>
  <si>
    <t>Mogias, A; Boubonari, T; Markos, A; Kevrekidis, T</t>
  </si>
  <si>
    <t>Mogias, Athanasios; Boubonari, Theodora; Markos, Angelos; Kevrekidis, Theodoros</t>
  </si>
  <si>
    <t>Greek Pre-Service Teachers' Knowledge of Ocean Sciences Issues and Attitudes Toward Ocean Stewardship</t>
  </si>
  <si>
    <t>attitudes; information sources; Internet; knowledge; ocean literacy</t>
  </si>
  <si>
    <t>ENVIRONMENTAL ATTITUDES; LITERACY; BEHAVIOR; MARINE; TELEVISION; EDUCATION; PATTERNS</t>
  </si>
  <si>
    <t>Greek pre-service teachers' level of ocean literacy was assessed using a revised questionnaire concerning ocean content knowledge and an instrument about ocean stewardship. Rasch analyses showed that the items of both measures were well targeted to the sample. Pre-service teachers possessed a moderate knowledge of ocean sciences issues and positive attitudes toward ocean stewardship; they obtained most information on ocean content from the Internet and mass media and less from formal education, nongovernmental organizations, books, and out-of-school settings. Students who mostly preferred the Internet and mass media scored significantly higher on the knowledge questionnaire. The results could contribute to the enhancement of teachers' ocean literacy.</t>
  </si>
  <si>
    <t>[Mogias, Athanasios; Boubonari, Theodora; Markos, Angelos; Kevrekidis, Theodoros] Democritus Univ Thrace, GR-68100 Nea Chili, Alexandroupolis, Greece</t>
  </si>
  <si>
    <t>Kevrekidis, T (corresponding author), Democritus Univ Thrace, Lab Environm Res &amp; Educ, GR-68100 Nea Chili, Alexandroupolis, Greece.</t>
  </si>
  <si>
    <t>tmpoumpo@eled.duth.gr</t>
  </si>
  <si>
    <t>[Anonymous], 1971, SCI EDUC, DOI DOI 10.1002/SCE.3730550105; [Anonymous], OC LIT ESS PRINC FUN; [Anonymous], 1987, OUR COMMON FUTURE; [Anonymous], SCH SCI MATH; [Anonymous], 2010, NMEA Special Report #3: The Ocean Literacy Campaign; [Anonymous], J ENV ED; [Anonymous], 1999, Australian Journal of Environmental Education, DOI DOI 10.1017/S0814062600002603; [Anonymous], SCI TEACH; [Anonymous], 2010, 3 NAT MAR ED ASS; [Anonymous], 1980, SCI CHILD; [Anonymous], 2004, Chemistry Education research and practice, DOI DOI 10.1039/B4RP90016B; Ballantyne R., 2004, GEO J, V60, P159, DOI [https://doi.org/10.1023/B:GEJO.0000033579.19277.ff, DOI 10.1023/B:GEJO.0000033579.19277.FF]; Beiswenger R., 1991, J ENVIRON EDUC, V23, P24, DOI DOI 10.1080/00958964.1991.9943066; Bond T. G., 2007, Applying the Rasch Model: fundamental measurement in the human sciences, V2nd; Boone WJ, 2011, SCI EDUC, V95, P258, DOI 10.1002/sce.20413; Boone WJ, 2006, SCI EDUC, V90, P253, DOI 10.1002/sce.20106; Boubonari T, 2013, J ENVIRON EDUC, V44, P232, DOI 10.1080/00958964.2013.785381; Boyes E., 1997, ENVIRON EDUC RES, V3, P269, DOI DOI 10.1080/1350462970030302; Bradley J.Campbell., 1999, J ENVIRON EDUC, V30, P17, DOI [DOI 10.1080/00958969909601873, 10.1080/00958969909]; BRISLIN RW, 1970, J CROSS CULT PSYCHOL, V1, P185, DOI 10.1177/135910457000100301; Brody M.J., 1996, J ENVIRON EDUC, V27, P21; Brother C.C., 1991, J ENVIRON EDUC, V22, P22; Çakir M, 2010, EDUC STUD, V36, P21, DOI 10.1080/03055690903148522; Cava F., 2005, Science Content and Standards for Ocean Literacy: A Report on Ocean Literacy, P1; Chan R., 1999, The Environmentalist, V19, P85; Cudaback C., 2006, Eos, V87, P418; Cummins S., 2000, Canadian Journal of Environmental Education, V5, P305; Dresser H.H., 1981, School science and mathematics, V81, P480; Esa N, 2010, INT RES GEOGR ENVIRO, V19, P39, DOI 10.1080/10382040903545534; Falk J.H., 2007, WHY ZOOS AQUARIUMS M; Falk JH, 2003, J RES SCI TEACH, V40, P163, DOI 10.1002/tea.10070; Fien J., 1995, Environmental Education Research, V1, P21; Fortner R., 1980, SCI EDUC, V64, P717; Fortner R.W., 1985, The Journal of Environmental Education, V16, P12; FORTNER RW, 1989, SCI EDUC, V73, P135, DOI 10.1002/sce.3730730203; Fortner RW, 2002, J GREAT LAKES RES, V28, P3, DOI 10.1016/S0380-1330(02)70558-3; FORTNER RW, 1985, J RES SCI TEACH, V22, P115, DOI 10.1002/tea.3660220203; Good J, 2006, ENV COMMUN YEARB, V3, P211, DOI 10.1207/s15567362ecy0301_10; Goodwin H. L., 1978, ED156541 ERIC U DEL; Greely T., 2008, THESIS U S FLORIDA T; Grossman P.L., 1995, International encyclopedia of teaching and teacher education; Haklay M, 2002, AREA, V34, P17, DOI 10.1111/1475-4762.00053; Holbert RL, 2003, J BROADCAST ELECTRON, V47, P556, DOI 10.1207/s15506878jobem4704_5; Hsu S., 1998, ENVIRON EDUC RES, V4, P229, DOI [DOI 10.1080/1350462980040301, 10.1080/1350462980040301]; La Trobe H.L., 2000, Journal of Environmental Education, V32, P12, DOI DOI 10.1080/00958960009598667; Lee K, 2011, J ENVIRON PSYCHOL, V31, P301, DOI 10.1016/j.jenvp.2011.08.004; Linacre J.M., 2011, Winsteps Rasch Measurement Version 3.73; Linacre J.M., 1994, RASCH MEASUREMENT T, V8, P370, DOI DOI 10.1177/01461672012710004; Linsky R.B., 1971, CHILDHOOD EDUC, V47, P191; Loan F. A., 2009, P NAT SEM HELD IND N, P212; MCFADDEN DL, 1973, OCEANS, V6, P44; Muda A., 2011, World Applied Sciences Journal, V14, P114; Nathanson S, 2008, J TEACH EDUC, V59, P313, DOI 10.1177/0022487108321685; Nistor Laura., 2010, Journal of Comparative Research in Anthropology and Sociology, V1, P145; Ogunyemi B., 2011, Applied Environmental Education and Communication, V10, P7, DOI DOI 10.1080/1533015X.2011.549795; Ozsoy S., 2011, ASIA PACIFIC FORUM S, V12, P21; Oztaș F., 2009, International Journal of Environmental &amp; Science Education, V4, P185; Payne DL, 2010, ASTE SER SCI EDUC, P81, DOI 10.1007/978-90-481-9222-9_6; Pe'er S, 2007, J ENVIRON EDUC, V39, P45, DOI 10.3200/JOEE.39.1.45-59; Pedagogical Institute, 2003, 10 HIGHL CROSS THE B; PICKER L, 1984, ENVIRONMENTALIST, V4, P59; Rosenbaum J.E., 2008, Communication Yearbook, V32, P313, DOI DOI 10.1080/23808985.2008.11679081; Said A.M., 2003, International Journal of Sustainability in Higher Education, V4, P305, DOI [10.1108/14676370310497534, DOI 10.1108/14676370310497534, 10.1108/14676370310497534/FULL/XML]; Schoedinger S., 2010, NMEA Special Report, V3, P3; Shanahan J, 1997, J BROADCAST ELECTRON, V41, P305, DOI 10.1080/08838159709364410; Smith E V Jr, 2001, J Appl Meas, V2, P281; Strang C., 2008, Current: The Journal of Marine Education, V24, P6; Strang C., 2007, CURRENT J MARINE ED, V23, P7, DOI DOI 10.5281/ZENODO.30563; Strong C., 1998, MARKETING INTELLIGEN, V16, P349, DOI DOI 10.1108/02634509810237523; Summers M., 2000, Environmental Education Research, V6, P293, DOI [10.1080/713664700, DOI 10.1080/713664700]; Tandon S., 2007, J GLOBAL MEDIA STUDI, V2, P37; Taylor N, 2007, INT RES GEOGR ENVIRO, V16, P367, DOI 10.2167/irgee223.0; Teksoz GT, 2014, ENVIRON EDUC RES, V20, P202, DOI 10.1080/13504622.2013.768604; Tilbury D., 1992, INT J ENV ED INFORM, V11, P267; Tuncer G, 2009, INT J EDUC DEV, V29, P426, DOI 10.1016/j.ijedudev.2008.10.003; Walters H., 2006, CURRENT, V22, P23; Watson K, 2005, ASIA PAC EDUC REV, V6, P59, DOI 10.1007/BF03024968; Yavetz B, 2009, ENVIRON EDUC RES, V15, P393, DOI 10.1080/13504620902928422</t>
  </si>
  <si>
    <t>10.1080/00958964.2015.1050955</t>
  </si>
  <si>
    <t>CR5GH</t>
  </si>
  <si>
    <t>WOS:000361368300003</t>
  </si>
  <si>
    <t>Mascone, CF</t>
  </si>
  <si>
    <t>Mascone, Cynthia F.</t>
  </si>
  <si>
    <t>Energy Literacy</t>
  </si>
  <si>
    <t>CHEMICAL ENGINEERING PROGRESS</t>
  </si>
  <si>
    <t>cyntm@aiche.org</t>
  </si>
  <si>
    <t>AMER INST CHEMICAL ENGINEERS</t>
  </si>
  <si>
    <t>3 PARK AVE, NEW YORK, NY 10016-5901 USA</t>
  </si>
  <si>
    <t>0360-7275</t>
  </si>
  <si>
    <t>1945-0710</t>
  </si>
  <si>
    <t>CHEM ENG PROG</t>
  </si>
  <si>
    <t>Chem. Eng. Prog.</t>
  </si>
  <si>
    <t>Engineering, Chemical</t>
  </si>
  <si>
    <t>252XQ</t>
  </si>
  <si>
    <t>WOS:000327046600001</t>
  </si>
  <si>
    <t>Sovacool, BK; Blyth, PL</t>
  </si>
  <si>
    <t>Sovacool, Benjamin K.; Blyth, Pascale L.</t>
  </si>
  <si>
    <t>Energy and environmental attitudes in the green state of Denmark: Implications for energy democracy, low carbon transitions, and energy literacy</t>
  </si>
  <si>
    <t>ENVIRONMENTAL SCIENCE &amp; POLICY</t>
  </si>
  <si>
    <t>Public acceptance; Energy literacy; Energy education; Energy attitudes; Social acceptance</t>
  </si>
  <si>
    <t>WIND POWER DEVELOPMENT; ACCEPTANCE; INNOVATION; SECURITY; STYLES; PERCEPTIONS; KNOWLEDGE; INSIGHTS; BEHAVIOR; HISTORY</t>
  </si>
  <si>
    <t>This article investigates how a mix of energy-users from Denmark perceives energy and environmental issues such as the affordability of electricity and gasoline, the seriousness of climate change, and preferences for different energy systems. Its primary source of data is a pilot survey and energy literacy test distributed in English and Danish to 328 respondents spread across the country. The survey results are used to test four propositions about energy prices, being green, public knowledge and competence about energy issues, and self-sufficiency and sustainable technology. The data supports the propositions that Danes identify with being green and prefer national and local policies that endorse sustainable technology and being self-sufficient. However, the data also challenges the propositions that Danes would prioritize low energy prices and affordability as key energy concerns and that they are knowledgeable about energy and environmental issues. In this way, a problematic gap may exist between what many academic articles (and previous surveys) report Danish attitudes to be and what this study suggests they are. Given Denmark's ambitious low-carbon goals, these findings have clear relevance to other communities and countries seeking to decarbonize their own energy sectors. (C) 2015 Elsevier Ltd. All rights reserved.</t>
  </si>
  <si>
    <t>[Sovacool, Benjamin K.] Univ Sussex, Sch Business Management &amp; Econ, Sci &amp; Technol Policy Res Unit SPRU, Brighton BN1 9RH, E Sussex, England; [Blyth, Pascale L.] Aalto Univ, Dept Civil &amp; Environm Engn, Espoo 00076, Finland; [Sovacool, Benjamin K.] Aarhus Univ, Dept Business &amp; Technol, DK-7400 Herning, Denmark</t>
  </si>
  <si>
    <t>University of Sussex; Aalto University; Aarhus University</t>
  </si>
  <si>
    <t>Sovacool, BK (corresponding author), Aarhus Univ, Dept Business &amp; Technol, Birk Centerpk 15, DK-7400 Herning, Denmark.</t>
  </si>
  <si>
    <t>BenjaminSo@hih.au.dk</t>
  </si>
  <si>
    <t>Sovacool, Benjamin/Y-2392-2019</t>
  </si>
  <si>
    <t>Sovacool, Benjamin/0000-0002-4794-9403; Blyth, Pascale-Louise/0000-0002-6691-3828</t>
  </si>
  <si>
    <t>MacArthur Foundation's Asia Security Initiative [08-92777-000-GSS]</t>
  </si>
  <si>
    <t>MacArthur Foundation's Asia Security Initiative</t>
  </si>
  <si>
    <t>This study draws significantly from earlier work on energy security attitudes funded by the MacArthur Foundation's Asia Security Initiative under Grant 08-92777-000-GSS. The study also expands the arguments presented in an earlier article entitled Exploring Propositions about Perceptions of Energy Security: An International Survey, published in Environmental Science &amp; Policy 16(1) (January, 2012), pp. 44-64. The authors are grateful to Sarah Ryan from Yale University and Michael Goodsite from Southern Denmark University for helpful suggestions for revision on this article, as well as unusually insightful input from four anonymous reviewers. Despite this, any opinions, findings, and conclusions or recommendations expressed in this material are those of the authors and do not necessarily reflect the views of the MacArthur Foundation, or the survey respondents and participants.</t>
  </si>
  <si>
    <t>[Anonymous], 2008, ELEC J, DOI DOI 10.1016/J.TEJ.2007.12.009; [Anonymous], 2012, NATL POLITICS NUCL P; [Anonymous], 2010, WHITEHEAD J DIPLOMAC; [Anonymous], 2005, ENV LITERACY AM WHAT; Araújo K, 2014, ENERGY RES SOC SCI, V1, P112, DOI 10.1016/j.erss.2014.03.002; Bambawale MJ, 2012, ENERG ENVIRON-UK, V23, P559, DOI 10.1260/0958-305X.23.4.559; Bambawale MJ, 2011, ENERG POLICY, V39, P1254, DOI 10.1016/j.enpol.2010.11.053; Bambawale MJ, 2011, APPL ENERG, V88, P1949, DOI 10.1016/j.apenergy.2010.12.016; Beckmann S.C., 1997, Journal of Consumer Policy, V20, P45; Bidwell D, 2013, ENERG POLICY, V58, P189, DOI 10.1016/j.enpol.2013.03.010; Borg K, 2012, REV HIST MOD CONTEMP, V59, P19, DOI 10.3917/rhmc.593.0019; Buen J, 2006, ENERG POLICY, V34, P3887, DOI 10.1016/j.enpol.2005.09.003; Bunde J., 1997, The Greening of Urban Transport: Planning for Walking and Cycling in Western Cities; D'Agostino AL, 2011, ENERGY, V36, P508, DOI 10.1016/j.energy.2010.10.013; [Economy and Environment Danish Council of Environmental Economics], 2014, COSTS REN EN TARG DA; Edwards PN, 2003, MODERNITY AND TECHNOLOGY, P185; Environment: Copenhagen European Green Capital, 2014, ENV COPENHAGEN EUROP; European Comission Eurostat, 2012, EN PRIC STAT; EUROSTAT, 2015, EL NAT GAS PRIC STAT; Foxon TJ, 2005, ENERG POLICY, V33, P2123, DOI 10.1016/j.enpol.2004.04.011; Garud R, 2003, RES POLICY, V32, P277, DOI 10.1016/S0048-7333(02)00100-2; Glaas E, 2015, ENERGY RES SOC SCI, V10, P57, DOI 10.1016/j.erss.2015.06.012; HANSEN T, 1986, RESOUR CONSERV, V12, P193, DOI 10.1016/0166-3097(86)90010-6; Heberlein TA, 2012, NAVIGATING ENV ATTIT; Heffron RJ, 2014, APPL ENERG, V123, P435, DOI 10.1016/j.apenergy.2013.12.034; Heymann M, 1998, TECHNOL CULT, V39, P641, DOI 10.2307/1215843; Hirsh RF, 2014, ENERGY RES SOC SCI, V1, P106, DOI 10.1016/j.erss.2014.02.010; Hirsh RF, 2013, TECHNOL CULT, V54, P705, DOI 10.1353/tech.2013.0131; Hodbod J, 2014, ENERGY RES SOC SCI, V1, P226, DOI 10.1016/j.erss.2014.03.001; Hvelplund F., 2014, ENV RES ENG MANAG, V66; Jamison A, 1999, ENVIRON VALUE, V8, P199, DOI 10.3197/096327199129341798; Jorgensen U., 1995, MANAGING TECHNOLOGY, P57; Jyllands-Posten S.M., 2014, VISMAENDENE REVSER E; Jyllands-Posten S.M., 2014, VENSTRE AFVISER DANS; KEMPTON W, 1994, ENERG POLICY, V22, P857, DOI 10.1016/0301-4215(94)90145-7; Kilbourne WE, 2002, J BUS RES, V55, P193, DOI 10.1016/S0148-2963(00)00141-7; Klok J, 2006, ENERG POLICY, V34, P905, DOI 10.1016/j.enpol.2004.08.044; Knox-Hayes J, 2013, GLOBAL ENVIRON CHANG, V23, P609, DOI 10.1016/j.gloenvcha.2013.02.003; Ladenburg J, 2008, RENEW ENERG, V33, P111, DOI 10.1016/j.renene.2007.01.011; Ladenburg J, 2015, ENERGY RES SOC SCI, V10, P26, DOI 10.1016/j.erss.2015.06.005; Ladenburg J, 2012, APPL ENERG, V98, P40, DOI 10.1016/j.apenergy.2012.02.070; Ladenburg J, 2011, RENEW SUST ENERG REV, V15, P4223, DOI 10.1016/j.rser.2011.07.130; Lenzen M, 2006, ENERGY, V31, P181, DOI 10.1016/j.energy.2005.01.009; Mason A, 2013, CULTURES OF ENERGY: POWER, PRACTICES, TECHNOLOGIES, P126; Mathiesen B.V., 2009, ENERGY, V34; Mendonca Miguel., 2009, Policy and Society, V27, P379, DOI DOI 10.1016/J.POLSOC.2009.01.007; Mills B, 2012, ENERG POLICY, V49, P616, DOI 10.1016/j.enpol.2012.07.008; Ministry of Food Agriculture and Fisheries of Denmark, 2012, ORGANIC PRODUCTION D; Nagan G., 2012, DENMARK AM; National Environmental Education &amp; Training Foundation and Roper ASW, 2002, AM LOW EN IQ RISK OU; Nielsen JR, 2015, TRANSPORT RES A-POL, V78, P113, DOI 10.1016/j.tra.2015.04.033; Ogilvie D, 2004, BMJ-BRIT MED J, V329, P763, DOI 10.1136/bmj.38216.714560.55; Organic Denmark, 2014, WELCOME ORGANIC DENM; Pasqualetti M. J., 2011, ANN ASSOC AM GEOGR, V101, P1; Pasqualetti MJ, 2000, GEOGR REV, V90, P381, DOI 10.2307/3250859; Pucher J., 2007, FRONTIERS CYCLING PO; Pucher J, 2008, TRANSPORT REV, V28, P495, DOI 10.1080/01441640701806612; Rasmussen L.L., 2011, PRIME MINISTER LL RA; Sagoff M., 2004, VALUE USE EXCHANGE W, P80; Sovacool B.K., 2011, CONT ARAB AFF, V4, P208; Sovacool B.K., 2012, Tackling Long-Term Global Energy Problems, P47; Sovacool BK, 2014, ENERGY RES SOC SCI, V1, P1, DOI 10.1016/j.erss.2014.02.003; Sovacool BK, 2014, NATURE, V511, P529, DOI 10.1038/511529a; Sovacool BK, 2014, ENERGY, V67, P641, DOI 10.1016/j.energy.2014.01.039; Sovacool BK, 2012, ASIAN SURV, V52, P949, DOI 10.1525/as.2012.52.5.949; Sovacool BK, 2012, RENEW SUST ENERG REV, V16, P5268, DOI 10.1016/j.rser.2012.04.048; Sovacool BK, 2011, J CLEAN PROD, V19, P1147, DOI 10.1016/j.jclepro.2011.03.014; Sovacool BK, 2009, TECHNOL SOC, V31, P365, DOI 10.1016/j.techsoc.2009.10.009; Sovacool BK, 2010, SOC STUD SCI, V40, P903, DOI 10.1177/0306312710373842; Sovacool BK, 2010, ENERGY, V35, P3803, DOI 10.1016/j.energy.2010.05.033; Sovacool BK, 2009, ENERG POLICY, V37, P4500, DOI 10.1016/j.enpol.2009.05.073; Sovacool BK, 2014, GLOBAL ENERGY JUSTICE: PROBLEMS, PRINCIPLES, AND PRACTICES, P1, DOI 10.1017/CBO9781107323605; Sundqvist T, 2004, ENERG POLICY, V32, P1753, DOI 10.1016/S0301-4215(03)00165-4; Tampakis S, 2013, RENEW SUST ENERG REV, V20, P473, DOI 10.1016/j.rser.2012.12.027; [The Telegraph Graham Norwood], 2013, TELEGRAPH; Toke D, 2008, RENEW SUST ENERG REV, V12, P1129, DOI 10.1016/j.rser.2006.10.021; Valente TW, 1998, HUM COMMUN RES, V24, P366, DOI 10.1111/j.1468-2958.1998.tb00421.x; Valentine SV, 2010, ENERG POLICY, V38, P7971, DOI 10.1016/j.enpol.2010.09.036; Wael M., 2009, 4 INT RES DAYS MARK; Wilson L., 2014, WHATS AVERAGE PRICE; Wüstenhagen R, 2007, ENERG POLICY, V35, P2683, DOI 10.1016/j.enpol.2006.12.001</t>
  </si>
  <si>
    <t>1462-9011</t>
  </si>
  <si>
    <t>1873-6416</t>
  </si>
  <si>
    <t>ENVIRON SCI POLICY</t>
  </si>
  <si>
    <t>Environ. Sci. Policy</t>
  </si>
  <si>
    <t>10.1016/j.envsci.2015.07.011</t>
  </si>
  <si>
    <t>CT2AC</t>
  </si>
  <si>
    <t>WOS:000362603400033</t>
  </si>
  <si>
    <t>Keller, L; Riede, M; Link, S; Huefner, K; Stoetter, J</t>
  </si>
  <si>
    <t>Keller, Lars; Riede, Maximilian; Link, Steffen; Huefner, Katharina; Stoetter, Johann</t>
  </si>
  <si>
    <t>Can Education Save Money, Energy, and the Climate?- Assessing the Potential Impacts of Climate Change Education on Energy Literacy and Energy Consumption in the Light of the EU Energy Efficiency Directive and the Austrian Energy Efficiency Act</t>
  </si>
  <si>
    <t>energy education; climate education; education for sustainable development; energy literacy; energy consumption; impact assessment; EU Energy Efficiency Directive; Austrian Energy Efficiency Act</t>
  </si>
  <si>
    <t>COST-BENEFIT-ANALYSIS; ENVIRONMENTAL BEHAVIOR; CONSERVATION BEHAVIOR; SELF-REPORTS; ATTITUDES; KNOWLEDGE; DETERMINANTS; UNDERSTAND; SPILLOVER; PROGRAMS</t>
  </si>
  <si>
    <t>The Austrian Education Energy Initiative ETSIT has been established as a response to the EU Energy Efficiency Directive and the Austrian Energy Efficiency Act. This paper investigates the energy literacy of its young participants, i.e., 6000 primary and secondary school students altogether, on a cognitive, affective and behavioural level, and it compares the putative energy-saving effectiveness of the workshops to that of conventional energy audits.For the current analysis, data from, 640 students who validly answered an online survey shortly after participating in one of the energy education workshops, and 353 students who validly answered the online survey approximately one year after having participated (overall n = 993) were analysed. The results indicate that ETSIT raises students' energy literacy on a cognitive, affective and behavioural level with about three-quarters of participants claiming they will positively change their energy consumption behaviour in the future as a result of workshop participation. This is true shortly after participation in the workshops, and also at the 1-year follow-up. In its second impact perspective, this paper delivers an innovative attempt to look at education from a cost-benefit analysis. A default formula for energy audits is adopted to quantify the kilowatt hours (and thus emissions and costs) saved through workshop participation. Despite limitations, the surprising results show that such workshops can compete with conventional energy audits, and that education can, in fact, help save money, resources, and, most important of all, the climate.</t>
  </si>
  <si>
    <t>[Keller, Lars] Univ Innsbruck, Inst Geog, A-6020 Innsbruck, Austria; [Riede, Maximilian] Drees &amp; Sommer, D-70569 Stuttgart, Germany; [Link, Steffen] Fujitsu, D-74172 Neckarsulm, Germany; [Huefner, Katharina] Med Univ Innsbruck, Dept Psychiat Psychotherapy Psychosomat &amp; Med Psy, Div Psychiat 2, A-6020 Innsbruck, Austria; [Stoetter, Johann] Climate Change Ctr Austria, A-1190 Vienna, Austria</t>
  </si>
  <si>
    <t>University of Innsbruck; Medical University of Innsbruck</t>
  </si>
  <si>
    <t>Keller, L (corresponding author), Univ Innsbruck, Inst Geog, A-6020 Innsbruck, Austria.</t>
  </si>
  <si>
    <t>lars.keller@uibk.ac.at; maximilian.riede@dreso.com; steffen.link@tds.fujitsu.com; katharina.huefner@tirol-kliniken.at; johann.stoetter@uibk.ac.at</t>
  </si>
  <si>
    <t>Keller, Lars/V-6320-2018</t>
  </si>
  <si>
    <t>Keller, Lars/0000-0003-3864-7005; Hufner, Katharina/0000-0002-5453-8792; Stotter, Johann/0000-0002-7750-988X</t>
  </si>
  <si>
    <t>Abrahamse W, 2005, J ENVIRON PSYCHOL, V25, P273, DOI 10.1016/j.jenvp.2005.08.002; Abrahamse W, 2011, HUM ECOL REV, V18, P30; Ackerman F, 2002, U PENN LAW REV, V150, P1553, DOI 10.2307/3312947; Adensam H., METHODEN RICHTLINIEN; Aguirre-Bielschowsky I, 2018, ENERGY RES SOC SCI, V44, P178, DOI 10.1016/j.erss.2018.04.020; AJZEN I, 1991, ORGAN BEHAV HUM DEC, V50, P179, DOI 10.1016/0749-5978(91)90020-T; Ajzen I, 2011, PSYCHOL HEALTH, V26, P1113, DOI 10.1080/08870446.2011.613995; Allcott H, 2010, SCIENCE, V327, P1204, DOI 10.1126/science.1180775; [Anonymous], 2015, FORSCHUNGSMETHODEN E; [Anonymous], 1983, SCHOOL SCI MATH, DOI DOI 10.1111/J.1949-8594.1983.TB10142.X; [Anonymous], 1985, SCHOOL SCI MATH, DOI DOI 10.1111/J.1949-8594.1985.TB09612.X; [Anonymous], UN SUSTAINABLE DEV G; [Anonymous], 1990, INTRO RAD CONSTRUCTV; [Anonymous], 1979, SCI ED, DOI DOI 10.1002/SCE.3730630506; APCC, 2014, STERREICHISCHER SACH, P27; Arimura TH, 2021, ENVIRON RESOUR ECON, V80, P761, DOI 10.1007/s10640-021-00609-2; BAIRD JC, 1981, J APPL PSYCHOL, V66, P90; Ballantyne R., 2006, ENVIRON EDUC RES, V12, P413, DOI [DOI 10.1080/1350462980040304, https://doi.org/10.1080/1350462980040304]; Barbu A, EEA TECH REP; Barrow L., 1989, Journal of Environmental Education, V20, P22, DOI [10.1080/00958964.1989.9943027, DOI 10.1080/00958964.1989.9943027]; Bednar A.K., 1992, Constructivism and the technology of instruction, P17; Bello AA., 2021, ENV CHALLENGES, V5, DOI [10.1016/j.envc.2021.100234, DOI 10.1016/J.ENVC.2021.100234]; BODNER GM, 1986, J CHEM EDUC, V63, P873, DOI 10.1021/ed063p873; Bundesministerium Klimaschutz, UMW EN MOB INN TECHN; Cardellini L., 2006, FOUND CHEM, V8, P177, DOI DOI 10.1007/S10698-006-9012-Z; CAREY S, 1991, J PIAGET SY, P257; Chao YL, 2011, ENVIRON BEHAV, V43, P53, DOI 10.1177/0013916509350849; Clinch JP, 2001, ENERG POLICY, V29, P113, DOI 10.1016/S0301-4215(00)00110-5; CorralVerdugo V, 1997, J ENVIRON PSYCHOL, V17, P135, DOI 10.1006/jevp.1997.0048; COSTANZO M, 1986, AM PSYCHOL, V41, P521, DOI 10.1037/0003-066X.41.5.521; Crater HL., 1981, SCH SCI MATH, V81, P121, DOI DOI 10.1111/J.1949-8594.1981.TB09976.X; Dahl RE, 2018, NATURE, V554, P441, DOI 10.1038/nature25770; De Haan G., 1998, UMWELTBILDUNG UMWELT; de Haan G, 2010, INT REV EDUC, V56, P315, DOI 10.1007/s11159-010-9157-9; DeWaters J, 2013, J ENVIRON EDUC, V44, P56, DOI 10.1080/00958964.2012.682615; DeWaters JE, 2011, ENERG POLICY, V39, P1699, DOI 10.1016/j.enpol.2010.12.049; Domingos RMA, 2021, ENERG BUILDINGS, V243, DOI 10.1016/j.enbuild.2021.111013; Duffy T.M., 2013, Constructivism and the technology of instruction: A conversation; [Duffy T.M. CTGV. CTGV.], 1992, Constructivism and the Technology o f Instruction: A Conversation, P115; Duit R, 2003, INT J SCI EDUC, V25, P671, DOI 10.1080/09500690305016; DUNLOP DL, 1979, J ENVIRON EDUC, V10, P43, DOI 10.1080/00958964.1979.9941908; Energie Tirol, EN TIR DIE UN EN; Energie-Control Austria Energieeffizienz, PROF UB WO EN EFF GE; ERNEST P, 1995, CONSTRUCTIVISM IN EDUCATION, P459; Europaisches Parlament und Rat der Europaischen Union, AMTSBL EUR UN 2012 R; Evans GW, 2018, PSYCHOL SCI, V29, P679, DOI 10.1177/0956797617741894; FINEGOLD M, 1989, RES SCI ED, V19, P97, DOI 10.1007/BF02356850; Fosnot C.T., 2005, CONSTRUCTIVISM THEOR; Frederiks ER, 2015, RENEW SUST ENERG REV, V41, P1385, DOI 10.1016/j.rser.2014.09.026; Freed Michael, 2017, Electricity Journal, V30, P43, DOI 10.1016/j.tej.2016.12.004; Frick M, 2021, SUSTAINABILITY-BASEL, V13, DOI 10.3390/su132313361; Friedman C, 2014, ENERGY, V77, P183, DOI 10.1016/j.energy.2014.06.019; Gambro J.S., 1999, J ENVIRON EDUC, V30, P15, DOI DOI 10.1080/00958969909601866; Garland R., 1991, Marketing bulletin, V2, P66; Garrison DR, 2016, THINKING COLLABORATIVELY: LEARNING IN A COMMUNITY OF INQUIRY, P1; Gatersleben B, 2002, ENVIRON BEHAV, V34, P335, DOI 10.1177/0013916502034003004; Greening LA, 2000, ENERG POLICY, V28, P389, DOI 10.1016/S0301-4215(00)00021-5; Grösche P, 2009, ENERG J, V30, P135; Headley MG, 2020, J MIX METHOD RES, V14, P145, DOI 10.1177/1558689819844417; Hines J.M., 1987, J ENVIRON EDUC, V18, P1, DOI [DOI 10.1080/00958964.1987.9943482, 10.1080/00958964.1987.9943482]; Hiramatsu A., 2014, Low Carbon Economy, V5, P40, DOI 10.4236/lce.2014.52005; Hungerford H.R., 1990, J ENVIRON EDUC, V21, P8, DOI [DOI 10.1080/00958964.1990.10753743, 10.1080/00958964.1990.10753743]; Institut fur Energie und Umweltforschung Heidelberg GmbH, 2005, EV STAT EN VERBR DTS; Intergovernmental Panel on Climate Change, AR6 CLIM CHANG 2021; Intergovernmental Panel on Climate Change, AR5 CLIM CHANG 2014; International Association of Universities, IMP COVID 19 HIGH ED; Jones RV, 2015, ENERG BUILDINGS, V101, P24, DOI 10.1016/j.enbuild.2015.04.052; Kaiser FG, 1999, J ENVIRON PSYCHOL, V19, P1, DOI 10.1006/jevp.1998.0107; Keller L., 2018, THESIS U INNSBRUCK I; Keller L, 2019, GAIA, V28, P35, DOI 10.14512/gaia.28.1.10; Koesler S, 2016, ENERG ECON, V54, P444, DOI 10.1016/j.eneco.2015.12.011; Kubisch S, 2021, SUSTAINABILITY-BASEL, V13, DOI 10.3390/su13010306; Kuckartz U., 1996, UMWELTBEWUSSTSEIN DE; Kuckartz U., 2012, ERZIEHUNGSWISSENSCHA; Kurisu K., 2015, PROENVIRONMENTAL BEH, P1; Leat D., 2015, ENQUIRY PROJECT BASE; Lefkeli S., 2018, HDB CLIMATE CHANGE C, P223; Littleton K, 2012, ORCHESTRATING INQUIRY LEARNING, P1; Maass K, 2013, ZDM-MATH EDUC, V45, P779, DOI 10.1007/s11858-013-0528-0; Mandl H., 2000, KLUFT ZWISCHEN WISSE; MEADOWS D H, 1972, P205; Milfont Taciano L., 2009, Environmentalist, V29, P263, DOI 10.1007/s10669-008-9192-2; Morgan G.B., 2016, SURVEY SCALES GUIDE; Muller-Kohlenberg H., 2004, EMPFEHLUNGEN ANWENDU; Murphy T.P., 2002, The Minnesota report card on environmental literacy; National Energy Education Development Project (NEED), SEC EN POLL; Newhouse N., 1990, Journal of Environmental Education, V22, P26, DOI [DOI 10.1080/00958964.1990.9943043, 10.1080/00958964.1990.9943043]; Nordine J., 2007, THESIS U MICHIGAN AN; O'Brien K, 2013, PROG HUM GEOG, V37, P587, DOI 10.1177/0309132512469589; OLSEN ME, 1981, J SOC ISSUES, V37, P108, DOI 10.1111/j.1540-4560.1981.tb02628.x; Opinion Dynamics Corporation, 2008, IND IMP EV STAT EN E; Otto S, 2019, GLOBAL ENVIRON CHANG, V58, DOI 10.1016/j.gloenvcha.2019.101947; Ovens P., 2011, DEV INQUIRY LEARNING; Owens S, 2008, ENERG POLICY, V36, P4412, DOI 10.1016/j.enpol.2008.09.031; Parth S, 2020, SUSTAINABILITY-BASEL, V12, DOI 10.3390/su12177030; Penz E, 2019, J CLEAN PROD, V214, P429, DOI 10.1016/j.jclepro.2018.12.270; Perkins D.N., 1992, CONSTRUCTIVISM TECHN, P54; PORTER BE, 1995, ENVIRON BEHAV, V27, P122, DOI 10.1177/0013916595272002; Posner G.J., 1982, SCI ED, V66, P211, DOI [DOI 10.1002/SCE.3730660207, 10.1002/sce.3730660207]; Radhakrishna R.B., 2007, Journal of Extension, V45, P1; RAMSEY CE, 1976, J ENVIRON EDUC, V8, P10, DOI 10.1080/00958964.1976.9941552; Rathje W.L., 1994, RUBBISH ARCHAEOLOGY; Rendl N.K., 2000, THESIS U WISCONSIN M; Riede M., 2016, UMWELTPSYCHOLOGIE, V20, P39; Rockström J, 2021, EARTHS FUTURE, V9, DOI 10.1029/2020EF001866; Rosenow J, 2017, ENERG POLICY, V107, P53, DOI 10.1016/j.enpol.2017.04.014; Rubin M, 2010, J EXP SOC PSYCHOL, V46, P410, DOI 10.1016/j.jesp.2010.01.001; Sawitri DR, 2015, PROCEDIA ENVIRON SCI, V23, P27, DOI 10.1016/j.proenv.2015.01.005; Schrot OG, 2021, CLIM RISK MANAG, V33, DOI 10.1016/j.crm.2021.100327; Sercombe H, 2014, BRAIN COGNITION, V89, P61, DOI 10.1016/j.bandc.2014.01.001; Sharygin E, CARBON COST ED FUTUR; Singh C, 2003, AM J PHYS, V71, P607, DOI 10.1119/1.1571832; Solomon J., 1994, Studies in Science Education, V23, P1; Stauffacher M., 2006, International Journal of Sustainability in Higher Education, V7, P252, DOI [DOI 10.1108/14676370610677838, 10.1108/14676370610677838]; Stefer C., 2012, ERZIEHUNGSWISSENSCHA, P156; Stern PC, 2000, J SOC ISSUES, V56, P407, DOI 10.1111/0022-4537.00175; STERN PC, 1992, AM PSYCHOL, V47, P1224, DOI 10.1037/0003-066X.47.10.1224; Swackhamer G., 2003, An energy concept inventory; Toth N, 2013, J ENVIRON PSYCHOL, V34, P36, DOI 10.1016/j.jenvp.2012.12.001; United Nations Agenda 21, 1992, UN C ENV DEV RIO JAN; United Nations Educational Scientific and Cultural Organization, UNESCO ROADM IMPL GL; United Nations Educational Scientific and Cultural Organization, ED SUST DEV GOALS LE; United Nations Educational Scientific and Cultural Organization, SHAP FUT WE WANT UN; United Nations Educational Scientific and Cultural Organization, ESD 2030; United Nations Framework Convention on Climate Change, THE PARIS AGREEMENT; Vivanco DF, 2016, ENERG POLICY, V94, P114, DOI 10.1016/j.enpol.2016.03.054; Wang XT, 2015, APPL ENERG, V141, P119, DOI 10.1016/j.apenergy.2014.12.001; WARRINER GK, 1984, ENVIRON BEHAV, V16, P503, DOI 10.1177/0013916584164005; White BY, 1998, COGNITION INSTRUCT, V16, P3, DOI 10.1207/s1532690xci1601_2; Winkler H., 2002, Development Southern Africa, V19, P593, DOI DOI 10.1080/03768835022000019383; Wisconsin Center for Environmental Education Wisconsin K-12 Energy Education Program College of Natural Resources University of Wisconsin-Steven Point, 2016, WISC K 12 EN PROGR K; Yushchenko A, 2017, ENERG POLICY, V108, P538, DOI 10.1016/j.enpol.2017.06.015; Zografakis N, 2008, ENERG POLICY, V36, P3226, DOI 10.1016/j.enpol.2008.04.021</t>
  </si>
  <si>
    <t>10.3390/en15031118</t>
  </si>
  <si>
    <t>YY5ZR</t>
  </si>
  <si>
    <t>WOS:000754867800001</t>
  </si>
  <si>
    <t>Wells, TM; Walker, SH; Spranger, M</t>
  </si>
  <si>
    <t>Wells, Tami M.; Walker, Sharon H.; Spranger, Mike</t>
  </si>
  <si>
    <t>The role of the Gulf of Mexico Coastal Ocean Observing System (GCOOS) in K-12 education: Applying the technology in classroom curriculum</t>
  </si>
  <si>
    <t>The need for advanced ocean literacy in our society has never been more critical than it is today. Decades of science education research has well documented the need to improve the instruction and intellectual capacity of science and mathematics in K-12 students. Ocean observing systems (OOS) data, derived from both atmospheric and from ocean platforms, have provided technological support to teachers delivering challenging curricula in meeting the standards of the Ocean Literacy Essential principles and Fundamental Concepts. The Centers for Ocean Sciences Education Excellence: Gulf of Mexico (COSEE:GOM); Gulf of Mexico Coastal Ocean Observing System (GCOOS); and Gulf of Mexico Alliance (GOMA) have established the ability to engage ocean monitoring systems and scientific research with educators (informal and formal) to enhance the ocean sciences education framework Recent collaborations between GOMA and GCOOS have motivated education inventiveness with Mexico and the Caribbean. Further, the statistical impact of professional development programs for precollege teachers (2006 and 2007 COSEE Summer Institutes and GCOOS) document positive correlations between pre- and posttests. Technology resources from OOS research, teacher workshops, curricular development, and concepts of Ocean Literacy are recognized and will be discussed during the authors' presentation at the Marine Technology Society's 2007 Annual Conference.</t>
  </si>
  <si>
    <t>[Wells, Tami M.; Walker, Sharon H.] Univ Southern Mississippi, Gulf Coast Res Lab, JL Scott Marine Educ Ctr, Ocean Springs, MS 39564 USA; [Spranger, Mike] Univ Florida, Florida Sea Grant Program, Gainesville, FL 32611 USA</t>
  </si>
  <si>
    <t>University of Southern Mississippi; State University System of Florida; University of Florida</t>
  </si>
  <si>
    <t>Wells, TM (corresponding author), Univ Southern Mississippi, Gulf Coast Res Lab, JL Scott Marine Educ Ctr, Ocean Springs, MS 39564 USA.</t>
  </si>
  <si>
    <t>[Anonymous], 2003, STAND SCI TEACH PREP; [Anonymous], 2004, OC BLUEPR 21 CENT; [Anonymous], 2001, ED TEACH SCI MATH TE; [Anonymous], 2004, US OCEAN ACTION PLAN; [Anonymous], 1996, NAT SCI ED STAND, DOI DOI 10.17226/4962; *COSEE, 2005, OC LIT ESS PRINC OC; KEENERCHAVIS P, 2007, J MARINE ED, V23, P29; MANDUCA C, 2002, FIN REP INT WORKSH C, P39; *NOAA COST SERV CT, NOSCSC20072000875; PARSONS C, 2007, J MARINE ED, V23, P26; SPECTOR B, 2007, J MARINE ED, V1, P18; *SUST OC OBS SYST, US PLAN INT; WALKER SH, 2006, MARINE TECHNOLOGY SO, V39, P20; 2007, NATL COSEE BLUEPRINT</t>
  </si>
  <si>
    <t>WOS:000256526301035</t>
  </si>
  <si>
    <t>Zielinski, T; Kotynska-Zielinska, I; Garcia-Soto, C</t>
  </si>
  <si>
    <t>Zielinski, Tymon; Kotynska-Zielinska, Izabela; Garcia-Soto, Carlos</t>
  </si>
  <si>
    <t>A Blueprint for Ocean Literacy: EU4Ocean</t>
  </si>
  <si>
    <t>climate and ocean change; sustainable development; climate and ocean literacy; effective knowledge communication and education; EU4Ocean coalition</t>
  </si>
  <si>
    <t>In this paper, we discuss the importance of the efficient communication of science results to citizens across the world. In order for people to absorb information, we need to understand the principles and apply the best available means to facilitate the process of increasing global awareness of the changes. This explicitly applies to the verification of how we appeal to people with respect to various environmental issues and, hence, how we can modernize the educational approaches to challenge the global change. We state that, in order to follow the philosophy of sustainable development goals with respect to ocean issues, we need an attractive alternative to the existing areas of consumption. We also state that the ocean issues are at the core of any process aiming to secure sustainability. New methods and tools of education and scientific communication, especially those which are offered by non-formal approaches, are necessary, and we present here some of the activities of the EU4Ocean coalition as best practice examples.</t>
  </si>
  <si>
    <t>[Zielinski, Tymon] Polish Acad Sci, Inst Oceanol, PL-81712 Sopot, Poland; [Kotynska-Zielinska, Izabela] Today We Have, PL-81712 Sopot, Poland; [Garcia-Soto, Carlos] Spanish Inst Oceanog IEO CSIC, Santander 39080, Spain; [Garcia-Soto, Carlos] Univ Basque Country, Plentzia Marine Stn PiE, Plentzia 48620, Spain</t>
  </si>
  <si>
    <t>Polish Academy of Sciences; Institute of Oceanology of the Polish Academy of Sciences; University of Basque Country</t>
  </si>
  <si>
    <t>Zielinski, T (corresponding author), Polish Acad Sci, Inst Oceanol, PL-81712 Sopot, Poland.</t>
  </si>
  <si>
    <t>tymon@iopan.pl; kotynska-zielinska@todaywehave.com; carlos.soto@ieo.es</t>
  </si>
  <si>
    <t>Garcia-Soto, Carlos/C-4860-2017</t>
  </si>
  <si>
    <t>Garcia-Soto, Carlos/0000-0002-7080-8545; Zielinski, Tymon/0000-0003-4712-8899</t>
  </si>
  <si>
    <t>Balke T, 2014, J ECOL, V102, P700, DOI 10.1111/1365-2745.12241; Donert K., 2018, HDB RES ED DESIGN CL, DOI [10.4018/978-1-5225-3053-4, DOI 10.4018/978-1-5225-3053-4]; Dumala H, 2021, FRONT MAR SCI, V8, DOI 10.3389/fmars.2021.626119; European Marine Board, 2019, NAV FUT 5 MAR SCI SU, DOI [10.5281/zenodo.2809392, DOI 10.5281/ZENODO.2809392]; Evans K, 2021, FRONT ENV SCI-SWITZ, V9, DOI 10.3389/fenvs.2021.626532; Evans K, 2019, FRONT MAR SCI, V6, DOI 10.3389/fmars.2019.00298; Field CB, 2014, CLIMATE CHANGE 2014: IMPACTS, ADAPTATION, AND VULNERABILITY, PT A: GLOBAL AND SECTORAL ASPECTS, P1; Gaines SD, 2018, SCI ADV, V4, DOI 10.1126/sciadv.aao1378; Garcia-Soto C, 2021, FRONT MAR SCI, V8, DOI 10.3389/fmars.2021.642372; Garcia-Soto C, 2021, FRONT MAR SCI, V8, DOI 10.3389/fmars.2021.621472; Jensen EA, 2020, FRONT COMMUN, V4, DOI 10.3389/fcomm.2019.00078; Kollmuss A., 2002, ENVIRON EDUC RES, V8, P239, DOI [10.1080/13504620220145401, DOI 10.1080/13504620220145401]; Kopke K, 2019, FRONT MAR SCI, V6, DOI 10.3389/fmars.2019.00060; Kotynska-Zielinska I, 2020, OCEANOLOGIA, V62, P576, DOI 10.1016/j.oceano.2020.03.006; Marek-Bieniasz A., 2015, STUDIES GLOBAL ETHIC, V3, P16, DOI [10.5604/23920890., DOI 10.5604/23920890]; McCauley V, 2019, ENVIRON EDUC RES, V25, P280, DOI 10.1080/13504622.2018.1553234; Pakszys P, 2020, OCEANOLOGIA, V62, P593, DOI 10.1016/j.oceano.2020.03.004; Pendleton L, 2020, P NATL ACAD SCI USA, V117, P9652, DOI 10.1073/pnas.2005485117; Peters MA, 2020, EDUC PHILOS THEORY, V52, P1, DOI 10.1080/00131857.2019.1593033; Senturk Sertan, 2017, Zenodo, DOI 10.5281/ZENODO.260273; Stoll-Kleemann S, 2019, FRONT MAR SCI, V6, DOI 10.3389/fmars.2019.00273; Summary for Policymakers, 2001, CLIMATE CHANGE 2001, P2; Tlokinski W, 2020, OCEANOLOGIA, V62, P603, DOI 10.1016/j.oceano.2020.03.001; United Nations, 2017, 1 GLOB INT MAR ASS W; Wisz MS, 2020, FRONT MAR SCI, V7, DOI 10.3389/fmars.2020.00576; Zielinski T, 2021, FRONT MAR SCI, V8, DOI 10.3389/fmars.2021.619638</t>
  </si>
  <si>
    <t>10.3390/su14020926</t>
  </si>
  <si>
    <t>YO7HG</t>
  </si>
  <si>
    <t>WOS:000748107100001</t>
  </si>
  <si>
    <t>Pazoto, CE; Silva, EP; Andrade, LAB; del Favero, JM; Alo, CFS; Duarte, MR</t>
  </si>
  <si>
    <t>Pazoto, Carmen Edith; Silva, Edson Pereira; Botelho Andrade, Luiz Antonio; del Favero, Jana Menegassi; Souza Alo, Camilla Ferreira; Duarte, Michelle Rezende</t>
  </si>
  <si>
    <t>Ocean Literacy, formal education, and governance: A diagnosis of Brazilian school curricula as a strategy to guide actions during the Ocean Decade and beyond</t>
  </si>
  <si>
    <t>OCEAN AND COASTAL RESEARCH</t>
  </si>
  <si>
    <t>Marine science; Public policies; Stakeholders; Citizenship; Quantitative analysis</t>
  </si>
  <si>
    <t>MARINE EDUCATION; COASTAL; MANAGEMENT</t>
  </si>
  <si>
    <t>Ocean Literacy (OL) was proposed by UNESCO as a goal for the Decade of Ocean Science for Sustainable Development (Ocean Decade) aiming to (1) increase understanding of the importance of the ocean, (2) significantly influence communication on related subjects, and (3) facilitate informed and responsible decision-making about the ocean and its resources. Formal education is essential to expand the reach of OL, providing people with tools to engage in coastal and marine issues consciously and knowingly. To this end, content analysis of school curricula can help planning strategies, especially to empower citizens to implement public policies. This study assessed the extent to which OL-related terms and words are present in Brazilian curricular documents at federal (National Curriculum Parameters-PCNs and Common National Curriculum Base-BNCC) and regional (Federative Units curricular guidelinesRCs) levels. Qualitative (content analysis) and quantitative analyses (descriptive and non-parametric statistics, and multivariate analysis) were performed.The number of occurrences of OL-related words and terms were registered and counted. Nineteen words were found, totaling 797 citations (a frequency of 0.0001 in the total number of words referring to content).The number of citations were higher in BNCC-based RCs than in PCN-based RCs (Kruskal-Wallis test, p = 0.0009). Principal component analysis separated the documents into two groups, one related to BNCC-based RCs of Northeast, North and Midwest regions, with a higher number of OL related terms, and the other group with the PCN based RCs of these same regions plus those documents of Southeast and South regions (principal component 1 explaining 97.90% of the total variation and having 0.93 correlation with the total frequency of citations). General results indicated that Brazilian production on fields and themes related to OL is still concentrated in national journals, books, and booklets, thus with a limited impact. In same way although school curricula in Brazil have a larger number of topics on marine environments than do other countries, they showed heterogeneity among Federative Units, but generally with the topics still representing a very small fraction of Brazilian curricula. Thus, it is necessary to expand the contents related to the ocean and marine environments in curricula to provide students with basic knowledge about the importance and functions of these environments, as well as their conservation. Therefore, results here emphasize the need to implement OL to highlight the importance of knowledge of the oceans and enable citizens to discuss marine conservation policies and promote ocean sustainability.This study provided some strategies to increase OL in formal education and, hence, reach various stakeholders, which is fundamental to implement the United Nations Ocean Decade in Brazil and the Global South.</t>
  </si>
  <si>
    <t>[Pazoto, Carmen Edith] Fundacao Municipal Educ Niteroi, Rua Sao Pedro,108 Ctr, BR-24020055 Niteroi, RJ, Brazil; [Silva, Edson Pereira] Univ Fed Fluminense, Rua Alexandre Moura 8, BR-24210200 Niteroi, RJ, Brazil; [Botelho Andrade, Luiz Antonio] Prefeitura Municipal Niteroi Secretaria Municipal, Rua Visconde Sepetiba,987,5 Andar, BR-24020206 Niteroi, RJ, Brazil; [del Favero, Jana Menegassi] Univ Fed Rio de Janeiro, Chat Neptune, Av Carlos Chagas Filho,373 Cidade Univ, BR-21941971 Rio De Janeiro, RJ, Brazil; [Souza Alo, Camilla Ferreira] Fundacao Municipal Educ Niteroi, Rua Sao Pedro,108 Ctr, BR-24020055 Niteroi, RJ, Brazil; [Duarte, Michelle Rezende] Univ Fed Fluminense, Rua Alexandre Moura 8, BR-24210200 Niteroi, RJ, Brazil</t>
  </si>
  <si>
    <t>Universidade Federal Fluminense; Universidade Federal do Rio de Janeiro; Universidade Federal Fluminense</t>
  </si>
  <si>
    <t>Duarte, MR (corresponding author), Univ Fed Fluminense, Rua Alexandre Moura 8, BR-24210200 Niteroi, RJ, Brazil.</t>
  </si>
  <si>
    <t>Pazoto, Carmen/0000-0001-5724-5939; Andrade, Luiz/0000-0003-3925-2953; Silva, Edson/0000-0002-3210-1127</t>
  </si>
  <si>
    <t>The authors would like to acknowledge the very valuable contributions of the anonymous reviewers and thanks CAPES (Coordenacao de Aperfeicoamento de Pessoal de Nivel Superior) for the scholarship granted to MRD (post-doc).</t>
  </si>
  <si>
    <t>Abdi H, 2010, WIRES COMPUT STAT, V2, P433, DOI 10.1002/wics.101; Andrews S, 2018, AUST J ENVIRON EDUC, V34, P33, DOI 10.1017/aee.2018.17; Bardin L, 2004, ANALISE CONTEUDO, P70, DOI DOI 10.1017/CBO9781107415324.004; Barracosa H, 2019, FRONT MAR SCI, V6, DOI 10.3389/fmars.2019.00626; Berchez F., 2007, OLAM Ciencia Tecnologia, V7, P181; Berchez FAS, 2016, BRAZ J OCEANOGR, V64, DOI 10.1590/S1679-875920160932064sp2; BRASIL. Ministerio da Educacao, 2017, BAS NAC COM CURR ED; BRASIL. Ministerio da Educacao, 1998, PAR CURR NAC; Castle Z, 2010, OCEAN YEARB, V24, P425, DOI 10.1163/22116001-90000066; CEMBRA, 2012, BRAS MAR SEC 21 REL; Costa S, 2018, MAR POLICY, V87, P149, DOI 10.1016/j.marpol.2017.10.022; Diegues AC, 1999, OCEAN COAST MANAGE, V42, P187, DOI 10.1016/S0964-5691(98)00053-2; Dupont S., 2017, Handbook on the Economics and Management of Sustainable Oceans, P519, DOI [10.4337/9781786430724, DOI 10.4337/9781786430724.00037]; Fauville G, 2015, COMPUT EDUC, V82, P60, DOI 10.1016/j.compedu.2014.11.003; Fauville G, 2019, ENVIRON EDUC RES, V25, P238, DOI 10.1080/13504622.2018.1440381; Fauville G, 2017, INT J SCI EDUC, V39, P2151, DOI 10.1080/09500693.2017.1365184; Foley J.M., 2013, Journal of Geoscience Education, V61, P256; French V., 2015, Review of Ocean Literacy in European Maritime Policy; GHILARDI-LOPES N. P., 2012, GUIA EDUCACAO AMBIEN; GHILARDI-LOPES Natalia Pirani, 2019, Coastal and marine environmental education; Gohn Maria da Glória, 2006, Ensaio: aval.pol.públ.Educ., V14, P27; Gough A, 2017, MAR POLLUT BULL, V124, P633, DOI 10.1016/j.marpolbul.2017.06.069; Hair J.F., 2009, AN LISE MULTIVARIADA, V6a; Hammer Oyvind, 2001, Palaeontologia Electronica, V4, pUnpaginated; Hartley BL, 2015, MAR POLLUT BULL, V90, P209, DOI 10.1016/j.marpolbul.2014.10.049; HOFFMAN M., 2007, REVOLUTINIZING EARTH; IOC (Intergovernmental Oceanographic Commission) UNESCO (United Nations Educational Scientific and Cultural Organization), 2018, REV ROADM UN DEC OC; Jablonski S, 2008, OCEAN COAST MANAGE, V51, P536, DOI 10.1016/j.ocecoaman.2008.06.008; Kelly R, 2019, ECOL SOC, V24, DOI 10.5751/ES-10704-240116; KOHLER M. C, 2012, CARTILHA EDUCACAO AM; Kopke K, 2019, FRONT MAR SCI, V6, DOI 10.3389/fmars.2019.00060; Kuijper MWM, 2003, MAR POLLUT BULL, V47, P265, DOI 10.1016/S0025-326X(02)00469-1; LIBANEO JoseC., 1994, Didatica; Marrero ME, 2019, FRONT MAR SCI, V6, DOI 10.3389/fmars.2019.00325; Martins KA, 2017, COAST ENG J, V59, DOI 10.1142/S0578563417400071; Michalowska M, 2020, OCEANOLOGIA, V62, P565, DOI 10.1016/j.oceano.2020.03.003; Mokos M, 2020, MEDITERR MAR SCI, V21, P592, DOI 10.12681/mms.23400; Neto R.S., 2018, REV BRAS GESTAO DESE, V14, P293; NOOA (National Oceanic and Atmospheric Administration). Ocean Literacy Network, 2013, OC LIT ESS PRINC FUN; NOOA (National Oceanic and Atmospheric Administration). Ocean Literacy Network, 2020, OC LIT ESS PRINC FUN; Pedrini A. G., 2013, Pesquisa em Educacao Ambiental, V8, P59, DOI [10.18675/2177-580X. vol8.n2.p59-75, DOI 10.18675/2177-580X.VOL8.N2.P59-75]; Pedrini A. G., 2010, Educacao ambiental marinha e costeira no Brasil; Pedrini A. G., 2019, COASTAL MARINE ENV E, P87, DOI DOI 10.1007/978-3-030-05138-9; PEW OCEANS COMMISSION, 2003, AM LIV OC CHART COUR; REIS R. A., 2018, MAR NOS MERGULHANDO; Sacristan J.G., 2013, SABERES INCERTEZAS C; Santoro F., 2017, Ocean Literacy for All - A toolkit, IOC/UNESCO UNESCO Venice Office; Schoedinger S., 2010, NMEA Special Report, V3, P3; Silva R, 2014, J COASTAL RES, P1, DOI 10.2112/SI71-001.1; Smith HD, 2002, OCEAN COAST MANAGE, V45, P573, DOI 10.1016/S0964-5691(02)00087-X; Stefanelli-Silva G, 2019, FRONT MAR SCI, V6, DOI 10.3389/fmars.2019.00389; Strang C., 2010, CURRENT J MARINE ED, V3, P27; TUDDENHAM P, 2013, C TRANS OC LIT TOL W; Tyedmers P., 2018, INT J LEARNING TEACH, V17, P1; U. S. COMMISSION ON OCEAN POLICY, 2004, OC BLUEPR 21 CENT; Visbeck M, 2018, NAT COMMUN, V9, DOI 10.1038/s41467-018-03158-3</t>
  </si>
  <si>
    <t>INST OCEANOGRAFICO, UNIV SAO PAULO</t>
  </si>
  <si>
    <t>SAO PAULO</t>
  </si>
  <si>
    <t>PRACA DO OCEANOGRAFICO, 191, CIDADE UNIVERSITARIA, SAO PAULO, SP 00000, BRAZIL</t>
  </si>
  <si>
    <t>2675-2824</t>
  </si>
  <si>
    <t>OCEAN COAST RES</t>
  </si>
  <si>
    <t>Ocean Coast. Res.</t>
  </si>
  <si>
    <t>10.1590/2675-2824069.21008cep</t>
  </si>
  <si>
    <t>Marine &amp; Freshwater Biology; Oceanography</t>
  </si>
  <si>
    <t>YY2DV</t>
  </si>
  <si>
    <t>WOS:000754604000002</t>
  </si>
  <si>
    <t>Strand, M; Shields, S; Morgera, E; Mcgarry, D; Malinde, SNA; Brown, L; Snow, B</t>
  </si>
  <si>
    <t>Strand, Mia; Shields, Sophie; Morgera, Elisa; Mcgarry, Dylan; Malinde, S. N. Alana; Brown, Lindy; Snow, Bernadette</t>
  </si>
  <si>
    <t>Protecting Children's Rights to Development and Culture by Re-Imagining Ocean Literacies</t>
  </si>
  <si>
    <t>INTERNATIONAL JOURNAL OF CHILDRENS RIGHTS</t>
  </si>
  <si>
    <t>children's rights; development and cultural rights; environmental education; ocean literacies; environmental justice; UN Ocean Decade</t>
  </si>
  <si>
    <t>CLIMATE-CHANGE; CHLORDECONE; CONVENTION; COASTAL; WATER</t>
  </si>
  <si>
    <t>This paper explores the relevance of existing international legal standards on children's human rights to a healthy ocean. In particular, we reflect on the still underestimated importance of a healthy ocean for children's human right to development and cultural rights. Focusing on environmental education, we argue that the concept of ocean literacy should rather be conceptualised as a plurality of ocean literacies, better to account for multiple ocean knowledges. Ocean literacies in environmental education should be re-imagined to emphasise a systems approach to the ocean, integrating aspects of environmental justice and avoiding the psychological pressure on children to be responsible for the future of the environment. The paper concludes by providing specific recommendations for contextualising and re-imagining ocean literacies in a time where there is an increased global focus on ocean literacy through the UN Ocean Decade.</t>
  </si>
  <si>
    <t>[Strand, Mia] Nelson Mandela Univ, Inst Coastal &amp; Marine Res, Dept Dev Studies, Gqeberha, South Africa; [Shields, Sophie; Morgera, Elisa] Univ Strathclyde, Law Sch, Glasgow City, Scotland; [Mcgarry, Dylan] Univ Currently Known Rhodes, Environm Learning Res Ctr, Makhanda, South Africa; [Malinde, S. N. Alana] Univ West Indies, Fac Law, Lancaster, Cave Hill Campus, Cave Hill, Barbados; [Brown, Lindy] Univ Plymouth, Sch Biol &amp; Marine Sci, Plymouth, Devon, England; [Snow, Bernadette] Scottish Assoc Marine Sci, Oban, Scotland</t>
  </si>
  <si>
    <t>Nelson Mandela University; University of Strathclyde; University West Indies Mona Jamaica; University West Indies Cave Hill Campus; University of Plymouth; UHI Millennium Institute</t>
  </si>
  <si>
    <t>Shields, S (corresponding author), Univ Strathclyde, Law Sch, Glasgow City, Scotland.</t>
  </si>
  <si>
    <t>miavstrand@gmail.com; sophie.shields@strath.ac.uk; elisa.morgera@strath.ac.uk; d.mcgarry@ru.ac.za; alana.lancaster@cavehill.uwi.edu; lindyb323@gmail.com; Bernadette.Snow@sams.ac.uk</t>
  </si>
  <si>
    <t>Snow, Bernadette/HSF-3849-2023</t>
  </si>
  <si>
    <t>Snow, Bernadette/0000-0002-1598-4511; Morgera, Elisa/0000-0002-5234-8784; Strand, Mia/0000-0002-8642-1572</t>
  </si>
  <si>
    <t>One Ocean Hub - UK Research and Innovation (UKRI) through the Global Challenges Research Fund (GCRF) [NE/S008950/1]</t>
  </si>
  <si>
    <t>One Ocean Hub - UK Research and Innovation (UKRI) through the Global Challenges Research Fund (GCRF)</t>
  </si>
  <si>
    <t>Research by Strand, Shields, Morgera, McGarry, Lancaster and Snow is funded by the One Ocean Hub, which is a collaborative research for sustainable development project funded by UK Research and Innovation (UKRI) through the Global Challenges Research Fund (GCRF) (Grant Ref: NE/S008950/1) .</t>
  </si>
  <si>
    <t>[Anonymous], 2021, Neglected: Environmental Justice Impacts of Marine Litter and Plastic Pollution; [Anonymous], 2018, Learning through play: Strengthening learning through play in early childhood education programmes; Aruta JJBR, 2023, J LOSS TRAUMA, V28, P273, DOI 10.1080/15325024.2022.2108204; Atkinson J., 2022, Contemplative Practices and Anti-Oppressive Pedagogies for Higher Education, P35; Atwood TB, 2020, FRONT MAR SCI, V7, DOI 10.3389/fmars.2020.00165; Bender M, 2022, PLOS BIOL, V20, DOI 10.1371/journal.pbio.3001828; Bennett NJ, 2023, MAR POLICY, V147, DOI 10.1016/j.marpol.2022.105383; Bennett NJ, 2022, FRONT MAR SCI, V9, DOI 10.3389/fmars.2022.873572; Bennett NJ, 2019, NAT SUSTAIN, V2, P991, DOI 10.1038/s41893-019-0404-1; Bernard PS, 2013, WORLDVIEWS, V17, P138, DOI 10.1163/15685357-01702005; Boswell R, 2021, J INDIAN OCEAN REG, V17, P141, DOI 10.1080/19480881.2021.1935523; Burt J., 2020, Southern African Journal of Environmental Education, V36, DOI DOI 10.4314/SAJEE.V36I1.2; Capello R, 2017, NEW FRONT REG SCI AS, V24, P103, DOI 10.1007/978-981-10-0099-7_6; Chaillou A., 2020, Green European Journal; Chilisa B., 2012, INDIGENOUS RES METHO; Claudet J, 2021, CELL, V184, P1426, DOI 10.1016/j.cell.2021.01.055; Cobb E., 1977, The ecology of imagination in childhood; Cordier S, 2020, ENVIRON SCI POLLUT R, V27, P40971, DOI 10.1007/s11356-019-05686-x; Cordier S, 2015, ENVIRON RES, V138, P271, DOI 10.1016/j.envres.2015.02.021; Costet N, 2022, ENVIRON HEALTH-GLOB, V21, DOI 10.1186/s12940-022-00850-2; CRC, 2003, General Comment No. 5; CRC, 2009, General Comment No. 12; CRC, 2013, General Comment No. 17; CRC, 2001, General comment No. 1; CRC, 2009, General Comment No. 11; Cunsolo A, 2020, LANCET PLANET HEALTH, V4, pE261, DOI 10.1016/S2542-5196(20)30144-3; Dereumeaux C, 2020, ENVIRON SCI POLLUT R, V27, P41033, DOI 10.1007/s11356-019-07181-9; Desmet E, 2019, T IMPLEMENT SUS DEV, P192; Doel-Mackaway H, 2019, T IMPLEMENT SUS DEV, P52; Dromard CR, 2018, ENVIRON SCI POLLUT R, V25, P14294, DOI 10.1007/s11356-017-8924-6; Empatheatre, 2019, What is Empatheatre; Erwin K, 2022, The Palgrave Handbook of Blue Heritage, P383; Erwin K, 2021, CRIT AFR STUD, V13, P237, DOI 10.1080/21681392.2020.1850304; Fache E, 2022, AMBIO, V51, P2445, DOI 10.1007/s13280-022-01777-1; Febrica S., 2022, Including Cultural Rights And Creative Capacities In Blue Economies To Achieve The Sdgs; Gee K, 2017, OCEAN COAST MANAGE, V136, P139, DOI 10.1016/j.ocecoaman.2016.11.026; Gwaravanda E. T., 2021, African Higher Education in the 21st Century: Epistemological, Ontological and Ethical Perspectives; Hau'ofa E, 1998, CONTEMP PACIFIC, V10, P391; Hauser-Davis RA, 2022, WATER-SUI, V14, DOI 10.3390/w14152415; Hebrides I, 2018, PALG STUD EDUC FUTUR, P1, DOI 10.1007/978-3-319-90176-3_1; Hilmi N, 2021, FRONT CLIM, V3, DOI 10.3389/fclim.2021.710546; Ingold T, 1995, ASA DECEN CONF SER, P57, DOI 10.4324/9780203450901_chapter_3; Ingold Tim., 2011, The Perception of the Environment: Essays on Livelihood, Dwelling, and Skill; Ioc, 2020, The Science we need for the ocean we want: the United Nations Decade of Ocean Science for Sustainable Development (2021-2030); James A., 2021, Reflections On Engaged, Transdisciplinary Creative Research Practice; Jones Owain., 2003, Children's Geographies, V1, P25; Kaime T, 2010, INT J CHILD RIGHTS, V18, P637, DOI 10.1163/157181810X536824; Kelly R, 2022, ONE EARTH, V5, P861, DOI 10.1016/j.oneear.2022.07.007; Knox John, 2018, A/HRC /37/58; Kulundu I, 2017, ENVISIONING FUTURES FOR ENVIRONMENTAL AND SUSTAINABILITY EDUCATION, P419, DOI 10.3920/978-90-8686-846-9_33; Lancaster A. M. S. N., 2022, Comunidades con voz: El futuro de la pesca artesanal en Latinoamerica y el Caribe, P39; Landrigan PJ, 2020, ANN GLOB HEALTH, V86, DOI 10.5334/aogh.2831; Leibowitz B, 2017, J EDUC, P93; Lennan M., 2022, Reflections on the report of the UN special rapporteur on climate change and human rights focused on loss and damage; Levin LA, 2021, FRONT CLIM, V3, DOI 10.3389/fclim.2021.720755; Levitt P., 2010, Revue Europeenne des Migrations Internationales (remi), P139, DOI [10.4000/remi.5149, DOI 10.4000/REMI.5149]; Lotz-Sisitka H., 2015, Critical realism, environmental learning and social-ecological change, P338; Luisetti T, 2019, ECOSYST SERV, V35, P67, DOI 10.1016/j.ecoser.2018.10.013; Lundy L, 2007, BRIT EDUC RES J, V33, P927, DOI 10.1080/01411920701657033; MacNeil S., 2021, The Canadian Journal of Environmental Education, V24; Madden L, 2017, ENVIRON EDUC RES, V23, P1055, DOI 10.1080/13504622.2016.1236185; Mamdani M., 2018, London Review of Books, V40, P29; McCaffrey M, 2012, NAT CLIM CHANGE, V2, P636, DOI 10.1038/nclimate1644; McGarry D. K., 2014, PhD thesis; McKinley E, 2023, MAR POLLUT BULL, V186, DOI 10.1016/j.marpolbul.2022.114467; Méndez-Fernandez P, 2018, MAR POLLUT BULL, V137, P56, DOI 10.1016/j.marpolbul.2018.10.012; Mignolo W., 2000, LOCAL HISTORIESGLOBA; Morgera E., 2022, The Ocean Is Included In The Zero Draft Of The Un General Comment On Children's Rights To A Healthy Environment; Morgera E., 2022, Environmental Policy and Law, V52, P445, DOI [10.3233/epl-219052, DOI 10.3233/EPL-219052]; Morgera E., 2023, One ocean Hub; Mulalap CY, 2020, MAR POLICY, V122, DOI 10.1016/j.marpol.2020.104103; Niner HJ, 2022, ENVIRON SCI POLICY, V130, P25, DOI 10.1016/j.envsci.2022.01.001; Oduro G. Y., 2021, The nexus between tangible and intangible cultural heritage and ocean governance in Ghana; Peleg N, 2019, CHILD'S RIGHT TO DEVELOPMENT, P1, DOI 10.1017/9781316146804; Peleg N, 2013, INT J CHILD RIGHTS, V21, P523, DOI 10.1163/15718182-02103003; Perera F, 2022, NEW ENGL J MED, V386, P2303, DOI 10.1056/NEJMra2117706; Philo Chris., 2003, CHILD GEOGR, V1, P7, DOI DOI 10.1080/14733280302188; Poe MR, 2014, CONSERV LETT, V7, P166, DOI 10.1111/conl.12068; Preston ChristopherJ., 2003, GROUNDING KNOWLEDGE; Prince S, 2018, TOURIST STUD, V18, P63, DOI 10.1177/1468797617710598; Rouget F, 2020, ENVIRON SCI POLLUT R, V27, P40992, DOI 10.1007/s11356-019-06031-y; Sandre F, 2019, GULF CARIBB RES, V30, pGCFI8, DOI 10.18785/gcr.3001.14; Santos B.d.S., 2018, Decolonising the University: The Challenge of Deep Cognitive Justice; Saunders F, 2020, SUSTAINABILITY-BASEL, V12, DOI 10.3390/su12062560; Sen Amartya, 2000, DEV FREEDOM; Shields S., 2023, The International Journal of Marine and Coastal Law; Strand M., 2022, How Art Can Support The Advancement Of Human Rights And The Ocean; Strand M, 2022, CURR RES ENVIRON SUS, V4, DOI 10.1016/j.crsust.2022.100178; Strand M, 2022, FRONT MAR SCI, V9, DOI 10.3389/fmars.2022.886632; Sweeney M., 2021, One Ocean Hub Policy Brief; Thurber AR, 2014, BIOGEOSCIENCES, V11, P3941, DOI 10.5194/bg-11-3941-2014; UN, 2020, Report of the United Nations High Commissioner for Human Rights, A/HRC /43/30; UN, 2016, Report of the United Nations High Commissioner for Human Rights, A/HRC /34/27; UN, 2023, General comment No. 26; UN, 2015, TRANSF OUR WORLD 203; UNESCO, 2018, Ocean Literacy for all: A toolkit; UNHRC, 2022, Views adopted by the Committee under article 5 (4) of the Optional Protocol, concerning communication No. 3624/2019; United Nation, 1992, CONVENTION BIOLOGICA; United Nations, 1987, OUR COMMON FUTURE, DOI DOI 10.1080/07488008808408783; United Nations (UN), 1990, CONVENTION RIGHTS CH; Upadhyay R. K., 2020, American Journal of Climate Change, V9, P159, DOI [10.4236/ajcc.2020.93012, DOI 10.4236/AJCC.2020.93012]; Vierros MK, 2020, MAR POLICY, V119, DOI 10.1016/j.marpol.2020.104039; Virapongse A, 2016, J ENVIRON MANAGE, V178, P83, DOI 10.1016/j.jenvman.2016.02.028; Wong C, 2019, T IMPLEMENT SUS DEV, P236; Xanthaki Alexandra, 2022, Report of the Special Rapporteur in the field of cultural rights</t>
  </si>
  <si>
    <t>0927-5568</t>
  </si>
  <si>
    <t>1571-8182</t>
  </si>
  <si>
    <t>INT J CHILD RIGHTS</t>
  </si>
  <si>
    <t>Int. J. Child. Rights</t>
  </si>
  <si>
    <t>10.1163/15718182-3104000</t>
  </si>
  <si>
    <t>FL0Y5</t>
  </si>
  <si>
    <t>WOS:001145836800002</t>
  </si>
  <si>
    <t>Garrison, T</t>
  </si>
  <si>
    <t>Garrison, Tom</t>
  </si>
  <si>
    <t>Ocean Literacy An In-Depth Top Ten</t>
  </si>
  <si>
    <t>OCEANOGRAPHY</t>
  </si>
  <si>
    <t>Orange Coast Coll, Costa Mesa, CA USA</t>
  </si>
  <si>
    <t>Garrison, T (corresponding author), Orange Coast Coll, Costa Mesa, CA USA.</t>
  </si>
  <si>
    <t>tomgarrison@sbcglobal.net</t>
  </si>
  <si>
    <t>OCEANOGRAPHY SOC</t>
  </si>
  <si>
    <t>ROCKVILLE</t>
  </si>
  <si>
    <t>P.O. BOX 1931, ROCKVILLE, MD USA</t>
  </si>
  <si>
    <t>1042-8275</t>
  </si>
  <si>
    <t>Oceanography</t>
  </si>
  <si>
    <t>10.5670/oceanog.2007.96</t>
  </si>
  <si>
    <t>382FC</t>
  </si>
  <si>
    <t>WOS:000261589600025</t>
  </si>
  <si>
    <t>Steel, BS; Smith, C; Opsommer, L; Curiel, S; Warner-Steel, R</t>
  </si>
  <si>
    <t>Public ocean literacy in the United States</t>
  </si>
  <si>
    <t>KNOWLEDGE; NEWS</t>
  </si>
  <si>
    <t>The 2004 Pew Ocean Commission report suggests a need to improve public literacy about oceans. The authors of the report assume that enhancing public awareness and knowledge of oceans will lead to increased public support for ocean restoration efforts. Following this line of reasoning, our study investigates current levels of public knowledge and informedness concerning oceans, and also explores the correlates of knowledge holding. Using data gathered from a national random sample of 1233 citizens in Summer/Fall 2003, two hypotheses-trans-situational and situation-specific-are examined as explanations of public knowledge levels concerning ocean policy issues. The trans-situational hypothesis evaluates socioeconomic status (SES) as an explanation for levels of knowledge. The situation-specific hypothesis evaluates personal experiences and contexts that might overcome SES characteristics. We also examine the effect of information source use on knowledge holding. Findings suggest that both trans-situational and situation-specific hypotheses are useful in explaining knowledge levels. We also find that information sources, such as newspapers and the internet, are likely to improve citizen knowledge on ocean issues, while television and radio have a negative effect. (c) 2005 Elsevier Ltd. All rights reserved.</t>
  </si>
  <si>
    <t>Oregon State Univ, Dept Polit Sci, Corvallis, OR 97330 USA; Oregon State Univ, Dept Anthropol, Corvallis, OR 97330 USA; Oregon State Univ, Master Publ Policy Program, Corvallis, OR 97330 USA; Oregon State Univ, Dept Biol, Corvallis, OR 97330 USA</t>
  </si>
  <si>
    <t>Oregon State University; Oregon State University; Oregon State University; Oregon State University</t>
  </si>
  <si>
    <t>Oregon State Univ, Dept Polit Sci, Corvallis, OR 97330 USA.</t>
  </si>
  <si>
    <t>bsteel@oregonstate.edu</t>
  </si>
  <si>
    <t>BARRINGER F, 2004, NY TIMES 0421, pA15; Beierle T.C. Cayford., 2002, Democracy in Practice: Public Participation in Environmental Decisions; Bimber B, 1998, POLITY, V31, P133, DOI 10.2307/3235370; Brians CL, 1996, AM J POLIT SCI, V40, P172, DOI 10.2307/2111699; Cicin-Sain Biliana., 2000, FUTURE US OCEAN POLI; Dahl RobertA., 1985, CONTROLLING NUCL WEA; Daigle D, 2003, VALUES AT SEA, P230; Delli Carpini Michael X., 1997, WHAT AM KNOW POLITIC, DOI DOI 10.12987/9780300194319; Dunlap RE, 2000, J SOC ISSUES, V56, P425, DOI 10.1111/0022-4537.00176; Eagly A., 1997, ENVIRONMENTMETHICS B, P122; ETTERNA JS, 1977, COMMUN RES, P179; Gaziano E., 1999, Mass media, social control, and social change: A macrosocial perspective, P117; GENOVA BKL, 1979, PUBLIC OPIN QUART, V43, P79, DOI 10.1086/268493; Holbrook TM, 2002, POLIT COMMUN, V19, P437, DOI 10.1080/10584600290109997; Jamieson KathleenHall., 2000, EVERYTHING YOU THINK; Janicke M., 1997, NATL ENV POLICIES CO, P10; Lee G, 2001, POLIT COMMUN, V18, P369, DOI 10.1080/10584600152647092; LOVRICH NP, 1984, COMMUN RES, V11, P415, DOI 10.1177/009365084011003005; Lupia A, 2003, PS-POLIT SCI POLIT, V36, P77; McAvoy G.E., 1999, Controlling Technocracy; McKenzieMohr D, 1995, J SOC ISSUES, V51, P139, DOI 10.1111/j.1540-4560.1995.tb01352.x; MILNER H, 2002, CIVIL LIT INFORMED C; MONDAK JJ, 1995, AM J POLIT SCI, V39, P513, DOI 10.2307/2111623; Norris P, 1998, HARV INT J PRESS-POL, V3, P1, DOI 10.1177/1081180X98003002001; *OC PROJ, 1999, RES NAT SURV EX SUMM; *PEW OC COMM, 2003, AM LIV OC CHART COUR; PIERCE CJ, 1992, CITIZENS POLITICAL C; PIERCE JC, 1999, HDB GLOBAL ENV POLIC, P433; *SEA WEB, 2002, POLL SHOWS US PUBL C; SOARES M, 1998, OFFICIAL REPORT INDE; Steel B, 2005, COAST MANAGE, V33, P37, DOI 10.1080/08920750590883105; Steel B.S., 1997, Public lands management in the West; STEEL BS, 1990, SOC NATUR RESOUR, V3, P331, DOI 10.1080/08941929009380730; Steel BS, 2001, GLOBAL ENVIRON CHANG, V11, P119, DOI 10.1016/S0959-3780(00)00062-5; STEEL BS, 1993, J ENVIRON SYST, V22, P123; STEGER MAE, 1988, WESTERN POLIT QUART, V41, P747, DOI 10.2307/448492; TICHENOR PJ, 1970, PUBLIC OPIN QUART, V34, P159, DOI 10.1086/267786; *US COMM OC POL, 2004, REP US COMM OC POL G; Uslaner EM, 2004, POLIT COMMUN, V21, P223, DOI 10.1080/10584600490443895; Van Liere K.D., 1981, Environment and Behavior, V13, P651, DOI [DOI 10.1177/0013916581136001, 10.1177/0013916581136001]</t>
  </si>
  <si>
    <t>10.1016/j.ocecoaman.2005.01.002</t>
  </si>
  <si>
    <t>937JZ</t>
  </si>
  <si>
    <t>WOS:000229921700001</t>
  </si>
  <si>
    <t>Adams, LG; Matsumoto, G</t>
  </si>
  <si>
    <t>Adams, Lisa G.; Matsumoto, George</t>
  </si>
  <si>
    <t>Enhancing Ocean Literacy Using Real-Time Data</t>
  </si>
  <si>
    <t>[Adams, Lisa G.] Kennesaw State Univ, Dept Biol &amp; Phys, Kennesaw, GA USA; [Matsumoto, George] Monterey Bay Aquarium Res Inst, Moss Landing, CA USA</t>
  </si>
  <si>
    <t>University System of Georgia; Kennesaw State University; Monterey Bay Aquarium Research Institute</t>
  </si>
  <si>
    <t>Adams, LG (corresponding author), Kennesaw State Univ, Dept Biol &amp; Phys, Kennesaw, GA USA.</t>
  </si>
  <si>
    <t>ladams@kennesaw.edu</t>
  </si>
  <si>
    <t>Matsumoto, George/JPK-6791-2023</t>
  </si>
  <si>
    <t>Adams LG, 2007, OCEANOGRAPHY, V20, P200, DOI 10.5670/oceanog.2007.97; Barstow D., 2001, BLUEPRINT CHANGE REP; Cava F., 2005, Science Content and Standards for Ocean Literacy: A Report on Ocean Literacy, P1; Edelson DC, 1998, COMPUT GEOSCI, V24, P607, DOI 10.1016/S0098-3004(98)00363-X; *EIS REG CONS MATH, 1995, PROM PRACT MATH SCI; Hoffman M., 2007, REVOLUTIONIZING EART; Hotaling L, 2005, MAR TECHNOL SOC J, V39, P90, DOI 10.4031/002533205787465841; *RUTG I MAR COAST, 2006, SWMP IOOS REAL TIM D; Stevermer A., 2007, STATUS REPORT K 12 E; Windschitl M., 1998, EDUC RESEARCHER, V27, P28</t>
  </si>
  <si>
    <t>10.5670/oceanog.2009.55</t>
  </si>
  <si>
    <t>457WC</t>
  </si>
  <si>
    <t>WOS:000266964200003</t>
  </si>
  <si>
    <t>Margida, G; Foy, G; Peterman, K</t>
  </si>
  <si>
    <t>Margida, Gregory; Foy, Gregory; Peterman, Keith</t>
  </si>
  <si>
    <t>Water's role in climate literacy</t>
  </si>
  <si>
    <t>ABSTRACTS OF PAPERS OF THE AMERICAN CHEMICAL SOCIETY</t>
  </si>
  <si>
    <t>[Margida, Gregory] Grinnell Coll, Grinnell, IA 50112 USA; [Foy, Gregory] York Coll Penn, York, PA USA; [Peterman, Keith] York Coll Penn, Phys Sci, Spring Grove, PA USA</t>
  </si>
  <si>
    <t>York College Pennsylvania; York College Pennsylvania</t>
  </si>
  <si>
    <t>margidag@grinnell.edu</t>
  </si>
  <si>
    <t>0065-7727</t>
  </si>
  <si>
    <t>ABSTR PAP AM CHEM S</t>
  </si>
  <si>
    <t>Abstr. Pap. Am. Chem. Soc.</t>
  </si>
  <si>
    <t>MAR 13</t>
  </si>
  <si>
    <t>VC1WO</t>
  </si>
  <si>
    <t>WOS:000431903802785</t>
  </si>
  <si>
    <t>Kampouris, TE; Koutsoubas, D; Kanelopoulou, K; Zannaki, C; Batjakas, IE</t>
  </si>
  <si>
    <t>Kampouris, Thodoros E.; Koutsoubas, Drosos; Kanelopoulou, Katerina; Zannaki, Cassandra; Batjakas, Ioannis E.</t>
  </si>
  <si>
    <t>Informing the general public on the threat status of the European spiny lobster, Palinurus elephas (Fabricius, 1787) through Citizen-Science and social media platforms. A case study from the Aegean Sea</t>
  </si>
  <si>
    <t>Ocean literacy; citizen-science; spiny lobster; threatened species; Aegean Sea; Mediterranean</t>
  </si>
  <si>
    <t>OCEAN LITERACY; BIODIVERSITY; FISHERIES; BIOLOGY</t>
  </si>
  <si>
    <t>Research known as Citizen Science (CS) has been recognized as an important tool for both biodiversity restoration and fisheries management projects through the active involvement of citizens, with the aim of raising public environmental awareness. CS projects should be well designed and ask clear questions that will benefit both the research goals and the citizen scientists themselves. In January 2019, the Red Fish Project group was created on Facebook (FB) consisting of SCUBA divers and fishers and offering the main data source and the relevant digital material. The project's setup was based on previous personal experiences, and it was following specific protocols. Further information, such as the exact location and depth of the observation was provided by personal communications. By 21st October 2020, the FB group consisted of 464 members who recorded 348 European spiny lobster individuals from all sub-regions of the Aegean Sea. Based on the findings of the present study it became apparent that most of the citizens were unaware that the species is listed as Vulnerable in the International Union for Conservation of Nature (IUCN) Red List. Lastly, we discuss the importance of the spiny lobster in the country's culture. The species can be listed as a charismatic, flagship species for citizens to be ocean-literate since it has been shown, that it can raise the interest of recreational divers and increase their awareness.</t>
  </si>
  <si>
    <t>[Kampouris, Thodoros E.; Koutsoubas, Drosos; Zannaki, Cassandra; Batjakas, Ioannis E.] Univ Aegean, Dept Marine Sci, Sch Environm, Univ Hill, Mitilini 81100, Lesvos Island, Greece; [Kanelopoulou, Katerina] Minist Environm &amp; Energy, Geospatial Informat Directorate, 2 Panormou Str, Athens 11523, Greece</t>
  </si>
  <si>
    <t>University of Aegean</t>
  </si>
  <si>
    <t>Kampouris, TE (corresponding author), Univ Aegean, Dept Marine Sci, Sch Environm, Univ Hill, Mitilini 81100, Lesvos Island, Greece.</t>
  </si>
  <si>
    <t>mard16012@marine.aegean.gr</t>
  </si>
  <si>
    <t>Batjakas, Ioannis E/G-3608-2016</t>
  </si>
  <si>
    <t>Batjakas, Ioannis/0000-0002-8141-6547; Kampouris, Thodoros E./0000-0003-2528-6941</t>
  </si>
  <si>
    <t>Andrews K., 2019, CITIZEN SCI THEORY P, V4, P1; Arvanitidis C, 2011, ZOOKEYS, P211, DOI 10.3897/zookeys.150.2149; Changeux T, 2020, HYDROBIOLOGIA, V847, P27, DOI 10.1007/s10750-019-04070-7; EC, 2020, SWD2010149 EC; Eddy TD, 2010, PLOS ONE, V5, DOI 10.1371/journal.pone.0013670; Fairclough DV, 2014, SCI REP-UK, V4, DOI 10.1038/srep07249; Fauville G, 2015, COMPUT EDUC, V82, P60, DOI 10.1016/j.compedu.2014.11.003; Fauville G, 2019, ENVIRON EDUC RES, V25, P238, DOI 10.1080/13504622.2018.1440381; Ferreira JC, 2021, EDUC SCI, V11, DOI 10.3390/educsci11020062; Fritz S, 2019, NAT SUSTAIN, V2, P922, DOI 10.1038/s41893-019-0390-3; Gerovasileiou V, 2015, MEDITERR MAR SCI, V16, P245, DOI 10.12681/mms.1069; Gerovasileiou V, 2016, BIODIVERS DATA J, V4, DOI 10.3897/BDJ.4.e8692; Gibson KJ, 2019, PLOS ONE, V14, DOI 10.1371/journal.pone.0226782; Giovos I, 2019, BIOL INVASIONS, V21, P3707, DOI 10.1007/s10530-019-02083-w; Goñi R, 2005, CAH BIOL MAR, V46, P127; Groeneveld JC, 2013, LOBSTERS: BIOLOGY, MANAGEMENT, AQUACULTURE AND FISHERIES, 2ND EDITION, P326; Guest H, 2015, MAR POLICY, V58, P98, DOI 10.1016/j.marpol.2015.04.007; Kampouris TE, 2020, WATER-SUI, V12, DOI 10.3390/w12092390; Kelly R., 2021, IN PRESS; Kelly R, 2020, PHILOS T R SOC B, V375, DOI 10.1098/rstb.2019.0461; Krzelj M, 2020, DIVERSITY-BASEL, V12, DOI 10.3390/d12080311; Lloyd TJ, 2020, GLOB ECOL CONSERV, V23, DOI 10.1016/j.gecco.2020.e01048; Marengo M., 2020, OCEANOGRAPHY FISHERI, V12; McCauley V, 2019, ENVIRON EDUC RES, V25, P280, DOI 10.1080/13504622.2018.1553234; Miyazaki Y, 2016, ZOOKEYS, P123, DOI 10.3897/zookeys.569.7577; Mogias A, 2019, FRONT MAR SCI, V6, DOI 10.3389/fmars.2019.00396; Mokos M, 2020, MEDITERR MAR SCI, V21, P592, DOI 10.12681/mms.23400; Steven R, 2019, CONSERV SCI PRACT, V1, DOI 10.1111/csp2.100; UNESCO-IOC, 2021, UNESCO IOC OCC DEC S, V19</t>
  </si>
  <si>
    <t>10.12681/mms.26929</t>
  </si>
  <si>
    <t>WOS:000782982600010</t>
  </si>
  <si>
    <t>Hamad, F; Elfadel, M; Fakhouri, H; Abu-Qaadan, A</t>
  </si>
  <si>
    <t>Hamad, Faten; Elfadel, Maha; Fakhouri, Hussam; Abu-Qaadan, Asmaa</t>
  </si>
  <si>
    <t>Advancing Climate Change Literacy: Are Academic Libraries Part of the Solution?</t>
  </si>
  <si>
    <t>NEW REVIEW OF ACADEMIC LIBRARIANSHIP</t>
  </si>
  <si>
    <t>Information literacy; academic libraries; information services</t>
  </si>
  <si>
    <t>SUSTAINABLE DEVELOPMENT GOALS; INFORMATION; UNIVERSITY; SERVICES; JORDAN</t>
  </si>
  <si>
    <t>The evolving role of academic libraries in fostering sustainable communities, particularly through climate change literacy, has gained prominence recently. A questionnaire study with 203 academic library staff in Jordan highlighted these libraries' significant role in advancing Sustainable Development Goals (SDGs). The findings underline libraries as key facilitators of climate literacy, stressing the need for diverse strategies in today's socio-academic context. Libraries are urged to enhance their collections for greater inclusivity, provide extensive climate-related staff training, and focus on sustainable operations to demonstrate environmental commitment. The study advocates for targeted outreach, the use of advanced digital tools, and embracing a global mindset that respects linguistic and cultural diversity. To effectively promote climate change literacy, libraries require strategic planning, deeper user engagement, capacity building, and a dedicated effort to enhance climate literacy.</t>
  </si>
  <si>
    <t>[Hamad, Faten] Sultan Qaboos Univ, Informat Studies, Seeb, Oman; [Elfadel, Maha] Int Islamic Univ Malaysia, Informat &amp; Commun Technol, Kuala Lumpur, Malaysia; [Fakhouri, Hussam] Univ Petra, Artificial Intelligence &amp; Data Sci, Amman, Jordan; [Hamad, Faten; Abu-Qaadan, Asmaa] Univ Jordan, Lib &amp; Informat Sci, Amman, Jordan</t>
  </si>
  <si>
    <t>International Islamic University Malaysia; Petra University; University of Jordan</t>
  </si>
  <si>
    <t>Hamad, F (corresponding author), Sultan Qaboos Univ, Informat Studies, Seeb, Oman.</t>
  </si>
  <si>
    <t>f.hamad@squ.edu.om</t>
  </si>
  <si>
    <t>Abdullahi L. U., 2017, Journal of Information Resource Management, V5, P45; Allen Myles., 2018, Intergovernmental Panel on Climate Change; [Anonymous], 2019, COR VAL LIB; Appleton L, 2023, NEW REV ACAD LIBR, V29, P117, DOI 10.1080/13614533.2023.2230652; Bangani S, 2023, J LIBR INF SCI, DOI 10.1177/09610006231174650; Barnett RM, 2020, J ACAD LIBR, V46, DOI 10.1016/j.acalib.2020.102176; Bawack R., 2018, International Information Library Review, V50, P63, DOI [https://doi.org/10.1080/10572317.2018.1439148, DOI 10.1080/10572317.2018.1439148]; Benson O. V., 2019, Information Impact, V10, P74, DOI [https://doi.org/10.4314/iijikm.v10i1.7, DOI 10.4314/IIJIKM.V10I1.7]; Bradley F, 2016, IFLA J-INT FED LIBR, V42, P118, DOI 10.1177/0340035216647393; Charney M., 2014, Collaborate Librarianship, V6, P20, DOI [https://doi.org/10.29087/2014.6.1.06, DOI 10.29087/2014.6.1.06]; Chisita CT, 2020, J INF KNOWL MANAG, V19, DOI 10.1142/S0219649220500094; Corrall S, 2010, LIBR MANAGE, V31, P567, DOI 10.1108/01435121011093360; Environmental Protection Agency, 2015, Community culture and the environment: A guide to understanding a sense of place; Gunapala M, 2020, J AUST LIB INF ASSOC, V69, P191, DOI 10.1080/24750158.2020.1756598; Hamad F, 2023, LIBR QUART, V93, P313, DOI 10.1086/725067; Hamad F, 2022, IFLA J-INT FED LIBR, V48, P492, DOI 10.1177/03400352211038300; Hamad F, 2021, NEW REV ACAD LIBR, V27, P76, DOI 10.1080/13614533.2019.1691027; Hamad F, 2018, GLOB KNOWL MEM COMMU, V67, P438, DOI 10.1108/GKMC-12-2017-0103; Hauke P., 2017, IFLA WORLD LIB INF C, P24; Hostetler S., 2021, Greater Yellowstone climate assessment: past, present, and future climate change in Greater Yellowstone watersheds; IFLA, 2023, Our vision and mission; IFLA, 2018, Libraries and the sustainable development goals: A storytelling manual; IFLA, 2022, Environment, sustainability and libraries section; IFLA Environment Sustainability and Libraries Section (ENSULIB), 2022, ENSULIB Newsletter; Kasalu J. S., 2015, IFLA WORLD LIB INF C; Khalid A, 2021, J ACAD LIBR, V47, DOI 10.1016/j.acalib.2021.102347; Kosciejew M, 2020, IFLA J-INT FED LIBR, V46, P328, DOI 10.1177/0340035219898708; KREJCIE RV, 1970, EDUC PSYCHOL MEAS, V30, P607, DOI 10.1177/001316447003000308; Leal W, 2019, J CLEAN PROD, V232, P285, DOI 10.1016/j.jclepro.2019.05.309; Lund B, 2019, IFLA J-INT FED LIBR, V45, P334, DOI 10.1177/0340035219857751; Mackenzie C., 2020, The Journal for the School Information Professional, V24, P4; Mansour E, 2020, J LIBR INF SCI, V52, P121, DOI 10.1177/0961000619872064; McDivitt P., 2016, The information deficit model is dead. Now what? Evaluating new strategies for communicating anthropogenic climate change in the context of contemporary American politics, economy, and culture; Missingham R, 2021, J LIBR ADM, V61, P386, DOI 10.1080/01930826.2021.1883376; National Library Board, 2022, IFLA green library award 2022: Submission for category: 1. Best Green Library Presentation; National Oceanic and Atmospheric Administration, 2021, Climate literacy: The essential principles of climate sciences; Okuonghae O., 2019, Covenant Journal of Library and Information Science, V2, P51; Olatoye Oluwayemilbukun Oluwa, 2021, Journal of Human Ecology, V74, P61, DOI 10.31901/24566608.2021/74.1-3.3228; Pinto LG, 2018, IFLA PUBL, V177, P46; Sharifabadi SR, 2006, ELECTRON LIBR, V24, P389, DOI 10.1108/02640470610671231; Tanner R, 2019, PORTAL-LIBR ACAD, V19, P365; The Council of Australian University Librarians, 2019, CAUL sustainable development goals report 2019; Treen KMD, 2020, WIRES CLIM CHANGE, V11, DOI 10.1002/wcc.665; Tribelhorn SK, 2023, J ACAD LIBR, V49, DOI 10.1016/j.acalib.2022.102661; United Nations Framework Convention on Climate Change, 2020, Enhancing climate action through stakeholder engagement; Williams B. F., 2015, Sustainability, V11, P57, DOI [https://doi.org/10.1080/15487733.2015.11908147, DOI 10.1080/15487733.2015.11908147]; World Bank, 2019, Climate change</t>
  </si>
  <si>
    <t>1361-4533</t>
  </si>
  <si>
    <t>1740-7834</t>
  </si>
  <si>
    <t>NEW REV ACAD LIBR</t>
  </si>
  <si>
    <t>New Rev. Acad. Librariansh.</t>
  </si>
  <si>
    <t>2024 JUN 17</t>
  </si>
  <si>
    <t>10.1080/13614533.2024.2369503</t>
  </si>
  <si>
    <t>JUN 2024</t>
  </si>
  <si>
    <t>Information Science &amp; Library Science</t>
  </si>
  <si>
    <t>WU4P1</t>
  </si>
  <si>
    <t>WOS:001257377100001</t>
  </si>
  <si>
    <t>Cudaback, C</t>
  </si>
  <si>
    <t>Cudaback, Cynthia</t>
  </si>
  <si>
    <t>Ocean Literacy There's More to it Than Content</t>
  </si>
  <si>
    <t>cynthia.cudaback@gmail.com</t>
  </si>
  <si>
    <t>*AAAS, 2004, AAAS SURV REP, P45409; *COSEE, 2006, OC LIT ESS PRINC OC, P45409; Cudaback C., 2006, Eos, V87, P418; Garrison T, 2007, OCEANOGRAPHY, V20, P198, DOI 10.5670/oceanog.2007.96; RUSSONELLO B, 1999, REV EXISTING PUBLIC, P45409</t>
  </si>
  <si>
    <t>10.5670/oceanog.2008.21</t>
  </si>
  <si>
    <t>383UL</t>
  </si>
  <si>
    <t>WOS:000261699100004</t>
  </si>
  <si>
    <t>Webber, ME</t>
  </si>
  <si>
    <t>Webber, Michael E.</t>
  </si>
  <si>
    <t>BETTER TOOLS FOR ENERGY LITERACY</t>
  </si>
  <si>
    <t>MECHANICAL ENGINEERING</t>
  </si>
  <si>
    <t>Univ Texas Austin, Austin, TX 78712 USA</t>
  </si>
  <si>
    <t>University of Texas System; University of Texas Austin</t>
  </si>
  <si>
    <t>Webber, ME (corresponding author), Univ Texas Austin, Austin, TX 78712 USA.</t>
  </si>
  <si>
    <t>ASME</t>
  </si>
  <si>
    <t>TWO PARK AVE, NEW YORK, NY 10016-5990 USA</t>
  </si>
  <si>
    <t>0025-6501</t>
  </si>
  <si>
    <t>1943-5649</t>
  </si>
  <si>
    <t>MECH ENG</t>
  </si>
  <si>
    <t>Mech. Eng.</t>
  </si>
  <si>
    <t>Engineering, Mechanical</t>
  </si>
  <si>
    <t>AQ0PR</t>
  </si>
  <si>
    <t>WOS:000342485700012</t>
  </si>
  <si>
    <t>Cooper, CB</t>
  </si>
  <si>
    <t>Cooper, Caren B.</t>
  </si>
  <si>
    <t>Media Literacy as a Key Strategy toward Improving Public Acceptance of Climate Change Science</t>
  </si>
  <si>
    <t>BIOSCIENCE</t>
  </si>
  <si>
    <t>informal science education; global warming; public understanding of science; public engagement with science; science literacy</t>
  </si>
  <si>
    <t>CITIZEN SCIENCE; COMMUNICATION; KNOWLEDGE; ATTITUDES; RESPONSES; IMPACT; TOOL</t>
  </si>
  <si>
    <t>Without public trust of climate change science, policymaking in a democratic society cannot address the serious threats that we face. Recent calls for proposals to increase climate literacy from federal agencies such as NASA, NOAA (National Oceanic and Atmospheric Administration), and the National Science Foundation illustrate the urgency of this crisis. Although more climate change education is certainly needed, focusing solely on climate literacy will not garner public trust and may leave out high-impact media literacy education. Climate change deniers have been more effective educators than scientists and science educators because their messages are (a) empowering, built on the premise that every individual can quickly learn enough to enter public discourse on climate change; and (b) delivered through many forms of media. A more effective strategy for scientists and science educators should include not only discourse approaches that enable trust, with emphasis on empowerment through reasoning skills, but also approaches that embrace the maturing discipline of media literacy education.</t>
  </si>
  <si>
    <t>Cornell Univ, Ornithol Lab, Ithaca, NY 14853 USA</t>
  </si>
  <si>
    <t>Cornell University</t>
  </si>
  <si>
    <t>Cooper, CB (corresponding author), Cornell Univ, Ornithol Lab, Ithaca, NY 14853 USA.</t>
  </si>
  <si>
    <t>caren.cooper@cornell.edu</t>
  </si>
  <si>
    <t>Cooper, Caren/0000-0001-6263-8892</t>
  </si>
  <si>
    <t>Cornell Lab of Ornithology</t>
  </si>
  <si>
    <t>My interactions with audiences after training as a presenter in The Climate Project informed this essay, which does not necessarily reflect the position of The Climate Project. I thank the Cornell Lab of Ornithology for sponsoring my training in The Climate Project. I thank Dan Ardia; Carole Schiffman; three anonymous reviewers; and the Public Participation in Scientific Research reading group at Cornell, particularly Rhiannon Crain, for discussion and helpful comments on drafts of this essay.</t>
  </si>
  <si>
    <t>*AAAS, 2008, AAAS CTR CTR PUBL EN; Allum N, 2008, PUBLIC UNDERST SCI, V17, P35, DOI 10.1177/0963662506070159; Antilla L, 2010, PUBLIC UNDERST SCI, V19, P240, DOI 10.1177/0963662508094099; Barber B.R., 2007, Consumed: How markets corrupt children, infantilize adults, and swallow citizens whole; Bonney R, 2009, BIOSCIENCE, V59, P977, DOI 10.1525/bio.2009.59.11.9; Boykoff MT, 2004, GLOBAL ENVIRON CHANG, V14, P125, DOI 10.1016/j.gloenvcha.2003.10.001; Bradburne JM, 1998, PUBLIC UNDERST SCI, V7, P237, DOI 10.1088/0963-6625/7/3/003; Brown JD, 2000, J ADOLESCENT HEALTH, V27, P35, DOI 10.1016/S1054-139X(00)00141-5; Bucchi Massimiano., 2008, HDB PUBLIC COMMUNICA, DOI DOI 10.4324/9780203928240; Cooper CB, 2007, ECOL SOC, V12; *COPUS, 2006, CONC PAP EST COAL PU; Corbett JB, 2004, SCI COMMUN, V26, P129, DOI 10.1177/1075547004270234; Coyle K., 2005, ENV LITERACY AM WHAT; Dick R.D., 1991, J INSTR PSYCHOL, V18, P79; DURANT JR, 1989, NATURE, V340, P11, DOI 10.1038/340011a0; Escobar-Chaves SL, 2005, PEDIATRICS, V116, P303, DOI 10.1542/peds.2005-0355D; Fraknoi A., 2005, Mercury, V34, P19; Freire P., 1972, PEDAGOGY OPPRESSED; Groffman PM, 2010, FRONT ECOL ENVIRON, V8, P284, DOI 10.1890/090160; Heinberg L.J., 1996, BODY IMAGE EATING DI, P27; Hobbs R., 2009, J MEDIA LITERACY ED, V1, P1, DOI [DOI 10.23860/JMLE-1-1-1, https://doi.org/10.23860/jmle-1-1-1]; Kahan D.M., 2010, J RISK RES, P1; Kahan D, 2010, NATURE, V463, P296, DOI 10.1038/463296a; KAREIVA P, 2010, SCIENCE, V327, P34; Koster E, 2006, MUSEUM NEWS, V85, P67; KROSNICK JA, 2010, NY TIMES 0608; Leiserowitz A., 2009, GLOBAL WARMINGS 6 AM; Leshner AI, 2003, SCIENCE, V299, P977, DOI 10.1126/science.299.5609.977; Lewenstein BV, 2002, PUBLIC UNDERST SCI, V11, P1, DOI 10.1088/0963-6625/11/1/001; McBean G.A., 2000, CAN J ENVIRON EDUC, V5, P9; McCallie E., 2009, Many Experts, Many Audiences: Public Engagement with Science and Informal Science Education; McCright AM, 2007, CREATING A CLIMATE FOR CHANGE: COMMUNICATING CLIMATE CHANGE AND FACILITATING SOCIAL CHANGE, P200, DOI 10.1017/CBO9780511535871.015; McCright AM, 2000, SOC PROBL, V47, P499, DOI 10.1525/sp.2000.47.4.03x0305s; McCright AM, 2003, SOC PROBL, V50, P348, DOI 10.1525/sp.2003.50.3.348; McLeod JM, 1999, POLIT COMMUN, V16, P315, DOI 10.1080/105846099198659; Mihailidis P., 2009, Journal of Media Literacy Education, V1, P53; Moser SC, 2007, GLOBAL ENVIRON POLIT, V7, P124, DOI 10.1162/glep.2007.7.2.124; *NAMLE, 2009, COR PRINC MED LIT ED; Natl Res Council, 2009, LEARNING SCIENCE IN INFORMAL ENVIRONMENTS: PEOPLE, PLACES, AND PURSUITS, P1; NISBET M, 2003, SKEPTICAL INQUI 0609; Nisbet MC, 2007, PUBLIC UNDERST SCI, V16, P421, DOI 10.1177/0963662506065558; Nisbet MC, 2009, AM J BOT, V96, P1767, DOI 10.3732/ajb.0900041; *NRC, 1983, CHANG CLIM; Ogawa RT, 2009, SCI EDUC, V93, P269, DOI 10.1002/sce.20299; Olson Randy., 2009, Don't Be Such a Scientist: Talking Substance in an Age of Style; Parmesan C, 2006, ANNU REV ECOL EVOL S, V37, P637, DOI 10.1146/annurev.ecolsys.37.091305.110100; Pooley Eric., 2010, CLIMATE WAR TRUE BEL; Portner H.-O., 2022, CLIMATE CHANGE 2022, DOI [10.1017/9781009325844, DOI 10.1017/9781009325844]; *PRCPP, 2008, INT OV NEWSP NEWS OU; *PRCPP, 2009, ENV IMM HLTH CAR SLI; *PRCPP, 2009, FEW AM SEE SOL EV GL; Rennie LJ, 2003, INT J SCI EDUC, V25, P759, DOI 10.1080/09500690305020; Sawyer RK, 2006, CAMB HANDB PSYCHOL, P187; Schor J., 2004, BORN BUY COMMERCIALI; SEMPER Rob, 2007, Curator: The Museum Journal, V50, P147; Stahl SA, 1996, READ RES QUART, V31, P430, DOI 10.1598/RRQ.31.4.5; Street B., 1985, LITERACY THEORY PRAC; Thoman E., 1998, Skills strategies for media education; Walther GR, 2002, NATURE, V416, P389, DOI 10.1038/416389a; Wynne B, 2010, NATURE, V466, P441, DOI 10.1038/466441a</t>
  </si>
  <si>
    <t>OXFORD UNIV PRESS</t>
  </si>
  <si>
    <t>GREAT CLARENDON ST, OXFORD OX2 6DP, ENGLAND</t>
  </si>
  <si>
    <t>0006-3568</t>
  </si>
  <si>
    <t>1525-3244</t>
  </si>
  <si>
    <t>Bioscience</t>
  </si>
  <si>
    <t>10.1525/bio.2011.61.3.8</t>
  </si>
  <si>
    <t>Biology</t>
  </si>
  <si>
    <t>Life Sciences &amp; Biomedicine - Other Topics</t>
  </si>
  <si>
    <t>730QQ</t>
  </si>
  <si>
    <t>WOS:000288049600008</t>
  </si>
  <si>
    <t>McKinley, E; Acott, T; Yates, KL</t>
  </si>
  <si>
    <t>McKinley, Emma; Acott, Tim; Yates, Katherine L.</t>
  </si>
  <si>
    <t>Marine social sciences: Looking towards a sustainable future</t>
  </si>
  <si>
    <t>Marine and coastal management; Marine social science; Marine policy; Research priorities</t>
  </si>
  <si>
    <t>ECOSYSTEM SERVICES; OCEAN LITERACY; FISHERIES; ME</t>
  </si>
  <si>
    <t>Marine and coastal environments provide extensive and essential ecosystem services upon which much of humanity relies, yet the incorporation of human dimensions into marine and coastal policy and management has historically been lacking. As efforts to address the substantial and diverse challenges facing marine and coastal environments continue, recent years have seen a growing call for greater consideration of people, how they interact with the marine environment, and the resultant implications for developing effective policy and management. Indeed, in recent times recognition of the importance of marine social science research, data, evidence and expertise has undergone an upward trajectory. Despite this growing level of awareness of the value of social science to the wider marine and coastal management agenda, effective and meaningful inclusion of marine social science into research and practice has remained a challenge. Here we approach this global challenge as an opportunity to bring the community together to set a forward-looking international research agenda, recognising the role of multiple approaches and diverse methods understanding the relationship between society and the sea, galvanising the research and practice community across marine social sciences and beyond. Furthermore, by bringing together this increasingly active community, we can identify mechanisms of change and pathways to enable inclusion of marine social sciences within global ocean policy. This paper draws on the views of researchers and practitioners from across the marine social science disciplines, brought together through an expert workshop held at the MARE 2019 conference (June 2019) and representing a range of geographical regions and perspectives. Through the workshop, delegates identified a number of priorities for the ongoing development of the marine social science community, including the need to improve capacity for marine social science research globally, the importance of nurturing an inclusive and equitable marine social science research community and the role of networks to continue to raise the profile of marine social science data and evidence for global ocean policy and management. Additionally, the discussions provided valuable insight into existing knowledge gaps and potential research priorities for the future. Finally, the paper presents a future vision and recommendations for an international and interdisciplinary marine social science agenda, calling for collaborative and strategic thinking on marine social sciences from across the marine science and policy interface. Critically, we show how social science needs to be embedded in all aspects of marine and coastal management in order to create truly sustainable solutions to the pervasive environmental challenges we face.</t>
  </si>
  <si>
    <t>[McKinley, Emma] Cardiff Univ, Sch Earth &amp; Ocean Sci, Cardiff, Wales; [Acott, Tim] Univ Greenwich, Greenwich Maritime Ctr, London, England; [Yates, Katherine L.] Univ Salford, Sch Sci Engn &amp; Environm, Manchester, Lancs, England; [Yates, Katherine L.] Univ Queensland, ARC Ctr Excellence Environm Decis, Sch Biol Sci, Brisbane, Qld, Australia</t>
  </si>
  <si>
    <t>Cardiff University; University of Greenwich; University of Salford; University of Queensland</t>
  </si>
  <si>
    <t>McKinley, E (corresponding author), Cardiff Univ, Sch Earth &amp; Ocean Sci, Cardiff, Wales.</t>
  </si>
  <si>
    <t>mckinleye1@cardiff.ac.uk</t>
  </si>
  <si>
    <t>Yates, Katherine/H-4888-2012</t>
  </si>
  <si>
    <t>Yates, Katherine/0000-0001-8429-2941</t>
  </si>
  <si>
    <t>NERC Knowledge Exchange [FellowshipNE/P00668X/1]; NERC [NE/P00668X/1] Funding Source: UKRI</t>
  </si>
  <si>
    <t>NERC Knowledge Exchange; NERC(UK Research &amp; Innovation (UKRI)Natural Environment Research Council (NERC))</t>
  </si>
  <si>
    <t>The authors would like to thank the attendees of the workshop at the MARE X in Amsterdam, June 2019 for their valuable input to the workshop discussions. KY was funded by a NERC Knowledge Exchange FellowshipNE/P00668X/1. Additionally, the authors would like to thank the Marine Social Science Network for their organisation of the workshop and leading this manuscript.</t>
  </si>
  <si>
    <t>[Anonymous], 2005, Ecosystems and Human Well being synthesis; [Anonymous], AQUAT CONSERV MAR FR; [Anonymous], OCEAN COAST MANAG; Bavinck M, 2018, MAR POLICY, V94, P46, DOI 10.1016/j.marpol.2018.04.026; Bennett NJ, 2019, COAST MANAGE, V47, P244, DOI 10.1080/08920753.2019.1564958; Bennett NJ, 2018, ENVIRON MANAGE, V61, P597, DOI 10.1007/s00267-017-0993-2; Bennett NJ, 2017, BIOL CONSERV, V205, P93, DOI 10.1016/j.biocon.2016.10.006; Börger T, 2014, MAR POLICY, V46, P161, DOI 10.1016/j.marpol.2014.01.019; Braun V, 2006, QUAL RES PSYCHOL, V3, P77, DOI [DOI 10.1191/1478088706QP063OA, 10.1191/1478088706qp063oa]; Chan KMA, 2012, BIOSCIENCE, V62, P744, DOI 10.1525/bio.2012.62.8.7; Chan KMA, 2012, ECOL ECON, V74, P8, DOI 10.1016/j.ecolecon.2011.11.011; Christie P, 2003, FISHERIES, V28, P22; Ehler CN, 2018, EARTHSCAN OCEAN, P6; Gruby RL, 2016, CONSERV LETT, V9, P153, DOI 10.1111/conl.12194; Guest H, 2015, MAR POLICY, V58, P98, DOI 10.1016/j.marpol.2015.04.007; Halpern BS, 2008, SCIENCE, V319, P948, DOI 10.1126/science.1149345; Hannigan J, 2017, CAN REV SOCIOL, V54, P8, DOI 10.1111/cars.12136; Hannigan JohnA., 2016, GEOPOLITICS DEEP OCE; Hawthorne M, 1999, GLOBAL ENVIRON CHANG, V9, P25, DOI 10.1016/S0959-3780(98)00022-3; Hind EJ, 2015, FRONT MAR SCI, V2, DOI 10.3389/fmars.2015.00086; Jentoft S, 1998, MAR POLICY, V22, P423, DOI 10.1016/S0308-597X(97)00040-7; Kaplan IM, 2004, MAR POLICY, V28, P257, DOI 10.1016/j.marpol.2003.08.003; Kelly C, 2018, MAR POLICY, V97, P223, DOI 10.1016/j.marpol.2018.03.023; Leavy P, 2015, METHOD MEETS ART ART, V2nd; Ledford H, 2015, NATURE, V525, P308, DOI 10.1038/525308a; Longo SB, 2016, SOC PROBL, V63, P463, DOI 10.1093/socpro/spw023; Mackay CML, 2019, J ENVIRON PSYCHOL, V65, DOI 10.1016/j.jenvp.2019.101323; Martin VY, 2017, MAR POLICY, V81, P236, DOI 10.1016/j.marpol.2017.04.001; McKinley E, 2012, MAR POLICY, V36, P839, DOI 10.1016/j.marpol.2011.11.001; McKinley E, 2010, OCEAN COAST MANAGE, V53, P379, DOI 10.1016/j.ocecoaman.2010.04.012; Pascual U, 2017, CURR OPIN ENV SUST, V26-27, P7, DOI 10.1016/j.cosust.2016.12.006; Pita C, 2011, HYDROBIOLOGIA, V670, P289, DOI 10.1007/s10750-011-0665-9; Potts T, 2016, MAR POLICY, V72, P59, DOI 10.1016/j.marpol.2016.06.012; Restall B, 2015, J ENVIRON MANAGE, V159, P264, DOI 10.1016/j.jenvman.2015.05.022; Scoones I, 1999, ANNU REV ANTHROPOL, V28, P479, DOI 10.1146/annurev.anthro.28.1.479; Stafford R, 2019, MAR POLICY, V103, P187, DOI 10.1016/j.marpol.2019.02.003; Steel BS, 2005, OCEAN COAST MANAGE, V48, P97, DOI 10.1016/j.ocecoaman.2005.01.002; UN, 2015, Transforming our world: the 2030 Agenda for Sustainable Development; Victor DG, 2015, NATURE, V520, P27, DOI 10.1038/520027a; Voyer M, 2015, MAR POLICY, V52, P93, DOI 10.1016/j.marpol.2014.10.027; Yates KL, 2014, MAR POLICY, V48, P39, DOI 10.1016/j.marpol.2014.03.002; Yates KL, 2019, ENVIRON SCI POLICY, V92, P76, DOI 10.1016/j.envsci.2018.11.012</t>
  </si>
  <si>
    <t>10.1016/j.envsci.2020.03.015</t>
  </si>
  <si>
    <t>LK2PF</t>
  </si>
  <si>
    <t>Green Published, Green Accepted, hybrid</t>
  </si>
  <si>
    <t>WOS:000530702500009</t>
  </si>
  <si>
    <t>West, RD</t>
  </si>
  <si>
    <t>Ocean literacy is key to preserving our oceans and coasts</t>
  </si>
  <si>
    <t>Belden R., 1999, COMMUNICATING OCEANS</t>
  </si>
  <si>
    <t>WIN</t>
  </si>
  <si>
    <t>902TD</t>
  </si>
  <si>
    <t>WOS:000227378500017</t>
  </si>
  <si>
    <t>Pacheco, D; Faria, C</t>
  </si>
  <si>
    <t>Pacheco, Diana; Faria, Claudia</t>
  </si>
  <si>
    <t>Roteiro Entre-Mares: an educational app for ocean literacy promotion</t>
  </si>
  <si>
    <t>JOURNAL OF BIOLOGICAL EDUCATION</t>
  </si>
  <si>
    <t>Educational app; mobile learning; ocean literacy; science education; outdoor learning</t>
  </si>
  <si>
    <t>LEARNING-SYSTEMS; MOBILE; TECHNOLOGY; PLACE; MODEL</t>
  </si>
  <si>
    <t>The app 'Roteiro Entre-Mares' offers digital itineraries for exploring intertidal zones, such as the rocky platform of the Avencas Marine Protected Area. As users travel through the intertidal area, several challenges emphasising the biodiversity and environmental issues are presented. Eighth-grade students (n=63) used this application and were challenged to identify in situ the marine species present in different zones of the intertidal ecosystem. Then, questionnaires and interviews were performed with teachers and students to examine the utilisation of mobile apps as educational tools. The fact that they learnt a lot, autonomously, using the field guide of the app, was among the aspects that the students most appreciated, describing this app as an organised, informative, interesting, and interactive learning tool. Teachers say this is a useful didactic resource because it delivers clear and reliable information that links theory and practice. Hence, this study examines the acceptance of this mobile app as an instructional tool among students and teachers, highlighting the potential of mobile apps as educational tools.</t>
  </si>
  <si>
    <t>[Pacheco, Diana; Faria, Claudia] Univ Lisbon, UIDEF Res &amp; Dev Unit Educ &amp; Training, Inst Educ, Lisbon, Portugal</t>
  </si>
  <si>
    <t>Universidade de Lisboa</t>
  </si>
  <si>
    <t>Faria, C (corresponding author), Univ Lisbon, UIDEF Res &amp; Dev Unit Educ &amp; Training, Inst Educ, Lisbon, Portugal.</t>
  </si>
  <si>
    <t>cbfaria@ie.ulisboa.pt</t>
  </si>
  <si>
    <t>Pacheco, Diana/AAW-3588-2020; Faria, Claudia/K-7250-2012</t>
  </si>
  <si>
    <t>Pacheco, Diana/0000-0001-5509-1067; Faria, Claudia/0000-0003-1278-8061</t>
  </si>
  <si>
    <t>Fundo Azul (Direcao-Geral de Politica do Mar) [FA_06_2017_011]</t>
  </si>
  <si>
    <t>Fundo Azul (Direcao-Geral de Politica do Mar)</t>
  </si>
  <si>
    <t>This research was developed within the project `Roteiro Entre-Mares' (FA_06_2017_011), funded by Fundo Azul (Direcao-Geral de Politica do Mar).</t>
  </si>
  <si>
    <t>Alturki U, 2022, SUSTAINABILITY-BASEL, V14, DOI 10.3390/su14031125; Botha A., 2010, 2010 ANN RES C S AFR, P29, DOI DOI 10.1145/1899503.1899507; Bransford John D., 2001, PEOPLE LEARN BRAIN M; Cagiltay NE, 2015, COMPUT EDUC, V87, P35, DOI 10.1016/j.compedu.2015.04.001; Cahill C., 2011, Proceedings of the 10th International Conference on Interaction Design and Children - IDC '11, P21, DOI DOI 10.1145/1999030.1999033; Campanella P, 2012, 10TH IEEE INTERNATIONAL CONFERENCE ON EMERGING ELEARNING TECHNOLOGIES AND APPLICATIONS (ICETA 2012), P51, DOI 10.1109/ICETA.2012.6418282; Chen Q, 2016, COMPUT HUM BEHAV, V64, P938, DOI 10.1016/j.chb.2016.07.023; Chu HC, 2010, COMPUT EDUC, V55, P1618, DOI 10.1016/j.compedu.2010.07.004; Ciampa K, 2014, J COMPUT ASSIST LEAR, V30, P82, DOI 10.1111/jcal.12036; Criollo-C S, 2018, 2018 IEEE WORLD ENGINEERING EDUCATION CONFERENCE (EDUNINE), P29, DOI 10.1109/EDUNINE.2018.8450979; Eberbach C, 2009, REV EDUC RES, V79, P39, DOI 10.3102/0034654308325899; Freitas Duarte Filho Nemesio, 2013, 2013 IEEE Frontiers in Education Conference (FIE), P379, DOI 10.1109/FIE.2013.6684851; Furió D, 2013, COMPUT EDUC, V64, P1, DOI 10.1016/j.compedu.2012.12.001; Gowin M, 2015, AM J HEALTH EDUC, V46, P223, DOI 10.1080/19325037.2015.1044140; Hannafin M, 1999, INSTRUCTIONAL-DESIGN THEORIES AND MODELS, VOL II, P115; Hannafin MJ, 1997, INSTR SCI, V25, P167, DOI 10.1023/A:1002997414652; Hannafin R.D., 2014, Handbook of research on educational communications and technology, P641, DOI [DOI 10.1007/978-1-4614-3185-5, 10.1007/978-1-4614-3185-5_51]; Hsi S, 2003, J COMPUT ASSIST LEAR, V19, P308, DOI 10.1046/j.0266-4909.2003.jca_023.x; Huang YM, 2010, COMPUT EDUC, V54, P47, DOI 10.1016/j.compedu.2009.07.006; Hungerford H.R., 1990, J ENVIRON EDUC, V21, P8, DOI [DOI 10.1080/00958964.1990.10753743, 10.1080/00958964.1990.10753743]; Hutson T., 2011, Rural Educator, V33, P37; Jonassen D.H., 2012, THEORETICAL FDN LEAR, V2nd; Keskin NO, 2011, TURK ONLINE J EDUC T, V10, P202; Land SM., 2012, Theoretical Foundations of Learning Environments, VSecond, P3, DOI [10.4324/9780203813799, DOI 10.4324/9780203813799]; Land SM, 2015, ETR&amp;D-EDUC TECH RES, V63, P229, DOI 10.1007/s11423-015-9369-6; Lehrer R, 2006, CAMB HANDB PSYCHOL, P371; Liu TC, 2009, EDUC TECHNOL SOC, V12, P344; Miles Matthew B., 2014, QUALITATIVE DATA ANA; Navarro CX, 2015, IEEE LAT AM T, V13, P552, DOI 10.1109/TLA.2015.7055578; Norton E, 2019, EDUC SCI, V9, DOI 10.3390/educsci9020118; Nundy S., 2001, Raising Achievement through the Environment; Pe'er S, 2007, J ENVIRON EDUC, V39, P45, DOI 10.3200/JOEE.39.1.45-59; Pea RD, 2004, J LEARN SCI, V13, P423, DOI 10.1207/s15327809jls1303_6; Reiser B. J., 2014, CAMBRIDGE HANDBOOK O, P168; Rennie L.J., 2007, HDB RES SCI ED, P120; Ressurreiçao A, 2012, OCEAN COAST MANAGE, V69, P243, DOI 10.1016/j.ocecoaman.2012.09.002; Rogers Y., 2004, P 2004 C INTERACTION, P3, DOI DOI 10.1145/1017833.1017834; Sad SN, 2014, BRIT J EDUC TECHNOL, V45, P606, DOI 10.1111/bjet.12064; Saikat S, 2021, EDUC SCI, V11, DOI 10.3390/educsci11090459; Salman F.H., 2014, Proceedings of the Eleventh International Conference for the Learning Sciences, P378; Santoro F., 2018, OCEAN LITERACY ALL T; Schwabe G, 2005, ICMB 2005: INTERNATIONAL CONFERENCE ON MOBILE BUSINESS, P227, DOI 10.1109/ICMB.2005.35; Sha L, 2012, COMPUT HUM BEHAV, V28, P718, DOI 10.1016/j.chb.2011.11.019; Son C., 2004, P E LEARN 2004 WORLD, P2137; Sundgren M, 2017, EDUC INF TECHNOL, V22, P3081, DOI 10.1007/s10639-017-9576-3; Tabak I, 2004, J LEARN SCI, V13, P305, DOI 10.1207/s15327809jls1303_3; Ward N.D., 2013, Journal of Geoscience Education, V61, P378; Warschauer M, 2010, REV RES EDUC, V34, P179, DOI 10.3102/0091732X09349791; Yuh-Shyan Chen, 2005, Journal of Educational Computing Research, V33, P395, DOI 10.2190/0PAB-HRN9-PJ9K-DY0C; Zimmerman HT, 2014, TECHTRENDS, V58, P77, DOI 10.1007/s11528-013-0724-3; Zimmerman HT, 2013, RES SCI EDUC, V43, P1917, DOI 10.1007/s11165-012-9334-x; Zimmerman HT, 2010, SCI EDUC, V94, P478, DOI 10.1002/sce.20374; Zydney JM, 2016, COMPUT EDUC, V94, P1, DOI 10.1016/j.compedu.2015.11.001</t>
  </si>
  <si>
    <t>0021-9266</t>
  </si>
  <si>
    <t>2157-6009</t>
  </si>
  <si>
    <t>J BIOL EDUC</t>
  </si>
  <si>
    <t>J. Biol. Educ.</t>
  </si>
  <si>
    <t>2022 DEC 25</t>
  </si>
  <si>
    <t>10.1080/00219266.2022.2159490</t>
  </si>
  <si>
    <t>Biology; Education &amp; Educational Research; Education, Scientific Disciplines</t>
  </si>
  <si>
    <t>Life Sciences &amp; Biomedicine - Other Topics; Education &amp; Educational Research</t>
  </si>
  <si>
    <t>7I3ZP</t>
  </si>
  <si>
    <t>WOS:000903830400001</t>
  </si>
  <si>
    <t>Lowrey, JL; Ray, AJ; Webb, RS</t>
  </si>
  <si>
    <t>Lowrey, Jessica L.; Ray, Andrea J.; Webb, Robert S.</t>
  </si>
  <si>
    <t>Factors influencing the use of climate information by Colorado municipal water managers</t>
  </si>
  <si>
    <t>CLIMATE RESEARCH</t>
  </si>
  <si>
    <t>Climate information; Climate products; Climate services; Water management; Western USA; Drought</t>
  </si>
  <si>
    <t>FORECASTS; DROUGHT; POLICY; PERCEPTION; ARIZONA; LESSONS; WEATHER; SCIENCE</t>
  </si>
  <si>
    <t>Water supplies in Colorado are sensitive to climate variability. Throughout the study period (2004-2009), there was an increase in demand for climate products and climate education by water management decision makers, which we attribute to a severe drought beginning in 2002 that changed the decision makers' perception of risk. Once decision makers recognized that they were vulnerable to water supply shortages, they sought out information and education from the Western Water Assessment (WWA). Building on relationships established prior to the 2002 drought, the WWA improved the climate literacy of water managers through enhanced interaction, which resulted in an increased use of climate information, outlooks (i.e. seasonal forecasts), and projections in water planning. In addition to the way that climate science can inform decision-making, we documented how decision makers can inform climate science of the need for additional research. In this article, we show the evolution of the use of different types of climate products and explain the connections among drought, perception of risk, climate literacy, and interactions with climate information providers.</t>
  </si>
  <si>
    <t>[Lowrey, Jessica L.] Univ Colorado, NOAA, Boulder, CO 80309 USA; [Ray, Andrea J.; Webb, Robert S.] NOAA, Earth Syst Res Lab, Boulder, CO 80305 USA</t>
  </si>
  <si>
    <t>National Oceanic Atmospheric Admin (NOAA) - USA; University of Colorado System; University of Colorado Boulder; National Oceanic Atmospheric Admin (NOAA) - USA</t>
  </si>
  <si>
    <t>Lowrey, JL (corresponding author), 625 Glenwood Dr, Lafayette, CO 80026 USA.</t>
  </si>
  <si>
    <t>jessica.lowrey@colorado.edu</t>
  </si>
  <si>
    <t>Ray, Andrea/Q-9848-2018</t>
  </si>
  <si>
    <t>Ray, Andrea/0000-0001-5385-1202</t>
  </si>
  <si>
    <t>NOAA Climate Programs Office to the Western Water Assessment; NOAA Office of Oceanic and Atmospheric Research</t>
  </si>
  <si>
    <t>NOAA Climate Programs Office to the Western Water Assessment; NOAA Office of Oceanic and Atmospheric Research(National Oceanic Atmospheric Admin (NOAA) - USA)</t>
  </si>
  <si>
    <t>The authors are grateful to K. B. Averyt for her advice and editing assistance, to N. Doesken for information on the history of the WATF, and to D. S. Kenney, R. Klein, and R. S. Pulwarty for editing versions of this manuscript. Funding to support this research came from the NOAA Climate Programs Office to the Western Water Assessment and the NOAA Office of Oceanic and Atmospheric Research.</t>
  </si>
  <si>
    <t>[Anonymous], 2007, CLIMATE CHANGE 2007; [Anonymous], 2007, CONTR WORK GROUP 2 4; Birkland Thomas., 1998, Journal of Public Policy, V18, P53, DOI DOI 10.1017/S0143814X98000038; Brekke LD, 2009, 1331 US GEOL SURV; Callahan B, 1999, POLICY SCI, V32, P269, DOI 10.1023/A:1004604805647; CARTER RH, 2003, CLIMAS REPORT SERIES, V150; *CCSP, 2008, US CLIM CHANG SCI PR; Dessai S, 2004, CLIMATIC CHANGE, V64, P11, DOI 10.1023/B:CLIM.0000024781.48904.45; Gamble JL, 2003, WATER RES M, V16, P341; Grothmann T, 2005, GLOBAL ENVIRON CHANG, V15, P199, DOI 10.1016/j.gloenvcha.2005.01.002; Hartmann HC, 2002, B AM METEOROL SOC, V83, P683, DOI 10.1175/1520-0477(2002)083&lt;0683:CBESCF&gt;2.3.CO;2; Hunter T, 2006, GEOPHYS RES LETT, V33, DOI 10.1029/2006GL026600; HUPPERT D, 2002, CLIMATE REPORT, V3, P12; INGRAM HM, 1984, WATER RESOUR RES, V20, P323, DOI 10.1029/WR020i003p00323; JULANDER R, 2004, US C IRR DRAIN SALT, P457; Kenney DS, 2008, J AM WATER RESOUR AS, V44, P192, DOI 10.1111/j.1752-1688.2007.00147.x; Kenney DS, 2004, J AM WATER RESOUR AS, V40, P77, DOI 10.1111/j.1752-1688.2004.tb01011.x; KLEIN R, 2007, V11207 U COL W WAT A; KLEIN R, 2005, WWA0106 U COL; Lasswell Harold., 1956, The Decision Process: Seven Categories of Functional Analysis; Leiserowitz AA, 2005, RISK ANAL, V25, P1433, DOI 10.1111/j.1540-6261.2005.00690.x; Leiserowitz A, 2006, CLIMATIC CHANGE, V77, P45, DOI 10.1007/s10584-006-9059-9; Lemos MC, 2005, GLOBAL ENVIRON CHANG, V15, P57, DOI 10.1016/j.gloenvcha.2004.09.004; Lewis W.M., 2003, WATER CLIMATE W US; Livezey RE, 2008, B AM METEOROL SOC, V89, P843, DOI 10.1175/2008BAMS2488.1; Mayer P. W., 1999, RESIDENTIAL END USES; MCKEE TB, 1999, 991 COL STAT U DEP A; Nichols PD., 2003, U DENVER WATER LAW R, V6, P411; Niepold F., 2008, ESSENTIAL PRINCIPLES; O'Connor RE, 1999, J AM WATER RESOUR AS, V35, P1411, DOI 10.1111/j.1752-1688.1999.tb04225.x; O'Lenic EA, 2008, WEATHER FORECAST, V23, P496, DOI 10.1175/2007WAF2007042.1; Ostrom E., 1999, POLYCENTRIC GOVERNAN, P346; Pagano TC, 2002, CLIMATE RES, V21, P259, DOI 10.3354/cr021259; Pagano TC, 2001, J AM WATER RESOUR AS, V37, P1139, DOI 10.1111/j.1752-1688.2001.tb03628.x; Pielke RA, 2005, PURE APPL GEOPHYS, V162, P1455, DOI 10.1007/s00024-005-2679-6; Power S, 2005, B AM METEOROL SOC, V86, P839, DOI 10.1175/BAMS-86-6-839; Pulwarty RS, 2005, BOOK SOIL P, V86, P249; Ray A., 2008, CLIMATE CHANGE COLOR; RAY AJ, 2004, THESIS U COLORADO BO; Rayner S, 2005, CLIMATIC CHANGE, V69, P197, DOI 10.1007/s10584-005-3148-z; Serreze MC, 1999, WATER RESOUR RES, V35, P2145, DOI 10.1029/1999WR900090; SLOVIC P, 1987, SCIENCE, V236, P280, DOI 10.1126/science.3563507; Steinemann AC, 2006, J APPL METEOROL CLIM, V45, P1353, DOI 10.1175/JAM2401.1; US Department of the Interior, 2005, WAT 2025 PREV CRIS C; Wilks D S., 1995, Statistical method in the atmospheric sciences: An into; WOODCOCK SJ, 2006, OPERATING RESERVOIRS; Woodhouse CA, 2006, CLIMATIC CHANGE, V78, P293, DOI 10.1007/s10584-006-9055-0</t>
  </si>
  <si>
    <t>INTER-RESEARCH</t>
  </si>
  <si>
    <t>OLDENDORF LUHE</t>
  </si>
  <si>
    <t>NORDBUNTE 23, D-21385 OLDENDORF LUHE, GERMANY</t>
  </si>
  <si>
    <t>0936-577X</t>
  </si>
  <si>
    <t>1616-1572</t>
  </si>
  <si>
    <t>CLIM RES</t>
  </si>
  <si>
    <t>Clim. Res.</t>
  </si>
  <si>
    <t>10.3354/cr00827</t>
  </si>
  <si>
    <t>524HY</t>
  </si>
  <si>
    <t>WOS:000272135600008</t>
  </si>
  <si>
    <t>Holasova, A</t>
  </si>
  <si>
    <t>Janicek, F; Eleschova, Z</t>
  </si>
  <si>
    <t>Holasova, Adela</t>
  </si>
  <si>
    <t>Energy Literacy in the Czech Republic</t>
  </si>
  <si>
    <t>ENERGY ECOLOGY ECONOMY 2018</t>
  </si>
  <si>
    <t>14th International Scientific Conference on Energy Ecology Economy (EEE)</t>
  </si>
  <si>
    <t>JUN 05-07, 2018</t>
  </si>
  <si>
    <t>SLOVAKIA</t>
  </si>
  <si>
    <t>energy literacy; education; power system; system imbalance</t>
  </si>
  <si>
    <t>The attitude and opinion of the general public are important for planning of the future of the energy system. People need to be provided with comprehensive information in order to make informed opinions. Unfortunately, such energy information is missing at all levels of education and so most people have gaps in basic knowledge of the subject. The aim of this research is to find out how deep the gaps in understanding the issue are. In the future we would also like to follow up on how to minimize the misunderstanding and provide important information.</t>
  </si>
  <si>
    <t>[Holasova, Adela] Czech Tech Univ, Fac Elect Engn, Dept Econ Management &amp; Humanities, Tech 2, Prague 16627, Czech Republic</t>
  </si>
  <si>
    <t>Czech Technical University Prague</t>
  </si>
  <si>
    <t>Holasova, A (corresponding author), Czech Tech Univ, Fac Elect Engn, Dept Econ Management &amp; Humanities, Tech 2, Prague 16627, Czech Republic.</t>
  </si>
  <si>
    <t>holasade@fel.cvut.cz</t>
  </si>
  <si>
    <t>Grant Agency of the Czech Technical University in Prague [SGS17/132/OHK5/2T/13]; CEPS a.s. (Czech TSO)</t>
  </si>
  <si>
    <t>Grant Agency of the Czech Technical University in Prague; CEPS a.s. (Czech TSO)</t>
  </si>
  <si>
    <t>This work was supported by the Grant Agency of the Czech Technical University in Prague, grant No. SGS17/132/OHK5/2T/13. The authors would like to thank prof. Oldrich Stary, CSc., doc. Ing. Jaroslav Knapek, CSc. from Department of Economics, Management and Humanities and Ing. Karel Vinkler from CEPS a.s. (Czech TSO).</t>
  </si>
  <si>
    <t>[Anonymous], 2008, P 38 ASEEIEEE FRONTI, DOI DOI 10.1109/FIE.2008.4720280; Balouktsis I, 2013, 2013 PROCEEDINGS OF THE 24TH ANNUAL CONFERENCE ON EUROPEAN ASSOCIATION FOR EDUCATION IN ELECTRICAL AND INFORMATION ENGINEERING (EAEEIE), P128, DOI 10.1109/EAEEIE.2013.6576515; CEZ, 2017, EN BUD LIDST; DeWaters J. E., 2011, P FRONT ED C FIE; FEL CVUT, 2017, EN GRAM; Narodni ustav odborneho vzdelavane, 2007, RAMC VZD PROGR PRO O; Pragensis U. C., 2013, STUDIJNI PLANY MATEM; Sundramoorthy V., 2010, 2010 INTERNET THINGS; TURNER M, 2014, INT EN SUST C 2014, P1; U. S. Department of Energy, 2009, EN LIT; Vyzkumny ustav pedagogicky v Praze, 2007, RAMCOVY VZDELAVACI P</t>
  </si>
  <si>
    <t>SLOVAK UNIV TECH BRATISLAVA, FAC ELECTRICAL ENGINEERING &amp; INFORMATION TECH</t>
  </si>
  <si>
    <t>BRATISLAVA 1</t>
  </si>
  <si>
    <t>ILKOVICOVA 3, BRATISLAVA 1, 812 19, SLOVAKIA</t>
  </si>
  <si>
    <t>978-80-89402-98-4</t>
  </si>
  <si>
    <t>BN6CS</t>
  </si>
  <si>
    <t>WOS:000485101200016</t>
  </si>
  <si>
    <t>Kenterelidou, C; Galatsopoulou, F</t>
  </si>
  <si>
    <t>Kenterelidou, Clio; Galatsopoulou, Fani</t>
  </si>
  <si>
    <t>Sustainable Biocultural Heritage Management and Communication: The Case of Digital Narrative for UNESCO Marine World Heritage of Outstanding Universal Value</t>
  </si>
  <si>
    <t>marine heritage; biocultural heritage; heritage management; heritage communication; digital narrative; social media; Instagram; UNESCO; marine protected areas of outstanding universal value; sustainability</t>
  </si>
  <si>
    <t>The paper addresses sustainability, heritage, management, and communication from UNESCO's Marine World Heritage (MWH) perspective, analyzing its digital narrative footprint through social media. It aims to understand how MWH is conceptualized, managed, and communicated and whether it is framed with sustainability and biocultural values facilitating interactivity, engagement, and multimodal knowledge. Hence, a content analysis of the Instagram accounts of the MWH of Outstanding Universal Value (OUV) sites and protected areas has been conducted. The study included evidence from their Instagram profile, posts, features, and reactions. The findings indicated the dearth of a management and communication strategy being shared among and across UNESCO's MWH of OUV sites and protected areas, capturing the lifeworld and the voice of the marine heritage as unified. They also revealed that nature and human, and biological and socio-ecological ecosystems of MWH of OUV sites and protected areas are not interlinked in marine heritage management and communication featuring the whole and the entirety of the marine heritage site ecosystem. The lack of this expansion of meaning and engagement does not facilitate the shift of the route in the marine-scape, from discovery and being listed as World Heritage to human-nature interaction, diversity, dynamicity, and ocean literacy. The study contributes to setting the ground rules for strengthening marine heritage management and communication in light of the United Nations Sustainable Development Goals (SDGs) and the Ocean Literacy Decade (2021-2030).</t>
  </si>
  <si>
    <t>[Kenterelidou, Clio; Galatsopoulou, Fani] Aristotle Univ Thessaloniki Greece, Fac Econ &amp; Polit Sci, Sch Journalism &amp; Mass Commun, 46 Egnatia St, GR-54625 Thessaloniki, Greece</t>
  </si>
  <si>
    <t>Aristotle University of Thessaloniki</t>
  </si>
  <si>
    <t>Kenterelidou, C; Galatsopoulou, F (corresponding author), Aristotle Univ Thessaloniki Greece, Fac Econ &amp; Polit Sci, Sch Journalism &amp; Mass Commun, 46 Egnatia St, GR-54625 Thessaloniki, Greece.</t>
  </si>
  <si>
    <t>ckent@jour.auth.gr; fgal@jour.auth.gr</t>
  </si>
  <si>
    <t>Galatsopoulou, Fani/0000-0003-2785-9723; Kenterelidou, Clio/0000-0002-6994-8073</t>
  </si>
  <si>
    <t>European Maritime and Fisheries Fund (EMFF) of the European Union (EU) [863524]</t>
  </si>
  <si>
    <t>European Maritime and Fisheries Fund (EMFF) of the European Union (EU)(European Union (EU))</t>
  </si>
  <si>
    <t>This study aims to raise awareness and build knowledge of the UNESCO MWH sites of Europe and is part of the research and communication plan for the EU-funded NAUTILUS project (GA No: 863524/CALL: EMFF-BlueEconomy-2018/EMFF-02-2018 Blue Careers) of the European Maritime and Fisheries Fund (EMFF) of the European Union (EU). The funders had no role in study design, data collection and analysis, decision to publish, or manuscript preparation.</t>
  </si>
  <si>
    <t>Ababneh A, 2016, HIST ENVIRON POLICY, V7, P3, DOI 10.1080/17567505.2016.1142686; Abdulla A.A., 2013, Marine Natural Heritage and the World Heritage List: Interpretation of World Heritage Criteria in Marine Systems, Analysis of Biogeographic Representation of Sites, and a Roadmap for Addressing Gaps; Abdulla A, 2014, AQUAT CONSERV, V24, P59, DOI 10.1002/aqc.2527; Alcamo J., 2003, ECOSYSTEMS HUMAN WEL; Aloise P, 2014, APPL PHYS A-MATER, V114, P655, DOI 10.1007/s00339-013-7890-1; Alvarez-Sousa A, 2020, SUSTAINABILITY-BASEL, V12, DOI 10.3390/su12239929; [Anonymous], 2012, MARINE WORLD HERITAG; [Anonymous], 2018, EUROPEAN UNION INTER; [Anonymous], 2015, WORLD HERITAGE MARIN; [Anonymous], 2008, INT WORKSH UNESCO PA; [Anonymous], 2011, NEW DIGITAL STORYTEL; [Anonymous], The Criteria for Selection; [Anonymous], 2000, Linking social and ecological systems: management practices and social mechanisms for building resilience, DOI DOI 10.1017/CBO9780511541957; [Anonymous], 2015, SOCIAL EC BENEFITS M; Barrere C., 2016, City, Culture and Society, V7, P87, DOI [10.1016/j.ccs.2015.11.004, DOI 10.1016/J.CCS.2015.11.004]; Bazazzadeh H, 2020, SUSTAINABILITY-BASEL, V12, DOI 10.3390/su12125109; Bridgewater P, 2019, PEOPLE NAT, V1, P291, DOI 10.1002/pan3.10040; Bruno F, 2016, MAR TECHNOL SOC J, V50, P108, DOI 10.4031/MTSJ.50.4.2; Caillon S, 2017, ECOL SOC, V22, DOI 10.5751/ES-09746-220427; Carroll J., 2017, Evolutionary Behavioral Sciences, V11, P1, DOI DOI 10.1037/EBS0000058; Casier R., 2016, FUTURE WORLD HERITAG; Caust J, 2017, J CULT HERIT, V27, P1, DOI 10.1016/j.culher.2017.02.004; Croitoru A., 2014, Big Data Techniques and Technologies in Geoinformatics, P207; Davidson-Hunt I.J., 2012, SAPI EN. S. Surveys and Perspectives Integrating Environment and Society; Deacon H, 2013, HERIT SOC, V6, P129, DOI 10.1179/2159032X13Z.0000000009; Diaz-Andreu M., 2017, Journal of Community Archaeology and Heritage, V4, P2, DOI DOI 10.1080/20518196.2016.1228213; Dimitropoulos K., 2014, P 9 INT C COMP VIS T, V2, P773; Doulamis A, 2020, SUSTAINABILITY-BASEL, V12, DOI 10.3390/su12104223; Doulamis A, 2017, PROCEEDINGS OF THE 12TH INTERNATIONAL JOINT CONFERENCE ON COMPUTER VISION, IMAGING AND COMPUTER GRAPHICS THEORY AND APPLICATIONS (VISIGRAPP 2017), VOL 5, P451, DOI 10.5220/0006347304510460; Downe-Wamboldt B, 1992, Health Care Women Int, V13, P313; Drivas IC, 2020, BIG DATA COGN COMPUT, V4, DOI 10.3390/bdcc4020005; Ehler C., 2010, WORLD HERITAGE REPOR, V28; Ehler C., 2011, NAVIGATING FUTURE WO; Ekblom A, 2019, LAND-BASEL, V8, DOI 10.3390/land8010005; Eriksson O, 2018, NAT CONSERV-BULGARIA, P1, DOI 10.3897/natureconservation.28.25067; Erlingsson C, 2017, AFR J EMERG MED, V7, P93, DOI 10.1016/j.afjem.2017.08.001; Eurostat, 2020, SOCIAL MEDIA STAT; Figa E., 2004, Storytelling Magazine, V16, P34; Frey BS, 2011, INT J CULT POLICY, V17, P555, DOI 10.1080/10286632.2010.541906; Gabri?, 2012, ASSESSING MARINE WOR; Galatsopoulou F., 2020, ROUTLEDGE COMPANION; Gavin MC, 2015, TRENDS ECOL EVOL, V30, P140, DOI 10.1016/j.tree.2014.12.005; Ghermandi A, 2020, TOURISM MANAGE, V77, DOI 10.1016/j.tourman.2019.104002; Giaccardi Elisa., 2012, Heritage and Social Media: Understanding Heritage in a Participatory Culture; Giannakos MN, 2019, INT J INFORM MANAGE, V48, P108, DOI 10.1016/j.ijinfomgt.2019.02.003; Harris PT, 2014, MAR GEOL, V352, P4, DOI 10.1016/j.margeo.2014.01.011; Henderson J, 2019, SUSTAINABILITY-BASEL, V11, DOI 10.3390/su11185080; Hribar MS, 2015, PROCD SOC BEHV, V188, P103, DOI 10.1016/j.sbspro.2015.03.344; Iglesias-Sánchez PP, 2020, SUSTAINABILITY-BASEL, V12, DOI 10.3390/su12072793; IOC-UNESCO, 2018, UN DECADE OCEAN SCI; Jensen Bente, 2013, 2013 Digital Heritage International Congress (DigitalHeritage). Federating the 19th Int'I VSMM, 10th Eurographics GCH, &amp; 2nd UNESCO Memory of the World Conferences, plus special sessions from CAA, Arqueologico 2.0, Space2Place, ICOMOS ICIP &amp; CIPA, EU projects, et al. Proceedings, P311; Johnson J., INTERNET SOCIAL MEDI; Kaplan AM, 2010, BUS HORIZONS, V53, P59, DOI 10.1016/j.bushor.2009.09.003; Katsaounidiou A., 2018, CROSS MEDIA AUTHENTI; Kenterelidou C., 2020, HDB DEV COMMUNICATIO; King L, 2016, HERIT SOC, V9, P76, DOI 10.1080/2159032X.2016.1246156; Kloos M, 2017, HERIT STUD-CHAM, P335, DOI 10.1007/978-3-319-57165-2_24; Korhonen V, 2010, PRACTISING INFORMATION LITERACY: BRINGING THEORIES OF LEARNING, PRACTICE AND INFORMATION LITERACY TOGETHER, P211; Kuhlman T., 2010, Sustainability, V2, P3436, DOI [10.3390/su2113436, DOI 10.3390/SU2113436]; Kusyanti A, 2019, PROCEDIA COMPUT SCI, V161, P756, DOI 10.1016/j.procs.2019.11.180; Lambert J., 2018, DIGITAL STORYTELLING; Lambert J., 2002, ELEARNING FORUM; Landorf C, 2009, INT J HERIT STUD, V15, P494, DOI 10.1080/13527250903210795; Lee Y.H., 2019, J OCEAN CULTURE, V2, P136, DOI DOI 10.33522/JOC.2019.2.136; Lehman Jessica, 2018, International Social Science Journal, V68, P291, DOI [10.1111/issj.12155, DOI 10.1111/ISSJ.12155, wam.seals.ac.za/10.1111/issj.12155]; Lewallen J., 2016, The Journal of Social Media in Society, V5, P108; Lewis SC, 2013, J BROADCAST ELECTRON, V57, P34, DOI 10.1080/08838151.2012.761702; Lindholm KJ, 2019, ANTHROPOCENE, V25, DOI 10.1016/j.ancene.2019.100195; Lombardo V, 2012, NEW REV HYPERMEDIA M, V18, P11, DOI 10.1080/13614568.2012.617846; Maffi L, 2005, ANNU REV ANTHROPOL, V34, P599, DOI 10.1146/annurev.anthro.34.081804.120437; Mahdy Hossam., 2019, Values in Heritage Management: Emerging Approaches and Research Directions. Ed, P127; Farahani LM, 2018, J ARCHIT URBAN, V42, P199, DOI 10.3846/jau.2018.7057; Matsiola M., 2015, SOCIAL MEDIA TRANSFO; Merçon J, 2019, GLOB SUSTAIN, V2, DOI 10.1017/sus.2019.4; Mergos G., 2017, Cultural Heritage and Sustainable Development: Economic Benefits, Social Opportunities and Policy Challenges; Mitchell N., 2009, UNESCO WORLD HERITAG, V26; Morton S, 2017, BRIT MED BULL, V124, P81, DOI 10.1093/bmb/ldx031; Munera C., 2014, BIOCULTURAL DESIGN F; Neumayer E., 2007, HUMAN WELL BEING STU; NEUMAYER E., 2004, SUSTAINABILITY WELL; Ntalakas A., 2017, J. Media Crit, V3, P187, DOI [10.17349/jmc117317, DOI 10.17349/JMC117317]; Ntalianis K, 2018, IEEE T COMPUT SOC SY, V5, P109, DOI 10.1109/TCSS.2017.2766250; Obura D., 2016, FUTURE WORLD HERITAG; Patiwael PR, 2019, INT J HERIT STUD, V25, P333, DOI 10.1080/13527258.2018.1477057; Paul N., 2005, The elements of digital storytelling; Poole AK, 2018, ENVIRON VALUE, V27, P55, DOI 10.3197/096327118X15144698637522; Raskin Paul D., 2010, Sustainability, V2, P2626, DOI 10.3390/su2082626; Redman CL, 2004, ECOSYSTEMS, V7, P161, DOI 10.1007/s10021-003-0215-z; Ricca M, 2021, MATER DESIGN, V197, DOI 10.1016/j.matdes.2020.109278; Ricca M, 2020, SUSTAINABILITY-BASEL, V12, DOI 10.3390/su12125000; Ruffolo SA, 2017, PROG ORG COAT, V104, P64, DOI 10.1016/j.porgcoat.2016.12.004; Ryan J.C., 2015, GLOBAL MEDIA J, V9, P49; Salazar Noel., 2004, Anthropology in Action: journal for applied anthropology in policy and practice, V11, P2; Satchell J., 2007, Managing the Marine Cultural Heritage: Defining, Accessing, and Managing the Resource; Seng K.P., 2019, Multimodal Analytics for Next-Generation Big Data Technologies and Applications, P3; Shoumy N.J., 2019, MULTIMODAL ANAL NEXT, P45; Sobo ElisaJ., 2020, DYNAMICS HUMAN BIOCU; Spalding MD, 2013, OCEAN YEARB, V27, P213, DOI 10.1163/22116001-90000160; Spalding MD, 2012, OCEAN COAST MANAGE, V60, P19, DOI 10.1016/j.ocecoaman.2011.12.016; Sterling EJ, 2017, NAT ECOL EVOL, V1, P1798, DOI 10.1038/s41559-017-0349-6; Sullivan S., 1997, CONSERVATION ARCHAEO, P15; Swiderska K., 2013, LANGSCAPE EMERGING P; Swiderska K., 2017, WHAT IS BIOCULTURAL; Trakadas A, 2019, J MARIT ARCHAEOL, V14, P153, DOI 10.1007/s11457-019-09241-0; Tzima S, 2020, SUSTAINABILITY-BASEL, V12, DOI 10.3390/su12229416; UN (United Nations), 2007, OCEAN C JUNE 2007 FA; UNESCO, 2014, STATE CONSERVATION W; UNESCO, 2014, WORLD HERITAGE MARIN; UNESCO, 2015, WORLD HERITAGE MARIN; UNESCO, 2015, RETROSPECTIVE STATEM; UNESCO, 2015, OPERATIONAL GUIDELIN; van Blerk J., 2019, FEST SURVEY STORYTEL; Vecco M, 2010, J CULT HERIT, V11, P321, DOI 10.1016/j.culher.2010.01.006; Vladimirova M., 2016, INT J CULTURAL DIGIT, V3, P45; Wang J, 2019, INT J GEOHERIT PARKS, V7, P145, DOI [10.1016/j.ijgeop.2019.09.001, DOI 10.1016/J.IJGEOP.2019.09.001]; WESTERDAHL C, 1992, INT J NAUT ARCHAEOL, V21, P5, DOI 10.1111/j.1095-9270.1992.tb00336.x; Westerdahl C., 2013, The Oxford handbook of maritime archaeology, P733; Widodo J., 2017, ISPRS ANN PHOTOGRAMM, P327, DOI [10.5194/isprs-annals-IV-2-W2-327-2017, DOI 10.5194/ISPRS-ANNALS-IV-2-W2-327-2017]; Willie P., 2001, NEW PERSPECTIVES NAR</t>
  </si>
  <si>
    <t>10.3390/su13031449</t>
  </si>
  <si>
    <t>QD6SV</t>
  </si>
  <si>
    <t>WOS:000615646200001</t>
  </si>
  <si>
    <t>Scowcroft, GA; Coleman, DF; Hayward, J; Romano, C</t>
  </si>
  <si>
    <t>Scowcroft, Gail A.; Coleman, Dwight F.; Hayward, Jeff; Romano, Cia</t>
  </si>
  <si>
    <t>Exploring Inner Space: Engaging the Public With Ocean Scientists</t>
  </si>
  <si>
    <t>education; telepresence; Inner Space Center</t>
  </si>
  <si>
    <t>A prototype telepresence communications system was designed, piloted, and tested for use in informal science education institutions to provide public, student, and educator interactions with scientists aboard ships and in the University of Rhode Island Graduate School of Oceanography (GSO) Inner Space Center (ISC). In addition to providing opportunities for the engagement of scientists with diverse audiences, a goal of this initiative was to promote an appreciation and understanding of the ocean, while exposing aquarium visitors to advanced telepresence communication technologies. The project partnership was comprised of a leading ocean science research and education institution (the GSO); two national ocean science education networksthe National Centers for Ocean Sciences Education Excellence Network and the National Oceanic and Atmospheric Administration's Office of Exploration and Research Education Alliance; and two partner aquariumsMystic Aquarium and South Carolina Aquarium. The main outcomes of the project were as follows: (1) a partnership of ocean science research and informal science education professionals that linked ocean scientists and informal science institution staff and visitors; (2) a state-of-the-art hardware and software system for partner aquariums capable of delivering live and prerecorded ocean exploration experiences to visitors; (3) professional development for informal science educators focused on educating the public and improving ocean literacy; (4) a useful and effective digital media interface and software for communicating and interacting with the ocean science content; and (5) an understanding of how live and prerecorded ocean exploration experiences affect aquarium visitor ocean literacy.</t>
  </si>
  <si>
    <t>[Scowcroft, Gail A.] COSEE, Narragansett, RI 02882 USA; [Scowcroft, Gail A.; Coleman, Dwight F.] Univ Rhode Isl, Inner Space Ctr, Kingston, RI 02881 USA; [Hayward, Jeff] People Places &amp; Design Res, North Hampton, MA USA; [Romano, Cia] Interface Guru, Tucson, AZ USA</t>
  </si>
  <si>
    <t>University of Rhode Island</t>
  </si>
  <si>
    <t>Scowcroft, GA (corresponding author), COSEE, South Ferry Rd, Narragansett, RI 02882 USA.</t>
  </si>
  <si>
    <t>National Oceanic and Atmospheric Administration, U.S. Department of Commerce [NA09SEC4690043]; National Oceanic and Atmospheric Administration (NOAA) [NA09SEC4690043] Funding Source: National Oceanic and Atmospheric Administration (NOAA)</t>
  </si>
  <si>
    <t>National Oceanic and Atmospheric Administration, U.S. Department of Commerce(National Oceanic Atmospheric Admin (NOAA) - USA); National Oceanic and Atmospheric Administration (NOAA)(National Oceanic Atmospheric Admin (NOAA) - USA)</t>
  </si>
  <si>
    <t>This work was supported by award NA09SEC4690043 from the National Oceanic and Atmospheric Administration, U.S. Department of Commerce, from 2010 to 2014, to address the need for engaging the public in ways that would improve their ocean literacy. The statements, findings, conclusions, and recommendations are those of the authors and do not necessarily reflect the views of NOAA or the U.S. Department of Commerce.</t>
  </si>
  <si>
    <t>[Anonymous], RIS GATH STORM EN EM; [Anonymous], AM OC CLIM CHANG NEW; [Anonymous], 2004, OC BLUEPR 21 CENT; Coleman D.F., 2008, J OCEAN TECHNOL, V3, P63; COSEE-Pacific Partnerships, 2009, EXPL INN SPAC ENG PU; Joint Ocean Commission, 2009, CHANG OC CHANG WORLD; Natl Res Council, 2009, LEARNING SCIENCE IN INFORMAL ENVIRONMENTS: PEOPLE, PLACES, AND PURSUITS, P1; Pasley J.D., 2004, Science Educator, V13, P1; *PEW OC COMM, 2003, AM LIV OC CHART COUR; Pew Research Center, 2015, DEV OWN; Schubel J., 2005, PUBL OC LIT; U. S. Department of Education, 2007, REP AC COMP COUNC</t>
  </si>
  <si>
    <t>JUL-AUG</t>
  </si>
  <si>
    <t>10.4031/MTSJ.49.4.7</t>
  </si>
  <si>
    <t>CR4XS</t>
  </si>
  <si>
    <t>WOS:000361344000013</t>
  </si>
  <si>
    <t>Simpson, NP; Andrews, TM; Krönke, M; Lennard, C; Odoulami, RC; Ouweneel, B; Steynor, A; Trisos, CH</t>
  </si>
  <si>
    <t>Simpson, Nicholas P.; Andrews, Talbot M.; Kronke, Matthias; Lennard, Christopher; Odoulami, Romaric C.; Ouweneel, Birgitt; Steynor, Anna; Trisos, Christopher H.</t>
  </si>
  <si>
    <t>Climate change literacy in Africa</t>
  </si>
  <si>
    <t>NATURE CLIMATE CHANGE</t>
  </si>
  <si>
    <t>EASTERN CAPE PROVINCE; SMALLHOLDER FARMERS; CHANGE PERCEPTIONS; CHANGE IMPACTS; TRANSFORMATIVE ADAPTATION; KNOWLEDGE; DROUGHT; DISTRICT; VULNERABILITY; DETERMINANTS</t>
  </si>
  <si>
    <t>Climate change literacy encompasses being aware of both climate change and its anthropogenic cause, and thus underpins informed mitigation and adaptation responses. However, climate change literacy rates and their predictors remain poorly understood across the Global South. Here analysis of Africa's largest representative public opinion survey shows climate change literacy ranges from 23 to 66% of the population across 33 countries, with larger variation at subnational scales (for example, 5-71% among states in Nigeria). Strong positive predictors of climate change literacy are education and mobility, but poverty decreases climate change literacy, and country-level climate change literacy rates are, on average, 12.8% lower for women than men. Perceived drought experiences and historical trends in precipitation are also important predictors. These results highlight where interventions can target specific regions and demographics to increase climate change literacy and help ensure that responses are informed by better understanding of current and future climate change. Climate literacy-awareness of climate change and understanding that humans are responsible-is necessary for adaptation and mitigation. Levels of climate literacy across Africa are highly variable, with positive predictors of literacy identified, suggesting areas to target for increasing climate change literacy.</t>
  </si>
  <si>
    <t>[Simpson, Nicholas P.; Odoulami, Romaric C.; Ouweneel, Birgitt; Trisos, Christopher H.] Univ Cape Town, African Climate &amp; Dev Initiat, Cape Town, South Africa; [Andrews, Talbot M.] Univ Connecticut, Dept Polit Sci, Storrs, CT USA; [Kronke, Matthias] Univ Cape Town, Inst Democracy Citizenship &amp; Publ Policy Africa, Cape Town, South Africa; [Lennard, Christopher; Steynor, Anna] Univ Cape Town, Climate Syst Anal Grp, Cape Town, South Africa; [Trisos, Christopher H.] Univ Cape Town, Ctr Stat Ecol Environm &amp; Conservat, Cape Town, South Africa</t>
  </si>
  <si>
    <t>University of Cape Town; University of Connecticut; University of Cape Town; University of Cape Town; University of Cape Town</t>
  </si>
  <si>
    <t>Simpson, NP; Trisos, CH (corresponding author), Univ Cape Town, African Climate &amp; Dev Initiat, Cape Town, South Africa.;Trisos, CH (corresponding author), Univ Cape Town, Ctr Stat Ecol Environm &amp; Conservat, Cape Town, South Africa.</t>
  </si>
  <si>
    <t>nick.simpson@uct.ac.za; christophertrisos@gmail.com</t>
  </si>
  <si>
    <t>Kroenke, Matthias/IQU-9293-2023; Kroenke, Matthias/AAR-4846-2021; Lennard, Chris/C-2120-2014; Odoulami, Romaric C./ABH-4768-2020; Simpson, Nicholas Philip/AAC-4578-2022</t>
  </si>
  <si>
    <t>Kroenke, Matthias/0000-0001-8387-9193; Kroenke, Matthias/0000-0001-8387-9193; Lennard, Chris/0000-0001-6085-0320; Odoulami, Romaric C./0000-0001-8228-1608; Simpson, Nicholas Philip/0000-0002-9041-982X; Trisos, Christopher/0000-0002-5854-1489; Steynor, Anna/0000-0002-3675-2576</t>
  </si>
  <si>
    <t>UK Government's Foreign, Commonwealth &amp; Development Office; International Development Research Centre, Ottawa, Canada [109419-001]; FLAIR (Future Leaders - African Independent Research) Fellowship Programme; African Academy of Sciences; Royal Society; UK Government's Global Challenges Research Fund</t>
  </si>
  <si>
    <t>UK Government's Foreign, Commonwealth &amp; Development Office; International Development Research Centre, Ottawa, Canada(International Development Research Centre - IDRC); FLAIR (Future Leaders - African Independent Research) Fellowship Programme; African Academy of Sciences; Royal Society(Royal Society); UK Government's Global Challenges Research Fund</t>
  </si>
  <si>
    <t>This work was funded by the UK Government's Foreign, Commonwealth &amp; Development Office and the International Development Research Centre, Ottawa, Canada grant no. 109419-001 to N.P.S. C.H.T. was funded by the FLAIR (Future Leaders - African Independent Research) Fellowship Programme, a partnership between the African Academy of Sciences and the Royal Society funded by the UK Government's Global Challenges Research Fund.</t>
  </si>
  <si>
    <t>Abegunde AA, 2017, ENVIRON DEV SUSTAIN, V19, P1489, DOI 10.1007/s10668-016-9816-5; Acevedo M, 2020, NAT PLANTS, V6, P1231, DOI 10.1038/s41477-020-00783-z; Adida CL, 2016, COMP POLIT STUD, V49, P1630, DOI 10.1177/0010414016633487; Agrawal A, 2009, ADAPTING TO CLIMATE CHANGE: THRESHOLDS, VALUES, GOVERNANCE, P350; Ajuang CO, 2016, SPRINGERPLUS, V5, DOI 10.1186/s40064-016-2699-y; Alemaw B.F., 2015, Am. J. Clim. Chang., V04, P313, DOI [10.4236/ajcc.2015.44025, DOI 10.4236/AJCC.2015.44025]; Andrews TM, 2020, GLOBAL ENVIRON CHANG, V65, DOI 10.1016/j.gloenvcha.2020.102164; [Anonymous], 2019, COP CLIM CHANG SERV; [Anonymous], 2019, SAMPL PRINC; [Anonymous], 2018, TRAIN CURR ENV LAW J; [Anonymous], 2019, AFR ROUND 7 SURV; [Anonymous], 2009, CLIM LIT ESS PRINC C, V2; Anyanwu R, 2017, INT RES GEOGR ENVIRO, V26, P193, DOI 10.1080/10382046.2017.1330039; Anyanwu Raymond, 2015, S. Afr. j. educ., V35, P1, DOI 10.15700/SAJE.V35N3A1160; Armah FA, 2017, J ENVIRON PLANN MAN, V60, P2150, DOI 10.1080/09640568.2017.1281797; Asiedu B, 2017, COGENT FOOD AGR, V3, DOI 10.1080/23311932.2017.1296400; Asiyanbi AP, 2015, PUBLIC UNDERST SCI, V24, P1007, DOI 10.1177/0963662514565332; Asrat P, 2018, ECOL PROCESS, V7, DOI 10.1186/s13717-018-0118-8; Ayanlade A, 2016, WEATHER CLIM SOC, V8, P465, DOI 10.1175/WCAS-D-15-0071.1; Ballew MT, 2020, J ENVIRON PSYCHOL, V70, DOI 10.1016/j.jenvp.2020.101466; Barage M., 2018, African Journal of Agricultural Research, V13, P1496; Beguería S, 2014, INT J CLIMATOL, V34, P3001, DOI 10.1002/joc.3887; Bertoldo R, 2019, PUBLIC UNDERST SCI, V28, P778, DOI 10.1177/0963662519865448; Borick CP, 2014, WEATHER CLIM SOC, V6, P413, DOI 10.1175/WCAS-D-13-00042.1; BRADY HE, 1995, AM POLIT SCI REV, V89, P271, DOI 10.2307/2082425; Brown HCP, 2013, CLIM DEV, V5, P206, DOI 10.1080/17565529.2013.812954; Chester MV, 2019, SUSTAIN RESIL INFRAS, V4, P173, DOI 10.1080/23789689.2017.1416846; Clark TS, 2015, POLIT SCI RES METH, V3, P399, DOI 10.1017/psrm.2014.32; Clarke CL, 2012, AFR J RANGE FOR SCI, V29, P13, DOI 10.2989/10220119.2012.687041; Conway D, 2015, NAT CLIM CHANGE, V5, P837, DOI [10.1038/nclimate2735, 10.1038/NCLIMATE2735]; Cuni-Sanchez A, 2019, CLIM DEV, V11, P513, DOI 10.1080/17565529.2018.1454880; Dalelo A., 2011, S AFR J ENV ED, V28, P85; Din N., 2016, Journal of Water Resource and Protection, V8, P608, DOI 10.4236/jwarp.2016.85050; Dodman D, 2017, INT J DISAST RISK RE, V26, P7, DOI 10.1016/j.ijdrr.2017.06.029; Eriksen S, 2011, CLIM DEV, V3, P7, DOI 10.3763/cdev.2010.0060; Evans LS, 2016, PLOS ONE, V11, DOI 10.1371/journal.pone.0150575; Eze E, 2020, INT RES GEOGR ENVIRO, V29, P89, DOI 10.1080/10382046.2019.1657683; Fedele G, 2019, ENVIRON SCI POLICY, V101, P116, DOI 10.1016/j.envsci.2019.07.001; Floress K, 2019, LANDSCAPE URBAN PLAN, V188, P19, DOI 10.1016/j.landurbplan.2018.08.024; Froehlich P, 2018, IOP C SER EARTH ENV, V191, DOI 10.1088/1755-1315/191/1/012003; Funk C, 2015, SCI DATA, V2, DOI 10.1038/sdata.2015.66; Guha-Sapir Debarati., 2019, EM-DAT: The Emergency Events Database - Universite catholique de Louvain (UCL); Guido Z, 2020, CLIM RISK MANAG, V30, DOI 10.1016/j.crm.2020.100247; Hamilton LC, 2016, SAGE OPEN, V6, DOI 10.1177/2158244016676296; Hasan MK, 2019, J ENVIRON MANAGE, V237, P54, DOI 10.1016/j.jenvman.2019.02.028; Hersbach H, 2020, Q J ROY METEOR SOC, V146, P1999, DOI 10.1002/qj.3803; Hornsey MJ, 2016, NAT CLIM CHANGE, V6, P622, DOI [10.1038/nclimate2943, 10.1038/NCLIMATE2943]; Howe PD, 2019, ENVIRON RES LETT, V14, DOI 10.1088/1748-9326/ab466a; Hundera H, 2019, WEATHER CLIM EXTREME, V26, DOI 10.1016/j.wace.2019.100230; Ibrahim SB, 2015, INT J SOC ECON, V42, P614, DOI 10.1108/IJSE-09-2013-0201; Jamelske E., 2013, J ENVIRON STUD SCI, V3, P269, DOI [DOI 10.1007/S13412-013-0144-X, 10.1007/s13412-013-0144-x]; Johnston J D., 2019, Climate Action, P200, DOI [DOI 10.1007/978-3-319-95885-9_31, 10.1007/978-3-319-95885-9_31]; Kimaro EG, 2018, PASTORALISM, V8, DOI 10.1186/s13570-018-0125-5; Knight K.W., 2016, ENVIRON SOCIOL, V2, P101, DOI [DOI 10.1080/23251042.2015.1128055, 10.1080/23251042.2015, 10.1080/23251042.2015.1128055]; KruksWisner G, 2018, CLAIMING THE STATE: ACTIVE CITIZENSHIP AND SOCIAL WELFARE IN RURAL INDIA, P1, DOI 10.1017/9781108185899; Kuthe A., 2020, Applied Environmental Education Communication, V19, P375, DOI [DOI 10.1080/1533015X.2019.1597661, 10.1080/1533015X.2019, DOI 10.1080/1533015X.2019]; Ledley T S., 2014, Journal of Geoscience Education, V62, P307, DOI DOI 10.5408/13-057.1; Lee TM, 2015, NAT CLIM CHANGE, V5, P1014, DOI 10.1038/NCLIMATE2728; Lekgeu M. S., 2017, Southern African Journal of Environmental Education, V33, P52, DOI [10.4314/sajee.v.33i1.5, DOI 10.4314/SAJEE.V.33I1.5]; Lennard C, 2015, CLIM DYNAM, V44, P861, DOI 10.1007/s00382-014-2169-6; Lesk C, 2016, NATURE, V529, P84, DOI 10.1038/nature16467; Lottering S, 2021, S AFR GEOGR J, V103, P319, DOI 10.1080/03736245.2020.1795914; Lyons BA, 2018, ENVIRON COMMUN, V12, P876, DOI 10.1080/17524032.2018.1520735; Mahl D, 2020, ENVIRON COMMUN, V14, P802, DOI 10.1080/17524032.2020.1736116; Mandleni B., 2011, Journal of Agricultural Science (Toronto), V3, P258, DOI 10.5539/jas.v3n3p258; Maponya P., 2013, Journal of Agricultural Science (Toronto), V5, P273; Marlon JR, 2019, J RISK RES, V22, P936, DOI 10.1080/13669877.2018.1430051; Marquart-Pyatt ST, 2014, GLOBAL ENVIRON CHANG, V29, P246, DOI 10.1016/j.gloenvcha.2014.10.004; Marshall NA, 2011, CURR ISSUES TOUR, V14, P507, DOI 10.1080/13683500.2010.512075; Mhlanga-Ndlovu BFN, 2016, AFR J SCI TECHNOL IN, V8, P429, DOI 10.1080/20421338.2016.1219503; Mnimbo TS, 2016, CLIM DEV, V8, P95, DOI 10.1080/17565529.2015.1005038; Moore FC, 2019, P NATL ACAD SCI USA, V116, P4905, DOI 10.1073/pnas.1816541116; Mounirou I, 2018, J AGRIC ENVIRON INT, V112, P65, DOI 10.12895/jaeid.20181.695; Muller C, 2014, AFR J RANGE FOR SCI, V31, P1, DOI 10.2989/10220119.2013.845606; Mustafa G., 2019, Applied Environmental Education Communication, V18, P219, DOI [10.1080/1533015X.2018.1454358, DOI 10.1080/1533015X.2018.1454358]; Mutandwa E, 2019, INT J SOC ECON, V46, P850, DOI 10.1108/IJSE-12-2018-0654; Ncube A, 2019, JAMBA-J DISASTER RIS, V11, DOI 10.4102/jamba.v11i1.748; Ndlovu T, 2021, INT J DISAST RISK RE, V58, DOI 10.1016/j.ijdrr.2021.102203; Nkoana EM, 2020, INT RES GEOGR ENVIRO, V29, P7, DOI 10.1080/10382046.2019.1661126; Oladipo JA, 2016, CLIM DEV, V8, P122, DOI 10.1080/17565529.2015.1034227; Oliver MC, 2020, ENERGY RES SOC SCI, V70, DOI 10.1016/j.erss.2020.101641; Poortinga W, 2019, GLOBAL ENVIRON CHANG, V55, P25, DOI 10.1016/j.gloenvcha.2019.01.007; Popoola OO, 2020, SUSTAINABILITY-BASEL, V12, DOI 10.3390/su12145846; Popoola OO, 2018, GEOJOURNAL, V83, P1205, DOI 10.1007/s10708-017-9829-0; Portner H. -O, SPEC REP OC CRYOSP C; Rao N, 2019, CLIM DEV, V11, P14, DOI 10.1080/17565529.2017.1372266; Recha CW, 2017, GEOSCI LETT, V4, DOI 10.1186/s40562-017-0088-1; Revi A, 2020, ONE EARTH, V3, P384; Roncoli C, 2002, SOC NATUR RESOUR, V15, P409, DOI 10.1080/08941920252866774; Ruiz I, 2020, ENVIRON SCI POLICY, V108, P112, DOI 10.1016/j.envsci.2020.03.020; Salehi S, 2016, INT RES GEOGR ENVIRO, V25, P226, DOI 10.1080/10382046.2016.1155322; Sayinzoga A, 2016, ECON J, V126, P1571, DOI 10.1111/ecoj.12217; Schipper ELF, 2020, ONE EARTH, V3, P409, DOI 10.1016/j.oneear.2020.09.014; Schulzweida U., 2015, Climate indices with CDO; Schulzweida U., 2015, CDO US GUID CLIM DAT; Shi J, 2016, NAT CLIM CHANGE, V6, P759, DOI [10.1038/nclimate2997, 10.1038/NCLIMATE2997]; Shukla P. R., 2019, CLIMATE CHANGE LAND; Shwom R, 2017, FRONT ECOL ENVIRON, V15, P377, DOI 10.1002/fee.1519; Silvestri S, 2012, REG ENVIRON CHANGE, V12, P791, DOI 10.1007/s10113-012-0293-6; Simpson N. P., 2021, CLIMATE CHANGE LITER, DOI [10.25375/uct.151557722021, DOI 10.25375/UCT.151557722021]; Steynor A, 2021, RISK ANAL, V41, P1873, DOI 10.1111/risa.13683; Thornthwaite CW, 1948, GEOGR REV, V38, P55, DOI 10.2307/210739; Tiani AM, 2015, CLIM DEV, V7, P310, DOI 10.1080/17565529.2014.953901; Ugwoke F., 2013, NIGER J AGR EXT, V16, P212; Winsemius H. C., 2015, DISASTER RISK CLIMAT, DOI [10.1596/1813-9450-7480, DOI 10.1596/1813-9450-7480]; Xu KM, 2006, MON WEATHER REV, V134, P1442, DOI 10.1175/MWR3133.1; Yaro JA, 2013, REG ENVIRON CHANGE, V13, P1259, DOI 10.1007/s10113-013-0443-5; Yéo WE, 2016, SPRINGERPLUS, V5, DOI 10.1186/s40064-016-2491-z</t>
  </si>
  <si>
    <t>NATURE PORTFOLIO</t>
  </si>
  <si>
    <t>BERLIN</t>
  </si>
  <si>
    <t>HEIDELBERGER PLATZ 3, BERLIN, 14197, GERMANY</t>
  </si>
  <si>
    <t>1758-678X</t>
  </si>
  <si>
    <t>1758-6798</t>
  </si>
  <si>
    <t>NAT CLIM CHANGE</t>
  </si>
  <si>
    <t>Nat. Clim. Chang.</t>
  </si>
  <si>
    <t>10.1038/s41558-021-01171-x</t>
  </si>
  <si>
    <t>OCT 2021</t>
  </si>
  <si>
    <t>WP1BY</t>
  </si>
  <si>
    <t>WOS:000705748000003</t>
  </si>
  <si>
    <t>Guido, Z; McMahan, B; Hoy, D; Larsen, C; Delgado, B; Granillo, RL; Crimmins, M</t>
  </si>
  <si>
    <t>Guido, Zack; McMahan, Ben; Hoy, Dharma; Larsen, Calvin; Delgado, Benni; Granillo III, Rey L. L.; Crimmins, Michael</t>
  </si>
  <si>
    <t>Public Engagement on Weather and Climate with a Monsoon Fantasy Forecasting Game</t>
  </si>
  <si>
    <t>Monsoons; Seasonal forecasting; Climate services; Decision support; Resilience</t>
  </si>
  <si>
    <t>PLACE</t>
  </si>
  <si>
    <t>The North American monsoon generates heavy rainfall across the southwestern United States between July and September, delivering beneficial moisture to the region and creating hazards that affect public and personal safety. The monsoon thus has the rapt attention of the public and science community, providing an opportunity to improve weather and climate literacy and public engagement in science. Engaging the public to forecast weather and climate phenomenon through contests offers an innovative way to reach diverse audiences and increase weather and climate literacy. We describe a Monsoon Fantasy Forecasting game conducted in 2021 with approximately 300 participants. The game that engaged the public in the forecasting of monthly rainfall at cities in Arizona, New Mexico, and Texas. We report on the game's interactive design, results, and feedback. We show that the game attracted a diverse audience who was not the typical weather and climate enthusiast, and we provide suggestive results that the game may have influenced the players information-seeking behaviors. We argue that activities that provoke people to observe and think routinely about climate can help educate and build awareness about weather and climate issues.</t>
  </si>
  <si>
    <t>[Guido, Zack; McMahan, Ben; Hoy, Dharma; Larsen, Calvin; Delgado, Benni; Granillo III, Rey L. L.] Univ Arizona, Arizona Inst Resilient Environm &amp; Soc, Tucson, AZ 85721 USA; [Guido, Zack] Univ Arizona, Sch Nat Resources &amp; Environm, Tucson, AZ 85721 USA; [McMahan, Ben] Univ Arizona, Bur Appl Res Anthropol, Tucson, AZ USA; [Crimmins, Michael] Univ Arizona, Dept Environm Sci, Tucson, AZ USA</t>
  </si>
  <si>
    <t>University of Arizona; University of Arizona; University of Arizona; University of Arizona</t>
  </si>
  <si>
    <t>Guido, Z (corresponding author), Univ Arizona, Arizona Inst Resilient Environm &amp; Soc, Tucson, AZ 85721 USA.;Guido, Z (corresponding author), Univ Arizona, Sch Nat Resources &amp; Environm, Tucson, AZ 85721 USA.</t>
  </si>
  <si>
    <t>zguido@email.arizona.edu</t>
  </si>
  <si>
    <t>, Rey L. Granillo III/0000-0001-6479-2308; Guido, Zack/0000-0002-4817-606X</t>
  </si>
  <si>
    <t>Adams DK, 1997, B AM METEOROL SOC, V78, P2197, DOI 10.1175/1520-0477(1997)078&lt;2197:TNAM&gt;2.0.CO;2; Alley RB, 2019, SCIENCE, V363, P342, DOI 10.1126/science.aav7274; Brean H., 2021, TUCSON; Casey E., 1996, Senses of Place, P14; Castro CL, 2012, J CLIMATE, V25, P8212, DOI 10.1175/JCLI-D-11-00441.1; Corpuz-Bosshart L., 2022, MYSCIENCE; Crimmins MA, 2021, INT J CLIMATOL, V41, P4201, DOI 10.1002/joc.7067; Dharmahoy, 2022, Zenodo, DOI 10.5281/ZENODO.6878318; Dilling L, 2011, GLOBAL ENVIRON CHANG, V21, P680, DOI 10.1016/j.gloenvcha.2010.11.006; Drayer J., 2010, Sport Management Review, V13, P141, DOI [10.1016/j.smr.2009.02.001, DOI 10.1016/J.SMR.2009.02.001]; Fredrickson BL, 2013, ADV EXP SOC PSYCHOL, V47, P1, DOI 10.1016/B978-0-12-407236-7.00001-2; Georgeson L, 2017, SCI ADV, V3, DOI 10.1126/sciadv.1602632; Griggs D, 2021, NAT REV EARTH ENV, V2, P2, DOI 10.1038/s43017-020-00126-8; Hall A, 2016, WEATHER CLIM SOC, V8, P5, DOI 10.1175/WCAS-D-15-0028.1; Hill H, 2014, WEATHER CLIM EXTREME, V3, P107, DOI 10.1016/j.wace.2014.03.002; Jacobs KL, 2020, CLIM SERV, V20, DOI 10.1016/j.cliser.2020.100199; Kwok R, 2019, P NATL ACAD SCI USA, V116, P7602, DOI 10.1073/pnas.1903508116; Lejano RP, 2013, ENVIRON SCI POLICY, V31, P61, DOI 10.1016/j.envsci.2013.02.009; McMahan B, 2021, FRONT CLIM, V3, DOI 10.3389/fclim.2021.602573; Noll B, 2022, NAT CLIM CHANGE, V12, P30, DOI 10.1038/s41558-021-01222-3; Pearce W, 2015, WIRES CLIM CHANGE, V6, P613, DOI 10.1002/wcc.366; Pima County Public Library, 2022, IC CONT IC BREAK SAN; Portner H.-O., 2022, CLIMATE CHANGE 2022, DOI [10.1017/9781009325844, DOI 10.1017/9781009325844]; Puri SS, 2021, GEOHUMANITIES, V7, P113, DOI 10.1080/2373566X.2021.1883992; Risanto CB, 2019, ATMOSPHERE-BASEL, V10, DOI 10.3390/atmos10110694; Rooney-Varga JN, 2018, PLOS ONE, V13, DOI 10.1371/journal.pone.0202877; Sheppard PR, 2002, CLIM RES, V21, P219, DOI 10.3354/cr021219; Smith Adam B., 2020, 2010 2019 LANDMARK D; Sterman JD, 2011, CLIMATIC CHANGE, V108, P811, DOI 10.1007/s10584-011-0189-3; van Beek L, 2022, CLIMATIC CHANGE, V170, DOI 10.1007/s10584-022-03318-x; Veale L, 2014, J HIST GEOGR, V45, P25, DOI 10.1016/j.jhg.2014.03.003; Vera C, 2006, J CLIMATE, V19, P4977, DOI 10.1175/JCLI3896.1; Villamor GB, 2016, ECOL SOC, V21, DOI 10.5751/ES-08139-210139; Wu JS, 2015, NAT CLIM CHANGE, V5, P413, DOI 10.1038/NCLIMATE2566</t>
  </si>
  <si>
    <t>45 BEACON ST, BOSTON, MA 02108-3693, UNITED STATES</t>
  </si>
  <si>
    <t>E249</t>
  </si>
  <si>
    <t>E256</t>
  </si>
  <si>
    <t>10.1175/BAMS-D-22-0003.1</t>
  </si>
  <si>
    <t>9L1SH</t>
  </si>
  <si>
    <t>WOS:000941335600015</t>
  </si>
  <si>
    <t>Hoeberechts, M; Owens, D; Riddell, DJ; Robertson, AD</t>
  </si>
  <si>
    <t>Hoeberechts, Maia; Owens, Dwight; Riddell, David J.; Robertson, Andrew D.</t>
  </si>
  <si>
    <t>The Power of Seeing: Experiences using video as a deep-sea engagement and education tool</t>
  </si>
  <si>
    <t>OCEANS 2015 - MTS/IEEE WASHINGTON</t>
  </si>
  <si>
    <t>OCEANS MTS/IEEE Conference</t>
  </si>
  <si>
    <t>OCT 19-22, 2015</t>
  </si>
  <si>
    <t>OCEAN LITERACY; CLIMATE-CHANGE; SCIENTISTS; MANAGEMENT; STUDENTS</t>
  </si>
  <si>
    <t>This paper describes initiatives underway at Ocean Networks Canada (ONC) in using video data as a tool for public engagement and education: live video streams from cameras on the seafloor, citizen science using video data, audience participation in deep-sea expeditions, and K-12 engagement through the Ocean Sense program. Live and archived video attract the majority of user traffic on ONC's website and can be leveraged to direct the viewers to other content and messaging, enhancing their engagement with the deep-sea environment. Public interest in scientific discovery creates a user base for citizen science initiatives, while educational audiences can be connected to both realtime and asynchronous learning materials. The power of live connections is also harnessed during research expeditions, which can be extended from the ship and the seafloor directly into the classroom.</t>
  </si>
  <si>
    <t>[Hoeberechts, Maia; Owens, Dwight; Riddell, David J.; Robertson, Andrew D.] Univ Victoria, Ocean Networks Canada, Victoria, BC, Canada</t>
  </si>
  <si>
    <t>University of Victoria</t>
  </si>
  <si>
    <t>Hoeberechts, M (corresponding author), Univ Victoria, Ocean Networks Canada, Victoria, BC, Canada.</t>
  </si>
  <si>
    <t>Adler A, 2014, J HIST BIOL, V47, P333, DOI 10.1007/s10739-013-9367-7; Aikenhead G, 2011, TEACH LEARN SCI SER, P28; American Association for the Advancement of Science, 2015, MAR SCI PORT; [Anonymous], 2013, TEEN SPOTS HAGFISH S; [Anonymous], 2010, Contemporary Issues in Technology and Teacher Education; [Anonymous], 2015, MARINE AQUATIC SCI; [Anonymous], 2015, OCEANOGRAPHY NEWS; [Anonymous], 2015, R BALLARD; [Anonymous], 2015, NATL ESTUARINE RES R; [Anonymous], 2015, DATA TOOLS; [Anonymous], 2013, OCEAN CLIMATE LITERA; Ateweberhan M, 2013, MAR POLLUT BULL, V74, P526, DOI 10.1016/j.marpolbul.2013.06.011; Ballard R. D., 1986, NATL GEOGR, P698; Ballard RD, 2015, OCEANOGRAPHY, V28, P1, DOI 10.5670/oceanog.2015.supplement.01; Berk R.A., 2009, International Journal of Technology in Teaching and Learning, V5, P1, DOI DOI 10.1016/J.SBSPRO.2010.12.326; Bijma J, 2013, MAR POLLUT BULL, V74, P495, DOI 10.1016/j.marpolbul.2013.07.022; Central Intelligence Agency, 2014, COASTL COUNTR COMP W; Chen JJ, 2014, INT J SCI MATH EDUC, V12, P445, DOI 10.1007/s10763-013-9415-y; Clarke J, 2012, SEA TECHNOL, V53, P81; Cobcroft R., 2006, ONL LEARN TEACH OLT; Doya C, 2014, J MARINE SYST, V130, P69, DOI 10.1016/j.jmarsys.2013.04.003; Eddy TD, 2014, MAR POLICY, V46, P61, DOI 10.1016/j.marpol.2014.01.004; Ekanayake SY, 2014, LEARN MEDIA TECHNOL, V39, P229, DOI 10.1080/17439884.2013.825628; Elster D, 2009, J BIOL EDUC, V43, P53, DOI 10.1080/00219266.2009.9656152; Fletcher S, 2007, COAST MANAGE, V35, P511, DOI 10.1080/08920750701525818; Fletcher S, 2009, MAR POLICY, V33, P370, DOI 10.1016/j.marpol.2008.08.004; France B, 2010, INT J SCI EDUC, V32, P173, DOI 10.1080/09500690903205189; Gannes L., 2009, Television goes digital; Gjerde KM, 2013, MAR POLLUT BULL, V74, P540, DOI 10.1016/j.marpolbul.2013.07.037; Guest H, 2015, MAR POLICY, V58, P98, DOI 10.1016/j.marpol.2015.04.007; Gutierrez M., 2011, TECH REP; Hawthorne M, 1999, GLOBAL ENVIRON CHANG, V9, P25, DOI 10.1016/S0959-3780(98)00022-3; Henderson D., 2012, TECH REP; Hutchinson TH, 2013, MAR POLLUT BULL, V74, P517, DOI 10.1016/j.marpolbul.2013.06.012; Jenkyns R., 2013, OCEANS; Jewitt C, 2008, REV RES EDUC, V32, P241, DOI 10.3102/0091732X07310586; Manson G. K., 2005, P 12 CAN COAST C DAR; Martinez C., 2006, OCEANS 2006, P1, DOI [10.1109/OCEANS.2006.306993, DOI 10.1109/OCEANS.2006.306993]; McKinley E, 2010, OCEAN COAST MANAGE, V53, P379, DOI 10.1016/j.ocecoaman.2010.04.012; McMurry PeterH., 2004, PARTICULATE MATTER S; Ng G., 2010, WATER FUTURE CANADIA; Pasquali M, 2007, EMBO REP, V8, P712, DOI 10.1038/sj.embor.7401037; Pitcher TJ, 2013, MAR POLLUT BULL, V74, P506, DOI 10.1016/j.marpolbul.2013.05.045; Prensky M., 2006, Don't bother me mom - I'm learning; Prensky Marc, 2001, On the Horizon, V9, P1, DOI [DOI 10.1108/10748120110424816, 10.1108/10748120110424816]; Scott P, 2011, STUD SCI EDUC, V47, P3, DOI 10.1080/03057267.2011.549619; Seys J., 2008, TECH REP; Spruill V.N., 1997, Oceanography, V10, P149, DOI DOI 10.5670/0CEAN0G.1997.13; Steel BS, 2005, OCEAN COAST MANAGE, V48, P97, DOI 10.1016/j.ocecoaman.2005.01.002; Wilson S. J., TECH REP; Yerrick R., 2004, LEARNING LEADING TEC, V31, P16; Zykov V., 2014, AM GEOPH UN FALL M 2</t>
  </si>
  <si>
    <t>978-0-933957-43-5</t>
  </si>
  <si>
    <t>Engineering, Marine; Engineering, Electrical &amp; Electronic; Oceanography</t>
  </si>
  <si>
    <t>BF3JW</t>
  </si>
  <si>
    <t>WOS:000380550000425</t>
  </si>
  <si>
    <t>Kranz, J; Schwichow, M; Breitenmoser, P; Niebert, K</t>
  </si>
  <si>
    <t>Kranz, Johanna; Schwichow, Martin; Breitenmoser, Petra; Niebert, Kai</t>
  </si>
  <si>
    <t>The (Un)political Perspective on Climate Change in Education-A Systematic Review</t>
  </si>
  <si>
    <t>climate change education; climate literacy; climate change; sustainability education; political education; literature review; private and public-sphere action; mitigation; adaptation; climate justice</t>
  </si>
  <si>
    <t>HIGH-SCHOOL-STUDENTS; KNOWLEDGE; SCIENCE; ENERGY; JUSTICE; CONCEPTIONS; ATTITUDES; DECISION; BEHAVIOR; MODEL</t>
  </si>
  <si>
    <t>Mitigating and adapting to climate change requires foundational changes in societies, politics, and economies. Greater effectiveness has been attributed to actions in the public sphere than to the actions of individuals. However, little is known about how climate literacy programs address the political aspects of mitigation and adaptation. The aim of this systematic literature review is to fill this gap and analyze how public-sphere actions on mitigation and adaptation are discussed in climate literacy programs in schools. Based on database searches following PRISMA guidelines we identified 75 empirical studies that met our inclusion criteria. We found that central aspects of climate policy such as the 1.5-degree limit, the IPCC reports, or climate justice are rarely addressed. Whilst responsibility for emissions is attributed to the public sphere, the debate about mitigation usually focuses on the private sphere. Climate change education does not, therefore, correspond to the climate research discourse. We show that effective mitigation and adaptation are based on public-sphere actions and thus conclude that effective climate education should discuss those public actions if it is to be effective. Hence, we propose that climate education should incorporate political literacy to educate climate-literate citizens.</t>
  </si>
  <si>
    <t>[Kranz, Johanna] Res Inst Forest Ecol &amp; Forestry Rhineland Palatin, Ctr Excellence Climate Change Impacts, D-67705 Trippstadt, Germany; [Schwichow, Martin] Univ Educ Freiburg, Dept Phys Educ, D-79117 Freiburg, Germany; [Breitenmoser, Petra] Zurich Univ Teacher Educ, Dept Primary Educ, CH-8090 Zurich, Switzerland; [Breitenmoser, Petra; Niebert, Kai] Univ Zurich, Inst Educ, CH-8001 Zurich, Switzerland</t>
  </si>
  <si>
    <t>University of Freiburg; Freiburg University of Education; University of Zurich</t>
  </si>
  <si>
    <t>Kranz, J (corresponding author), Res Inst Forest Ecol &amp; Forestry Rhineland Palatin, Ctr Excellence Climate Change Impacts, D-67705 Trippstadt, Germany.;Niebert, K (corresponding author), Univ Zurich, Inst Educ, CH-8001 Zurich, Switzerland.</t>
  </si>
  <si>
    <t>johanna.kranz@klimawandel-rlp.de; martin.schwichow@ph-freiburg.de; petra.breitenmoser@phzh.ch; kai.niebert@uzh.ch</t>
  </si>
  <si>
    <t>Niebert, Kai/HHS-5259-2022; Breitenmoser, Petra Daniela/HIR-3824-2022; kranz, johanna/JYC-0505-2024</t>
  </si>
  <si>
    <t>Niebert, Kai/0000-0002-7872-4688; Breitenmoser, Petra Daniela/0000-0001-8932-5052; Schwichow, Martin/0000-0001-9694-7183; Kranz, Johanna Ariane/0000-0002-6165-8004</t>
  </si>
  <si>
    <t>Adamina M., 2018, CCESO CLIMATE CHANGE; AJZEN I, 1986, J EXP SOC PSYCHOL, V22, P453, DOI 10.1016/0022-1031(86)90045-4; Alexandar R., 2012, CLIMATE CHANGE SUSTA, P557, DOI DOI 10.1007/978-3-642-22266-5; Allgaier J, 2019, FRONT COMMUN, V4, DOI 10.3389/fcomm.2019.00036; Amadeo J.A., 2002, CIVIC KNOWLEDGE CIVI; [Anonymous], 2007, Fighting Climate Change: Human solidarity in a divided world; [Anonymous], 2021, State of Global Climate 2021 WMO Provisional Report; [Anonymous], 2017, Education for Sustainable Development Goals: Learning Objectives, DOI [10.0978/-92-3-100209-0, DOI 10.31142/IJTSRD5889]; [Anonymous], 2016, UNRISD flagship report 2016; Arikan G, 2021, BRIT J POLIT INT REL, V23, P158, DOI 10.1177/1369148120951013; Arya D, 2016, INT J SCI EDUC, V38, P885, DOI 10.1080/09500693.2016.1170227; Azevedo J, 2017, INT J GLOBAL WARM, V12, P414, DOI 10.1504/IJGW.2017.10005893; Balthesen E, 2019, WHAT DO WE WANT CLIM; Barata R, 2017, ENVIRON EDUC RES, V23, P1322, DOI 10.1080/13504622.2016.1219317; Bardsley DK, 2007, GEOGR RES-AUST, V45, P329, DOI 10.1111/j.1745-5871.2007.00472.x; Bartels LM, 1996, AM J POLIT SCI, V40, P194, DOI 10.2307/2111700; BAUMRIND D, 1971, DEV PSYCHOL, V4, P1, DOI 10.1037/h0030372; BfN, 2016, NAT AW STUD 2015; Bhattacharya D., 2021, Journal of Geoscience Education, V69, P223, DOI [10.1080/10899995.2020.1838848, DOI 10.1080/10899995.2020.1838848]; Bofferding L, 2015, ENVIRON EDUC RES, V21, P275, DOI 10.1080/13504622.2014.888401; Bord RJ, 2000, PUBLIC UNDERST SCI, V9, P205, DOI 10.1088/0963-6625/9/3/301; BOYES E, 1993, INT J SCI EDUC, V15, P531, DOI 10.1080/0950069930150507; Boyes E., 2001, CAN J ENVIRON EDUC, V6, P77; Breslyn W., 2017, Science Education International, V28, P214, DOI 10.33828/sei.v28.i3.5; Buchanan J, 2016, AUST J ENVIRON EDUC, V32, P154, DOI 10.1017/aee.2015.55; Callaghan M, 2021, NAT CLIM CHANGE, V11, P966, DOI 10.1038/s41558-021-01168-6; Caney S, 2014, J POLIT PHILOS, V22, P125, DOI 10.1111/jopp.12030; Castellanos EJ., 2022, Climate Change 2022: Impacts, Adaptation, and Vulnerability; Chawla L., 2007, Environmental Education Research, V13, P437, DOI [10.1080/13504620701581539, DOI 10.1080/13504620701581539]; Chen R., 2016, TEACHING ENERGY SCI, P125; Chhokar K, 2011, INT J SCI MATH EDUC, V9, P1167, DOI 10.1007/s10763-010-9254-z; Christensen R, 2018, SCHOOL SCI MATH, V118, P43, DOI 10.1111/ssm.12257; Chung A, 2016, REV COMMUN RES, V4, P1, DOI 10.12840/issn.2255-4165.2016.04.01.008; Clausen SW, 2018, INT RES GEOGR ENVIRO, V27, P267, DOI 10.1080/10382046.2017.1349376; Clayton S, 2020, J ANXIETY DISORD, V74, DOI 10.1016/j.janxdis.2020.102263; Conover PamelaJohnson., 1994, DEV DEMOCRACY, P24; Conover PJ, 2002, BRIT J POLIT SCI, V32, P21; Cook J, 2016, ENVIRON RES LETT, V11, DOI 10.1088/1748-9326/11/4/048002; Covitt BA, 2020, J ENVIRON EDUC, V52, P98, DOI 10.1080/00958964.2020.1847882; Cunsolo A, 2018, NAT CLIM CHANGE, V8, P275, DOI 10.1038/s41558-018-0092-2; Dalelo A, 2011, INT RES GEOGR ENVIRO, V20, P227, DOI 10.1080/10382046.2011.588505; Dauer J., 2014, TEACHING LEARNING EN; Davenport L., 2017, Emotional resiliency in the era of climate change: A clinician's guide; Dawson V, 2015, INT J SCI EDUC, V37, P1024, DOI 10.1080/09500693.2015.1015181; de Moor J, 2021, SOC MOVEMENT STUD, V20, P619, DOI 10.1080/14742837.2020.1836617; Delli Carpini Michael X., 1997, WHAT AM KNOW POLITIC, DOI DOI 10.12987/9780300194319; Devine-Wright P., 2004, ENVIRON EDUC RES, V10, P493, DOI DOI 10.1080/1350462042000291029; Dewey J., 2011, Demokratie und Erziehung: Eine Einleitung in die philosophische Padagogik; mit einer umfangreichen Auswahlbibliographie; DIEKMANN A, 1992, KOLNER Z SOZIOL SOZ, V44, P226; Dohm L., 2020, Psychosozial, V43, P99, DOI [10.30820/0171-3434-2020-3-99, DOI 10.30820/0171-3434-2020-3-99]; DOWNS A, 1957, J POLIT ECON, V65, P135, DOI 10.1086/257897; Dunkley RA, 2016, J ENVIRON EDUC, V47, P213, DOI 10.1080/00958964.2016.1164113; Ebi KL, 2020, HEALTH AFFAIR, V39, P2168, DOI 10.1377/hlthaff.2020.01004; Edsand HE, 2020, INT J SCI MATH EDUC, V18, P611, DOI 10.1007/s10763-019-09988-x; Eggert S, 2017, RES SCI EDUC, V47, P137, DOI 10.1007/s11165-015-9493-7; Elliott J., 1999, Cambridge Journal of Education, V29, P325, DOI DOI 10.1080/0305764990290303; EU, 2017, SPECIAL EUROBAROMETE; EU Comission, 2020, ATT EUR ENV; FESTINGER L, 1962, SCI AM, V207, P93, DOI 10.1038/scientificamerican1062-93; Field CB, 2014, CLIMATE CHANGE 2014: IMPACTS, ADAPTATION, AND VULNERABILITY, PT A: GLOBAL AND SECTORAL ASPECTS, P1; Fisher SR, 2016, ENVIRON EDUC RES, V22, P229, DOI 10.1080/13504622.2015.1007337; Flekkoy M.G. Kaufman., 1997, PARTICIPATION RIGHTS; Fletcher GJO, 2000, PERS SOC PSYCHOL B, V26, P340, DOI 10.1177/0146167200265007; Flora JA, 2014, CLIMATIC CHANGE, V127, P419, DOI 10.1007/s10584-014-1274-1; Freeman R, 2018, FRONT ENERGY RES, V6, DOI 10.3389/fenrg.2018.00081; Fritze Jessica G, 2008, Int J Ment Health Syst, V2, P13, DOI 10.1186/1752-4458-2-13; Alves MWFM, 2018, J CLEAN PROD, V202, P360, DOI 10.1016/j.jclepro.2018.08.091; Gardner G. T., 2002, ENV PROBLEMS HUMAN B; Gasparatos A, 2017, RENEW SUST ENERG REV, V70, P161, DOI 10.1016/j.rser.2016.08.030; Gatersleben B, 2010, ARCHIT SCI REV, V53, P37, DOI 10.3763/asre.2009.0101; Global Carbon Project, GLOB CARB PROJ; Gold A.U., 2015, Journal of Geoscience Education, V63, P185, DOI DOI 10.5408/14-030.1; Gomis M.I., 2021, CLIMATE CHANGE 2021; Gupta A., 2015, J STEM ED INNOV RES, V16, P25; Hahn C.L., 1998, BECOMING POLITICAL C; Halim M, 2017, J BALT SCI EDUC, V16, P813; Hammann M., 2014, Methoden in der naturwissenschaftsdidaktischen Forschung, P169; Harris P.G., 2019, A research agenda for climate justice; HASSELMANN K, 1976, TELLUS, V28, P473, DOI 10.1111/j.2153-3490.1976.tb00696.x; Hines J.M., 1987, J ENVIRON EDUC, V18, P1, DOI [DOI 10.1080/00958964.1987.9943482, 10.1080/00958964.1987.9943482]; Ho LC, 2017, INT RES GEOGR ENVIRO, V26, P240, DOI 10.1080/10382046.2017.1330038; Horlacher Rebekka, 2012, THEORIES BILDUNG GRO, P135, DOI DOI 10.1007/978-94-6209-031-6; Huckle J, 2008, ENVIRON EDUC RES, V14, P65, DOI 10.1080/13504620701843392; Huttunen J, 2021, FENNIA, V199, P46, DOI 10.11143/fennia.102480; Isoda M., 2017, TEACHING ENERGY EFFI; Jeffries H., 2001, RES SCI TECHNOL EDUC, V19, P205, DOI DOI 10.1080/02635140120087731; Jensen B.B., 1997, Environ. Educ. Res., V3, P163, DOI [DOI 10.1080/1350462970030205, 10.1080/1350462970030205, 10.1080/13504620600943053, DOI 10.1080/13504620600943053]; Jensen BB, 2004, J CURRICULUM STUD, V36, P405, DOI 10.1080/0022027032000167235; Jickling B., 1998, ENVIRON EDUC RES, V4, P309, DOI DOI 10.1080/1350462980040306; Jin H, 2013, INT J SCI EDUC, V35, P1663, DOI 10.1080/09500693.2013.782453; Jorgenson SN, 2019, J ENVIRON EDUC, V50, P160, DOI 10.1080/00958964.2019.1604478; Kaiser F.G., 2008, Umweltpsychologie, V12, P56, DOI [DOI 10.5167/UZH-9249, https://doi.org/10.5167/UZH-9249]; Kaiser FG, 2021, PERS INDIV DIFFER, V183, DOI 10.1016/j.paid.2021.111158; Karpudewan M, 2017, INT RES GEOGR ENVIRO, V26, P207, DOI 10.1080/10382046.2017.1330037; Karpudewan M, 2015, INT J SCI EDUC, V37, P31, DOI 10.1080/09500693.2014.958600; Krajcik J., 2016, TEACHING ENERGY SCI, P79; Krause D., 2019, ROUTLEDGE HDB CLIMAT, P509; Kuckartz U., 2014, QUALITATIVE TEXT ANA, DOI [10.4135/9781446288719, DOI 10.4135/9781446288719]; Kuckartz U, 2019, ICME-13 MONOGR, P181, DOI 10.1007/978-3-030-15636-7_8; Kulgemeyer C, 2016, EUR J PHYS, V37, DOI 10.1088/0143-0807/37/6/065705; Kuthe A., 2020, Applied Environmental Education Communication, V19, P375, DOI [DOI 10.1080/1533015X.2019.1597661, 10.1080/1533015X.2019, DOI 10.1080/1533015X.2019]; Kuthe A, 2019, J ENVIRON EDUC, V50, P172, DOI 10.1080/00958964.2019.1598927; Lambert JL, 2012, INT J SCI EDUC, V34, P1167, DOI 10.1080/09500693.2011.633938; Lange D., 2013, POLITIKUNTERRICHT FO; Lau RR, 2001, AM J POLIT SCI, V45, P951, DOI 10.2307/2669334; Lau RR, 2006, CAMB STUD PUB OPIN, P1, DOI 10.2277/ 052161306X; Lau RR, 1997, AM POLIT SCI REV, V91, P585, DOI 10.2307/2952076; Lee LS, 2017, ENVIRON EDUC RES, V23, P855, DOI 10.1080/13504622.2015.1068276; Leigh K, 2009, ENV ED, V91, P13; Lenton TM, 2019, NATURE, V575, P592, DOI 10.1038/d41586-019-03595-0; Lester BT, 2006, INT J SCI EDUC, V28, P315, DOI 10.1080/09500690500240100; Lijmbach S., 2002, Environmental Education Research, V8, P121, DOI DOI 10.1080/13504620220128202; Liu SL, 2015, TECHNOL KNOWL LEARN, V20, P27, DOI 10.1007/s10758-014-9240-6; Lutz W, 2014, SCIENCE, V346, P1061, DOI 10.1126/science.1257975; Markauskaite L, 2020, RES SCI EDUC, V50, P53, DOI 10.1007/s11165-017-9680-9; Marri Anand.R., 2008, URBAN REV, V40, P5; Martens T, 1998, Z EXP PSYCHOL, V45, P345; Mason L., 1998, Environmental education research, V4, P67, DOI [10.1080/1350462980040105, DOI 10.1080/1350462980040105]; McNeill KL, 2012, RES SCI EDUC, V42, P373, DOI 10.1007/s11165-010-9202-5; McNeill KL, 2010, SCI EDUC, V94, P203, DOI 10.1002/sce.20364; Michelsen G., 2011, Nachhaltigkeit lernen. Ein Lesebuch; Mitsakis E, 2014, NAT HAZARDS, V72, P87, DOI 10.1007/s11069-013-0896-3; Moller A., LEHRKRAFTEBILDUNG NE, P208; Monroe MC, 2019, ENVIRON EDUC RES, V25, P791, DOI 10.1080/13504622.2017.1360842; Moser S, 2018, ENVIRON BEHAV, V50, P626, DOI 10.1177/0013916517710685; Moss J, 2018, CLIMATE CHANGE JUSTI; Museum of Sicence, 2012, CATCH WIND DES WINDM; Nash SL, 2021, CLIM POLICY, V21, P1120, DOI 10.1080/14693062.2021.1962235; Newell P, 2021, WIRES CLIM CHANGE, V12, DOI 10.1002/wcc.733; Niebert K., 2020, ANTHROPOZAN LERNEN L, P269; Niebert K, 2021, PROG SCI ED, V4, P6, DOI [10.25321/prise.2021.1169, DOI 10.25321/PRISE.2021.1169]; Niebert K., 2019, ED J RES DEBATE, V2, P1, DOI [10.17899/on_ed.2019.4.5, DOI 10.17899/ON_ED.2019.4.5]; Niebert K., 2020, THESIS U ZURICH ZURI; Niebert K, 2014, INT J SCI EDUC, V36, P277, DOI 10.1080/09500693.2013.763298; Niebert K, 2013, ENVIRON EDUC RES, V19, P282, DOI 10.1080/13504622.2012.690855; Niemi R., 1998, Civic education: What makes students learn; Noth F, 2022, ENERGY RES SOC SCI, V84, DOI 10.1016/j.erss.2021.102360; Nussbaum E.M., 2015, International Journal of Environmental Science Education, V10, P789, DOI [DOI 10.12973/IJESE.2015.277A, 10.12973/ijese.2015.a, DOI 10.12973/IJESE.2015.A]; O'Connor RE, 1999, RISK ANAL, V19, P461, DOI 10.1023/A:1007004813446; Oberman R., 2021, TEACHING SOCIAL JUST; Ohl U., 2018, DBU UMWELTKOMMUNIKAT, V10, P131; Öhman J, 2013, ENVIRON EDUC RES, V19, P324, DOI 10.1080/13504622.2012.695012; Oluk S., 2007, EDUC SCI-THEOR PRACT, V7, P881; Osborne J., 2008, SCI ED EUROPE CRITIC; Oskamp S., 1991, ATTITUDES OPINIONS; Otto IM, 2020, P NATL ACAD SCI USA, V117, P2354, DOI 10.1073/pnas.1900577117; Pachauri RK, 2007, AR4 CLIMATE CHANGE 2007: THE PHYSICAL SCIENCE BASIS, pVII; Pachauri RK, 2014, 2014 IEEE STUDENTS' CONFERENCE ON ELECTRICAL, ELECTRONICS AND COMPUTER SCIENCE (SCEECS); Page MJ, 2021, PLOS MED, V18, DOI 10.1371/journal.pmed.1003583; Pancer S.M., 1999, Roots of civic involvement: International perspectives on community service and activism in youth, P32; Peter F, 2020, J ANXIETY DISORD, V23, P149, DOI [10.1016/j.janxdis.2020.102263, DOI 10.1016/J.JANXDIS.2020.102263]; Pew Research Center, 2019, U.S. public views on climate and energy; Pihkala P, 2020, SUSTAINABILITY-BASEL, V12, DOI 10.3390/su122310149; Popkin S., 1996, DEMOCRACY CITIZEN CO; Pruneau D., 2006, Applied Environmental Education and Communication, V5, P33, DOI 10.1080/15330150500452349; PUNFCCC, 1992, UN FRAM CONV CLIM CH; Rauch F., 2002, ENV ED, V8, P43, DOI [10.1080/13504620120109646, DOI 10.1080/13504620120109646]; Reimers F.M., 2021, Education and climate change: The role of universities; Reinfried S, 2012, INT RES GEOGR ENVIRO, V21, P155, DOI 10.1080/10382046.2012.672685; Robinson J., 1998, Pedagogy, Culture Society, V6, P69; Rule A., 2009, Journal of Geoscience Education, V57, P335, DOI 10.5408/1.3559674; Sadler TD, 2004, J RES SCI TEACH, V41, P513, DOI 10.1002/tea.20009; Schelly C, 2012, J ENVIRON EDUC, V43, P143, DOI 10.1080/00958964.2011.631611; Schlosberg D, 2014, WIRES CLIM CHANGE, V5, P359, DOI 10.1002/wcc.275; Schlosberg D, 2012, ETHICS INT AFF, V26, P445, DOI 10.1017/S0892679412000615; Schreiner C., 2005, Studies in Science Education, V41, P3, DOI [DOI 10.1080/03057260508560213, 10.1080/03057260508560213, https://doi.org/10.1080/03057260508560213]; Schröder LMU, 2020, ENVIRON EDUC RES, V26, P1088, DOI 10.1080/13504622.2020.1779186; Sellmann D, 2013, ENVIRON EDUC RES, V19, P415, DOI 10.1080/13504622.2012.700696; Semmens K., 2021, J GEOSCI ED, V69, P71, DOI [10.1080/10899995.2020.1829396, DOI 10.1080/10899995.2020.1829396]; Shepardson DP, 2009, ENVIRON EDUC RES, V15, P549, DOI 10.1080/13504620903114592; Siegner A, 2020, ENVIRON EDUC RES, V26, P511, DOI 10.1080/13504622.2019.1607258; Sommerer T, 2016, ENVIRON POLIT, V25, P92, DOI 10.1080/09644016.2015.1081719; Stables A., 2002, Environmental Education Research, V8, P53, DOI DOI 10.1080/13504620120109655; Stanley S. K., 2021, J Clim Change Health, V1, DOI DOI 10.1016/J.JOCLIM.2021.100003; Stapleton SR, 2019, ENVIRON EDUC RES, V25, P732, DOI 10.1080/13504622.2018.1472220; Steinebach Y, 2022, REGUL GOV, V16, P225, DOI 10.1111/rego.12297; Stern P.C., 1992, GLOBAL ENV CHANGE UN, P308; Stern PC, 2000, J SOC ISSUES, V56, P407, DOI 10.1111/0022-4537.00175; Stevenson KT, 2018, ENVIRON EDUC RES, V24, P365, DOI 10.1080/13504622.2017.1318114; Strauss L., 2015, BASICS QUALITATIVE R; Stuart-Smith R., 2021, ATTRIBUTION SCI LITI; Sturgis P., 2003, P AM POLITICAL SCI A; Svihla V, 2012, INT J SCI EDUC, V34, P651, DOI 10.1080/09500693.2011.597453; Taber F., 2009, International Journal of Environmental &amp; Science Education, V4, P97; Tasquier G, 2016, INT J SCI EDUC, V38, P539, DOI 10.1080/09500693.2016.1148828; The Federal Government, 2008, GERM CLIM CHANG AD S; Thiery W, 2021, SCIENCE, V374, P158, DOI 10.1126/science.abi7339; Torney-Purta J, 2003, PS-POLIT SCI POLIT, V36, P269, DOI 10.1017/S1049096503002208; Torney-Purta Judith., 1999, Civic education across countries: Twenty-four national case studies from the IEA Civic Education Project; UBA, 2016, UMW UMW JUNG MENSCH; UBA, 2019, UMW DEUTSCHL 2018; UBA, 2016, REPR ERH PRO KOPF VE; UNESCO, 1977, INT C ENV ED ED MD 4; UNFCCC, 2016, ACT CLIM EMP GUID AC; United Nations, 2015, GEN ASSEMBLY; United Nations Climate Change, 1997, KYOT PROT TARG 1 COM; United Nations Development Programme (UNDP), 2021, Peoples' climate vote; van Oldenborgh GJ, 2021, NAT HAZARD EARTH SYS, V21, P941, DOI 10.5194/nhess-21-941-2021; Varma K, 2012, J SCI EDUC TECHNOL, V21, P453, DOI 10.1007/s10956-011-9337-9; Vethanayagam A.L., 2010, LANG INDIA, V10, P2; Vicedo-Cabrera AM, 2021, NAT CLIM CHANGE, V11, P492, DOI 10.1038/s41558-021-01058-x; Visintainer T, 2015, J SCI EDUC TECHNOL, V24, P287, DOI 10.1007/s10956-014-9538-0; Vitale JM, 2016, INT J SCI EDUC, V38, P1548, DOI 10.1080/09500693.2016.1198969; Wahlstrom Mattias, 2020, OSF; Waldron F, 2019, ENVIRON EDUC RES, V25, P895, DOI 10.1080/13504622.2016.1255876; Wallis H, 2021, J ENVIRON PSYCHOL, V74, DOI 10.1016/j.jenvp.2021.101581; Walsh EM, 2018, J LEARN SCI, V27, P8, DOI 10.1080/10508406.2017.1362563; Wang TH, 2014, J COMPUT ASSIST LEAR, V30, P479, DOI 10.1111/jcal.12061; Williams S, 2017, J ENVIRON EDUC, V48, P154, DOI 10.1080/00958964.2016.1256261; WRI, 2020, RECK REC WORK MOR EQ; Zangori L, 2017, J RES SCI TEACH, V54, P1249, DOI 10.1002/tea.21404; Zeidler DL, 1997, SCI EDUC, V81, P483; Ziegler B., 2015, EMPIRISCHE FORSCHUNG, P211; Zografakis N, 2008, ENERG POLICY, V36, P3226, DOI 10.1016/j.enpol.2008.04.021</t>
  </si>
  <si>
    <t>10.3390/su14074194</t>
  </si>
  <si>
    <t>0K2CE</t>
  </si>
  <si>
    <t>WOS:000780600500001</t>
  </si>
  <si>
    <t>Carapuco, MM; Taborda, R; Andrade, C</t>
  </si>
  <si>
    <t>Carapuco, Mafalda Marques; Taborda, Rui; Andrade, Cesar</t>
  </si>
  <si>
    <t>Triggers in science communication: ?The Nazare Wave: A trigger for learning?</t>
  </si>
  <si>
    <t>CONTINENTAL SHELF RESEARCH</t>
  </si>
  <si>
    <t>Outreach; Science communication; Knowledge transfer; Submarine canyons; Giant waves</t>
  </si>
  <si>
    <t>COMMUNITIES</t>
  </si>
  <si>
    <t>Meeting current coastal and ocean sustainability challenges requires wiser governance. Scientists, as knowledge generators, have the responsibility to contribute to a more informed society, which in turn will be able to support better decisions. However, inspiring the audience and assuring their receptivity to often complex scientific message is not a trivial task, particularly when the importance of the topic is not part of people's everyday life. This is the case of shelf-incised submarine canyons, which usually go unnoticed as they are hidden by the sea. This work aims to highlight how the use of an adequate communication trigger was effective in capturing the attention of a non-scientific audience to canyon and shelf processes. The study is supported by an outreach project: The Nazare ' Wave: a trigger for learning. The Nazare ' Wave is the highest wave ever surfed that became a very popular subject capturing extraordinary media coverage. Results show that selecting the adequate communication trigger effectively boosts scientific knowledge transfer and raised the predisposition conditions for the audience to be receptive to non-trivial ocean-related scientific topics. The Nazare ' Wave: a trigger for learning revealed to be a highly successful initiative and similar strategies may be adopted in other projects aiming at increasing coastal and ocean literacy. The relevance of findings and outcomes of this study are especially relevant at the time marking the onset of the United Nations Decade of Ocean Science for Sustainable Development, which acknowledges ocean literacy as a key pillar of global development.</t>
  </si>
  <si>
    <t>[Carapuco, Mafalda Marques] Inst Portugues Mar &amp; Atmosfera IP, Rua C Aeroporto, P-1749077 Lisbon, Portugal; [Carapuco, Mafalda Marques; Taborda, Rui; Andrade, Cesar] Univ Lisbon, Inst Dom Luiz, Fac Ciencias, Campo Grande, P-1749016 Lisbon, Portugal</t>
  </si>
  <si>
    <t>Instituto Portugues do Mar e da Atmosfera; Universidade de Lisboa</t>
  </si>
  <si>
    <t>Carapuco, MM (corresponding author), Inst Portugues Mar &amp; Atmosfera IP, Rua C Aeroporto, P-1749077 Lisbon, Portugal.</t>
  </si>
  <si>
    <t>mafalda.carapuco@ipma.pt; rtaborda@fc.ul.pt; candrade@fc.ul.pt</t>
  </si>
  <si>
    <t>Taborda, Rui/E-4676-2010; Andrade, Cesar/A-4246-2013; Carapuco, Mafalda/M-5889-2013</t>
  </si>
  <si>
    <t>Taborda, Rui/0000-0001-9620-1998; Andrade, Cesar/0000-0002-8451-9437; Carapuco, Mafalda/0000-0003-4590-8971</t>
  </si>
  <si>
    <t>European Economic Area Financial Mechanism; Instituto Dom Luiz. Publication [FCT-UIDB/50019/2020]</t>
  </si>
  <si>
    <t>European Economic Area Financial Mechanism; Instituto Dom Luiz. Publication</t>
  </si>
  <si>
    <t>Funding Project ?The Nazare? Wave: a trigger for learning? was funded by the European Economic Area Financial Mechanism 2009-2014 (EEA Grants, 2009-2014) with the support of the Directorate-General for Maritime Policy (Programme Operator in Portugal) . It also benefited from support of Camara Municipal da Nazare?, Nazare? Qualifica, E.M., the Instituto Portugue?s do Mar e da Atmosfera, I.P., and Instituto Dom Luiz. Publication was supported by FCT-UIDB/50019/2020.</t>
  </si>
  <si>
    <t>Andrews E., 2005, J.Geosci.Educ., V53, P281, DOI DOI 10.5408/1089-9995-53.3.281; [Anonymous], 1992, AG 21; Bubela T, 2009, NAT BIOTECHNOL, V27, P514, DOI 10.1038/nbt0609-514; Carapuco M.M., 2016, THESIS FS U LISBON A; Carapuço MM, 2021, OCEAN COAST MANAGE, V209, DOI 10.1016/j.ocecoaman.2021.105661; Carapuço MM, 2017, OCEAN COAST MANAGE, V144, P83, DOI 10.1016/j.ocecoaman.2017.04.008; Cormick C, 2012, NAT NANOTECHNOL, V7, P77, DOI 10.1038/nnano.2012.5; Dahlstrom MF, 2014, P NATL ACAD SCI USA, V111, P13614, DOI 10.1073/pnas.1320645111; Estrada FCR, 2015, SCI COMMUN, V37, P140, DOI 10.1177/1075547014562914; European Commission and Social Committee and the Committee of the Regions Directorate-General for Maritime Affairs and Fisheries, 2012, Blue growth-Opportunities for marine and maritime sustainable growth-Communication from the Commission to the European Parliament, the Council, the European Economic, Publications Office, DOI [10.2771/43949, DOI 10.2771/43949]; Fernandez-Arcaya U, 2017, FRONT MAR SCI, V4, DOI 10.3389/fmars.2017.00005; Fischhoff B, 2013, P NATL ACAD SCI USA, V110, P14031, DOI 10.1073/pnas.1312080110; Fischhoff B, 2013, P NATL ACAD SCI USA, V110, P14033, DOI 10.1073/pnas.1213273110; Harris PT, 2011, MAR GEOL, V285, P69, DOI 10.1016/j.margeo.2011.05.008; Hattie J, 2007, REV EDUC RES, V77, P81, DOI 10.3102/003465430298487; Hines J., 2010, The coastal handbook. A guide for all those working on the coast; Huang Z, 2014, MAR GEOL, V357, P362, DOI 10.1016/j.margeo.2014.07.007; Ismaili M., 2013, Academic Journal of Interdisciplinary Studies Published by, P121, DOI [10.5901/ajis.2012.v2n4p121, DOI 10.5901/AJIS.2012.V2N4P121]; Kelly R, 2022, REV FISH BIOL FISHER, V32, P123, DOI 10.1007/s11160-020-09625-9; Lorenzoni I, 2007, GLOBAL ENVIRON CHANG, V17, P445, DOI 10.1016/j.gloenvcha.2007.01.004; Lsehner A., 2009, SCIENCE, V299, P977; McClain Craig, 2014, F1000Res, V3, P300, DOI 10.12688/f1000research.5918.2; Röckmann C, 2015, MAR POLICY, V52, P155, DOI 10.1016/j.marpol.2014.10.019; Santora JA, 2018, SCI REP-UK, V8, DOI 10.1038/s41598-018-25742-9; Schmidt L, 2014, LAND USE POLICY, V38, P355, DOI 10.1016/j.landusepol.2013.11.008; Shepard F.P., 1963, Submarine geology; Silva A.M.N., 2014, THESIS U LISBON PORT, P183; Stiver A, 2015, NEW MEDIA SOC, V17, P249, DOI 10.1177/1461444814558914; Tyler P, 2009, OCEANOGRAPHY, V22, P46, DOI 10.5670/oceanog.2009.05; UNESCO (United Nations Educational Scientific and Cultural Organization), 2000, DECL SCI US SCI KNOW; Van Cleve GeorgeWilliam., 2017, We Have Not A Government: The Articles of Confederation and the Road to the Constitution; Vetter EW, 1998, DEEP-SEA RES PT II, V45, P25, DOI 10.1016/S0967-0645(97)00048-9; Whitford DJ, 2002, COMPUT GEOSCI-UK, V28, P537, DOI 10.1016/S0098-3004(01)00058-9; Xhemaili M., 2013, Journal of Education and Practice, V4, P62</t>
  </si>
  <si>
    <t>0278-4343</t>
  </si>
  <si>
    <t>1873-6955</t>
  </si>
  <si>
    <t>CONT SHELF RES</t>
  </si>
  <si>
    <t>Cont. Shelf Res.</t>
  </si>
  <si>
    <t>JUL 15</t>
  </si>
  <si>
    <t>10.1016/j.csr.2022.104805</t>
  </si>
  <si>
    <t>3K3XX</t>
  </si>
  <si>
    <t>WOS:000834013300001</t>
  </si>
  <si>
    <t>Christie, C; Cárcamo-Ulloa, L</t>
  </si>
  <si>
    <t>Christie, Carla; Carcamo-Ulloa, Luis</t>
  </si>
  <si>
    <t>How is the ocean represented in school textbooks in Chile? An analysis of curricular content and images of marine fauna</t>
  </si>
  <si>
    <t>Descriptors; Ocean decade; School curriculum; Marine fauna; School textbooks</t>
  </si>
  <si>
    <t>Although we are currently in the Decade of Ocean Sciences for Sustainable Development, Chile seems to be lagging behind in marine education. Research has shown the importance of animal imagery in generating a bond between students and their environment, and strengthening interest in conservation. The objective of this study is to contribute to ocean literacy research in Latin America, by describing coverage of ocean content in the Chilean primary school curriculum and textbooks. Content analysis was undertaken concerning textual and pictorial materials. Learning Objectives of the science primary curriculum were reviewed, and the number and type of fauna species shown in images were recorded. For each textbook, we recorded the number of marine and terrestrial animals, categorized endemic, native, and exotic species, and whether the name of the animal was labeled with the image. The results show that only three Learning Objectives of the primary curriculum explicitly define content associated with the ocean. Of the total animal images, slightly more than twenty percent are marine fauna. The great majority of the marine animals shown are native, however, most of the time the image is not reinforced with the name of the species. Considering that school textbooks are the foundation of formal education, this preliminary study indicates that there is a content deficit when teaching about the relevance of the ocean and its animal species in primary school textbooks in Chile, covering only three ocean literacy principles in the science curriculum. However, this study recognizes that important improvements have been made in prioritizing natural science teaching with images of native species.</t>
  </si>
  <si>
    <t>[Christie, Carla] Univ La Frontera, Comunicac UFRO UACh, Av Francisco Salazar 1145, Temuco 4811230, Chile; [Carcamo-Ulloa, Luis] Univ Austral Chile, Inst Comunicac Social, Independencia 631, Valdivia 5110566, Chile</t>
  </si>
  <si>
    <t>Universidad de La Frontera; Universidad Austral de Chile</t>
  </si>
  <si>
    <t>Christie, C (corresponding author), Univ La Frontera, Comunicac UFRO UACh, Av Francisco Salazar 1145, Temuco 4811230, Chile.</t>
  </si>
  <si>
    <t>contacto@carlachristie.cl</t>
  </si>
  <si>
    <t>Carcamo-Ulloa, Luis/0000-0003-0633-9606; Christie, Carla/0000-0002-2391-7036</t>
  </si>
  <si>
    <t>AGUIRRE F., 1989, REV BIOL MAR OCEANOG, V2, P199; [Anonymous], 1996, NAT SCI ED STAND; [Anonymous], 2018, El estado mundial de la pesca y la acuicultura 2018. Cumplir los objetivos de desarrollo sostenible; [Anonymous], 2022, El Mostrador; Apple M.W., 1989, MAESTROS Y TEXTOS; ARAOS F., 2017, REV AUSTRAL CIENCIAS, V33, P21, DOI [10.4206/rev.austral.cienc.soc.2017.n33-02, DOI 10.4206/REV.AUSTRAL.CIENC.SOC.2017.N33-02, DOI 10.4206/REV.AUSTRAL.CIENC.S0C.2017.N33-02]; Ballouard JM, 2011, PLOS ONE, V6, DOI 10.1371/journal.pone.0023152; Bardin L., 1991, Analisis de contenido; Barraza L., 2002, J ENV ED RES, V8, P171, DOI [10.1080/13504620220128239, DOI 10.1080/13504620220128239]; Cava F., 2005, Science Content and Standards for Ocean Literacy: A Report on Ocean Literacy, P1; Celis-Diez JL, 2016, FRONT ECOL ENVIRON, V14, P408, DOI 10.1002/fee.1324; CONICYT (Comision Nacional de Investigacion Cientifica y Tecnologica), 2019, 2 ENC NAC PERC SOC C; CONVENCION CONSTITUCIONAL (CL), 2022, IN CONV CONST 99 3; ESPINOZA J. P., 2012, REV PEDAGOGIA CRITIC, V11, P69, DOI [10.25074/07195532.11.446, DOI 10.25074/07195532.11.446]; FANTA DE LA VEGA C., 2021, REV MARINA; Fauville G., 2019, Exemplary Practices in Marine Science Education: A Resource for Practitioners and Researchers, V9, P3, DOI DOI 10.1007/978-3-319-90778-9_1; FERRES J., 2007, EDUCACION COMO IND D; GOBIENO DE CHILE (CL), 2018, POL OC NAC CHIL; Halversen C., 2021, A handbook for increasing ocean literacy: tools for educators and ocean literacy advocates; IOC (Intergovernmental Oceanographic Commission) UNESCO (United Nations Educational Scientific and Cultural Organization), 2019, CIENC QUE NEC OC QUE; IOC-UNESCO, 2022, A New Blue Curriculum-A Toolkit for Policy-Makers IOC Manuals and Guides, 90; IUCN (International Union for Nature Conservation), 2022, VERS 2022 1 IUCN RED; Javier F.P.P., 2006, Ensenanza de las Ciencias, V24, P13; Kress G., 2000, El discurso como estructura y proceso; Lewis J, 2006, INT J SCI EDUC, V28, P1267, DOI 10.1080/09500690500439348; MANGHI D., 2016, REXE REV ESTUDIOS EX, V12, P77; MARQUEZ-GARCIA M., 2019, NATURALEZA SOCIEDAD; Marrero M., 2010, CURRENT J MARINE ED, V26, P2; MENESES A., 2013, CALIDAD TEXTOS ESCOL; MINISTERIO DE EDUCACION (CL), 2018, TEXT EST CIENC NAT 1; MINISTERIO DE EDUCACION (CL), 2012, BAS CURR PRIM SEXT B; MINISTERIO DE EDUCACION (CL), 2015, BAS CURR SEPT BAS SE; MINISTERIO DE RELACIONES EXTERIORES (CL), 2021, CONS MIN APR PROGR O; MINISTERIO DE RELACIONES EXTERIORES (CL), 2020, MAR CHIL VIS 2040; MINISTERIO DEL MEDIO AMBIENTE (CL), 2022, CHIL AV HAC CONS OC; Mogias A, 2022, MEDITERR MAR SCI, V23, P310, DOI 10.12681/mms.27059; Mogias A, 2021, INT RES GEOGR ENVIRO, V30, P314, DOI 10.1080/10382046.2021.1877953; Mokos M, 2022, MEDITERR MAR SCI, V23, P277, DOI 10.12681/mms.26989; Mokos M, 2020, SUSTAINABILITY-BASEL, V12, DOI 10.3390/su122410647; Myers OE, 2002, CHILDREN AND NATURE, P153; NACIONES UNIDAS, 2015, RES APR AS GEN 25 SE, P1; National Oceanic and Atmospheric Administration [NOAA], 2013, OC LIT ESS PRINC FUN; OCEAN LITERACY NETWORK, 2013, OC LIT ESS PRINC OC; Painter C., 2013, READING VISUAL NARRA; Pazoto CE, 2021, OCEAN COAST RES, V69, DOI 10.1590/2675-2824069.21008cep; PIZARRO-MORA F. P., 2022, SCICOMM REPORT, V2, P1, DOI [10.32457/scr.v2i1.1795, DOI 10.32457/SCR.V2I1.1795]; PRENDES M. P., 1996, REV MEDIOS Y EDUCACI, V6, P15; Prosser J., 2007, Visual Studies, V22, P13, DOI [DOI 10.1080/14725860601167143, https://doi.org/10.1080/14725860601167143]; Rodriguez Miranda F. D. P., 2014, Revista Electronica de Ensenanza de las Ciencias, V13, P97; Rozzi R, 2000, BIODIVERS CONSERV, V9, P1199, DOI 10.1023/A:1008909121715; ROZZI R., 2003, BIODIVERSIDAD GLOBAL, V1, P51; Ruiz Marcela, 2016, Perfiles educativos, V38, P16; Saylan C, 2011, FAILURE OF ENVIRONMENTAL EDUCATION (AND HOW WE CAN FIX IT), P1; Schoedinger S., 2006, The Science Teacher, V73, P44; SCOTT C. L., 2015, FUTURO APRENDIZAJE 3; Stasinakis P. K., 2021, Interdiscip. J. Environ. Sci. Educ., V17, pe2234, DOI [https://doi.org/10.21601/ijese/9336, DOI 10.21601/IJESE/9336]; Strang C., 2007, CURRENT J MARINE ED, V23, P7, DOI DOI 10.5281/ZENODO.30563; UNESCO (United Nations Educational Scientific and Cultural Organization), 2020, INF MUND CIENC OC 20; UNESCO (United Nations Educational Scientific and Cultural Organization), 2018, CULT OC TOD KIT PED; UNITED STATES COMMISSION ON OCEAN POLICY (US), 2004, OC BLUEPR 21 CENT; Unsworth L., 2006, English Teaching: Practice and Critique, V5, P55</t>
  </si>
  <si>
    <t>e23016</t>
  </si>
  <si>
    <t>10.1590/2675-2824071.22113cc</t>
  </si>
  <si>
    <t>D6QR5</t>
  </si>
  <si>
    <t>WOS:000969961000001</t>
  </si>
  <si>
    <t>Lee, LS; Chang, LT; Lai, CC; Guu, YH; Lin, KY</t>
  </si>
  <si>
    <t>Lee, Lung-Sheng; Chang, Liang-Te; Lai, Chih-Chien; Guu, Yunn-Horng; Lin, Kuen-Yi</t>
  </si>
  <si>
    <t>Energy literacy of vocational students in Taiwan</t>
  </si>
  <si>
    <t>affect; behavior; carbon saving; energy literacy; knowledge</t>
  </si>
  <si>
    <t>ENVIRONMENTAL BEHAVIOR; SCHOOL STUDENTS; ELEMENTARY; KNOWLEDGE; ATTITUDES; MIDDLE</t>
  </si>
  <si>
    <t>In this study, we administered a questionnaire to 1001 vocational high school students to ascertain their literacy with regard to energy saving and carbon-emissions reduction (ESCER) and to analyze whether their literacy was affected by their gender or academic major. The data analysis produced the following conclusions: (1) behaviors pertaining to ESCER among vocational high school students should be enhanced by promoting appropriate affect rather than solely by conveying knowledge; (2) female students displayed superior knowledge and affect regarding ESCER compared with male students; and (3) students majoring in agriculture performed better than other students in terms of knowledge, affect, and behavioral aspects related to ESCER. The execution and results of this study can serve as a reference for courses or education related to this topic targeting vocational high school students to promote literacy for ESCER, thereby increasing students' effectiveness in related issues in Taiwan.</t>
  </si>
  <si>
    <t>[Lee, Lung-Sheng; Lin, Kuen-Yi] Natl Taiwan Normal Univ, Dept Technol Applicat &amp; Human Resource Dev, Taipei, Taiwan; [Chang, Liang-Te] De Lin Inst Technol, Dept Elect Engn, New Taipei, Taiwan; [Lai, Chih-Chien] Natl Taiwan Normal Univ, Grad Inst Int Human Resource Dev, Taipei, Taiwan; [Guu, Yunn-Horng] Natl United Univ, Dept Mech Engn, Miaoli, Taiwan</t>
  </si>
  <si>
    <t>National Taiwan Normal University; Hungkuo Delin University of Technology; National Taiwan Normal University; National United University</t>
  </si>
  <si>
    <t>Lin, KY (corresponding author), Natl Taiwan Normal Univ, Dept Technol Applicat &amp; Human Resource Dev, Taipei, Taiwan.</t>
  </si>
  <si>
    <t>linkuenyi@ntnu.edu.tw</t>
  </si>
  <si>
    <t>Ministry of Science and Technology of the Republic of China [NSC 101-3113-S-003-013, NSC 102-3113-S-239-001]</t>
  </si>
  <si>
    <t>Ministry of Science and Technology of the Republic of China(Ministry of Science and Technology, Taiwan)</t>
  </si>
  <si>
    <t>This study was funded by the Ministry of Science and Technology of the Republic of China [grant number NSC 101-3113-S-003-013], [grant number NSC 102-3113-S-239-001].</t>
  </si>
  <si>
    <t>AJZEN I, 1991, ORGAN BEHAV HUM DEC, V50, P179, DOI 10.1016/0749-5978(91)90020-T; Alp E, 2008, ENVIRON EDUC RES, V14, P129, DOI 10.1080/13504620802051747; [Anonymous], 2009, THESIS; [Anonymous], 2000, J ENVIRON EDUC, DOI [DOI 10.1080/00958960009598640, 10.1080/00958960009598640]; [Anonymous], 2007, 2007 ANN C EXP; [Anonymous], 1985, SCHOOL SCI MATH, DOI DOI 10.1111/J.1949-8594.1985.TB09612.X; [Anonymous], 1990, Educational Measurement and Testing; [Anonymous], 2009, THESIS; [Anonymous], 1979, SCI ED, DOI DOI 10.1002/SCE.3730630506; [Anonymous], P 38 ASEE IEEE FRONT; Blocker TJ, 1997, SOC SCI QUART, V78, P841; Bodzin AM, 2013, INT J SCI EDUC, V35, P1561, DOI 10.1080/09500693.2013.769139; Bryman A., 1997, QUANTITATIVE DATA AN; Bureau of Energy Ministry of Economic Affairs ROC, 2010, STAT AN CARB EM FUEL; Chao YL, 2012, ENVIRON EDUC RES, V18, P437, DOI 10.1080/13504622.2011.634970; Chedid L.G., 2005, Journal of Science Education and Technology, V14, P75, DOI [2005JSEdT..14...75C, DOI 10.1007/S10956-005-2735-0]; Chou C. Y., 2010, THESIS; Chou H. C., 2009, QUANTITATIVE RES STA; Chung S., 2010, THESIS; DeWaters J., 2009, ENERGY LITERACY SURV; DeWaters J, 2013, J ENVIRON EDUC, V44, P56, DOI 10.1080/00958964.2012.682615; DeWaters J, 2013, J ENVIRON EDUC, V44, P38, DOI 10.1080/00958964.2012.711378; DeWaters JE, 2011, ENERG POLICY, V39, P1699, DOI 10.1016/j.enpol.2010.12.049; DUNNETT CW, 1955, J AM STAT ASSOC, V50, P1096, DOI 10.2307/2281208; Erdogan M, 2009, ENVIRON EDUC RES, V15, P525, DOI 10.1080/13504620903085776; European Communities, 2006, ED EN TEACH TOM EN C; Huang Y. S., 2009, FORESTRY RES NEWSLET, V16, P3; Hungerford H.R., 1990, J ENVIRON EDUC, V21, P8, DOI [DOI 10.1080/00958964.1990.10753743, 10.1080/00958964.1990.10753743]; Kollmuss A., 2002, ENVIRON EDUC RES, V8, P239, DOI [10.1080/13504620220145401, DOI 10.1080/13504620220145401]; Kuo C. W, 2009, THESIS; Kuo S. Y., 2004, ED MEASUREMENT EVALU; Kyriazi P., 2013, DEV INSTRUMENT MEASU, V17, P2015; Negev M, 2008, J ENVIRON EDUC, V39, P3, DOI 10.3200/JOEE.39.2.3-20; Ozturk G., 2013, Elementary Education Online, V12, P926, DOI [https://doi.org/10.17051/io.01588, DOI 10.17051/IO.01588]; Pe'er S, 2007, J ENVIRON EDUC, V39, P45, DOI 10.3200/JOEE.39.1.45-59; Rioux L, 2011, ENVIRON EDUC RES, V17, P353, DOI 10.1080/13504622.2010.543949; Sheng S. H., 2009, BIMONTHLY NEWSLETTER, V33, P77; Tsai J. S., 2010, THESIS; Tuncer G., 2005, Environmental Education Research, V11, P215, DOI [DOI 10.1080/1350462042000338379, 10.1080/1350462042000338379]; Wen WC, 2013, ENVIRON EDUC RES, V19, P600, DOI 10.1080/13504622.2012.717219; Wood D.A., 1960, Test construction development and interpretation of achievement tests; Yucel AS, 2007, TURK ONLINE J DISTAN, V8, P114</t>
  </si>
  <si>
    <t>10.1080/13504622.2015.1068276</t>
  </si>
  <si>
    <t>WOS:000402603700006</t>
  </si>
  <si>
    <t>Foy, RL; Foy, G</t>
  </si>
  <si>
    <t>Foy, R. Leigh; Foy, Gregory</t>
  </si>
  <si>
    <t>Climate Literacy Academy: Educational tools to fight for the planet</t>
  </si>
  <si>
    <t>National Meeting of the American-Chemical-Society (ACS)</t>
  </si>
  <si>
    <t>MAR 31-APR 04, 2019</t>
  </si>
  <si>
    <t>Orlando, FL</t>
  </si>
  <si>
    <t>[Foy, Gregory] York Coll Penn, York, PA USA; [Foy, R. Leigh] York Suburban High Sch, York, PA USA</t>
  </si>
  <si>
    <t>York College Pennsylvania</t>
  </si>
  <si>
    <t>lfoy@yssd.org</t>
  </si>
  <si>
    <t>IN7KL</t>
  </si>
  <si>
    <t>WOS:000478860503579</t>
  </si>
  <si>
    <t>Cunha, B; Araújo, E; Dâmaso, C</t>
  </si>
  <si>
    <t>Cunha, Beatriz; Araujo, Emilia; Damaso, Carla</t>
  </si>
  <si>
    <t>THE PEDAGOGICAL DIMENSION OF THE SOCIOLOGY OF THE SEA AND THE (UN)SUSTAINABLE FUTURE: A BRIEF PRESENTATION OF THE AZORES SEA OBSERVATORY, PORTUGAL</t>
  </si>
  <si>
    <t>CADERNOS EDUCACAO TECNOLOGIA E SOCIEDADE</t>
  </si>
  <si>
    <t>Azores; Ocean Literacy; Science Communication; Sea Observatory of Azores</t>
  </si>
  <si>
    <t>This article is about the Sea Observatory of Azores (OMA), a non-profit technical, scientific, and cultural institution, created in 2002 by several biologists of the University of Azores, which was born to disseminate research in marine science and promote ocean literacy. It consists in describing the activities developed by OMA, as an entity of dissemination of knowledge about the sea and pointing out some of the main challenges it faces, in the context of discussions about the future and protection of the ocean. For this purpose, we situate the discussion around the definition of sociology and literacy of the sea, crossing it with that of science communication.</t>
  </si>
  <si>
    <t>[Cunha, Beatriz; Araujo, Emilia] Univ Minho, Braga, Portugal; [Damaso, Carla] Observ Mar Acores, Horta, Acores, Portugal</t>
  </si>
  <si>
    <t>Universidade do Minho</t>
  </si>
  <si>
    <t>Cunha, B (corresponding author), Univ Minho, Braga, Portugal.</t>
  </si>
  <si>
    <t>beatrizsc16@gmail.com; emiliararaujo@gmail.com; carladamaso@oma.pt</t>
  </si>
  <si>
    <t>Almeida F. L. R., 2017, Dissertacao de mestrado; Araújo E, 2022, EUR J FUTURES RES, V10, DOI 10.1186/s40309-022-00209-3; Baptista J, 2019, Marine Policy, V99, P75; Barata E. S., 2013, O Mar Portugues e a Sua Gente: Representacoes Sociais e Culturais; Bax N, 2003, MAR POLICY, V27, P313, DOI 10.1016/S0308-597X(03)00041-1; Benzaghta M. A., 2021, J GLOB BUS INSIGHTS, V6, P55, DOI [10.5038/2640-6489.6.1.1148, DOI 10.5038/2640-6489.6.1.1148]; Bostrom M., 2011, P COL C EARTH SYST G; BUENO W.C., 2010, Informacao &amp; Informacao, V15, P1, DOI [DOI 10.5433/1981-8920.2010V15N1ESPP1, 10.5433/1981-8920.2010v15nesp.p1, DOI 10.5433/1981-8920.2010V15NESP.P1]; Burns TW, 2003, PUBLIC UNDERST SCI, V12, P183, DOI 10.1177/09636625030122004; Carneiro M. J., 2014, Imprensa de Ciencias Sociais; Carvalho Anabela., 2004, Comunicacao e Sociedade, V6, P5; Cava F., 2005, Science Content and Standards for Ocean Literacy: A Report on Ocean Literacy, P1; Cormier-Salem M. C., 2014, SAPI EN. S. Surveys and Perspectives Integrating Environment and Society; Delicado A., 2013, Ciencia, profissao e sociedade: associacoes cientificas em Portugal; Delicado Ana, 2006, Sociologia, Problemas e Práticas, P53; Earle Sylvia., 1995, Sea Change: A Message of the Oceans; Fauville G., 2019, Exemplary Practices in Marine Science Education: A Resource for Practitioners and Researchers, V9, P3, DOI DOI 10.1007/978-3-319-90778-9_1; Jacques P. J, 2019, Governing the Anthropocene: The future of global environmental governance; Jacques PJ, 2016, ENVIRON POLIT, V25, P831, DOI 10.1080/09644016.2016.1189233; Kennish MJ, 2001, J COASTAL RES, V17, P731; Matias N. V, 2015, A nova geografia dos Oceanos: As potencialidades economicas e Estrategicas do Mar Portugues; Oliveira L., 2016, International Journal of Deliberative Mechanisms in Science, V4, P82, DOI DOI 10.17583/DEMESCI.2016.2184; Oliveira M, 2017, A internacionalizacao das comunidades lusofonas e ibero-americanas de Ciencias Sociais e Humanas-o caso das Ciencias da Comunicacao, P231; Ramos C.E. L., 2013, Comunicar e Divulgar a Ciencia que se faz em Portugal; Reincke CM, 2020, EMBO REP, V21, DOI 10.15252/embr.202051278; Rodrigues A. F. F, 2015, Contributo para o conhecimento da subespecie Calonectris diomedea borealis (Cagarro); Rodrigues P, 2012, EUR J WILDLIFE RES, V58, P147, DOI 10.1007/s10344-011-0555-5; Santos R. S, 2013, O mar dos Acores: diversidade de habitats; Schuldt JP, 2016, PHILOS T R SOC B, V371, DOI 10.1098/rstb.2015.0214; Seys J., 2022, Future Science Brief; Steinberg P, 2015, ENVIRON PLANN D, V33, P247, DOI 10.1068/d14148p; Uyarra MC, 2016, MAR POLLUT BULL, V104, P1, DOI 10.1016/j.marpolbul.2016.02.060</t>
  </si>
  <si>
    <t>INST FED EDUCATION, SCIENCE &amp; TECHNOLOGY OF GOIAS, CAMPUS INHUMAS</t>
  </si>
  <si>
    <t>INHUMAS</t>
  </si>
  <si>
    <t>COLL AVE, SN, VALLEY GOIABEIRAS, ATHENA LIB, INHUMAS, GOIAS 75400-000, BRAZIL</t>
  </si>
  <si>
    <t>2316-9907</t>
  </si>
  <si>
    <t>CAD EDUC TECNOL SOC</t>
  </si>
  <si>
    <t>Cad. Educ. Tecnol. Soc.</t>
  </si>
  <si>
    <t>10.14571/brajets.v17.n1.141-157</t>
  </si>
  <si>
    <t>UT0I3</t>
  </si>
  <si>
    <t>WOS:001250186700011</t>
  </si>
  <si>
    <t>Snow, S; Viller, S; Glencross, M; Horrocks, N</t>
  </si>
  <si>
    <t>ACM</t>
  </si>
  <si>
    <t>Snow, Stephen; Viller, Stephen; Glencross, Mashhuda; Horrocks, Neil</t>
  </si>
  <si>
    <t>Where Are They Now? Revisiting Energy Use Feedback a Decade After Deployment</t>
  </si>
  <si>
    <t>PROCEEDINGS OF THE 31ST AUSTRALIAN CONFERENCE ON HUMAN-COMPUTER-INTERACTION (OZCHI'19)</t>
  </si>
  <si>
    <t>31st Australian Conference on Human-Computer-Interaction (OZCHI)</t>
  </si>
  <si>
    <t>DEC 02-05, 2019</t>
  </si>
  <si>
    <t>UX Machines Pty Ltd, AUSTRALIA</t>
  </si>
  <si>
    <t>UX Machines Pty Ltd</t>
  </si>
  <si>
    <t>In home display; IHD; energy monitor; energy use; eco-feedback; situated display; home; engagement</t>
  </si>
  <si>
    <t>HOUSEHOLD ELECTRICITY CONSUMPTION</t>
  </si>
  <si>
    <t>In home displays (IHD's) of energy use offers potential to engage households with energy use and improve energy literacy. Yet explorations of use over longer time periods are lacking. Based on qualitative in-home interviews with 19 participants, this research provides accounts from owners of IHD's up to 10 years after their initial deployment. Findings indicate the near complete abandonment of the devices and participants' reflections exemplify the short-lived value provided by simple cent-a-meter IHD's..e paper reflects on IHD's as a component of broadscale energy literacy programs, closing with suggestions for how designers might re-frame energy engagement as a service.</t>
  </si>
  <si>
    <t>[Snow, Stephen; Viller, Stephen; Glencross, Mashhuda; Horrocks, Neil] Univ Queensland, Ctr Energy Data Innovat, Brisbane, Qld 4072, Australia</t>
  </si>
  <si>
    <t>University of Queensland</t>
  </si>
  <si>
    <t>Snow, S (corresponding author), Univ Queensland, Ctr Energy Data Innovat, Brisbane, Qld 4072, Australia.</t>
  </si>
  <si>
    <t>s.snow@uq.edu.au; viller@acm.org; m.glencross@uq.edu.au; n.horrocks@uq.edu.au</t>
  </si>
  <si>
    <t>Snow, Stephen/KLY-3258-2024; Glencross, Mashhuda/ABF-1656-2020; Viller, Stephen/B-2953-2010</t>
  </si>
  <si>
    <t>Snow, Stephen/0000-0002-8408-0153; Glencross, Mashhuda/0000-0002-8964-2143; Viller, Stephen/0000-0003-1954-5441</t>
  </si>
  <si>
    <t>Centre for Energy Data Innovation through: Advance Queensland Platform Technology Program</t>
  </si>
  <si>
    <t>This research is funded by the Centre for Energy Data Innovation through: Advance Queensland Platform Technology Program grant administered by Redback Operations Pty Ltd. A generous thanks to all participants in the study.</t>
  </si>
  <si>
    <t>Alahmad MA, 2012, IEEE T IND ELECTRON, V59, P2002, DOI 10.1109/TIE.2011.2165456; Armel KC, 2013, ENERG POLICY, V52, P213, DOI 10.1016/j.enpol.2012.08.062; BRISBANE CITY COUNCIL, 2010, BRISBANE CITY COUNCI; Buchanan K, 2015, ENERG POLICY, V77, P89, DOI 10.1016/j.enpol.2014.12.008; Buchanan K, 2014, ENERG POLICY, V73, P138, DOI 10.1016/j.enpol.2014.05.008; Department for Business Energy &amp; Industrial Strategy, 2018, SMART MET IMPL PROGR; Epstein DA, 2016, 34TH ANNUAL CHI CONFERENCE ON HUMAN FACTORS IN COMPUTING SYSTEMS, CHI 2016, P1109, DOI 10.1145/2858036.2858045; Fischer C, 2008, ENERG EFFIC, V1, P79, DOI 10.1007/s12053-008-9009-7; Froehlich J, 2010, CHI2010: PROCEEDINGS OF THE 28TH ANNUAL CHI CONFERENCE ON HUMAN FACTORS IN COMPUTING SYSTEMS, VOLS 1-4, P1999; Gaver William W., 2013, CHI'13 Proceedings of the SIGCHI Conference on Human Factors in Computing Systems, P3451; Gronhoj A, 2011, INT J CONSUM STUD, V35, P138, DOI 10.1111/j.1470-6431.2010.00967.x; Gulotta R, 2016, DIS 2016: PROCEEDINGS OF THE 2016 ACM CONFERENCE ON DESIGNING INTERACTIVE SYSTEMS, P286, DOI 10.1145/2901790.2901803; Hargreaves T, 2018, BUILD RES INF, V46, P332, DOI [10.1080/09613218.2017.1356140, 10.1080/09613218.2017.1286882]; Hargreaves T, 2013, ENERG POLICY, V52, P126, DOI 10.1016/j.enpol.2012.03.027; Hogan Sue, 2018, BUILDING AUSTR ENERG; Ma GF, 2018, ENERG BUILDINGS, V159, P486, DOI 10.1016/j.enbuild.2017.11.019; Masiello R, 2016, IEEE POWER ENERGY M, V14, P70, DOI 10.1109/MPE.2016.2524965; Nilsson A, 2014, APPL ENERG, V122, P17, DOI 10.1016/j.apenergy.2014.01.060; Press Associatiion, 2018, GUARDIAN, P1; Rooksby J, 2014, 32ND ANNUAL ACM CONFERENCE ON HUMAN FACTORS IN COMPUTING SYSTEMS (CHI 2014), P1163, DOI 10.1145/2556288.2557039; Schultz PW, 2015, ENERGY, V90, P351, DOI 10.1016/j.energy.2015.06.130; Shove E, 2015, EUR J SOC THEORY, V18, P274, DOI 10.1177/1368431015579964; Snow S., 2013, P 25 AUSTR COMP HUM, P245; Snow S, 2015, PERS UBIQUIT COMPUT, V19, P929, DOI 10.1007/s00779-015-0839-y; Strengers Yolande., 2013, Smart Energy Technologies in Everyday Life: Smart Utopia?; Wood G, 2019, ENERGY RES SOC SCI, V55, P93, DOI 10.1016/j.erss.2019.04.013</t>
  </si>
  <si>
    <t>978-1-4503-7696-9</t>
  </si>
  <si>
    <t>10.1145/3369457.3369501</t>
  </si>
  <si>
    <t>Computer Science, Artificial Intelligence; Computer Science, Cybernetics; Computer Science, Interdisciplinary Applications; Computer Science, Software Engineering; Ergonomics</t>
  </si>
  <si>
    <t>BP5GA</t>
  </si>
  <si>
    <t>WOS:000555452200051</t>
  </si>
  <si>
    <t>SUMPTER, JR; BEETH, DR; CHIAPETTA, E; SHERIDAN, J</t>
  </si>
  <si>
    <t>WORKING FOR ENERGY LITERACY THROUGH THE PUBLIC-SCHOOLS</t>
  </si>
  <si>
    <t>TRANSACTIONS OF THE AMERICAN NUCLEAR SOCIETY</t>
  </si>
  <si>
    <t>HOUSTON LIGHTING &amp; POWER CO, HOUSTON, TX 77001 USA; UNIV HOUSTON, HOUSTON, TX 77004 USA</t>
  </si>
  <si>
    <t>University of Houston System; University of Houston</t>
  </si>
  <si>
    <t>AMER NUCLEAR SOC</t>
  </si>
  <si>
    <t>LA GRANGE PK</t>
  </si>
  <si>
    <t>555 N KENSINGTON AVE, LA GRANGE PK, IL 60526 USA</t>
  </si>
  <si>
    <t>0003-018X</t>
  </si>
  <si>
    <t>T AM NUCL SOC</t>
  </si>
  <si>
    <t>RP935</t>
  </si>
  <si>
    <t>WOS:A1983RP93500471</t>
  </si>
  <si>
    <t>Stevenson, KT; Peterson, MN; Bondell, HD; Moore, SE; Carrier, SJ</t>
  </si>
  <si>
    <t>Stevenson, Kathryn T.; Peterson, M. Nils; Bondell, Howard D.; Moore, Susan E.; Carrier, Sarah J.</t>
  </si>
  <si>
    <t>Overcoming skepticism with education: interacting influences of worldview and climate change knowledge on perceived climate change risk among adolescents</t>
  </si>
  <si>
    <t>PERCEPTIONS; ATTITUDES; BELIEFS; WEATHER; VALUES; GENDER; IMPACT; WHITE</t>
  </si>
  <si>
    <t>Though many climate literacy efforts attempt to communicate climate change as a risk, these strategies may be ineffective because among adults, worldview rather than scientific understanding largely drives climate change risk perceptions. Further, increased science literacy may polarize worldview-driven perceptions, making some climate literacy efforts ineffective among skeptics. Because worldviews are still forming in the teenage years, adolescents may represent a more receptive audience. This study examined how worldview and climate change knowledge related to acceptance of anthropogenic global warming (AGW) and in turn, climate change risk perception among middle school students in North Carolina, USA (n = 387). We found respondents with individualistic worldviews were 16.1 percentage points less likely to accept AGW than communitarian respondents at median knowledge levels, mirroring findings in similar studies among adults. The interaction between knowledge and worldview, however, was opposite from previous studies among adults, because increased climate change knowledge was positively related to acceptance of AGW among both groups, and had a stronger positive relationship among individualists. Though individualists were 24.1 percentage points less likely to accept AGW than communitarians at low levels (bottom decile) of climate change knowledge, there was no statistical difference in acceptance levels between individualists and communitarians at high levels of knowledge (top decile). Non-White and females also demonstrated higher levels of AGW acceptance and climate change risk perception, respectively. Thus, education efforts specific to climate change may counteract divisions based on worldviews among adolescents.</t>
  </si>
  <si>
    <t>[Stevenson, Kathryn T.; Peterson, M. Nils] N Carolina State Univ, Dept Forestry &amp; Environm Resources, Fisheries Wildlife &amp; Conservat Biol Program, Raleigh, NC 27695 USA; [Bondell, Howard D.] N Carolina State Univ, Dept Stat, Raleigh, NC 27695 USA; [Moore, Susan E.] N Carolina State Univ, Dept Forestry &amp; Environm Resources, Raleigh, NC 27695 USA; [Carrier, Sarah J.] N Carolina State Univ, Dept Elementary Educ, Raleigh, NC 27695 USA</t>
  </si>
  <si>
    <t>North Carolina State University; North Carolina State University; North Carolina State University; North Carolina State University</t>
  </si>
  <si>
    <t>Stevenson, KT (corresponding author), N Carolina State Univ, Dept Forestry &amp; Environm Resources, Fisheries Wildlife &amp; Conservat Biol Program, Raleigh, NC 27695 USA.</t>
  </si>
  <si>
    <t>kathryn_stevenson@ncsu.edu; nils_peterson@ncsu.edu; bondell@stat.ncsu.edu; susan_moore@ncsu.edu; sarah_carrier@ncsu.edu</t>
  </si>
  <si>
    <t>Carrier, Sarah/AAD-5363-2020</t>
  </si>
  <si>
    <t>Bondell, Howard/0000-0001-7743-0840; Stevenson, Kathryn/0000-0002-5577-5861; Carrier, Sarah/0000-0002-6902-812X; Peterson, Nils/0000-0002-4246-1206</t>
  </si>
  <si>
    <t>North Carolina Sea Grant [2012-R/12-HCE-5]</t>
  </si>
  <si>
    <t>North Carolina Sea Grant</t>
  </si>
  <si>
    <t>We would like to thank North Carolina Sea Grant for providing the funding for this study (Project # 2012-R/12-HCE-5). Additionally, we would like to thank Renee Strnad of North Carolina State University and Laurell Malone of North Carolina Central University for project feedback and guidance and Angela Mertig of Middle Tennessee State University for guidance in scale development and evaluation.</t>
  </si>
  <si>
    <t>ALHAKAMI AS, 1994, RISK ANAL, V14, P1085, DOI 10.1111/j.1539-6924.1994.tb00080.x; [Anonymous], 2011, AM TEENSKNOWLEDGE CL; [Anonymous], 2011, DEV FRAMEWORK ASSESS; [Anonymous], 2009, CLIM LIT ESS PRINC C; Bain PG, 2012, NAT CLIM CHANGE, V2, P600, DOI 10.1038/NCLIMATE1532; Buhr SM, 2011, WORKSH CLIM CHANG ED; Cook MD, 2000, J LABOR ECON, V18, P729, DOI 10.1086/209975; Desimone LM, 2004, EDUC EVAL POLICY AN, V26, P1, DOI 10.3102/01623737026001001; Dunlap RE, 2000, J SOC ISSUES, V56, P425, DOI 10.1111/0022-4537.00176; Egan PJ, 2012, J POLIT, V74, P796, DOI 10.1017/S0022381612000448; Feldpausch-Parker AM, 2013, GREENH GASES, V3, P21, DOI 10.1002/ghg.1298; Finucane ML, 2000, HEALTH RISK SOC, V2, P159, DOI 10.1080/713670162; Fleischer A, 2013, J MUS EDUC, V38, P273, DOI 10.1080/10598650.2013.11510779; Garson D., 2008, Path Analysis, P1; Gliem J. A., 2003, MIDW RES TO PRACT C, V1, P82, DOI DOI 10.1109/PROC.1975.9792; Hamilton LC, 2011, CLIMATIC CHANGE, V104, P231, DOI 10.1007/s10584-010-9957-8; Hancock GR, 2006, QUANT METH EDUC BEHA, P1; Hungerford H.R., 1990, J ENVIRON EDUC, V21, P8, DOI [DOI 10.1080/00958964.1990.10753743, 10.1080/00958964.1990.10753743]; Jacques PJ, 2008, ENVIRON POLIT, V17, P349, DOI 10.1080/09644010802055576; Johnson R., 2012, Climate Change Education in K-12: Teacher Preparation, Understanding, Needs and Concerns; Kahan DM, 2012, NAT CLIM CHANGE, V2, P732, DOI 10.1038/NCLIMATE1547; Kleinosky LR, 2007, NAT HAZARDS, V40, P43, DOI 10.1007/s11069-006-0004-z; Leiserowitz A, 2012, WEATHER CLIM SOC, V4, P87, DOI 10.1175/WCAS-D-12-00025.1; Luntz F., 2003, Straight Talk; Mayer F., 2013, AM THINK CLIMATE IS; McBeth B., 2011, NATL ENV LITERACY AS; McCright AM, 2011, SOCIOL QUART, V52, P155, DOI 10.1111/j.1533-8525.2011.01198.x; McCright AM, 2010, POPUL ENVIRON, V32, P66, DOI 10.1007/s11111-010-0113-1; McCright AM, 2003, SOC PROBL, V50, P348, DOI 10.1525/sp.2003.50.3.348; Michener WK, 1997, ECOL APPL, V7, P770, DOI 10.1890/1051-0761(1997)007[0770:CCHATS]2.0.CO;2; O'Connor RE, 1999, RISK ANAL, V19, P461, DOI 10.1023/A:1007004813446; Petersen M., 2012, HDB RISK THEORY EPIS; PRATTO F, 1994, J PERS SOC PSYCHOL, V67, P741, DOI 10.1037/0022-3514.67.4.741; Schultz PW, 1999, J ENVIRON PSYCHOL, V19, P255; Singelis TM., 1995, CROSS-CULT RES, V29, P240, DOI [10.1177/106939719502900302, DOI 10.1177/106939719502900302]; Sjoberg L., 1999, Hum. Ecol. Rev, V6, P1; Slimak MW, 2006, RISK ANAL, V26, P1689, DOI 10.1111/j.1539-6924.2006.00832.x; Slovic P., 2002, PERCEPTION RISK POSE; Smith N, 2012, RISK ANAL, V32, P1021, DOI 10.1111/j.1539-6924.2012.01801.x; Stern PC, 2000, J SOC ISSUES, V56, P407, DOI 10.1111/0022-4537.00175; Tobler C, 2012, CLIMATIC CHANGE, V114, P189, DOI 10.1007/s10584-011-0393-1; Union of Concerned Scientists (UCS), 2007, SMOK MIRR HOT AIR EX; Vollebergh WAM, 2001, J MARRIAGE FAM, V63, P1185, DOI 10.1111/j.1741-3737.2001.01185.x; Wibeck V, 2014, ENVIRON EDUC RES, V20, P387, DOI 10.1080/13504622.2013.812720; Younger M, 2008, AM J PREV MED, V35, P517, DOI 10.1016/j.amepre.2008.08.017; Zia A, 2010, PUBLIC UNDERST SCI, V19, P743, DOI 10.1177/0963662509357871</t>
  </si>
  <si>
    <t>10.1007/s10584-014-1228-7</t>
  </si>
  <si>
    <t>AP9VD</t>
  </si>
  <si>
    <t>WOS:000342428000002</t>
  </si>
  <si>
    <t>Pazoto, C; Duarte, M; Silva, E</t>
  </si>
  <si>
    <t>Pazoto, Carmen; Duarte, Michelle; Silva, Edson</t>
  </si>
  <si>
    <t>Education and the marine environmental issue: a historical review of research fields and the popularization on conservation and management of the sea and ocean in Brazil</t>
  </si>
  <si>
    <t>Ocean Literacy; marine education; environmental politics; review; ocean sciences education</t>
  </si>
  <si>
    <t>LITERACY; CITIZENSHIP; PROTECTION; AWARENESS; IMPACTS; THREATS</t>
  </si>
  <si>
    <t>Worldwide initiatives have been promoting awareness on marine environmental issues. In Brazil Maritime Mentality Program arises from political disputes over the right to use maritime spaces, Coastal Marine Environmental Education shares the same theoretical basis as Environmental Education and Ocean Literacy appears in the USA and became globally widespread after its inclusion as one goal of Ocean Decade. Based on a literature review this article gives a panorama of the history, working groups, institutional links, theoretical framework and impact of the published material of these three working fields. The conclusion is that the conceptual framework of all three is limited and do not address the deep causes of environmental degradation which is the current social-political-economic system.</t>
  </si>
  <si>
    <t>[Pazoto, Carmen; Duarte, Michelle; Silva, Edson] Univ Fed Fluminense, Niteroi, Brazil; [Duarte, Michelle] Univ Fed Fluminense, Lab Genet Marinha &amp; Evolucao, Niteroi, Brazil</t>
  </si>
  <si>
    <t>Duarte, M (corresponding author), Univ Fed Fluminense, Lab Genet Marinha &amp; Evolucao, Niteroi, Brazil.</t>
  </si>
  <si>
    <t>PDPA-FME Niteroi/UFF/FEC (Programa de Desenvolvimento de Projetos Aplicados-Fundacao Municipal de Educacao Niteroi/Universidade Federal Fluminense/Fundacao Euclides da Cunha)</t>
  </si>
  <si>
    <t>This article receives financial support from PDPA-FME Niteroi/UFF/FEC (Programa de Desenvolvimento de Projetos Aplicados-Fundacao Municipal de Educacao Niteroi/Universidade Federal Fluminense/Fundacao Euclides da Cunha).</t>
  </si>
  <si>
    <t>[Anonymous], 2012, RESOLUTION CNE2; [Anonymous], 2006, Marine and coastal ecosystems and human well-being: A synthesis report based on the findings of the Millenium Ecosystem Assessment; Arkema KK, 2015, P NATL ACAD SCI USA, V112, P7390, DOI 10.1073/pnas.1406483112; Barata G., 2021, 101 NCIA CULTURA, V73, P16, DOI [https://doi.org/10.21800/2317-66602021000200005, DOI 10.21800/2317-66602021000200005]; Barradas J. I., 2020, Revista de Ensino de Ciencias e Matematica, V11, P24, DOI [10.26843/rencima.v11i2.2717, DOI 10.26843/RENCIMA.V11I2.2717]; Beirao A. P., 2018, VALOR MAR VIS O INTE; Berchez F., 2007, OLAM Ciencia Tecnologia, V7, P181; Berchez FAS, 2016, BRAZ J OCEANOGR, V64, DOI 10.1590/S1679-875920160932064sp2; Borges D. A., 2018, MASTERS THESIS; Borja A, 2016, FRONT MAR SCI, V3, DOI 10.3389/fmars.2016.00020; Brasil, 1981, LAW NUMBER 69381981; Caroli L. H., 2010, CADERNOS ESTUDOS ES, V9, P118; CEMBRA, 2019, O Brasil e o mar no seculo XXI: relatorio aos tomadores de decisao do pais; Chen CL, 2016, ENVIRON EDUC RES, V22, P958, DOI 10.1080/13504622.2015.1054266; Costa S, 2018, MAR POLICY, V87, P149, DOI 10.1016/j.marpol.2017.10.022; Costanza R, 1999, ECOL ECON, V31, P199, DOI 10.1016/S0921-8009(99)00079-8; CRIVELLARO Carla Valeria Leonini, 2001, Ondas que te quero mar: educacao ambiental para comunidades costeiras; de Carvalho LM, 2018, ENVIRON EDUC RES, V24, P1447, DOI 10.1080/13504622.2018.1545154; Diegues AC, 1999, OCEAN COAST MANAGE, V42, P187, DOI 10.1016/S0964-5691(98)00053-2; Dupont S, 2017, J MAR BIOL ASSOC UK, V97, P1211, DOI 10.1017/S0025315417000376; Dutra F. M., 2018, UNDERDEGREES MONOGRA; Eddy TD, 2014, MAR POLICY, V46, P61, DOI 10.1016/j.marpol.2014.01.004; Frizzo TCE, 2018, REMEA-REV ELETRONICA, P115, DOI 10.14295/remea.v0i1.8567; Fletcher S, 2007, COAST MANAGE, V35, P511, DOI 10.1080/08920750701525818; Fortner, 2010, ABSTRACTS RES MARINE; Franco A. C. G., 2015, UNDERDEGREES MONOGRA; Freire P., 1967, EDUCACAO COMO PRATIC; Freire P., 1987, PEDAGOGIA OPRIMIDO, V17; French V., 2015, REV OCEAN LITERACY I; Gelcich S, 2014, P NATL ACAD SCI USA, V111, P15042, DOI 10.1073/pnas.1417344111; Ghilardi-Lopes N., 2019, Coastal and marine environmental education, P3; Ghilardi-Lopes N. P., 2012, GUIA EDUCA O AMBIENT; Golden JS, 2017, NAT ECOL EVOL, V1, DOI 10.1038/s41559-016-0017; Guest H, 2015, MAR POLICY, V58, P98, DOI 10.1016/j.marpol.2015.04.007; Heck N, 2016, MAR POLICY, V68, P178, DOI 10.1016/j.marpol.2016.03.004; Jefferson RL, 2014, MAR POLICY, V43, P327, DOI 10.1016/j.marpol.2013.07.004; Kasten P, 2021, FRONT MAR SCI, V8, DOI 10.3389/fmars.2021.681969; Kopke K, 2019, FRONT MAR SCI, V6, DOI 10.3389/fmars.2019.00060; Korpinen S, 2016, FRONT MAR SCI, V3, DOI 10.3389/fmars.2016.00153; Layrargues Philippe Pomier, 2014, Ambient. soc., V17, P23; LAYRARGUES Philippe Pomier, 2020, Ensino, Saude e Ambiente, P44, DOI [10.22409/resa2020.v0i0.a40204, DOI 10.22409/RESA2020.V0I0.A40204]; Lopes T. C., 2014, REV MAR TIMA BRASILE, V135, P201; Lotze HK, 2018, OCEAN COAST MANAGE, V152, P14, DOI 10.1016/j.ocecoaman.2017.11.004; Loureiro C.F. B., 2012, Sustentabilidade e Educacao: um olhar da ecologia politica; MARRERO Meghan, 2010, Electronic Journal of Science Education, Texas, V14, P1; Marroni EV, 2013, OCEAN COAST MANAGE, V76, P30, DOI 10.1016/j.ocecoaman.2013.02.011; Martins F. K., 2011, REV VILLEGAGNON, P98; Mauricio C. E. P., 2021, REV 101 NCIA HOJE, V377, P46; McKinley E, 2012, MAR POLICY, V36, P839, DOI 10.1016/j.marpol.2011.11.001; Michalowska M, 2020, OCEANOLOGIA, V62, P565, DOI 10.1016/j.oceano.2020.03.003; Miloslavich P, 2011, PLOS ONE, V6, DOI 10.1371/journal.pone.0014631; Ministerio da Economia, 2022, MANUAL PROJETO ORLA; Mokos M, 2020, MEDITERR MAR SCI, V21, P592, DOI 10.12681/mms.23400; Motokane M. T., 2021, Revista de Educacion en Biologia, V3, P114; Ocean Literacy Network, 2020, Ocean Literacy: The essential principles and fundamental concepts of ocean sciences for learners of all ages Version 3; Paixao N. C., 2011, MASTERS THESIS; Paredes-Coral E, 2021, FRONT MAR SCI, V8, DOI 10.3389/fmars.2021.648492; Pazoto C. E., 2021, REV 101 NCIA ELEMENT, V9, P045, DOI [10.24927/rce2021.045, DOI 10.24927/RCE2021.045]; Pazoto CE, 2022, OCEAN COAST MANAGE, V219, DOI 10.1016/j.ocecoaman.2022.106047; Pazoto CE, 2021, OCEAN COAST RES, V69, DOI 10.1590/2675-2824069.21008cep; Pedrini A. G., 2010, EDUCA O AMBIENTAL MA; Pedrini A. G., 2010, EDUCA O AMBIENTAL MA, P19; Pedrini A. G., 2014, PESQUISA EDUCA O AMB, V8, P59, DOI [10.18675/2177-580X.vol8.n2.p59-75, DOI 10.18675/2177-580X.VOL8.N2.P59-75]; Pedrini A. G., 2019, COASTAL MARINE ENV E, P87, DOI DOI 10.1007/978-3-030-05138-9; Pereira A. C. A., 2014, REFLEX ES CONVENTION, P223; Pontes S. R. S., 2021, REV EXTENS O ARTE CU, V1, P24; Sale PF, 2014, MAR POLLUT BULL, V85, P8, DOI 10.1016/j.marpolbul.2014.06.005; Santoro F., 2017, Ocean Literacy for All - A toolkit, IOC/UNESCO UNESCO Venice Office; Santos, 2021, LAW NUMBER 39352021; Santos CR, 2018, OCEAN COAST MANAGE, V164, P147, DOI 10.1016/j.ocecoaman.2017.08.011; Sauvé L, 2010, ENSEN CIENC, V28, P5; Schoedinger S., 2010, NMEA Special Report, V3, P3; Selig ER, 2019, CONSERV LETT, V12, DOI 10.1111/conl.12617; Silva A. P., 2012, REV ACAD MICC, V84, P74; Soares L. F. M., 2014, REFLEX ES CONVEN O, P255; Steel BS, 2005, OCEAN COAST MANAGE, V48, P97, DOI 10.1016/j.ocecoaman.2005.01.002; Stefanelli-Silva G, 2019, FRONT MAR SCI, V6, DOI 10.3389/fmars.2019.00389; Strang C., 2010, CURRENT J MARINE ED, V3, P27; United Nations, 2018, REVISED ROADMAP DECA; Worm B., 2021, Ethics in Science and Environmental Politics, V21, P1, DOI DOI 10.3354/ESEP00196; Wyles KJ, 2013, VISIT STUD, V16, P95, DOI 10.1080/10645578.2013.768077</t>
  </si>
  <si>
    <t>10.1080/00958964.2022.2161979</t>
  </si>
  <si>
    <t>D4WN7</t>
  </si>
  <si>
    <t>WOS:000911904700001</t>
  </si>
  <si>
    <t>Borja, A; Santoro, F; Scowcroft, G; Fletcher, S; Strosser, P</t>
  </si>
  <si>
    <t>Borja, Angel; Santoro, Francesca; Scowcroft, Gail; Fletcher, Stephen; Strosser, Pierre</t>
  </si>
  <si>
    <t>Editorial: Connecting People to Their Oceans: Issues and Options for Effective Ocean Literacy</t>
  </si>
  <si>
    <t>ocean literacy; ResponSEAble; behavior change; attitude toward oceans; human pressures</t>
  </si>
  <si>
    <t>[Borja, Angel] AZTI, Div Marine Res, Pasaia, Spain; [Santoro, Francesca] UNESCO, Intergovt Oceanog Commiss, Venice, Italy; [Scowcroft, Gail] Univ Rhode Isl, Grad Sch Oceanog, Narragansett, RI 02882 USA; [Fletcher, Stephen] Univ Portsmouth, Sch Environm Geog &amp; Geosci, Portsmouth, Hants, England; [Strosser, Pierre] Acteon, Colmar, France</t>
  </si>
  <si>
    <t>AZTI; University of Rhode Island; University of Portsmouth</t>
  </si>
  <si>
    <t>Borja, A (corresponding author), AZTI, Div Marine Res, Pasaia, Spain.</t>
  </si>
  <si>
    <t>aborja@azti.es</t>
  </si>
  <si>
    <t>Fletcher, Stephen/B-4224-2009; Borja, Angel/I-3665-2018</t>
  </si>
  <si>
    <t>Borja, Angel/0000-0003-1601-2025; Fletcher, Stephen/0000-0003-1180-9844</t>
  </si>
  <si>
    <t>European Union under the H2020 Framework Programme [652643]; H2020 Societal Challenges Programme [652643] Funding Source: H2020 Societal Challenges Programme</t>
  </si>
  <si>
    <t>European Union under the H2020 Framework Programme(European Union (EU)); H2020 Societal Challenges Programme(Horizon 2020European Union (EU)H2020 Societal Challenges Programme)</t>
  </si>
  <si>
    <t>This editorial and the work within this Research Topic is a result of ResponSEAble (Sustainable oceans: our collective responsibility, our common interest. Building on real-life knowledge systems for developing interactive and mutual learning media) project, funded by the European Union under the H2020 Framework Programme (grant agreement no. 652643), www.responseable.eu/.</t>
  </si>
  <si>
    <t>Borja A, 2008, MAR POLLUT BULL, V56, P1519, DOI 10.1016/j.marpolbul.2008.07.005; Borja A, 2016, FRONT MAR SCI, V3, DOI 10.3389/fmars.2016.00020; Eikeset AM, 2018, MAR POLICY, V87, P177, DOI 10.1016/j.marpol.2017.10.019; Gelcich S, 2014, P NATL ACAD SCI USA, V111, P15042, DOI 10.1073/pnas.1417344111; Golden JS, 2017, NAT ECOL EVOL, V1, DOI 10.1038/s41559-016-0017; Korpinen S, 2016, FRONT MAR SCI, V3, DOI 10.3389/fmars.2016.00153; Lotze HK, 2018, OCEAN COAST MANAGE, V152, P14, DOI 10.1016/j.ocecoaman.2017.11.004; Ryabinin V, 2019, FRONT MAR SCI, V6, DOI 10.3389/fmars.2019.00470; Santoro F., 2017, OCEAN LITERACY ALL T, P136; Selig ER, 2019, CONSERV LETT, V12, DOI 10.1111/conl.12617; Uyarra MC, 2016, MAR POLLUT BULL, V104, P1, DOI 10.1016/j.marpolbul.2016.02.060</t>
  </si>
  <si>
    <t>JAN 21</t>
  </si>
  <si>
    <t>10.3389/fmars.2019.00837</t>
  </si>
  <si>
    <t>KE5QM</t>
  </si>
  <si>
    <t>WOS:000508610200001</t>
  </si>
  <si>
    <t>Stover, D</t>
  </si>
  <si>
    <t>Stover, Dawn</t>
  </si>
  <si>
    <t>Marshall Shepherd: Connecting atmospheric science and society</t>
  </si>
  <si>
    <t>BULLETIN OF THE ATOMIC SCIENTISTS</t>
  </si>
  <si>
    <t>Attribution; climate change; climate literacy; meteorologists; misinformation; NASA; weather</t>
  </si>
  <si>
    <t>In this interview, meteorologist and University of Georgia professor J. Marshall Shepherd talks about why climate literacy remains low in the United States, and how he tries to overcome climate misinformation and skepticism. He describes the degree to which extreme weather events such as major wildfires, hurricanes, and intense rainfall can be attributed to recent climate change - and discusses the global actions that must be taken to address the climate emergency. He explains why some TV meteorologists avoid talking about climate change and remain skeptical that human activities are driving it.</t>
  </si>
  <si>
    <t>dstover@thebulletin.org</t>
  </si>
  <si>
    <t>[Anonymous], 2016, Attribution of Extreme Weather Events in the Context of Climate Change, DOI DOI 10.17226/21852; Bender Bryan, 2019, POLITICO; Maibach E., 2017, A 2017 national survey of broadcast meteorologists: Initial findings; Maibach E., 2016, 2016 NATL SURVEY AM; Shepherd EJ, 2018, GEOMEDIA, V22, P3; Shepherd M., 2019, FORBES</t>
  </si>
  <si>
    <t>0096-3402</t>
  </si>
  <si>
    <t>1938-3282</t>
  </si>
  <si>
    <t>B ATOM SCI</t>
  </si>
  <si>
    <t>Bull. Atom. Scient.</t>
  </si>
  <si>
    <t>JUL 4</t>
  </si>
  <si>
    <t>10.1080/00963402.2019.1628517</t>
  </si>
  <si>
    <t>International Relations; Social Issues</t>
  </si>
  <si>
    <t>IH8ET</t>
  </si>
  <si>
    <t>WOS:000474738700011</t>
  </si>
  <si>
    <t>Martin, BE; Mahaffy, PG</t>
  </si>
  <si>
    <t>Suits, JP; Sanger, MJ</t>
  </si>
  <si>
    <t>Martin, B. E.; Mahaffy, P. G.</t>
  </si>
  <si>
    <t>Using Visualizations of the Science Behind Climate Change To Change the Climate of Science Teaching</t>
  </si>
  <si>
    <t>PEDAGOGIC ROLES OF ANIMATIONS AND SIMULATIONS IN CHEMISTRY COURSES</t>
  </si>
  <si>
    <t>ACS Symposium Series</t>
  </si>
  <si>
    <t>Symposium on Animations and Simulations: What are their Pedagogic Roles? / 242nd ACS National Meeting and Exposition</t>
  </si>
  <si>
    <t>AUG 28-SEP 01, 2011</t>
  </si>
  <si>
    <t>Denver, CO</t>
  </si>
  <si>
    <t>LITERACY; MISCONCEPTIONS; WORLD</t>
  </si>
  <si>
    <t>Simulations and other visualizations have been created to communicate the science of climate change to students in undergraduate chemistry and physics courses. Concurrent goals are to use climate science as a rich context for the teaching of fundamental science concepts, while also increasing climate literacy. An overview of our best practices for the use of visualizations is presented, followed by seven examples of simulations related to climate science developed at the King's Centre for Visualization in Science to introduce a diverse set of topics into undergraduate science classrooms.</t>
  </si>
  <si>
    <t>[Martin, B. E.; Mahaffy, P. G.] Kings Univ Coll, Kings Ctr Visualizat Sci, Edmonton, AB T6B 2H3, Canada</t>
  </si>
  <si>
    <t>Western University (University of Western Ontario)</t>
  </si>
  <si>
    <t>Martin, BE (corresponding author), Kings Univ Coll, Kings Ctr Visualizat Sci, 9125 50th St, Edmonton, AB T6B 2H3, Canada.</t>
  </si>
  <si>
    <t>peter.mahaffy@kingsu.ca</t>
  </si>
  <si>
    <t>mahaffy, peter/KBC-0491-2024</t>
  </si>
  <si>
    <t>mahaffy, peter/0000-0002-0650-7414</t>
  </si>
  <si>
    <t>[Anonymous], ANN M AM ED RES ASS; [Anonymous], 2007, ENV SCI TECHNOL, V41, P4840; Archer D., MODERATE RESOLUTION; Copolo C. F., 1995, J SCI EDUC TECHNOL, V4, P290; Dupigny-Giroux LAL, 2008, PHYS GEOGR, V29, P483, DOI 10.2747/0272-3646.29.6.483; Geelan D., 2009, MEASURING CONCEPTUAL; Gilbert JK, 2008, MODEL MODEL SCI EDUC, V3, P1, DOI 10.1007/978-1-4020-5267-5; Gobert J.D., 2004, Journal of Science Education and Technology, V13, P7; Gordin DN, 1995, J LEARN SCI, V4, P249, DOI 10.1207/s15327809jls0403_1; Harrington J, 2008, PHYS GEOGR, V29, P575, DOI 10.2747/0272-3646.29.6.575; Herreid C. F., 1994, J. Coll. Sci. Teach, V23, P221; Herreid C. F, 1997, J COLL SCI TEACH, P92; Hmelo-Silver CE, 2007, J LEARN SCI, V16, P307, DOI 10.1080/10508400701413401; Leiserowitz A., 2012, Climate Change in the American mind: American's global warming beliefs and attitudes in September 2012. Yale University and George Mason University; Libarkin, 2001, J COLL SCI TEACH, V31, P235; Libarkin J.C., 2005, J GEOSCIENCE ED, V53, P394; Mahaffy P. G, 2011, CHEM ELEMENT CHEM CO; Mahaffy P. G., 2011, CHEM HUMAN ACTIVITY; Martin B. E., 2009, ALBERTA SCI ED J, V40, P6; McCaffrey MS, 2008, PHYS GEOGR, V29, P512, DOI 10.2747/0272-3646.29.6.512; Middlecamp C., 2012, CHEM CONTEXT; Moog R.S., 2008, Process oriented guided inquiry learning POGIL, DOI 10.1021/jm049857n; Moser SC, 2004, ENVIRONMENT, V46, P32, DOI 10.1080/00139150409605820; Narayanan NH, 1998, INT J HUM-COMPUT ST, V48, P267, DOI 10.1006/ijhc.1997.0169; Sterman JD, 2002, SYST DYNAM REV, V18, P207, DOI 10.1002/sdr.242; Sterman JD, 2011, CLIMATIC CHANGE, V108, P811, DOI 10.1007/s10584-011-0189-3; Tasker R, 2008, MODEL MODEL SCI EDUC, V3, P103; US Climate Change Science Program, CLIM LIT ESS PRINC C; Wu HK, 2001, J RES SCI TEACH, V38, P821, DOI 10.1002/tea.1033</t>
  </si>
  <si>
    <t>1155 SIXTEENTH ST NW, WASHINGTON, DC 20036 USA</t>
  </si>
  <si>
    <t>0097-6156</t>
  </si>
  <si>
    <t>978-0-8412-2826-9</t>
  </si>
  <si>
    <t>ACS SYM SER</t>
  </si>
  <si>
    <t>ACS Symp. Ser.</t>
  </si>
  <si>
    <t>Chemistry, Multidisciplinary; Education, Scientific Disciplines</t>
  </si>
  <si>
    <t>Chemistry; Education &amp; Educational Research</t>
  </si>
  <si>
    <t>BHK75</t>
  </si>
  <si>
    <t>WOS:000325730800017</t>
  </si>
  <si>
    <t>Hotaling, L; Scowcroft, G</t>
  </si>
  <si>
    <t>Hotaling, Liesl; Scowcroft, Gail</t>
  </si>
  <si>
    <t>COSEE - Collaborations to Bring Ocean Science Research to the Public</t>
  </si>
  <si>
    <t>OCEANS 2009, VOLS 1-3</t>
  </si>
  <si>
    <t>Oceans 2009 Conference</t>
  </si>
  <si>
    <t>OCT 26-29, 2009</t>
  </si>
  <si>
    <t>Biloxi, MS</t>
  </si>
  <si>
    <t>Since 2002 the Centers for Ocean Sciences Education Excellence (COSEE) have worked to increase understanding of the ocean and its relevance to society. Comprised of twelve Centers located throughout the United States and a Central Coordinating Office, each Center is a consortium of one or more ocean science research institutions, informal science education organizations, and formal education entities. Center activities include the development of catalytic partnerships among these diverse institutions, the integration of ocean science research into high-quality educational materials, and the establishment of pathways that enable ocean scientists to interact with educators and students. In addition to the work by the Centers, Network-level efforts occur across Centers, such as Scientist-Educator Partnerships, and the national promotion of Ocean Literacy and Ocean Careers.</t>
  </si>
  <si>
    <t>[Hotaling, Liesl] Beacon Inst Rivers &amp; Estuaries, 199 Main St, Beacon, NY 12508 USA; [Scowcroft, Gail] Univ Rhode Isl, Off Marine Programs, Narragansett, RI 02882 USA</t>
  </si>
  <si>
    <t>Hotaling, L (corresponding author), Beacon Inst Rivers &amp; Estuaries, 199 Main St, Beacon, NY 12508 USA.</t>
  </si>
  <si>
    <t>KEENERCHAVIS P, 2005, CURRENT J MARINE ED, V23; Strang C., 2007, CURRENT J MARINE ED, V23, P7, DOI DOI 10.5281/ZENODO.30563; WALKER S, 2005, MARINE TECHNOLOG WIN</t>
  </si>
  <si>
    <t>978-1-4244-4960-6</t>
  </si>
  <si>
    <t>Engineering, Ocean; Oceanography; Remote Sensing</t>
  </si>
  <si>
    <t>Engineering; Oceanography; Remote Sensing</t>
  </si>
  <si>
    <t>BPY34</t>
  </si>
  <si>
    <t>WOS:000280322600172</t>
  </si>
  <si>
    <t>Almeida, CMR; Azevedo, T; Guimaraes, L</t>
  </si>
  <si>
    <t>Almeida, C. Marisa R.; Azevedo, Tome; Guimaraes, Laura</t>
  </si>
  <si>
    <t>Constructed wetlands as nature based solutions - hands-on activities to highlight their potential to minimize ocean pollution</t>
  </si>
  <si>
    <t>JOURNAL OF COASTAL CONSERVATION</t>
  </si>
  <si>
    <t>Educational kits; Constructed wetlands; Contamination of aquatic environments; Environmental sustainability</t>
  </si>
  <si>
    <t>ANTIBIOTICS; REMOVAL; WATER</t>
  </si>
  <si>
    <t>This work presents an engaging hands-on activity designed to teach school students about nature based solutions (NBS) and their role in achieving high-quality water systems within a sustainable circular economy. Through this activity, students actively participate in building a small constructed wetland (CW) and test its effectiveness under various contamination scenarios. The activity was tested with school teachers, undergoing refinements based on their feedback. This iterative development process has ensured the activity's effectiveness in engaging both school students and the public. Further, the CW model can be scaled-up for specific school projects focused on improving water quality. This activity offers valuable opportunities to enhance ocean literacy, promote understanding on NBS and raise awareness about aquatic ecosystems contamination and the importance of environmental sustainability.</t>
  </si>
  <si>
    <t>[Almeida, C. Marisa R.; Azevedo, Tome; Guimaraes, Laura] Univ Porto, Interdisciplinary Ctr Marine &amp; Environm Res, CIIMAR CIMAR, Terminal Cruzeiros Porto Leixoes,Ave Gen Norton Ma, P-4450208 Matosinhos, Portugal</t>
  </si>
  <si>
    <t>Almeida, CMR (corresponding author), Univ Porto, Interdisciplinary Ctr Marine &amp; Environm Res, CIIMAR CIMAR, Terminal Cruzeiros Porto Leixoes,Ave Gen Norton Ma, P-4450208 Matosinhos, Portugal.</t>
  </si>
  <si>
    <t>calmeida@ciimar.up.pt</t>
  </si>
  <si>
    <t>Universidade do Porto [PT-INNOVATION-0045-CIIMAR]; EEA Grants Portugal through Programme Blue Growth [NORTE-01-0145-FEDER-000064]; NORTE [Aquatic/0004/2020]; FEDER, NATURE; FCT [869178-AquaticPollutants, UIDB/04423/2020, UIDP/04423/2020]; EU; FEDER</t>
  </si>
  <si>
    <t>Universidade do Porto; EEA Grants Portugal through Programme Blue Growth; NORTE; FEDER, NATURE; FCT(Fundacao para a Ciencia e a Tecnologia (FCT)); EU(European Union (EU)); FEDER(European Union (EU)Spanish Government)</t>
  </si>
  <si>
    <t>Work supported by projects OceanClass (PT-INNOVATION-0045-CIIMAR) funded by EEA Grants Portugal through Programme Blue Growth, Ocean3R (NORTE-01-0145-FEDER-000064) supported by NORTE 2020 under PORTUGAL 2020 Partnership Agreement and FEDER, NATURE (Aquatic/0004/2020) financed by FCT in the frame of ERA-NET Cofund Aquatic Pollutants (funding from EU Horizon 2020 under grant agreement No. 869178-AquaticPollutants), and CIIMAR Strategic Funding UIDB/04423/2020 and UIDP/04423/2020 through FCT and FEDER.</t>
  </si>
  <si>
    <t>Almeida CMR, 2017, ECOL ENG, V102, P583, DOI 10.1016/j.ecoleng.2017.02.035; Almeida CMR, 2017, ECOTOX ENVIRON SAFE, V137, P143, DOI 10.1016/j.ecoenv.2016.11.021; [Anonymous], 2020, Ocean Literacy; Boto M, 2023, Journal of Environmental Management; Bôto M, 2016, WATER-SUI, V8, DOI 10.3390/w8100465; Correia M, 2020, FRONT MAR SCI, V7, DOI 10.3389/fmars.2020.00156; Cunha P., 2024, Nature-Based Solutions, V5, DOI [10.1016/j.nbsj.2024.100110, DOI 10.1016/J.NBSJ.2024.100110]; Dias S, 2020, INT J ENV RES PUB HE, V17, DOI 10.3390/ijerph17228592; European Commisssion (EU), 2022, Council recommendation on learning for environmental sustainability. Staff working document; Gorito AM, 2018, SCI TOTAL ENVIRON, V644, P1171, DOI 10.1016/j.scitotenv.2018.06.371; Gravina T, 2019, REND ONLINE SOC GEOL, V49, P33, DOI 10.3301/ROL.2019.49; Jamion NA, 2023, ENVIRON GEOCHEM HLTH, V45, P1201, DOI 10.1007/s10653-022-01322-9; Ocean Literacy, 2013, The Essential Principles and Fundamental Concepts of Ocean Sciences for Learners of All Ages, Version 2. 2013; Saiote J., 2014, Hands-on Science. Science Education with and for Society, P333; Santoro F., 2017, Ocean literacy for all: a toolkit, V80; Santos F, 2019, ECOL ENG, V129, P45, DOI 10.1016/j.ecoleng.2019.01.007; van der Meulen F, 2023, NORD J BOT, V2023, DOI 10.1111/njb.03290</t>
  </si>
  <si>
    <t>1400-0350</t>
  </si>
  <si>
    <t>1874-7841</t>
  </si>
  <si>
    <t>J COAST CONSERV</t>
  </si>
  <si>
    <t>J. Coast. Conserv.</t>
  </si>
  <si>
    <t>10.1007/s11852-024-01044-3</t>
  </si>
  <si>
    <t>Biodiversity Conservation; Environmental Sciences; Marine &amp; Freshwater Biology; Water Resources</t>
  </si>
  <si>
    <t>Biodiversity &amp; Conservation; Environmental Sciences &amp; Ecology; Marine &amp; Freshwater Biology; Water Resources</t>
  </si>
  <si>
    <t>JE9R9</t>
  </si>
  <si>
    <t>WOS:001171611100001</t>
  </si>
  <si>
    <t>Clary, RM</t>
  </si>
  <si>
    <t>Clary, Renee M.</t>
  </si>
  <si>
    <t>Can the history of geology inform geoscience education and public reception of climate change? Lessons from the history of glacial theory</t>
  </si>
  <si>
    <t>GEOSPHERE</t>
  </si>
  <si>
    <t>OF-SCIENCE; CONTROVERSIES</t>
  </si>
  <si>
    <t>Public understanding of climate change is imperative as communities face the consequences of a warming planet. While the vast majority of the scientific community agrees upon the causes and projections of climate change, public and political debates indicate far less public acceptance. This investigation examined whether an earlier proposal of climate change in the history of science could facilitate climate literacy in modern climate discussions. Louis Agassiz's 1837 glacial theory proposal was received with initial skepticism, heavily debated, and eventually accepted by the majority of the scientific community 30-40 yr later. In this research, students (n = 24) in an online Earth history course participated in a six unit climate change discussion, with one unit focused upon Agassiz's proposal of glacial theory. Although pre- and post-Climate Change Survey comparisons (n = 21) documented no significant change in climate change content, the students' incoming knowledge was significantly greater when compared with their colleagues in previous years. Content analysis of students' online discussions documented that students addressed most understandings of the nature of science matrix, while content analysis of students' anonymous survey responses (n = 22) revealed three stable themes, including the benefits of the history of science for providing context for developing theories, facilitating broader understanding of the nature of science, and providing historical episodes that directly relate to modern debates. While students affirmed the importance of the historical climate change episode within their climate discussions, more research is needed to elucidate whether the history can also result in improved climate literacy.</t>
  </si>
  <si>
    <t>[Clary, Renee M.] Mississippi State Univ, Dept Geosci, POB 1705, Mississippi State, MS 39762 USA</t>
  </si>
  <si>
    <t>Mississippi State University</t>
  </si>
  <si>
    <t>Clary, RM (corresponding author), Mississippi State Univ, Dept Geosci, POB 1705, Mississippi State, MS 39762 USA.</t>
  </si>
  <si>
    <t>RClary@geosci.msstate.edu</t>
  </si>
  <si>
    <t>Allchin D., 2014, 10 INT C HIST SCI SC; Allchin D., 2013, Teaching the nature of science: Perspectives and resources; [Anonymous], SCI SCOPE; [Anonymous], SCI TEACHER; [Anonymous], TEACHING LEARNING SC; [Anonymous], SCI ED; [Anonymous], STUDIES ON GLACIERS; [Anonymous], 1977, H DELABECHE OBSERVAT; [Anonymous], INNOVATIONS COLL SCI; [Anonymous], 2014, INT HDB RES HIST PHI; [Anonymous], 2012, A framework for K-12 science education: Practices, crosscutting concepts, and core ideas; [Anonymous], 1960, Louis Agassiz: A Life in Science; Bean J.C., 2011, ENGAGING IDEAS PROFE; Bofferding L, 2015, ENVIRON EDUC RES, V21, P275, DOI 10.1080/13504622.2014.888401; BRUSH SG, 1974, SCIENCE, V183, P1164, DOI 10.1126/science.183.4130.1164; CAROZZI AV, 1984, J GEOL EDUC, V32, P158, DOI 10.5408/0022-1368-32.3.158; Clary R., 2017, Science Teacher, V84, P26, DOI DOI 10.2505/4/TST17_084_02_26; Clary R., 2014, Science Scope, V37, P63; Clary R.M., 2014, Journal of Geoscience Education, V62, P402, DOI DOI 10.5408/13-077.1; Clary R. M., 2012, SOC COLL SCI TEACHER, V32, P15; Clary R.M., 2012, Journal of College Science Teaching, V41, P70; Clary Renee., 2015, The Science Teacher, V82, P36; Clary RM, 2017, GEOL SOC SPEC PUBL, V442, P189, DOI 10.1144/SP442.36; Clary RM, 2011, SCHOOL SCI MATH, V111, P262, DOI 10.1111/j.1949-8594.2011.00087.x; Clary RM, 2015, EARTH SCI HIST, V34, P310; Clary RM, 2010, EDUC COMPET GLOB WOR, P367; Clary RM, 2010, SCI EDUC-NETHERLANDS, V19, P21, DOI 10.1007/s11191-008-9178-y; Clary RM, 2009, SCI EDUC-NETHERLANDS, V18, P1359, DOI 10.1007/s11191-008-9177-z; Clary RM, 2006, AM BIOL TEACH, V68, P153, DOI 10.1662/0002-7685(2006)68[153:MASMTS]2.0.CO;2; Colston NM, 2015, J EDUC POLICY, V30, P773, DOI 10.1080/02680939.2015.1011711; Conant JamesB., 1947, On Understanding Science: An Historical Approach; Dexter R. W., 1989, EARTH SCI HIST, V8, P75, DOI [10.17704/ESHI.8.1.2653551221446385, DOI 10.17704/ESHI.8.1.2653551221446385]; Dodick J, 2013, GEOL SOC AM SPEC PAP, V502, P165, DOI 10.1130/2013.2502(10); Duschl R., 1990, RESTRUCTURING SCI ED; Duschl R.A., 1994, HDB RES SCI TEACHING, P443; Forbes J.D., 1842, Edinburgh Review, V75, P49; Gordon M., 1894, LIFE CORRES W BUCKLA; Huxster JK, 2015, J ENVIRON EDUC, V46, P149, DOI 10.1080/00958964.2015.1021661; IPCC, 2018, IPCC, DOI [DOI 10.1017/9781009157926.005, DOI 10.1017/CBO9781107415324]; Jenkins E., 1989, Teaching the History of Science, P19; Kudrna J, 2015, AM BIOL TEACH, V77, P250, DOI 10.1525/abt.2015.77.4.4; Lin VSY, 1997, SCIENCE, V278, P840, DOI 10.1126/science.278.5339.840; Lombardi D, 2013, LEARN INSTR, V27, P50, DOI 10.1016/j.learninstruc.2013.03.001; Matthews M.R., 1994, SCI TEACHING; McNeill KL, 2012, RES SCI EDUC, V42, P373, DOI 10.1007/s11165-010-9202-5; Mochizuki Y., 2015, Journal of Education for Sustainable Development, V9, P4, DOI [DOI 10.1177/0973408215569109, 10.1177/0973408215569109]; Montgomery K., 2010, DEV GLACIAL THEORY 1; Neuendorf K., 2002, The content analysis guidebook; Nussbaum E.M., 2015, International Journal of Environmental Science Education, V10, P789, DOI [DOI 10.12973/IJESE.2015.277A, 10.12973/ijese.2015.a, DOI 10.12973/IJESE.2015.A]; Oldroyd D, 1999, ANN SCI, V56, P175, DOI 10.1080/000337999296463; Parker JM, 2015, AM BIOL TEACH, V77, P232, DOI 10.1525/abt.2015.77.4.2; Plutzer E, 2016, SCIENCE, V351, P664, DOI 10.1126/science.aab3907; Rudwick MartinJ. S., 1992, Scenes from Deep Time: Early Pictorial Representations of the Prehistoric World; SCHWAB JJ, 1962, EDUC REC, V43, P197; Shepardson DP, 2009, ENVIRON EDUC RES, V15, P549, DOI 10.1080/13504620903114592; Sherwood S, 2011, PHYS TODAY, V64, P39, DOI 10.1063/PT.3.1295; Small Griswold J. D., 2017, J COLL SCI TEACH, V47, P31; Sumrall J. L., 2015, J COLL SCI TEACH, V45, P36, DOI [10.2505/4/JCST15_045_01_36, DOI 10.2505/4/JCST15_045_01_36]; Vernon D.E., 2016, Journal of College Science Teaching, V45, P43, DOI DOI 10.2505/4/JCST16_045_06_43; Versprille AN, 2015, J CHEM EDUC, V92, P603, DOI 10.1021/ed500589g; Visintainer T, 2015, J SCI EDUC TECHNOL, V24, P287, DOI 10.1007/s10956-014-9538-0; Weber EU, 2011, AM PSYCHOL, V66, P315, DOI 10.1037/a0023253; WEINER J, 1985, SCIENCES, V25, P22, DOI 10.1002/j.2326-1951.1985.tb02777.x; Woodward HoraceB., 1907, HIST GEOLOGICAL SOC</t>
  </si>
  <si>
    <t>GEOLOGICAL SOC AMER, INC</t>
  </si>
  <si>
    <t>BOULDER</t>
  </si>
  <si>
    <t>PO BOX 9140, BOULDER, CO 80301-9140 USA</t>
  </si>
  <si>
    <t>1553-040X</t>
  </si>
  <si>
    <t>Geosphere</t>
  </si>
  <si>
    <t>10.1130/GES01461.1</t>
  </si>
  <si>
    <t>GH4RI</t>
  </si>
  <si>
    <t>WOS:000433391400013</t>
  </si>
  <si>
    <t>Finucane, ML; Miller, R; Corlew, LK; Keener, VW; Burkett, M; Grecni, Z</t>
  </si>
  <si>
    <t>Finucane, Melissa L.; Miller, Rachel; Corlew, L. Kati; Keener, Victoria W.; Burkett, Maxine; Grecni, Zena</t>
  </si>
  <si>
    <t>Understanding the Climate-Sensitive Decisions and Information Needs of Freshwater Resource Managers in Hawaii</t>
  </si>
  <si>
    <t>WEATHER CLIMATE AND SOCIETY</t>
  </si>
  <si>
    <t>Communications; decision making; Planning; Societal impacts</t>
  </si>
  <si>
    <t>Understanding how climate science can be useful in decisions about the management of freshwater resources requires knowledge of decision makers, their climate-sensitive decisions, and the context in which the decisions are being made. A mixed-methods study found that people managing freshwater resources in Hawaii are highly educated and experienced in diverse professions, they perceive climate change as posing a worrisome risk, and they would like to be better informed about how to adapt to climate change. Decision makers with higher climate literacy seem to be more comfortable dealing with uncertain information. Those with lower climate literacy seem to be more trusting of climate information from familiar sources. Freshwater managers in Hawaii make a wide range of climate-sensitive decisions. These decisions can be characterized on several key dimensions including purpose (optimization and evaluation), time horizon (short term and long term), level of information uncertainty (known, uncertain, deeply uncertain, and completely unknown), and information type (quantitative and qualitative). The climate information most relevant to decision makers includes vulnerability assessments incorporating long-term projections about temperature, rainfall distribution, storms, sea level rise, and streamflow changes at an island or statewide scale. The main barriers to using available climate information include insufficient staff time to locate the information and the lack of a clear legal mandate to use the information. Overall, the results suggest that an integrated and systematic approach is needed to determine where and when uncertain climate information is useful and how a larger set of organizational and individual variables affect decision making.</t>
  </si>
  <si>
    <t>[Finucane, Melissa L.; Miller, Rachel; Corlew, L. Kati; Keener, Victoria W.] East West Ctr, Honolulu, HI 96848 USA; [Burkett, Maxine; Grecni, Zena] Univ Hawaii Manoa, Honolulu, HI 96822 USA</t>
  </si>
  <si>
    <t>East West Center; University of Hawaii System; University of Hawaii Manoa</t>
  </si>
  <si>
    <t>Finucane, ML (corresponding author), East West Ctr, 1601 East West Ctr, Honolulu, HI 96848 USA.</t>
  </si>
  <si>
    <t>melissa.finucane@eastwestcenter.org</t>
  </si>
  <si>
    <t>Burkett, Maxine/0000-0002-5009-8187</t>
  </si>
  <si>
    <t>NOAA Climate Programs Office for the Pacific RISA Program [NA10OAR4310216]</t>
  </si>
  <si>
    <t>NOAA Climate Programs Office for the Pacific RISA Program(National Oceanic Atmospheric Admin (NOAA) - USA)</t>
  </si>
  <si>
    <t>Support for this project was provided by NOAA Climate Programs Office for the Pacific RISA Program (NA10OAR4310216). We are grateful to the people who participated in the interviews, workshops, and survey, donating their valuable time to provide diverse and informative perspectives. Thanks also to Penny Higa and Arlene Hamasaki for assistance with workshop logistics and to Miguel Castrence and Kim Fujiuchi for assistance with graphics.</t>
  </si>
  <si>
    <t>Anderson C. L., 2007, P IPCC WG1 TASK GROU, P21; Bernard H.R., 1998, HDB METHODS CULTURAL; Bernard H. Russell, 2006, RES METHODS ANTHR QU; Bord RJ, 2000, PUBLIC UNDERST SCI, V9, P205, DOI 10.1088/0963-6625/9/3/301; BRITTEN N, 1995, BRIT MED J, V311, P251, DOI 10.1136/bmj.311.6999.251; Crabtree B.F., 1992, Doing Qualitative Research; Dashiell E, 2007, CENTRAL OAHU WATERSH; Finucane M.L., 2009, Asia Pacific Issues, V89, P1; Finucane ML, 2005, PSYCHOL AGING, V20, P71, DOI 10.1037/0882-7974.20.1.71; Glaser B. G., 2009, DISCOV GROUNDED THEO; Hawaii Tourism Authority, HAW TOUR AUTH REP; Jones SA, 1999, CLIMATIC CHANGE, V43, P581; Keener V. W., 2012, FRESHWATER DROUGHT P, P35; Keener V.W., 2013, Climate Change and Pacific Islands: Indicators and Impacts: Report for the 2012 Pacific Islands Regional Climate Assessment; Leiserowitz A., 2010, YALE U CLIMATE CHANG; Lichtenstein S, 2006, CONSTRUCTION OF PREFERENCE, P1, DOI 10.2277/ 0521542200; Morgan D.L., 1998, PLANNING FOCUS GROUP; Moser S.C, 2012, CLIAMTE CHANGE GREAT, P179; Moser SC, 2007, CREATING A CLIMATE FOR CHANGE: COMMUNICATING CLIMATE CHANGE AND FACILITATING SOCIAL CHANGE, P1, DOI 10.1017/CBO9780511535871; O'Brien K, 1994, STATE SOC 21 CENTURY, P105; Pielke Jr R.A., 2007, HONEST BROKER MAKING; POPE C, 1995, BMJ-BRIT MED J, V311, P42, DOI 10.1136/bmj.311.6996.42; Pulwarty R., 2010, COMMUNICATING AGROCL; Reynolds TW, 2010, RISK ANAL, V30, P1520, DOI 10.1111/j.1539-6924.2010.01448.x; Shea EileenL., 2001, PREPARING CHANGING C; Siegrist M, 2000, RISK ANAL, V20, P195, DOI 10.1111/0272-4332.202020; Tesch R., 1990, QUAL RES; Wallsgrove R., 2012, CTR ISLAND CLIMATE A; Wilson Okamoto Corporation, 2008, STAT HAW COMM WAT RE</t>
  </si>
  <si>
    <t>1948-8327</t>
  </si>
  <si>
    <t>1948-8335</t>
  </si>
  <si>
    <t>WEATHER CLIM SOC</t>
  </si>
  <si>
    <t>Weather Clim. Soc.</t>
  </si>
  <si>
    <t>10.1175/WCAS-D-12-00039.1</t>
  </si>
  <si>
    <t>Environmental Studies; Meteorology &amp; Atmospheric Sciences</t>
  </si>
  <si>
    <t>232GJ</t>
  </si>
  <si>
    <t>WOS:000325480100002</t>
  </si>
  <si>
    <t>McGravey, K; Hodgetts, M</t>
  </si>
  <si>
    <t>McGravey, Kevin; Hodgetts, Matthew</t>
  </si>
  <si>
    <t>Between Neutrality and Action: State Speech and Climate Change</t>
  </si>
  <si>
    <t>ETHICS POLICY &amp; ENVIRONMENT</t>
  </si>
  <si>
    <t>Climate change; free speech; democratic deliberation; environmental education</t>
  </si>
  <si>
    <t>PUBLIC REASON; SCIENCE</t>
  </si>
  <si>
    <t>2019 saw a wave of youth-led climate strikes that demanded states 'listen to the science'. Some of these states are committed to protecting free speech through neutrality on climate change. That commitment inhibits informed democratic deliberation by remaining neutral between climate science and denial. In response, using the United States as our example, we argue that the state can and should use its expressive capacity to promote climate literacy and doing so does not violate free speech commitments. Public deliberation must move on from whether climate change exists to the urgent question of how we should respond.</t>
  </si>
  <si>
    <t>[McGravey, Kevin] Merrimack Coll, Dept Polit Sci &amp; Publ Policy, N Andover, MA 01845 USA; [Hodgetts, Matthew] Case Western Reserve Univ, Dept Polit Sci, Cleveland, OH 44106 USA</t>
  </si>
  <si>
    <t>Merrimack College; University System of Ohio; Case Western Reserve University</t>
  </si>
  <si>
    <t>McGravey, K (corresponding author), Merrimack Coll, Dept Polit Sci &amp; Publ Policy, N Andover, MA 01845 USA.</t>
  </si>
  <si>
    <t>mcgraveyk@merrimack.edu</t>
  </si>
  <si>
    <t>[Anonymous], 2014, Next Generation Science Standards; Badano G, 2020, LAW PHILOS, V39, P35, DOI 10.1007/s10982-019-09360-8; Barnard A., 2020, NEW YORK TIMES; Bell DR, 2004, J PHILOS EDUC, V38, P37, DOI 10.1111/j.0309-8249.2004.00362.x; Bellolio C, 2018, RES PUBLICA-NETH, V24, P415, DOI 10.1007/s11158-018-09410-3; Bickel, 1980, DEMOCRACY DISTRUST T; Brettschneider Corey., 2012, STATE SPEAKS WHAT SH; Cook J, 2019, CONT CLIMATE CHANGE, V1st, P127, DOI 10.4324/9780429446252-10; Cook J, 2016, ENVIRON RES LETT, V11, DOI 10.1088/1748-9326/11/4/048002; Coplan K.S., 2012, Utah L. Rev, P545; Earth Day, 2020, US EARTH DAY; Estes N., 2021, GUARDIAN 0128; Fowler T, 2019, LAW PHILOS, V38, P29, DOI 10.1007/s10982-018-9333-9; Gambino L., 2019, GUARDIAN 0917; GUTMANN A, 1980, PHILOS PUBLIC AFF, V9, P338; Gutmann Amy., 2014, The Encyclopedia of Political Thought, P863, DOI DOI 10.1002/9781118474396.WBEPT0251; Gutmann Amy., 2004, Why Deliberative Democracy?; Halter, 2019, REQUIRING SCH TEACH; Harris K., 2019, CBC NEWS; Hodgetts M, 2020, ENVIRON VALUE, V29, P733, DOI 10.3197/096327119X15579936382707; IPCC, 2018, IPCC, DOI [DOI 10.1017/9781009157926.005, DOI 10.1017/CBO9781107415324]; Jamieson D, 1996, ANN AM ACAD POLIT SS, V545, P35, DOI 10.1177/0002716296545001004; Kamenetz A., 2019, Most Teachers Don't Teach Climate Change; 4 In 5 Parents Wish They Did; Kaplan Sarah., 2019, WASH POST; KFF (Kaiser Family Foundation), 2019, Employer Health Benefits 2019 Annual Survey; Leiserowitz A., 2021, Climate Change in the American Mind, September 2021; Leiserowitz A., 2021, Politics Global Warming; Macedo Stephen., 2000, DIVERSITY DISTRUST C; McKinnon C., 2012, CLIMATE CHANGE FUTUR; Meredith M., 2019, IPCC special report on the ocean and cryosphere in a changing climate; Mill JohnStuart., 1991, LIBERTY OTHER ESSAYS; Moberg SP, 2019, PUBLIC OPIN QUART, V83, P450, DOI 10.1093/poq/nfz014; Monroe M., 2015, Across the spectrum: Resources for environmental educators, V3rd; Montague Zach, 2021, NEW YORK TIMES; Nagel T., 1991, Equality and Partiality; National Center for Science Education &amp; Texas Freedom Network Education Fund, 2020, MAK GRAD STAT PUBL S; Neal P., 2003, HDB ENV ED, DOI [10.4324/9780203422021, DOI 10.4324/9780203422021]; Nuccitelli, 2021, BIDENS CLIMATE EXECU; NYC Department of Education, 2019, WETEACHNYC; P?rtner, 2019, SUMMARY POLICYMAKERS, P3, DOI [10.1017/9781009157964.001, DOI 10.1017/9781009157964.001]; Pearce W, 2015, WIRES CLIM CHANGE, V6, P613, DOI 10.1002/wcc.366; Plutzer E, 2016, SCIENCE, V351, P664, DOI 10.1126/science.aab3907; Powell James., 2017, B SCI TECHNOL SOC, V37, P183, DOI DOI 10.1177/0270467619886266; Rawls John, 1996, POLITICAL LIBERALISM; Ripple WJ, 2020, BIOSCIENCE, V70, P8, DOI 10.1093/biosci/biz088; Rome Adam., 2014, The Genius of Earth Day: How a 1970 Teach-In Unexpectedly Made the first Green Generation; Schlossberg T, 2019, NEW YORK TIMES; Schlottmann C, 2005, ETHICS POLICY ENV, V8, P257, DOI 10.1080/13668790500348174; Smith M.U., 2004, Science Education, V13, P553, DOI [10.1023/B:SCED.0000042848.14208.bf, DOI 10.1023/B:SCED.0000042848.14208.BF, DOI 10.1023/B:SCED.0000042848.14208.bf]; The White House, 2021, BID HARR ADM PRIOR; Thunberg G., 2019, GRETA THUNBERGS SPEE; Thunberg G., 2019, GUARDIAN 0125; Trump D.J., 2019, CHILL TWITTER; US Youth Climate Strike, 2019, PLATFORM; Wynne B, 2010, NATURE, V466, P441, DOI 10.1038/466441a</t>
  </si>
  <si>
    <t>2155-0085</t>
  </si>
  <si>
    <t>2155-0093</t>
  </si>
  <si>
    <t>ETHICS POLICY ENV</t>
  </si>
  <si>
    <t>Ethics Policy Env.</t>
  </si>
  <si>
    <t>10.1080/21550085.2022.2133944</t>
  </si>
  <si>
    <t>8V4VL</t>
  </si>
  <si>
    <t>WOS:000871348800001</t>
  </si>
  <si>
    <t>Uyarra, MC; Borja, A</t>
  </si>
  <si>
    <t>Uyarra, Maria C.; Borja, Angel</t>
  </si>
  <si>
    <t>Ocean literacy: a 'new' socio-ecological concept for a sustainable use of the seas</t>
  </si>
  <si>
    <t>[Uyarra, Maria C.; Borja, Angel] AZTI, Div Marine Res, Herrera Kaia Portualdea S-N, Pasaia 20110, Spain</t>
  </si>
  <si>
    <t>AZTI</t>
  </si>
  <si>
    <t>Uyarra, MC (corresponding author), AZTI, Div Marine Res, Herrera Kaia Portualdea S-N, Pasaia 20110, Spain.</t>
  </si>
  <si>
    <t>mcuyarra@azti.es</t>
  </si>
  <si>
    <t>Borja, Angel/I-3665-2018</t>
  </si>
  <si>
    <t>Borja, Angel/0000-0003-1601-2025; C. Uyarra, Maria/0000-0003-4509-3346</t>
  </si>
  <si>
    <t>[Anonymous], 1971, CHEM ENG NEWS, V49, P42; [Anonymous], 2013, Ocean Literacy Essential Principles and Fundamental Concepts; Guest H, 2015, MAR POLICY, V58, P98, DOI 10.1016/j.marpol.2015.04.007; Hynes S, 2014, MAR POLICY, V47, P57, DOI 10.1016/j.marpol.2014.02.002; Loury E., 2015, Limnology and Oceanography Bulletin, V24, P73, DOI 10.1002/lob.10055; SCBD, 2010, COP 10 DEC X 2 STRAT; SPECTOR BS, 1980, MAR TECHNOL SOC J, V14, P31; Steel BS, 2005, OCEAN COAST MANAGE, V48, P97, DOI 10.1016/j.ocecoaman.2005.01.002; Umuhire M.L., 2015, MAR POLLUT B; West RD, 2004, MAR TECHNOL SOC J, V38, P68</t>
  </si>
  <si>
    <t>1-2</t>
  </si>
  <si>
    <t>10.1016/j.marpolbul.2016.02.060</t>
  </si>
  <si>
    <t>DJ4SK</t>
  </si>
  <si>
    <t>WOS:000374198100001</t>
  </si>
  <si>
    <t>Campbell, BR; Lindsay, SM; Decharon, AV</t>
  </si>
  <si>
    <t>Campbell, B. R.; Lindsay, S. M.; Decharon, A., V</t>
  </si>
  <si>
    <t>Regeneration in the classroom: linking infaunal injury and ocean literacy using integrated concept mapping</t>
  </si>
  <si>
    <t>Annual Meeting of the Society-for-Integrative-and-Comparative-Biology</t>
  </si>
  <si>
    <t>JAN 03-07, 2010</t>
  </si>
  <si>
    <t>Seattle, WA</t>
  </si>
  <si>
    <t>[Campbell, B. R.; Lindsay, S. M.; Decharon, A., V] Univ Maine, Darling Marine Ctr, Walpole, ME 04573 USA</t>
  </si>
  <si>
    <t>University of Maine System; University of Maine Orono</t>
  </si>
  <si>
    <t>beth.campbell@umit.maine.edu</t>
  </si>
  <si>
    <t>E212</t>
  </si>
  <si>
    <t>630TL</t>
  </si>
  <si>
    <t>WOS:000280297001058</t>
  </si>
  <si>
    <t>Lasuen, UO; Iragorri, MAO; Diez, JR</t>
  </si>
  <si>
    <t>Ortega Lasuen, Unai; Ortuzar Iragorri, Maria Arritokieta; Diez, Jose Ramon</t>
  </si>
  <si>
    <t>Towards energy transition at the Faculty of Education of Bilbao (UPV/EHU): diagnosing community and building</t>
  </si>
  <si>
    <t>Energy transition; Community; Energy literacy; Education for sustainable development; Higher education</t>
  </si>
  <si>
    <t>LITERACY; BEHAVIOR; SUSTAINABILITY; CONSERVATION; CONSUMPTION; UNIVERSITY; WORKPLACE; INSIGHTS; STUDENTS</t>
  </si>
  <si>
    <t>Purpose This paper aims to present the results of a study aimed at performing a first diagnosis of energy literacy and energy use in a Faculty of Education, by means of identifying energy consumption patterns, as well as energy literacy and commitments regarding energy transition. This diagnosis is the basis for establishing the foundations of a path toward energy transition in the faculty and further designing energy saving and education strategies. Design/methodology/approach Quantitative and qualitative data were collected in a mixed-method approach. A survey was arranged to assess the attitudes, habits and knowledge regarding the current energy system within the community of the Faculty (407 responses). Comparisons among the main collectives that make up the community were performed, i.e. students, teaching and research staff and management and services staff. In parallel, the general electric consumption of the faculty was monitored. The results of these diagnostics were presented at several forums and workshops on energy transition held in the faculty where personal commitments in favor of energy transition were gathered and further categorized (105 initiatives). Findings Positive attitudes toward energy saving were observed, reflecting in different generic habits. Additionally, some belief or hope for a technological solution for current and future energy problems was detected, as well as a lower level of implication or commitment when specifying personal attitudes. Similarly, widespread ignorance of the current energy context was revealed, regarding both the energy system and household energy consumption. Concerning the undertaking of personal commitments, low impact energy saving habits prevailed, and knowledge was not identified as being a necessary element of energy saving education in attitudes and habits. Practical implications This research provides relevant information for the design of educational interventions to promote energy literacy in higher education institutions. Originality/value The survey provides valuable insights regarding future educators' and their current teachers' energy literacy in a challenging energy context. The lack of general knowledge about the energy context in the community, together with the limited impact of the commitments gathered among students, stresses the need for integration of basic energy contents, both within education degrees and the management strategy of the faculty.</t>
  </si>
  <si>
    <t>[Ortega Lasuen, Unai; Ortuzar Iragorri, Maria Arritokieta; Diez, Jose Ramon] Univ Basque Country, Fac Educ Bilbao, Dept Math &amp; Expt Sci Educ, Leioa, Spain</t>
  </si>
  <si>
    <t>University of Basque Country</t>
  </si>
  <si>
    <t>Lasuen, UO (corresponding author), Univ Basque Country, Fac Educ Bilbao, Dept Math &amp; Expt Sci Educ, Leioa, Spain.</t>
  </si>
  <si>
    <t>unai.ortega@ehu.eus; arritxu.ortuzar@ehu.eus; joseramon.diez@ehu.eus</t>
  </si>
  <si>
    <t>DIEZ LOPEZ, JOSE RAMON/ABG-8922-2021; Ortuzar-Iragorri, Arritokieta/AAH-3597-2019; Díez, José Ramón/R-8517-2018; Ortega Lasuen, Unai/Z-3488-2019</t>
  </si>
  <si>
    <t>DIEZ LOPEZ, JOSE RAMON/0000-0003-3967-0186; Ortuzar-Iragorri, Arritokieta/0000-0003-1051-7524; Díez, José Ramón/0000-0003-3967-0186; Ortega Lasuen, Unai/0000-0002-3625-6476</t>
  </si>
  <si>
    <t>Social Commitment and Cultural Action of the University of the Basque Country</t>
  </si>
  <si>
    <t>The authors wish to thank the Direction for Sustainability at the Vice-Chancelor for Innovation, Social Commitment and Cultural Action of the University of the Basque Country for funding this research project. Thanks are due to all the coleagues, employees and students who participated in this study. The authors also appreciate the generous feedback from two anonymous peer reviewers and the editor.</t>
  </si>
  <si>
    <t>Abas N, 2015, FUTURES, V69, P31, DOI 10.1016/j.futures.2015.03.003; Amaral LP, 2015, INT J SUST HIGHER ED, V16, P155, DOI 10.1108/IJSHE-02-2013-0017; [Anonymous], 2014, GUIA HACIA SOBERANIA; Bedwell B, 2014, TECHNOL ANAL STRATEG, V26, P1196, DOI 10.1080/09537325.2014.978276; Bekaroo G, 2019, J CLEAN PROD, V209, P581, DOI 10.1016/j.jclepro.2018.10.238; Bermejo R., 2011, MANUAL EC SOSTENIBLE; Boulton K, 2017, INT J SUST HIGHER ED, V18, P116, DOI 10.1108/IJSHE-08-2015-0144; Carrico AR, 2011, J ENVIRON PSYCHOL, V31, P1, DOI 10.1016/j.jenvp.2010.11.004; Chen K.L., 2015, International Journal of Environmental and Science Education, V10, P201, DOI [DOI 10.12973/IJESE.2015.241A, 10.12973/ijese.2015.241a]; Clark CR, 2016, INT J SUST HIGHER ED, V17, P559, DOI 10.1108/IJSHE-04-2015-0073; Cortese A., 2003, Planning for Higher Education, P15, DOI DOI 10.1177/097340820700100106; Cotton DRE, 2015, INT J SUST HIGHER ED, V16, P456, DOI 10.1108/IJSHE-12-2013-0166; Cottrell Fred., 2009, Energy and Society: The Relation in Between Energy, Social Change, and Economic Development; Dahle M., 2001, INT J SUST HIGHER ED, V2, P139, DOI DOI 10.1108/14676370110388363; Dale A., 2005, INT J SUST HIGHER ED, V6, P351, DOI [DOI 10.1108/14676370510623847, 10.1108/14676370510623847]; De Pro A., 2014, ENERGIA USO CONSUMO; DEWATERS J, 2011, PROC FRONT EDUC CONF, pT1D; DeWaters J, 2013, J ENVIRON EDUC, V44, P56, DOI 10.1080/00958964.2012.682615; DeWaters J, 2013, J ENVIRON EDUC, V44, P38, DOI 10.1080/00958964.2012.711378; DeWaters JE, 2011, ENERG POLICY, V39, P1699, DOI 10.1016/j.enpol.2010.12.049; Dias RA, 2004, ENERG POLICY, V32, P1339, DOI 10.1016/S0301-4215(03)00100-9; DIGIULIO A, 2019, SUSTAINABILITY-BASEL, V11, DOI DOI 10.3390/su11030681; Disterheft A, 2015, INT J SUST HIGHER ED, V16, P748, DOI 10.1108/IJSHE-05-2014-0079; Encinas D., 2013, EVALUACION ESTUDIOS; Ente Vasco de la Energia (EVE), 2013, Claves energeticas del sector domestico en Euskadi; EVE (Ente Vasco de la Energia), 2016, EUSK EN 2015 DAT EN; Ferrer-Balas D, 2009, J CLEAN PROD, V17, P1075, DOI 10.1016/j.jclepro.2008.11.006; Garcia-Carmona A., 2010, INVESTIGACION ESCUEL, V71, P25; Gobierno de E., 2017, B OFICIAL ESTADO, V27, P4499; Heiskanen E, 2010, ENERG POLICY, V38, P7586, DOI 10.1016/j.enpol.2009.07.002; Herrmann-Abell C.F., 2011, NAT ASS RES SCI TEAC, P13; Higgs G, 2008, LAND USE POLICY, V25, P596, DOI 10.1016/j.landusepol.2007.12.001; Jaen M, 2011, ENS CIENC, V29, P61; Jain P. C., 1993, Renewable Energy, V3, P403, DOI 10.1016/0960-1481(93)90108-S; Jimenez-Aleixandre M.P., 2010, 10 IDEAS CLAVE COMPE; Lanbide-Servicio Vasco de Empleo, 2019, SIT LAB DIC 2019; Lee LS, 2015, ENERG POLICY, V76, P98, DOI 10.1016/j.enpol.2014.11.012; Lozano R, 2013, J CLEAN PROD, V48, P3, DOI 10.1016/j.jclepro.2013.03.034; Marans RW, 2010, INT J SUST HIGHER ED, V11, P6, DOI 10.1108/14676371011010011; Martínez-Borreguero G, 2019, SUSTAINABILITY-BASEL, V11, DOI 10.3390/su11092528; Mora W M., 2009, Revista: Tecne, V26, P7, DOI DOI 10.17227/TED.NUM26-416; Petersen J.E., 2007, INT J SUSTAINABILITY, V8, P6; Petratos P, 2015, INT J SUST HIGHER ED, V16, P576, DOI 10.1108/IJSHE-03-2014-0038; Pollard CE, 2016, INT J SUST HIGHER ED, V17, P68, DOI 10.1108/IJSHE-03-2014-0043; Ralph M, 2014, HIGH EDUC, V67, P71, DOI 10.1007/s10734-013-9641-9; Siero FW, 1996, J ENVIRON PSYCHOL, V16, P235, DOI 10.1006/jevp.1996.0019; Solis E., 2015, ALAMBIQUE, V79, P49; Sonetti G, 2019, SUSTAINABILITY-BASEL, V11, DOI 10.3390/su11010254; Sovacool BK, 2009, TECHNOL SOC, V31, P365, DOI 10.1016/j.techsoc.2009.10.009; Staddon SC, 2016, ENERGY RES SOC SCI, V17, P30, DOI 10.1016/j.erss.2016.03.027; UNCC (United Nations Climate Change), 2018, WHAT IS PAR AGR; UNCC (United Nations Climate Change), 2016, 175 STAT SIGN PAR AG; USDE (United States Department of Energy), 2017, EN LIT ESS PRINC FUN; Zallo A., 2017, ICEE21C 217 1 INT C, P112; Zografakis N, 2008, ENERG POLICY, V36, P3226, DOI 10.1016/j.enpol.2008.04.021; Zubialde Xabier, 2016, Hacia la soberania energetica de Euskal Herria: crisis y soluciones desde Euskal Herria</t>
  </si>
  <si>
    <t>DEC 13</t>
  </si>
  <si>
    <t>10.1108/IJSHE-12-2019-0363</t>
  </si>
  <si>
    <t>SEP 2020</t>
  </si>
  <si>
    <t>PH0OE</t>
  </si>
  <si>
    <t>WOS:000570669400001</t>
  </si>
  <si>
    <t>Bell, KLC; Russell, CW</t>
  </si>
  <si>
    <t>Bell, Katherine L. C.; Russell, Craig W.</t>
  </si>
  <si>
    <t>Advancing Scientific Knowledge, Technology Innovation, and Ocean Literacy Through Systematic Telepresence- Enabled Ocean Exploration</t>
  </si>
  <si>
    <t>[Bell, Katherine L. C.] Ocean Explorat Trust, Old Lyme, CT 06371 USA; [Bell, Katherine L. C.] Nautilus Explorat Program, Narragansett, RI USA; [Russell, Craig W.] NOAA, Okeanos Explorer Program, Off Ocean Explorat &amp; Res, Seattle, WA USA</t>
  </si>
  <si>
    <t>Ocean Exploration Trust (OET); National Oceanic Atmospheric Admin (NOAA) - USA</t>
  </si>
  <si>
    <t>Bell, KLC (corresponding author), Ocean Explorat Trust, Old Lyme, CT 06371 USA.</t>
  </si>
  <si>
    <t>S</t>
  </si>
  <si>
    <t>VG0IM</t>
  </si>
  <si>
    <t>WOS:000444353400002</t>
  </si>
  <si>
    <t>van den Broek, KL; Walker, I</t>
  </si>
  <si>
    <t>van den Broek, Karlijn L.; Walker, Ian</t>
  </si>
  <si>
    <t>Heuristics in energy judgement tasks</t>
  </si>
  <si>
    <t>JOURNAL OF ENVIRONMENTAL PSYCHOLOGY</t>
  </si>
  <si>
    <t>Energy literacy; Heuristics; Energy conservation; Decision-making; Energy judgement; Mental models</t>
  </si>
  <si>
    <t>PERCEPTIONS; CONSUMPTION</t>
  </si>
  <si>
    <t>To save energy effectively, householders need to be aware of the energy consumption in their homes, in particular the energy use of their household appliances. People's perception of the energy use of their appliances has been found to be influenced by the use of heuristics (simple rules for making quick decisions), yet these heuristics have received little research attention. Three studies investigated the use of these energy judgement heuristics using mixed methods. Findings show that 1) participants used as many as twenty-four different heuristics in an energy judgement task an order of magnitude more than identified in existing literature; 2) participants are aware they use the heuristics, but awareness varies per heuristic; 3) the use of these heuristics can be changed and this in turn can improve energy literacy. These studies demonstrate for the first time that the energy judgement process is much more complex than previously thought and provides a promising starting point for future research to uncover opportunities to improve energy literacy.</t>
  </si>
  <si>
    <t>[van den Broek, Karlijn L.] Heidelberg Univ, Res Ctr Environm Econ, Bergheimerstr 20, D-69115 Heidelberg, Germany; [van den Broek, Karlijn L.] Heidelberg Univ, Dept Psychol, Hauptstr 47-51, D-69117 Heidelberg, Germany; [Walker, Ian] Univ Bath, Dept Psychol, Bath BA2 7AY, Avon, England</t>
  </si>
  <si>
    <t>Ruprecht Karls University Heidelberg; Ruprecht Karls University Heidelberg; University of Bath</t>
  </si>
  <si>
    <t>Karlijn.vandenbroek@awi.uni-heidelberg.de; I.walker@bath.ac.uk</t>
  </si>
  <si>
    <t>Walker, Ian/0000-0002-0079-3149</t>
  </si>
  <si>
    <t>ALWIN DF, 1975, AM SOCIOL REV, V40, P37, DOI 10.2307/2094445; [Anonymous], 2012, 2011 BUILD EN DAT BO; [Anonymous], ROUGH GUIDE ENERGY C; Attari SZ, 2010, P NATL ACAD SCI USA, V107, P16054, DOI 10.1073/pnas.1001509107; BAIRD JC, 1981, J APPL PSYCHOL, V66, P90; Blasch JE, 2017, CER ETH EC WORKING P, V17/276; Bodzin A, 2012, INT J SCI EDUC, V34, P1255, DOI 10.1080/09500693.2012.661483; Braun V, 2006, QUAL RES PSYCHOL, V3, P77, DOI [DOI 10.1191/1478088706QP063OA, 10.1191/1478088706qp063oa]; CHAIKEN S, 1980, J PERS SOC PSYCHOL, V39, P752, DOI 10.1037/0022-3514.39.5.752; Chisik Y, 2011, LECT NOTES COMPUT SC, V6949, P100, DOI 10.1007/978-3-642-23768-3_9; Cowen L, 2017, J ENVIRON PSYCHOL, V54, P103, DOI 10.1016/j.jenvp.2017.10.002; DECC, 2015, DECC ANN FUEL POV ST; DeWaters JE, 2011, ENERG POLICY, V39, P1699, DOI 10.1016/j.enpol.2010.12.049; Draft Logic, 2008, LIST POW CONS TYP HO; Ehrhardt-Martinez Karen, 2010, E105 AM COUNC EN EFF; Frederick SW, 2011, P NATL ACAD SCI USA, V108, pE23, DOI 10.1073/pnas.1014806108; FrequencyCast, 2011, MAN WATTS POW CONS E; Gabe-Thomas E, 2016, PLOS ONE, V11, DOI 10.1371/journal.pone.0158949; Gatersleben B., 1998, Green households? Domestic consumers, environment, and sustainability, P141; Kahneman D., 2011, THINKING FAST SLOW, DOI DOI 10.1017/CBO9780511808098.004; KEMPTON W, 1986, COGNITIVE SCI, V10, P75, DOI 10.1207/s15516709cog1001_3; Mansouri I, 1996, APPL ENERG, V54, P211, DOI 10.1016/0306-2619(96)00001-3; Myhre G, 2014, CLIMATE CHANGE 2013: THE PHYSICAL SCIENCE BASIS, P659; Pierce J., 2010, Proceedings of the 8th ACM Conference on Designing Interactive Systems, P113, DOI DOI 10.1145/1858171; Preacher KJ, 2008, BEHAV RES METHODS, V40, P879, DOI 10.3758/BRM.40.3.879; Schuitema G., 2005, Ontwikkelingen in het marktonder-zoek. jaar-boek markt onderzoek associatie2005, P165; Semenza JC, 2008, AM J PREV MED, V35, P479, DOI 10.1016/j.amepre.2008.08.020; TVERSKY A, 1973, COGNITIVE PSYCHOL, V5, P207, DOI 10.1016/0010-0285(73)90033-9; van den Broek K. L., 2018, Journal of Dynamic Decision Making, V4, P1, DOI [10.11588/jddm.2018.1.51316, DOI 10.11588/JDDM.2018.1.51316]; van den Broek K, 2017, J ENVIRON PSYCHOL, V53, P145, DOI 10.1016/j.jenvp.2017.07.009</t>
  </si>
  <si>
    <t>ACADEMIC PRESS LTD- ELSEVIER SCIENCE LTD</t>
  </si>
  <si>
    <t>24-28 OVAL RD, LONDON NW1 7DX, ENGLAND</t>
  </si>
  <si>
    <t>0272-4944</t>
  </si>
  <si>
    <t>J ENVIRON PSYCHOL</t>
  </si>
  <si>
    <t>J. Environ. Psychol.</t>
  </si>
  <si>
    <t>10.1016/j.jenvp.2019.02.008</t>
  </si>
  <si>
    <t>Environmental Studies; Psychology, Multidisciplinary</t>
  </si>
  <si>
    <t>Environmental Sciences &amp; Ecology; Psychology</t>
  </si>
  <si>
    <t>HV8SA</t>
  </si>
  <si>
    <t>WOS:000466252500011</t>
  </si>
  <si>
    <t>Kim, JB; Oprean, D; Cole, L; Zangori, L</t>
  </si>
  <si>
    <t>Kim, Jong Bum; Oprean, Danielle; Cole, Laura; Zangori, Laura</t>
  </si>
  <si>
    <t>Illumi's world: A mini-game development with parametric BIM-based simulations</t>
  </si>
  <si>
    <t>INTERNATIONAL JOURNAL OF ARCHITECTURAL COMPUTING</t>
  </si>
  <si>
    <t>Game-based learning; green building literacy; systems thinking; model-based reasoning; building information modeling; energy simulation</t>
  </si>
  <si>
    <t>SERIOUS GAMES; EDUCATION; SYSTEMS</t>
  </si>
  <si>
    <t>The research investigates the design and development of a serious game to teach green building design and energy literacy in rural middle schools in the United States. The paper presents a pilot study, education mini-game development integrated with parametric BIM and energy simulations. The game scenario was built on the developed science curriculum modules in our funded research, teaching building energy technologies such as daylighting, artificial lighting, window configurations, building materials, solar panels, etc. The mini-game, Illumi's World, presents a baseline science lab and a media library of typical public schools in the United States. The players have the opportunity to improve energy literacy in several ways: manipulating the building configurations and the energy options, reviewing energy costs and emission level changes, and monitoring the performance from the game dashboards. This paper presents background theory, curriculum design, the mini-game development framework, methods and tools for energy simulation and BIM visualization, and the findings and challenges.</t>
  </si>
  <si>
    <t>[Kim, Jong Bum] Univ Missouri Columbia, Architectural Studies, Columbia, MO USA; [Oprean, Danielle] Univ Missouri Columbia, Informat Sci &amp; Learning Technol, Columbia, MO USA; [Cole, Laura] Colorado State Univ, Interior Architecture &amp; Design, Ft Collins, CO USA; [Zangori, Laura] Univ Missouri Columbia, Learning Teaching &amp; Curriculum, Columbia, MO USA; [Kim, Jong Bum] Univ Missouri Syst, Architectural Studies, 137 Stanley Hall, Columbia, MO 65211 USA</t>
  </si>
  <si>
    <t>University of Missouri System; University of Missouri Columbia; University of Missouri System; University of Missouri Columbia; Colorado State University; University of Missouri System; University of Missouri Columbia; University of Missouri System; University of Missouri Columbia</t>
  </si>
  <si>
    <t>Kim, JB (corresponding author), Univ Missouri Syst, Architectural Studies, 137 Stanley Hall, Columbia, MO 65211 USA.</t>
  </si>
  <si>
    <t>kimjongb@missouri.edu</t>
  </si>
  <si>
    <t>Cole, Laura/JWP-3092-2024</t>
  </si>
  <si>
    <t>Kim, Jong Bum/0000-0001-8762-9554</t>
  </si>
  <si>
    <t>National Science Foundation; DRL [2009127]</t>
  </si>
  <si>
    <t>National Science Foundation(National Science Foundation (NSF)); DRL</t>
  </si>
  <si>
    <t>The author(s) disclosed receipt of the following financial support for the research, authorship, and/or publication of this article: This work was supported by the National Science Foundation; DRL (2009127).</t>
  </si>
  <si>
    <t>American Society of Heating, 2017, 1891 ASHRAE; Ampatzidou C, 2018, URBAN PLAN, V3, P34, DOI 10.17645/up.v3i1.1261; Boller S., 2017, Play to learn: Everything you need to know about designing effective learning games; Capra F., 2014, TURNING POINT SCI SO, P265, DOI DOI 10.1017/CBO9780511895555; Cole LB, 2019, INT J STEM EDUC, V6, DOI 10.1186/s40594-019-0171-6; Coller BD, 2009, COMPUT EDUC, V53, P900, DOI 10.1016/j.compedu.2009.05.012; Dib H, 2014, J COMPUT CIVIL ENG, V28, DOI 10.1061/(ASCE)CP.1943-5487.0000357; Duit R., 2014, Teaching and learning of energy in K-12 education, P67, DOI DOI 10.1007/978-3-319-05017-1_5; Duschl RA., 2016, RECONCEPTUALIZING ST, P1; Gilbert JK, 2005, MODEL MODEL SCI EDUC, V1, P9, DOI 10.1007/1-4020-3613-2_2; Harrison AG, 2000, INT J SCI EDUC, V22, P1011, DOI 10.1080/095006900416884; Hmelo-Silver CE, 2006, J LEARN SCI, V15, P53, DOI 10.1207/s15327809jls1501_7; Hummel HGK, 2011, BRIT J EDUC TECHNOL, V42, P1029, DOI 10.1111/j.1467-8535.2010.01122.x; International Living Future Institute, 2016, LIV BUILD CHALL 3 1; Jackson A, 2022, INT J TECHNOL DES ED, V32, P1853, DOI 10.1007/s10798-021-09661-x; Jenkins H., 2009, Serious Games: Mechanisms and Effects, P448; Johnson CI, 2017, ADV GAME BASE LEARN, P119, DOI 10.1007/978-3-319-39298-1_7; Jouan J, 2020, SUSTAINABILITY-BASEL, V12, DOI 10.3390/su12114351; Kalinauskas M., 2014, Social Technologies, P62, DOI DOI 10.13165/ST-14-4-1-05; Kandpal TC, 2014, RENEW SUST ENERG REV, V34, P300, DOI 10.1016/j.rser.2014.02.039; Kim JB., 2021, PROJ P 26 INT C ASS; Kim JB., 2023, HUM CENTR P 27 INT C; Klopfer E, 2018, JOHN D CATH T MAC, P1, DOI 10.7551/mitpress/10887.001.0001; Lacy S., 2014, TEACHING LEARNING EN; Lee LS, 2013, ENVIRON EDUC RES, V19, P620, DOI 10.1080/13504622.2012.727781; Liarakou G., 2012, European Journal of Open, Distance and E-learning, V15; Lin VSY, 1997, SCIENCE, V278, P840, DOI 10.1126/science.278.5339.840; Linn M.C., 2004, INTERNET ENV SCI ED; Lux JD, 2020, EDUC SCI, V10, DOI 10.3390/educsci10050130; Mambrey S, 2020, J RES SCI TEACH, V57, P1632, DOI 10.1002/tea.21649; Marsh T, 2011, ENTERTAIN COMPUT, V2, P61, DOI 10.1016/j.entcom.2010.12.004; Mehren R, 2018, J RES SCI TEACH, V55, P685, DOI 10.1002/tea.21436; Papastergiou M, 2009, COMPUT EDUC, V52, P1, DOI 10.1016/j.compedu.2008.06.004; Quintana C, 2004, J LEARN SCI, V13, P337, DOI 10.1207/s15327809jls1303_4; Rossano V., 2017, INT C SMART ED SMART, P48; Teizer J, 2020, CONSTRUCTION RESEARCH CONGRESS 2020: PROJECT MANAGEMENT AND CONTROLS, MATERIALS, AND CONTRACTS, P21; U.S. Department of Energy [DOE], 2017, EN LIT ESS PRINC FUN; U.S. Green Building council [USGBC], ABOUT US; United States Environmental Protection Agency [EPA], 2020, GREEN BUILDING STAND; Verhoeff RP, 2008, INT J SCI EDUC, V30, P543, DOI 10.1080/09500690701237780; Woodbury RF, 2001, COMPUTER AIDED ARCHITECTURAL DESIGN FUTURES 2001, PROCEEDINGS, P201; Yang L., 2009, THESIS MIT US; Zangori L, 2019, ENVIRON EDUC RES, V25, P1674, DOI 10.1080/13504622.2019.1662372</t>
  </si>
  <si>
    <t>SAGE PUBLICATIONS LTD</t>
  </si>
  <si>
    <t>1 OLIVERS YARD, 55 CITY ROAD, LONDON EC1Y 1SP, ENGLAND</t>
  </si>
  <si>
    <t>1478-0771</t>
  </si>
  <si>
    <t>2048-3988</t>
  </si>
  <si>
    <t>INT J ARCHIT COMPUT</t>
  </si>
  <si>
    <t>Int. J. Archit. Comput.</t>
  </si>
  <si>
    <t>10.1177/14780771231180256</t>
  </si>
  <si>
    <t>Architecture</t>
  </si>
  <si>
    <t>LF8U8</t>
  </si>
  <si>
    <t>WOS:001084019500001</t>
  </si>
  <si>
    <t>Claudet, J; Bopp, L; Cheung, WWL; Devillers, R; Escobar-Briones, E; Haugan, P; Heymans, JJ; Masson-Delmotte, V; Matz-Lück, N; Miloslavich, P; Mullineaux, L; Visbeck, M; Watson, R; Zivian, AM; Ansorge, I; Araujo, M; Aricò, S; Bailly, D; Barbière, J; Barnerias, C; Bowler, C; Brun, V; Cazenave, A; Diver, C; Euzen, A; Gaye, AT; Hilmi, N; Ménard, F; Moulin, C; Muñoz, NP; Parmentier, R; Pebayle, A; Pörtner, HO; Osvaldina, S; Ricard, P; Santos, RS; Sicre, MA; Thiébault, S; Thiele, T; Troublé, R; Turra, A; Uku, J; Gaill, F</t>
  </si>
  <si>
    <t>Claudet, Joachim; Bopp, Laurent; Cheung, William W. L.; Devillers, Rodolphe; Escobar-Briones, Elva; Haugan, Peter; Heymans, Johanna J.; Masson-Delmotte, Valerie; Matz-Lueck, Nele; Miloslavich, Patricia; Mullineaux, Lauren; Visbeck, Martin; Watson, Robert; Zivian, Anna Milena; Ansorge, Isabelle; Araujo, Moacyr; Arico, Salvatore; Bailly, Denis; Barbiere, Julian; Barnerias, Cyrille; Bowler, Chris; Brun, Victor; Cazenave, Anny; Diver, Cameron; Euzen, Agathe; Gaye, Amadou Thierno; Hilmi, Nathalie; Menard, Frederic; Moulin, Cyril; Patricia Munoz, Norma; Parmentier, Remi; Pebayle, Antoine; Poertner, Hans-Otto; Osvaldina, Silva; Ricard, Patricia; Santos, Ricardo Serrao; Sicre, Marie-Alexandrine; Thiebault, Stephanie; Thiele, Torsten; Trouble, Romain; Turra, Alexander; Uku, Jacqueline; Gaill, Francoise</t>
  </si>
  <si>
    <t>A Roadmap for Using the UN Decade of Ocean Science for Sustainable Development in Support of Science, Policy, and Action</t>
  </si>
  <si>
    <t>ONE EARTH</t>
  </si>
  <si>
    <t>BIODIVERSITY</t>
  </si>
  <si>
    <t>The health of the ocean, central to human well-being, has now reached a critical point. Most fish stocks are overexploited, climate change and increased dissolved carbon dioxide are changing ocean chemistry and disrupting species throughout food webs, and the fundamental capacity of the ocean to regulate the climate has been altered. However, key technical, organizational, and conceptual scientific barriers have prevented the identification of policy levers for sustainability and transformative action. Here, we recommend key strategies to address these challenges, including (1) stronger integration of sciences and (2) ocean-observing systems, (3) improved science-policy interfaces, (4) new partnerships supported by (5) a new ocean-climate finance system, and (6) improved ocean literacy and education to modify social norms and behaviors. Adopting these strategies could help establish ocean science as a key foundation of broader sustainability transformations.</t>
  </si>
  <si>
    <t>[Claudet, Joachim; Devillers, Rodolphe; Brun, Victor; Pebayle, Antoine] PSL Univ Paris, Natl Ctr Sci Res, CRIOBE, USR 3278 CNRS EPHE UPVD, Maison Oceans,195 Rue St Jacques, F-75005 Paris, France; [Bopp, Laurent; Masson-Delmotte, Valerie] PSL Univ Paris, Sorbonne Univ, Inst Pierre Simon Laplace, Lab Meteorol Dynam UMR 8539,CNRS,Ecole Normale Su, 24 Rue Lhomond, F-75005 Paris, France; [Cheung, William W. L.] Univ British Columbia, Inst Oceans &amp; Fisheries, Vancouver, BC, Canada; [Devillers, Rodolphe] Mem Univ Newfoundland, Dept Geog, St John, NF, Canada; [Escobar-Briones, Elva] Univ Nacl Autonoma Mexico, Inst Ciencias Mar &amp; Limnol, AP 70-305 Ciudad Univ, Mexico City 04510, DF, Mexico; [Haugan, Peter] Inst Marine Res, POB 1870 Nordnes, N-5817 Bergen, Norway; [Heymans, Johanna J.] European Marine Board, Wandelaarkaai 7, B-8400 Oostende, Belgium; [Heymans, Johanna J.] Scottish Assoc Marine Sci, Oban PA37 1QA, Argyll, Scotland; [Matz-Lueck, Nele] Univ Kiel, Walther Schucking Inst Int Law, Westring 400, D-24118 Kiel, Germany; [Miloslavich, Patricia] Univ Tasmania, Inst Marine &amp; Antarctic Studies, Hobart, Tas, Australia; [Miloslavich, Patricia] Commonwealth Sci &amp; Ind Res Org CSIRO, Hobart, Tas, Australia; [Miloslavich, Patricia] Univ Simon Bolivar, Dept Environm Studies, Caracas, Venezuela; [Mullineaux, Lauren] Woods Hole Oceanog Inst, Woods Hole, MA 02543 USA; [Visbeck, Martin] GEOMAR Helmholtz Ctr Ocean Res Kiel, Duesternbrooker Weg 20, D-24105 Kiel, Germany; [Visbeck, Martin] Univ Kiel, Duesternbrooker Weg 20, D-24105 Kiel, Germany; [Watson, Robert] Univ East Anglia, Tyndall Ctr, Norfolk, England; [Zivian, Anna Milena] Ocean Conservancy, 725 Front St 201, Santa Cruz, CA 95060 USA; [Ansorge, Isabelle] Univ Cape Town, Oceanog Dept, Residence Rd,Upper Campus, ZA-7001 Rondebosch, South Africa; [Araujo, Moacyr] Univ Fed Pernambuco UFPE, Dept Oceanog, Av Arquitetura S-N,Cidade Univ, BR-50740550 Recife, PE, Brazil; [Arico, Salvatore; Barbiere, Julian] United Nations Educ Sci &amp; Cultural Org UNESCO, Intergovt Oceanog Commiss, 7 Pl Fontenoy, F-75007 Paris, France; [Bailly, Denis] Univ Brest, UMR AMURE, 12 Rue Kergoat,CS 93837, F-29200 Brest 3, France; [Barnerias, Cyrille] French Agcy Biodivers AFB, 5 Allee Felix Nadar, F-94300 Vincennes, France; [Bowler, Chris] Univ PSL, Inst Biol IENS IBENS, Dept Biol, INSERM, F-75005 Paris, France; [Cazenave, Anny] Lab Etud Geophys &amp; Oceanog Spatiales LEGOS, Toulouse, France; [Diver, Cameron] Pacific Community, 95 Promenade Roger Laroque BP D5, Noumea 98848, New Caledonia; [Euzen, Agathe] Ecole Ponts ParisTech, LATTS, 6&amp;8 Ave Blaise Pascal Cite Descartes, F-77455 Marne La Vallee, France; [Gaye, Amadou Thierno] Cheikh Anta Diop Univ, Polytech Sch, Lab Atmospher &amp; Ocean Phys Simeon Fongang LPAO SF, Dakar, Senegal; [Hilmi, Nathalie] Ctr Sci Monaco, 8 Quai Antoine Ler, MC-98000 Monaco, Monaco; [Menard, Frederic] Univ Aix Marseille, Univ Toulon, MIO, CNRS,IRD, F-13288 Marseille, France; [Moulin, Cyril] Natl Ctr Sci Res, Inst Natl Sci Univers, Paris, France; [Patricia Munoz, Norma] Inst Politecn Nacl, Ctr Interdisciplinario Invest &amp; Estudios Medio Am, Mexico City, Mexico; [Parmentier, Remi] Varda Grp, Madrid, Spain; [Poertner, Hans-Otto] Helmholtz Ctr Polar &amp; Marine Res, Alfred Wegener Inst, Bremerhaven, Germany; [Osvaldina, Silva] Natl Inst Fisheries Res &amp; Dev INDP, Mindelo San Vicente, Cape Verde; [Ricard, Patricia] Inst Oceanograph Paul Ricard, Ile Embiez, F-83140 Six Fours la Plage, France; [Santos, Ricardo Serrao] Univ Azores, Dept Oceanog &amp; Fisheries, IMAR Ctr, Rua Cais Santa Cruz, P-9900 Horta, Portugal; [Sicre, Marie-Alexandrine] Sorbonne Univ UPMC, Univ Paris 06, LOCEAN Lab, CNRS IRD MNHN, Paris, France; [Sicre, Marie-Alexandrine] Univ Delaware, Sci Comm Ocean Res SCOR, Newark, DE 19716 USA; [Thiebault, Stephanie; Gaill, Francoise] Natl Ctr Sci Res, Inst Ecol &amp; Environm INEE CNRS, 3 Rue Michel Ange, F-75016 Paris, France; [Thiele, Torsten] Inst Adv Sustainabil Studies IASS, Berliner Str 130, D-14467 Potsdam, Germany; [Trouble, Romain] Tara Ocean Fdn, 8 Rue Prague, F-75012 Paris, France; [Turra, Alexander] Univ Sao Paulo, Inst Oceanog, Praga Oceanog,191,SI 112A Butanta, BR-05508120 Sao Paulo, SP, Brazil; [Uku, Jacqueline] Kenya Marine &amp; Fisheries Res Inst, POB 81651, Mombasa 80100, Kenya; [Gaill, Francoise] Ocean &amp; Climate Platform, 195 Rue St Jacques, F-75005 Paris, France</t>
  </si>
  <si>
    <t>Universite PSL; Ecole Pratique des Hautes Etudes (EPHE); Sorbonne Universite; Centre National de la Recherche Scientifique (CNRS); CNRS - National Institute for Earth Sciences &amp; Astronomy (INSU); Universite Paris Cite; Universite PSL; Universite Paris Saclay; University of British Columbia; Memorial University Newfoundland; Universidad Nacional Autonoma de Mexico; Institute of Marine Research - Norway; UHI Millennium Institute; University of Kiel; University of Tasmania; Commonwealth Scientific &amp; Industrial Research Organisation (CSIRO); Simon Bolivar University; Woods Hole Oceanographic Institution; Helmholtz Association; GEOMAR Helmholtz Center for Ocean Research Kiel; University of Kiel; University of Cape Town; Universidade Federal de Pernambuco; Ifremer; Universite de Bretagne Occidentale; Universite PSL; Institut National de la Sante et de la Recherche Medicale (Inserm); Universite de Toulouse; Universite Toulouse III - Paul Sabatier; Universite Gustave-Eiffel; Centre National de la Recherche Scientifique (CNRS); Ecole des Ponts ParisTech; University Cheikh Anta Diop Dakar; Centre National de la Recherche Scientifique (CNRS); Aix-Marseille Universite; Institut de Recherche pour le Developpement (IRD); Instituto Politecnico Nacional - Mexico; Helmholtz Association; Alfred Wegener Institute, Helmholtz Centre for Polar &amp; Marine Research; Universidade dos Acores; Sorbonne Universite; Institut de Recherche pour le Developpement (IRD); Museum National d'Histoire Naturelle (MNHN); University of Delaware; Universidade de Sao Paulo</t>
  </si>
  <si>
    <t>Claudet, J (corresponding author), PSL Univ Paris, Natl Ctr Sci Res, CRIOBE, USR 3278 CNRS EPHE UPVD, Maison Oceans,195 Rue St Jacques, F-75005 Paris, France.</t>
  </si>
  <si>
    <t>joachim.claudet@cnrs.fr</t>
  </si>
  <si>
    <t>Claudet, Joachim/C-6335-2008; Marie-Alexandrine, Sicre/AAR-1516-2020; Devillers, Rodolphe/AAR-3509-2021; Menard, Frederic/C-3913-2008; Masson-Delmotte, Valerie L/G-1995-2011; Visbeck, Martin H/B-6541-2016; Cheung, William/F-5104-2013; Araujo, Moacyr/B-1167-2013; Serrao Santos, Ricardo/B-3960-2008; Turra, Alexander/G-1352-2012</t>
  </si>
  <si>
    <t>Claudet, Joachim/0000-0001-6295-1061; Marie-Alexandrine, Sicre/0000-0002-5015-1400; Devillers, Rodolphe/0000-0003-0784-847X; Menard, Frederic/0000-0003-1162-660X; Masson-Delmotte, Valerie L/0000-0001-8296-381X; Visbeck, Martin H/0000-0002-0844-834X; Uku, Dr. Jacqueline/0000-0002-2962-4146; Araujo, Moacyr/0000-0001-8462-6446; Diver, Cameron/0000-0001-8891-6424; Serrao Santos, Ricardo/0000-0002-2536-1369; Bailly, Denis/0000-0002-6385-9897; Brun, Victor/0000-0002-3137-3841; Turra, Alexander/0000-0003-2225-8371; Ansorge, Isabelle/0000-0001-7071-8147; bopp, laurent/0000-0003-4732-4953</t>
  </si>
  <si>
    <t>Intergovernmental Oceanographic Commission through the Global Ocean Observing System Biology and Ecosystems Panel; Australian Institute of Marine Science; Commonwealth Scientific and Industrial Research Organisation of Australia</t>
  </si>
  <si>
    <t>Weare grateful to the Ocean and Climate Platform and UNESCO for organizing the conference ``From COP 21 toward the United Nations Decade of Ocean Science for Sustainable Development (2021-2030).'' We thank the reviewers for very constructive inputs and Luna Merino for drafting a first version of Figure 5. Some recommendations from this work resulted from PEGASuS 2: Ocean Sustainability, a partnership between Future Earth, the National Center for Ecological Analysis and Synthesis, and Global Biodiversity Center at Colorado State University. This work received funding from the Intergovernmental Oceanographic Commission through the Global Ocean Observing System Biology and Ecosystems Panel, the Australian Institute of Marine Science, and the Commonwealth Scientific and Industrial Research Organisation of Australia.</t>
  </si>
  <si>
    <t>Bax NJ, 2019, FRONT MAR SCI, V6, DOI 10.3389/fmars.2019.00395; Bodin Ö, 2017, SCIENCE, V357, P659, DOI 10.1126/science.aan1114; Bonan GB, 2018, SCIENCE, V359, P533, DOI 10.1126/science.aam8328; Breitburg D, 2018, SCIENCE, V359, P46, DOI 10.1126/science.aam7240; Dilling L, 2011, GLOBAL ENVIRON CHANG, V21, P680, DOI 10.1016/j.gloenvcha.2010.11.006; Gattuso JP, 2015, SCIENCE, V349, DOI 10.1126/science.aac4722; Gluckman P, 2016, SCIENCE, V353, P969, DOI 10.1126/science.aai8837; Gluckman P, 2014, NATURE, V507, P163, DOI 10.1038/507163a; Halpern BS, 2008, SCIENCE, V319, P948, DOI 10.1126/science.1149345; Halpern BS, 2015, NAT COMMUN, V6, DOI 10.1038/ncomms8615; Hoegh-Guldberg O, 2019, SCIENCE, V365, P1372, DOI 10.1126/science.aaz4390; Ingeman KE, 2019, SCIENCE, V363, P363, DOI 10.1126/science.aav1004; Kates R.W., 1985, CLIMATE IMPACT ASSES, P3; Kroodsma DA, 2018, SCIENCE, V359, P904, DOI 10.1126/science.aao5646; Laffoley D., 2017, WORKSHOP REPORT EXPL; Laffoley D, 2020, AQUAT CONSERV, V30, P194, DOI 10.1002/aqc.3182; Levin LA, 2015, SCIENCE, V350, P766, DOI 10.1126/science.aad0126; Liu JG, 2015, SCIENCE, V347, DOI 10.1126/science.1258832; Lubchenco J, 2019, SCIENCE, V364, P911, DOI 10.1126/science.aay2241; Lubchenco J, 2017, FRONT ECOL ENVIRON, V15, P3, DOI 10.1002/fee.1454; Lubchenco J, 2016, P NATL ACAD SCI USA, V113, P14507, DOI 10.1073/pnas.1604982113; Lubchenco J, 2015, NAT GEOSCI, V8, P741, DOI 10.1038/ngeo2552; Miloslavich P, 2019, J OPER OCEANOGR, V12, pS137, DOI 10.1080/1755876X.2018.1526463; Miloslavich P, 2018, GLOBAL CHANGE BIOL, V24, P2416, DOI 10.1111/gcb.14108; Mooney HA, 2013, P NATL ACAD SCI USA, V110, P3665, DOI 10.1073/pnas.1107484110; Murphy EJ, 2016, P ROY SOC B-BIOL SCI, V283, DOI 10.1098/rspb.2016.1646; Nash KL, 2017, NAT ECOL EVOL, V1, P1625, DOI 10.1038/s41559-017-0319-z; Niehoerster F., 2018, OCEAN RISK INSURANCE; Rosa IMD, 2017, NAT ECOL EVOL, V1, P1416, DOI 10.1038/s41559-017-0273-9; Singh GG, 2018, MAR POLICY, V93, P223, DOI 10.1016/j.marpol.2017.05.030; Smale DA, 2019, NAT CLIM CHANGE, V9, P306, DOI 10.1038/s41558-019-0412-1; Smythe TC, 2017, OCEAN COAST MANAGE, V135, P11, DOI 10.1016/j.ocecoaman.2016.10.015; Stelzenmüller V, 2018, SCI TOTAL ENVIRON, V612, P1132, DOI 10.1016/j.scitotenv.2017.08.289; Stuart-Smith RD, 2017, BIOSCIENCE, V67, P134, DOI 10.1093/biosci/biw180; Task Team for an Integrated Framework for Sustained Ocean Observing, 2012, FRAMEWORK OCEAN OBSE, DOI [10.5270/OCEANOBS09-FOO, DOI 10.5270/OCEANOBS09-FOO]; Thiault L, 2020, CONSERV LETT, V13, DOI 10.1111/conl.12677; Thiele T, 2017, AQUAT CONSERV, V27, P89, DOI 10.1002/aqc.2794; UNESCO, 2019, GLOBAL OCEAN OBSERVI; Vidas D, 2011, PHILOS T R SOC A, V369, P909, DOI 10.1098/rsta.2010.0326; Visbeck M, 2018, NAT COMMUN, V9, DOI 10.1038/s41467-018-03158-3; World Economic Forum, 2018, GLOBAL RISKS REPORT; Worm B, 2006, SCIENCE, V314, P787, DOI 10.1126/science.1132294</t>
  </si>
  <si>
    <t>2590-3330</t>
  </si>
  <si>
    <t>2590-3322</t>
  </si>
  <si>
    <t>One Earth</t>
  </si>
  <si>
    <t>JAN 24</t>
  </si>
  <si>
    <t>10.1016/j.oneear.2019.10.012</t>
  </si>
  <si>
    <t>RU6FN</t>
  </si>
  <si>
    <t>Green Accepted, Green Published, hybrid</t>
  </si>
  <si>
    <t>WOS:000645242000010</t>
  </si>
  <si>
    <t>Sedlbauer, J; Slavík, M; Hejsková, P; Cincera, J</t>
  </si>
  <si>
    <t>Sedlbauer, Josef; Slavik, Martin; Hejskova, Pavlina; Cincera, Jan</t>
  </si>
  <si>
    <t>Externalities still underrated in energy education</t>
  </si>
  <si>
    <t>Energy literacy; Energy externalities; Renewable sources</t>
  </si>
  <si>
    <t>CLIMATE-CHANGE; RENEWABLE ENERGY; STUDENTS CONCEPTIONS; UNIVERSITY-STUDENTS; KNOWLEDGE; MODEL; ATTITUDES; LITERACY; SCIENCE; DETERMINANTS</t>
  </si>
  <si>
    <t>Energy literacy is a key factor for understanding, acceptance, and public support of the ongoing transformations in the energy sector. This study aimed to assess the cognitive dimension of energy literacy among teenage students from the Czech Republic. We have tested their knowledge of energy-related issues in a broader technical, environmental, and socio-economic context of energy production. Altogether, N = 244 eighth-grade students from seven elementary schools participated in the open-question assessment, followed by data analysis and quantification of the results. The main finding is that students perform unsatisfactorily on several key points necessary to understand energy generation, transformation, and collateral impacts. Energy externalities were identified as the most substantial topic in energy education that is underrepresented in the active knowledge of young students. A literature survey suggests that this problem might be quite widespread. Recommendations are provided for learning interventions that should equip future citizens for an evidence-based public debate on the transition to sustainable energy sources.</t>
  </si>
  <si>
    <t>[Sedlbauer, Josef; Slavik, Martin] Tech Univ Liberec, Fac Sci Humanities &amp; Educ, Dept Chem, Liberec, Czech Republic; [Hejskova, Pavlina] Tech Univ Liberec, Fac Sci Humanities &amp; Educ, Dept Phys, Liberec, Czech Republic; [Cincera, Jan] Masaryk Univ, Fac Social Studies, Dept Environm Studies, Brno, Czech Republic</t>
  </si>
  <si>
    <t>Technical University Liberec; Technical University Liberec; Masaryk University Brno</t>
  </si>
  <si>
    <t>Sedlbauer, J (corresponding author), Tech Univ Liberec, Fac Sci Humanities &amp; Educ, Dept Chem, Liberec, Czech Republic.</t>
  </si>
  <si>
    <t>josef.sedlbauer@tul.cz</t>
  </si>
  <si>
    <t>Sedlbauer, Josef/ABB-9633-2020; Cincera, Jan/X-3277-2019</t>
  </si>
  <si>
    <t>Sedlbauer, Josef/0000-0003-0610-2211; Cincera, Jan/0000-0003-0704-7402</t>
  </si>
  <si>
    <t>Adlong W, 2015, ENVIRON EDUC RES, V21, P687, DOI 10.1080/13504622.2014.930727; Aitken C, 2011, GLOBAL ENVIRON CHANG, V21, P752, DOI 10.1016/j.gloenvcha.2011.01.002; Azevedo J, 2017, INT J GLOBAL WARM, V12, P414, DOI 10.1504/IJGW.2017.10005893; Bialynicki-Birula P, 2022, ENERGIES, V15, DOI 10.3390/en15155368; Bofferding L, 2015, ENVIRON EDUC RES, V21, P275, DOI 10.1080/13504622.2014.888401; Boulton E. G., 2022, J. Adv. Mil. Stud., V13, P92, DOI DOI 10.21140/MCUJ.20221301005; Braun V, 2006, QUAL RES PSYCHOL, V3, P77, DOI [DOI 10.1191/1478088706QP063OA, 10.1191/1478088706qp063oa]; Burnete NV, 2022, PROG ENERG COMBUST, V91, DOI 10.1016/j.pecs.2022.101009; Cantell H, 2019, ENVIRON EDUC RES, V25, P717, DOI 10.1080/13504622.2019.1570487; Carter B.E., 2014, EVOL EDUC OUTREACH, V7, P6, DOI DOI 10.1186/s12052-014-0006-3; Chiu M.-S., 2018, J. Adv. Educ. Res., V3, P25, DOI [10.22606/jaer.2018.31003, DOI 10.22606/JAER.2018.31003]; Cincera J., 2021, The Guidelines for Environmental Literacy Assessment; Clayton S, 2020, J ENVIRON PSYCHOL, V69, DOI 10.1016/j.jenvp.2020.101434; Creswell JW, 2000, THEOR PRACT, V39, P124, DOI 10.1207/s15430421tip3903_2; CVVM, 2020, Postoje Ceske Verejnosti Ke Zmene Klimatu Na Zemi-Cerven 2020; Dalaklioglu S., 2015, International Journal on New trends in Education and Their Applications, V6, P13; Danis P., 2021, Klima se meni-a co my?, in: Proca Jak Se Ucit O Zmene Klimatu: Doporuceni Pracovni Skupiny Pro Klimaticke Vzdelavani Rady Vlady Pro Udrzitelny Rozvoj CR, 1. Vydani Ministerstvo zivotniho prostredi; Delegkos N, 2020, RES SCI EDUC, V50, P393, DOI 10.1007/s11165-018-9694-y; DeWaters J.E., 2014, Journal of Geoscience Education, V62, P469; DeWaters JE, 2011, ENERG POLICY, V39, P1699, DOI 10.1016/j.enpol.2010.12.049; Djurisic V, 2020, ENERGY REP, V6, P395, DOI 10.1016/j.egyr.2020.08.059; El Zoghbi MB, 2014, CENT EUR J PUBL HEAL, V22, P125, DOI 10.21101/cejph.a3999; EUROSTAT, SHARES (Renewables)-Energy-Eurostat; Frick J, 2004, PERS INDIV DIFFER, V37, P1597, DOI 10.1016/j.paid.2004.02.015; Guy S, 2014, EUR J SOC PSYCHOL, V44, P421, DOI 10.1002/ejsp.2039; Harker-Schuch I, 2013, AMBIO, V42, P755, DOI 10.1007/s13280-013-0388-4; Hermans M, 2017, INT RES GEOGR ENVIRO, V26, P223, DOI 10.1080/10382046.2017.1330035; Hornsey MJ, 2016, NAT CLIM CHANGE, V6, P622, DOI [10.1038/nclimate2943, 10.1038/NCLIMATE2943]; Hungerford H.R., 1990, J ENVIRON EDUC, V21, P8, DOI [DOI 10.1080/00958964.1990.10753743, 10.1080/00958964.1990.10753743]; Ilham Z, 2022, ENVIRON EDUC RES, V28, P925, DOI 10.1080/13504622.2022.2031902; Jurek M, 2022, ENVIRON EDUC RES, V28, P1126, DOI 10.1080/13504622.2022.2086687; Kardooni R, 2018, RENEW ENERG, V116, P659, DOI 10.1016/j.renene.2017.09.073; Kim J, 2018, ENERG POLICY, V120, P761, DOI 10.1016/j.enpol.2018.04.062; Kolenaty M, 2022, SUSTAINABILITY-BASEL, V14, DOI 10.3390/su141610365; Kollmuss A., 2002, ENVIRON EDUC RES, V8, P239, DOI [10.1080/13504620220145401, DOI 10.1080/13504620220145401]; Krajhanzl J., 2021, Ceske klima, Mapa Ceskeho Verejneho Mineni V Oblasti Zmeny Klimatu; Kukkonen J, 2018, SUSTAINABILITY-BASEL, V10, DOI 10.3390/su10114294; Kuthe A, 2019, J ENVIRON EDUC, V50, P172, DOI 10.1080/00958964.2019.1598927; Lee YF, 2022, ENVIRON EDUC RES, V28, P907, DOI 10.1080/13504622.2022.2034752; Lehnert M, 2020, ENVIRON EDUC RES, V26, P864, DOI 10.1080/13504622.2019.1694140; Leiserowitz A., 2010, KNOWLEDGE CLIMATE CH; Li MY, 2022, NAT FOOD, V3, P445, DOI 10.1038/s43016-022-00531-w; Light N, 2022, SCI ADV, V8, DOI 10.1126/sciadv.abo0038; Lin VSY, 1997, SCIENCE, V278, P840, DOI 10.1126/science.278.5339.840; Lorenzoni I, 2007, GLOBAL ENVIRON CHANG, V17, P445, DOI 10.1016/j.gloenvcha.2007.01.004; Martins A, 2020, ENERGY REP, V6, P243, DOI 10.1016/j.egyr.2020.11.117; Martins A, 2020, ENERGY REP, V6, P454, DOI 10.1016/j.egyr.2019.09.007; Merritt EG, 2019, RENEW ENERG, V138, P1078, DOI 10.1016/j.renene.2019.02.047; Milér T, 2011, PROCD SOC BEHV, V12, P150, DOI 10.1016/j.sbspro.2011.02.021; Miles MBHM., 1994, QUALITATIVE DATA ANA, DOI DOI 10.1080/0950069042000276686; Monroe MC, 2019, ENVIRON EDUC RES, V25, P791, DOI 10.1080/13504622.2017.1360842; MSMT, 2021, RVP ZV-Ramcovy Vzdelavaci Program Pro Zakladni Vzdelavani; Murphy C, 2021, ENVIRON EDUC RES, V27, P1011, DOI 10.1080/13504622.2021.1889470; Ocetkiewicz I, 2017, RENEW SUST ENERG REV, V80, P92, DOI 10.1016/j.rser.2017.05.144; Ojala M., 2012, International Journal of Environmental &amp; Science Education, V7, P537; Park E, 2019, J CLEAN PROD, V215, P796, DOI 10.1016/j.jclepro.2019.01.075; Rizaki A, 2013, SCI EDUC-NETHERLANDS, V22, P1141, DOI 10.1007/s11191-009-9213-7; Roczen N, 2014, ENVIRON BEHAV, V46, P972, DOI 10.1177/0013916513492416; Selm KR, 2019, PLOS ONE, V14, DOI 10.1371/journal.pone.0210149; Stoutenborough JW, 2014, ENVIRON SCI POLICY, V37, P23, DOI 10.1016/j.envsci.2013.08.002; Suter G, 2022, INTEGR ENVIRON ASSES, V18, P1117; Sweeney JC, 2013, ENERG POLICY, V61, P371, DOI 10.1016/j.enpol.2013.06.121; Truelove HB, 2012, J ENVIRON PSYCHOL, V32, P246, DOI 10.1016/j.jenvp.2012.04.002; Varela-Candamio L, 2018, J CLEAN PROD, V170, P1565, DOI 10.1016/j.jclepro.2017.09.214; Wachholz S, 2014, INT J SUST HIGHER ED, V15, P128, DOI 10.1108/IJSHE-03-2012-0025; Wang LL, 2021, SUSTAINABILITY-BASEL, V13, DOI 10.3390/su132212416; Yli-Panula E, 2021, EDUC SCI, V11, DOI 10.3390/educsci11080440</t>
  </si>
  <si>
    <t>10.1016/j.renene.2024.120148</t>
  </si>
  <si>
    <t>NS0T8</t>
  </si>
  <si>
    <t>WOS:001202331800001</t>
  </si>
  <si>
    <t>Cordero, E</t>
  </si>
  <si>
    <t>Cordero, Eugene</t>
  </si>
  <si>
    <t>THE USE OF SOCIAL MEDIA TO IMPROVE CLIMATE LITERACY The Green Ninja Project</t>
  </si>
  <si>
    <t>San Jose State Univ, Dept Meteorol &amp; Climate Sci, San Jose, CA 95192 USA</t>
  </si>
  <si>
    <t>California State University System; San Jose State University</t>
  </si>
  <si>
    <t>Cordero, E (corresponding author), San Jose State Univ, Dept Meteorol &amp; Climate Sci, 1 Washington Sq, San Jose, CA 95192 USA.</t>
  </si>
  <si>
    <t>eugene.cordero@sjsu.edu</t>
  </si>
  <si>
    <t>10.1175/BAMS-93-12-1813</t>
  </si>
  <si>
    <t>055TS</t>
  </si>
  <si>
    <t>WOS:000312441200002</t>
  </si>
  <si>
    <t>Hawkins, JP; O'Leary, BC; Bassett, N; Peters, H; Rakowski, S; Reeve, G; Roberts, CM</t>
  </si>
  <si>
    <t>Hawkins, Julie P.; O'Leary, Bethan C.; Bassett, Nicola; Peters, Howard; Rakowski, Sarah; Reeve, Georgina; Roberts, Callum M.</t>
  </si>
  <si>
    <t>Public awareness and attitudes towards marine protection in the United Kingdom</t>
  </si>
  <si>
    <t>Marine conservation zone; Marine protected area; Public understanding; Questionnaire; UK marine Act</t>
  </si>
  <si>
    <t>OCEAN LITERACY; CONSERVATION; SEA; CHALLENGES; CONTEXT; POLICY; AREA; ERA; UK</t>
  </si>
  <si>
    <t>Public perception research evaluating awareness and attitudes towards marine protection is limited in the United Kingdom (UK) and worldwide. Given public opinion can help drive policy and affect its successful delivery we conducted nationwide surveys in 2005, 2010 and 2015 to assess public knowledge of UK (England, Scotland and Wales) sea 'health' and management. Respondents from all three surveys were relatively pessimistic about sea 'health', perceiving this as poor-fair and largely in decline. Enthusiasm for marine conservation was high with almost two-thirds of respondents in each survey wanting &gt;40% of UK seas highly protected from fishing and damaging activities. In 2015 there was considerable dissatisfaction with the rate of progress in Marine Conservation Zone designation and over three-quarters of respondents considered dredging and trawling to be inappropriate in protected areas, contrary to management. The UK government and devolved administrations need to better align future conservation and management with public expectations. (C) 2016 Elsevier Ltd. All rights reserved.</t>
  </si>
  <si>
    <t>[Hawkins, Julie P.; O'Leary, Bethan C.; Bassett, Nicola; Peters, Howard; Rakowski, Sarah; Reeve, Georgina; Roberts, Callum M.] Univ York, Dept Environm, Wentworth Way, York YO10 5NG, N Yorkshire, England</t>
  </si>
  <si>
    <t>University of York - UK</t>
  </si>
  <si>
    <t>Hawkins, JP (corresponding author), Univ York, Dept Environm, Wentworth Way, York YO10 5NG, N Yorkshire, England.</t>
  </si>
  <si>
    <t>Julie.hawkins@york.ac.uk</t>
  </si>
  <si>
    <t>O'Leary, Bethan C/0000-0001-6595-6634</t>
  </si>
  <si>
    <t>Esmee Fairbairn Foundation; York University's Environment Department</t>
  </si>
  <si>
    <t>Thanks are given to the Esmee Fairbairn Foundation and York University's Environment Department for funding this work, and to everyone who completed our questionnaires. We would like to thank an anonymous reviewer for their comments which improved this manuscript.</t>
  </si>
  <si>
    <t>Berg N., 2005, NONRESPONSE BIAS; Blair J., DESIGNING SURVEYS GU; Boyes SJ, 2014, MAR POLLUT BULL, V86, P39, DOI 10.1016/j.marpolbul.2014.06.055; Brooks JS, 2012, P NATL ACAD SCI USA, V109, P21265, DOI 10.1073/pnas.1207141110; DEFRA, 2014, E INSH E OFFSH MAR P; Eddy TD, 2014, MAR POLICY, V46, P61, DOI 10.1016/j.marpol.2014.01.004; FISKE SJ, 1992, OCEAN COAST MANAGE, V17, P25, DOI 10.1016/0964-5691(92)90060-X; Fletcher S, 2009, MAR POLICY, V33, P370, DOI 10.1016/j.marpol.2008.08.004; Guest H, 2015, MAR POLICY, V58, P98, DOI 10.1016/j.marpol.2015.04.007; Horwich RH, 2007, ORYX, V41, P376, DOI 10.1017/S0030605307001010; Jefferson RL, 2014, MAR POLICY, V43, P327, DOI 10.1016/j.marpol.2013.07.004; Jefferson R, 2015, OCEAN COAST MANAGE, V115, P61, DOI 10.1016/j.ocecoaman.2015.06.014; JNCC, 2014, 4 JNCC UN CONV BIOL; Katsanevakis S, 2015, MAR POLICY, V51, P31, DOI 10.1016/j.marpol.2014.07.013; Lieberknecht LM., 2016, MAR POLICY IN PRESS; McCracken ME, 2015, J APPL ECOL, V52, P696, DOI 10.1111/1365-2664.12412; Morrissey K, 2014, MAR POLICY, V50, P135, DOI 10.1016/j.marpol.2014.05.018; Natural England, 2008, MAR PROT AR QUAL VAL, P101; Pietri D, 2009, COAST MANAGE, V37, P331, DOI 10.1080/08920750902851625; Potts T, 2012, PHILOS T R SOC A, V370, P5682, DOI 10.1098/rsta.2012.0394; Prior S., 2011, INVESTIGATING USE VO; Pugh D, 2008, SOCIOECONOMIC INDICA; Rodwell LD, 2014, MAR POLICY, V45, P251, DOI 10.1016/j.marpol.2013.09.014; Rose C., 2008, NAT ENGLAND 2008; Rossiter JS, 2014, MAR POLICY, V44, P196, DOI 10.1016/j.marpol.2013.08.022; Smith HD, 2012, J ENVIRON POL PLAN, V14, P29, DOI 10.1080/1523908X.2012.663192; Steel BS, 2005, OCEAN COAST MANAGE, V48, P97, DOI 10.1016/j.ocecoaman.2005.01.002; Thurstan R., 2013, FISH FISH, V15, P506; Tillin HM, 2006, MAR ECOL PROG SER, V318, P31, DOI 10.3354/meps318031</t>
  </si>
  <si>
    <t>10.1016/j.marpolbul.2016.07.003</t>
  </si>
  <si>
    <t>DY1KO</t>
  </si>
  <si>
    <t>WOS:000384854100035</t>
  </si>
  <si>
    <t>McHugh, P; Dromgool-Regan, C; Domegan, CT; Burke, N</t>
  </si>
  <si>
    <t>McHugh, Patricia; Dromgool-Regan, Cushla; Domegan, Christine T.; Burke, Noirin</t>
  </si>
  <si>
    <t>Collective impact for ocean literacy - inspiring the next generation of ocean champions using social marketing</t>
  </si>
  <si>
    <t>EUROPEAN JOURNAL OF MARKETING</t>
  </si>
  <si>
    <t>Impact; Stakeholder engagement; Social marketing; Collective intelligence; Collective Impact Assessment; Ocean literacy</t>
  </si>
  <si>
    <t>Purpose - This paper aims to describe a case between practitioners and social marketing academics to grow and scale a programme that engages with primary schools, teachers, children and the education network, inspiring students to become marine leaders and ocean champions. Design/methodology/approach - Over a six-year period, the authors first applied collective intelligence to work with stakeholders across society to better understand the barriers and solutions to teaching children (6-12 year olds) about the ocean in schools. Following this, a Collective Impact Assessment of the Explorers Education Programme took place to grow the impact of the programme. Findings - The Explorers Education Programme has grown its numbers higher than pre-pandemic levels. In 2022, the Explorers Education Programme had the largest number of participating children, reaching 15,237, with a growth of 21% compared to pre-pandemic levels in 2019 and 79% compared to 2021. In 2023, the programme won the Best Education Outreach Award category of the Education Awards in Ireland. Research limitations/implications - This research stresses the importance of measuring impact. The long-term impact of the Explorers Education Programme at societal, environmental and economical levels takes a much longer time frame to measure than the six years of these research collaborations. Practical implications - The collaborative approach between academics and practitioners meant that this research had practical implications, whereby necessary and effective changes and learnings could be directly applied to the Explorers Education Programme in real time, as the practitioners involved were directly responsible for the management and coordination of the programme. Originality/value - The value of collaborations and engagement between academia and practice cannot be underestimated. The ability to collectively reflect and assess impact moves beyond an intervention, allowing for more meaningful behavioural, social and system changes for the collective good, inspiring the next generation of marine leaders and ocean champions.</t>
  </si>
  <si>
    <t>[McHugh, Patricia; Domegan, Christine T.] Univ Galway, JE Cairnes Sch Business &amp; Econ, Mkt Discipline, Galway, Ireland; [Dromgool-Regan, Cushla] Camden Educ, Galway, Ireland; [Burke, Noirin] Galway Atlantaquaria, Galway, Ireland</t>
  </si>
  <si>
    <t>McHugh, P (corresponding author), Univ Galway, JE Cairnes Sch Business &amp; Econ, Mkt Discipline, Galway, Ireland.</t>
  </si>
  <si>
    <t>patricia.mchugh@universityofgalway.ie</t>
  </si>
  <si>
    <t>McHugh, Patricia/0000-0003-1888-8426</t>
  </si>
  <si>
    <t>Marine Institute; Ireland's State Agency</t>
  </si>
  <si>
    <t>. The Explorers Education Programme's Collective Impact Assessment and research,leading to these results, is funded by the Marine Institute, Ireland's State Agency, responsible formarine research and development.</t>
  </si>
  <si>
    <t>[Anonymous], 2010, Curriculum overload in primary schools: Experiences and reflections from the learning site; Dromgool-Regan C., 2018, Social Marketing in a Systems Setting: Examination of Barriers and Solutions to Ocean Literacy in Irish Primary Schools; Fauville G, 2018, MAR POLICY, V91, P85, DOI 10.1016/j.marpol.2018.01.034; Hynes S, 2014, MAR POLICY, V47, P57, DOI 10.1016/j.marpol.2014.02.002; Layton RA, 2015, J MACROMARKETING, V35, P302, DOI 10.1177/0276146714550314; McCauley V, 2019, ENVIRON EDUC RES, V25, P280, DOI 10.1080/13504622.2018.1553234; McHugh P, 2018, SOC MARK Q, V24, P164, DOI 10.1177/1524500418761626; Parkhurst M., 2014, Stanford Social Innovation Review, P17, DOI [DOI 10.48558/BCC5-4275, https://doi.org/10.48558/BCC5-4275]; Rundle-Thiele S, 2022, EUR J MARKETING, V56, P2558, DOI 10.1108/EJM-03-2022-0146; Warfield J.N., 1976, Societal systems: Planning, policy, and complexity; Warfield J.N., 1994, Handbook of Interactive Management</t>
  </si>
  <si>
    <t>Leeds</t>
  </si>
  <si>
    <t>Floor 5, Northspring 21-23 Wellington Street, Leeds, W YORKSHIRE, ENGLAND</t>
  </si>
  <si>
    <t>0309-0566</t>
  </si>
  <si>
    <t>1758-7123</t>
  </si>
  <si>
    <t>EUR J MARKETING</t>
  </si>
  <si>
    <t>Eur. J. Market.</t>
  </si>
  <si>
    <t>2023 DEC 19</t>
  </si>
  <si>
    <t>10.1108/EJM-05-2023-0414</t>
  </si>
  <si>
    <t>DEC 2023</t>
  </si>
  <si>
    <t>Business</t>
  </si>
  <si>
    <t>DA7C3</t>
  </si>
  <si>
    <t>WOS:001129367600001</t>
  </si>
  <si>
    <t>Senevirathne, M; Priyankara, HAC; Amaratunga, D; Haigh, R; Weerasinghe, N; Nawaratne, C; Kaklauskas, A</t>
  </si>
  <si>
    <t>Senevirathne, Malith; Priyankara, H. A. C.; Amaratunga, Dilanthi; Haigh, Richard; Weerasinghe, Nandasiri; Nawaratne, Champa; Kaklauskas, Arturas</t>
  </si>
  <si>
    <t>A capacity needs assessment to integrate MOOC-based climate change education with the higher education institutions in Europe and developing countries in Asia: findings of the focused group survey in PCHEI under the BECK project</t>
  </si>
  <si>
    <t>INTERNATIONAL JOURNAL OF DISASTER RESILIENCE IN THE BUILT ENVIRONMENT</t>
  </si>
  <si>
    <t>Empowerment; Capacity; Education; Knowledge management; Climate change; Sustainable development; Energy efficiency; Higher education; MOOC; Capacity building</t>
  </si>
  <si>
    <t>Purpose The extreme climatic events are a result of modern human lifestyles and activities. Climate literacy is one of the significant factors to redefine aggravated human behaviours related to climate change and energy efficiency. Therefore, education relevant to energy efficiency and climate change is identified as a vital requirement in the present education sector. This study aims to identify existing capacity needs for integrating massive open online courses (MOOC)-based climate education in the partner institutions education systems. Design/methodology/approach The integrating education with consumer behavior relevant to energy efficiency and climate change at the Universities of Russia, Sri Lanka and Bangladesh (BECK) project funded by the Erasmus+ programme aimed to address this research gap by introducing new harmonized MOOC modules to the higher education curricular of four European, five Russian and five Asian higher education institutions (partner country higher education institutions). A series of focus group surveys and workshops were carried out to identify the present capacity development needs relevant to the subject topic. Findings Accordingly, infrastructure development, awareness-raising, curricular development, capacity building, integration and networking, research and development and financial needs have been identified as the key areas requiring capacity development to integrate energy efficiency and climate change into the higher education curricular. The results have recognized that a MOOC system in curricular will allow better opportunities for research, awareness and capacity development initiatives. Research limitations/implications The relevant European best practices can be adopted into the Asian education systems to allow more opportunities in infrastructure, research and networking development. The project continues to implement the MOOC modules in the partner institutions following a contextual research study and a cross-institutional module sharing assessment. Originality/value The research outcomes identify the significant facts for formulating the BECK project objectives, which provide wider opportunity for climate literacy improvements and education initiatives in the partner countries.</t>
  </si>
  <si>
    <t>[Senevirathne, Malith; Amaratunga, Dilanthi; Haigh, Richard] Univ Huddersfield, Global Disaster Resilience Ctr, Huddersfield, W Yorkshire, England; [Priyankara, H. A. C.; Weerasinghe, Nandasiri; Nawaratne, Champa] Univ Ruhuna, Fac Agr, Kamburupitiya, Sri Lanka; [Kaklauskas, Arturas] Vilnius Gediminas Tech Univ, Dept Construct Econ &amp; Property Management, Vilnius, Lithuania</t>
  </si>
  <si>
    <t>University of Huddersfield; University Ruhuna; Vilnius Gediminas Technical University</t>
  </si>
  <si>
    <t>Senevirathne, M (corresponding author), Univ Huddersfield, Global Disaster Resilience Ctr, Huddersfield, W Yorkshire, England.</t>
  </si>
  <si>
    <t>malith.senevirathne@hud.ac.uk</t>
  </si>
  <si>
    <t>Haigh, Richard/H-7455-2016</t>
  </si>
  <si>
    <t>Haigh, Richard/0000-0001-7347-7043; Kaklauskas, Arturas/0000-0001-9800-9158; Senevirathne, Malith/0000-0002-0888-3499; Amaratunga, Dilanthi/0000-0002-1682-5301; Pouri, Rahim/0000-0002-4016-6828</t>
  </si>
  <si>
    <t>European Union Erasmus+ programme for Capacity Building in the field of Higher Education; National Agency</t>
  </si>
  <si>
    <t>The authors would like to acknowledge the support from European Union Erasmus+ programme for Capacity Building in the field of Higher Education for financing the project activites. The content of this research paper is related to the BECK Project and reflects only the author's view. The National Agency and the Commission are not responsible for any use that may be made of the information it contains.</t>
  </si>
  <si>
    <t>ADB, 2017, SRI LANKA COUNTRY PA; Aires L., 2018, CLIMATE LITERACY INN; [Anonymous], 2015, Energy efficiency and conservation master plan up to 2030; [Anonymous], 2009, Climate Literacy: The Essential; Ayers J, 2014, CLIM DEV, V6, P293, DOI 10.1080/17565529.2014.977761; Azeiteiro UM, 2018, CLIMATE LITERACY INN; Barros V R, 2014, CLIMATE CHANGE 2014; Bishop R., 2015, RAISING ENERGY EFFIC; Buckler C., 2014, SHAPING FUTURE WE WA; Burch SL, 2014, WIRES CLIM CHANGE, V5, P577, DOI 10.1002/wcc.300; Caetano F.J., 2018, CLIMATE LITERACY INN, P261, DOI 10.1007/978-3-319-70199-8_15; Chapman S, 2017, LANDSCAPE ECOL, V32, P1921, DOI 10.1007/s10980-017-0561-4; Chirambo D., 2018, CLIMATE LITERACY INN; Conde MA, 2018, TELEMAT INFORM, V35, P551, DOI [10.1016/j.tele.2017.09.012, 10.1016/j.tele.2017.02.001]; Dagnet Y., 2015, STRENGTHEN INSTITUTI; Dewan TH, 2015, WEATHER CLIM EXTREME, V7, P36, DOI 10.1016/j.wace.2014.11.001; Diaz S. M., 2019, GLOBAL ASSESSMENT RE, DOI DOI 10.4337/9781784710644; Dmc S., 2012, HAZARD PROFILES SRI; Dulal HB, 2019, J ENVIRON STUD SCI, V9, P13, DOI 10.1007/s13412-018-0534-1; Economides G., 2018, The Economics of Climate Change; Federal Law, 2015, PUBLIC PRIVATE PARTN, DOI 10.18008/1816-5095-2019-1S-12-20; Fuchs R, 2011, ENVIRON URBAN ASIA, V2, P13, DOI 10.1177/097542531000200103; Gaebel Michael., 2014, E LEARNING EUROPEAN; Klimova A, 2016, J CLEAN PROD, V135, P223, DOI 10.1016/j.jclepro.2016.06.032; Lanka S.D.C.O.S., 2017, SRI LANKA SUSTAINABL; MEWRSL, 2015, NATL CLIMATE CHANGE; Mitrova Tatiana, 2019, Energy Transitions, V3, P73, DOI 10.1007/s41825-019-00016-8; MMDESL, 2016, NATL ADAPTATION PLAN; MoEF, 2009, BANGLADESH CLIMATE C; Moef, 2005, NATL ADAPTATION PROG; Nicholls R.J., 2007, OECD ENV WORKING PAP; Pandey U.C., 2018, CLIMATE LITERACY INN, P193; Perelet R.P., 2008, CLIMATE CHANGE RUSSI; Rahmasary AN, 2019, ENVIRON MANAGE, V63, P520, DOI 10.1007/s00267-019-01137-y; Trenberth KE, 2012, J GEOPHYS RES-ATMOS, V117, DOI 10.1029/2012JD018020; UN-HABITAT, 2018, The state of Sri Lankan cities report; UNDP, 2009, POLICY STUDY PROBABL; UNDRR, 2022, GLOB ASS REP DIS RIS; UNESCO, 2019, ED 2019 WS 64 REV; UNESCO, 2013, EFFECTIVE CAPACITY D; Wheeler, 2013, NEW INFORMAL WAYS LE, P10; Yazdi SK, 2019, ECON RES-EKON ISTRAZ, V32, P510, DOI 10.1080/1331677X.2018.1556107</t>
  </si>
  <si>
    <t>1759-5908</t>
  </si>
  <si>
    <t>1759-5916</t>
  </si>
  <si>
    <t>INT J DISASTER RESIL</t>
  </si>
  <si>
    <t>Int. J. Disaster Resil. Built Environ.</t>
  </si>
  <si>
    <t>NOV 18</t>
  </si>
  <si>
    <t>10.1108/IJDRBE-07-2020-0074</t>
  </si>
  <si>
    <t>XA0UM</t>
  </si>
  <si>
    <t>WOS:000604725200001</t>
  </si>
  <si>
    <t>Ceccaroni, L; Woods, SM; Butkeviciene, E; Parkinson, S; Sprinks, J; Costa, P; Simis, SGH; Lessin, G; Linan, S; Companys, B; Bonfill, E; Piera, J</t>
  </si>
  <si>
    <t>Ceccaroni, Luigi; Woods, Sasha M.; Butkeviciene, Egle; Parkinson, Stephen; Sprinks, James; Costa, Pedro; Simis, Stefan G. H.; Lessin, Gennadi; Linan, Sonia; Companys, Berta; Bonfill, Elisabet; Piera, Jaume</t>
  </si>
  <si>
    <t>The Role of Citizen Science in Promoting Ocean and Water Literacy in School Communities: The ProBleu Methodology</t>
  </si>
  <si>
    <t>education; schools; ocean literacy; citizen science; SDGs</t>
  </si>
  <si>
    <t>Human activities continue to degrade oceanic, coastal and inland waters. The generational change in the role of society in actively looking after the health of water resources can be achieved through the expansion of ocean and water literacy in schools. The Network of European Blue Schools established under the EU4Ocean Coalition for Ocean Literacy has improved ocean and water literacy; however, this Network needs to grow and be supported. Here, we present ProBleu, a recently funded EU project that will expand and support the Network, partly through the use of citizen science. The core of the proposed methodology is facilitating school activities related to ocean and water literacy through funding calls to sustain and enrich current school activities, and kick-start and support new activities. The outcomes of the project are anticipated to have widespread and long-term impacts across society, and oceanic, coastal and inland water environments.</t>
  </si>
  <si>
    <t>[Ceccaroni, Luigi; Woods, Sasha M.; Parkinson, Stephen; Sprinks, James] Earthwatch Europe, Oxford, England; [Butkeviciene, Egle] Kaunas Univ Technol, Fac Social Sci Arts &amp; Humanities, LT-44249 Kaunas, Lithuania; [Costa, Pedro] INOVA Innovat Serv, P-4450309 Matosinhos, Portugal; [Simis, Stefan G. H.; Lessin, Gennadi] Plymouth Marine Lab, Plymouth PL1 3DH, England; [Linan, Sonia; Companys, Berta; Bonfill, Elisabet; Piera, Jaume] Spanish Res Council ICM CSIC, EMBIMOS Grp, Inst Marine Sci, Barcelona 08003, Spain</t>
  </si>
  <si>
    <t>Kaunas University of Technology; Plymouth Marine Laboratory; Consejo Superior de Investigaciones Cientificas (CSIC); CSIC - Centro Mediterraneo de Investigaciones Marinas y Ambientales (CMIMA); CSIC - Instituto de Ciencias del Mar (ICM)</t>
  </si>
  <si>
    <t>Ceccaroni, L (corresponding author), Earthwatch Europe, Oxford, England.</t>
  </si>
  <si>
    <t>lceccaroni@earthwatch.org.uk; swoods@earthwatch.org.uk; egle.butkeviciene@ktu.lt; sparkinson@earthwatch.org.uk; jsprinks@earthwatch.org.uk; pedro.costa@inova.business; si@pml.ac.uk; gle@pml.ac.uk; slinan@icm.csic.es; berta.companys@icm.csic.es; eli.bonfillmolina@gmail.com; jpiera@icm.csic.es</t>
  </si>
  <si>
    <t>Lessin, Gennadi/KJL-3725-2024; Parkinson, Stephen/KVY-1484-2024; Butkeviciene, Egle/G-4527-2017; Piera, Jaume/I-1152-2015</t>
  </si>
  <si>
    <t>Parkinson, Stephen/0000-0002-9493-7472; Butkeviciene, Egle/0000-0002-5631-360X; Sprinks, James/0000-0003-3781-5484; Piera, Jaume/0000-0001-5818-9836; Simis, Stefan/0000-0002-6296-9146; Companys, Berta/0009-0005-0996-3748; Ceccaroni, Luigi/0000-0002-3116-0811; Linan, Sonia/0000-0003-0431-4683</t>
  </si>
  <si>
    <t>European Union's Horizon Europe research and innovation programme [101113001]; UK Research and Innovation (UKRI) under the UK government [10082336]</t>
  </si>
  <si>
    <t>European Union's Horizon Europe research and innovation programme; UK Research and Innovation (UKRI) under the UK government</t>
  </si>
  <si>
    <t>ProBleu has received funding from the European Union's Horizon Europe research and innovation programme under the grant agreement No. 101113001, and from UK Research and Innovation (UKRI) under the UK government's Horizon Europe funding guarantee, grant number 10082336.</t>
  </si>
  <si>
    <t>Andriamahefazafy M, 2022, OCEAN COAST MANAGE, V227, DOI 10.1016/j.ocecoaman.2022.106273; [Anonymous], 2000, Official Journal of the European Communities; [Anonymous], 2005, The Journal of Environmental Education, DOI [10.3200/JOEE.36.3.39-50, DOI 10.3200/JOEE.36.3.39-50]; Ceccaroni L, 2017, ADV KNOWL ACQUISITIO, P1, DOI 10.4018/978-1-5225-0962-2.ch001; citizenscience, US; Clark H, 2020, LANCET, V395, P605, DOI 10.1016/S0140-6736(19)32540-1; Copejans E., 2020, HDB TEACHERS; cost, about us; ecs, US; edu-arctic.eu, US; eosc-portal.eu, US; eu-citizen.science, US; European Union, NETW EUR BLUE SCH; European Union, EU4OCEAN COAL; European Union, 2008, Official Journal of the European Union; Foster M.K., 2019, Management Teaching Review, DOI DOI 10.1177/2379298119871468; Fraisl D, 2020, SUSTAIN SCI, V15, P1735, DOI 10.1007/s11625-020-00833-7; Freshwaterecology, About us; Gaskell A., 2017, ENCY ED PHILOS THEOR, DOI [10.1007/978-981-287-588-4_215, DOI 10.1007/978-981-287-588-4_215]; Hadjimichael M., 2018, Marine Policy, V94, P158, DOI [DOI 10.1016/J.MARPOL.2018.05.007, 10.1016/J.MARPOL.2018.05.007]; Hildén M, 2011, J CLEAN PROD, V19, P1798, DOI 10.1016/j.jclepro.2011.05.004; Johnson Laurence F., 2009, Technical report; Kelly R, 2022, REV FISH BIOL FISHER, V32, P123, DOI 10.1007/s11160-020-09625-9; Mominó JM, 2017, ADV KNOWL ACQUISITIO, P192, DOI 10.4018/978-1-5225-0962-2.ch009; oceanliteracy.unesco.org, US; Paleco C., 2021, The Science of Citizen Science, V1, P261, DOI [10.1007/978-3-030-58278-4_14, DOI 10.1007/978-3-030-58278-4_14, 10.1007/978-3-030-58278-414, DOI 10.1007/978-3-030-58278-414]; Parrish JK, 2019, P NATL ACAD SCI USA, V116, P1894, DOI 10.1073/pnas.1807186115; Pateman R.M., 2021, Citizen Science: Theory and Practice, V6, P9, DOI [DOI 10.5334/CSTP.369, 10.5334/CSTP.369]; Pérez-Sánchez EO, 2023, MANAGE EDUC-UK, V37, P119, DOI 10.1177/0892020620969868; Phillips TB, 2019, SCI EDUC, V103, P665, DOI 10.1002/sce.21501; Pocock MJO, 2019, J APPL ECOL, V56, P274, DOI 10.1111/1365-2664.13279; Rasmussen P., 2022, NORD J STUD ED POLIC, V8, P65, DOI [10.1080/20020317.2021.2018786, DOI 10.1080/20020317.2021.2018786]; Rotman D., 2014, Does motivation in citizen science change with time and culture?, P229, DOI [DOI 10.1145/2556420.2556492, 10.1145/2556420.2556492]; Souder L, 2011, LEARN PUBL, V24, P55, DOI 10.1087/20110109; Su JH, 2023, ECNU REV EDUC, V6, P355, DOI 10.1177/20965311231168423; Toomey AH, 2013, HUM ECOL REV, V20, P50; Tsiripidis I., 2017, EUROPEAN RED LIST HA, DOI DOI 10.2779/091372; UN-Water, 2021, 2021 SUMM PROGR UPD; Vohland K., 2021, The science of citizen science, V1A, DOI [DOI 10.1007/978-3-030-58278-4, 10.1007/978-3-030-58278-4]; Wam HK, 2022, PLOS ONE, V17, DOI 10.1371/journal.pone.0266655; Wichmann CS, 2022, MAR POLICY, V141, DOI 10.1016/j.marpol.2022.105035; Wilkinson MD, 2016, SCI DATA, V3, DOI 10.1038/sdata.2016.18; Wu J, 2021, J SCI EDUC TECHNOL, V30, P529, DOI 10.1007/s10956-020-09897-7; Young JC, 2018, METHODS ECOL EVOL, V9, P10, DOI 10.1111/2041-210X.12828</t>
  </si>
  <si>
    <t>10.3390/su151411410</t>
  </si>
  <si>
    <t>N4CL4</t>
  </si>
  <si>
    <t>WOS:001036509900001</t>
  </si>
  <si>
    <t>Shepardson, DP; Niyogi, D; Choi, S; Charusombat, U</t>
  </si>
  <si>
    <t>Shepardson, Daniel P.; Niyogi, Dev; Choi, Soyoung; Charusombat, Umarporn</t>
  </si>
  <si>
    <t>Students' conceptions about the greenhouse effect, global warming, and climate change</t>
  </si>
  <si>
    <t>SCHOOL-STUDENTS; CONSEQUENCES; EDUCATION; CHILDREN; MODELS; IDEAS</t>
  </si>
  <si>
    <t>The purpose of this study was to investigate students' conceptions of the greenhouse effect, global warming, and climate change. The study was descriptive in nature and reflected a cross-age design involving the collection of qualitative data from 51 secondary students from three different schools in the Midwest, USA. These data were analyzed for content in an inductive manner to identify student's conceptions. The categories that emerged from the students' responses reflected different degrees of sophistication of students' conceptions about the greenhouse effect, global warming, and climate change. Based on these findings we make curricular recommendations that build on the students' conceptions, the IPCC Findings, the NRC (1996) science education standards, and NOAA's climate literacy framework.</t>
  </si>
  <si>
    <t>[Shepardson, Daniel P.; Choi, Soyoung] Purdue Univ, Dept Curriculum &amp; Instruct, W Lafayette, IN 47907 USA; [Shepardson, Daniel P.; Niyogi, Dev; Charusombat, Umarporn] Purdue Univ, Dept Earth &amp; Atmospher Sci, W Lafayette, IN 47907 USA</t>
  </si>
  <si>
    <t>Purdue University System; Purdue University; Purdue University System; Purdue University</t>
  </si>
  <si>
    <t>Shepardson, DP (corresponding author), Purdue Univ, Dept Curriculum &amp; Instruct, 100 N Univ St, W Lafayette, IN 47907 USA.</t>
  </si>
  <si>
    <t>dshep@purdue.edu</t>
  </si>
  <si>
    <t>Niyogi, Dev/H-6326-2013; Niyogi, Dev/ABE-7554-2020</t>
  </si>
  <si>
    <t>Niyogi, Dev/0000-0002-1848-5080; Niyogi, Dev/0000-0002-1848-5080</t>
  </si>
  <si>
    <t>National Science Foundation (NSF) [Geo 0606922]; Directorate For Geosciences; Div Atmospheric &amp; Geospace Sciences [0847472] Funding Source: National Science Foundation</t>
  </si>
  <si>
    <t>National Science Foundation (NSF)(National Science Foundation (NSF)); Directorate For Geosciences; Div Atmospheric &amp; Geospace Sciences(National Science Foundation (NSF)NSF - Directorate for Geosciences (GEO))</t>
  </si>
  <si>
    <t>The work reported in this manuscript was supported by the National Science Foundation (NSF), award number Geo 0606922. The opinions, findings, and conclusions or recommendations expressed in this paper are those of the authors and do not necessarily reflect the views of the NSF.</t>
  </si>
  <si>
    <t>Alerby E., 2000, ENVIRON EDUC RES, V6, P205, DOI [10.1080/13504620050076713, DOI 10.1080/13504620050076713]; ANDERSON S, 1993, INT J SCI EDUC, V15, P473, DOI 10.1080/0950069930150502; Andersson B, 2000, J RES SCI TEACH, V37, P1096, DOI 10.1002/1098-2736(200012)37:10&lt;1096::AID-TEA4&gt;3.0.CO;2-8; [Anonymous], 1998, AUST J ENVIRON EDUC, DOI DOI 10.1017/S0814062600003918; [Anonymous], 1996, National science education standards, DOI DOI 10.17226/4962; Barraza L., 1999, Environmental Education Research, V5, P49, DOI DOI 10.1080/1350462990050103; Bonnett M., 1998, CAMB J EDUC, V28, P159; Boyes E, 1999, SCI EDUC, V83, P724, DOI 10.1002/(SICI)1098-237X(199911)83:6&lt;724::AID-SCE5&gt;3.0.CO;2-P; BOYES E, 1994, GLOBAL ENVIRON CHANG, V4, P311, DOI 10.1016/0959-3780(94)90031-0; BOYES E, 1993, INT J SCI EDUC, V15, P531, DOI 10.1080/0950069930150507; Boyes E., 1997, RES SCI TECHNOL EDUC, V15, P19, DOI [https://doi.org/10.1080/0263514970150102, DOI 10.1080/0263514970150102]; Boyes E., 1998, J ENVIRON EDUC, V29, P31, DOI DOI 10.1080/00958969809599110; Boyes E., 1993, J SCI EDUC TECHNOL, V2, P541, DOI DOI 10.1007/BF00695323; Dahlberg S., 2001, Canadian Journal of Environmental Education, V6, P9; Driver R., 1985, CHILDRENS IDEAS SCI, P1; Driver R., 1996, YOUNG PEOPLES IMAGES; Driver R., 1994, MAKING SENSE SECONDA; *EARTH SCI LIT INI, 2009, EARTH SCI LIT PRINC; Erickson F., 1986, Handbook of research on teaching, P119; Erlandson D.A., 1993, DOING NATURALISTIC I; Fisher B., 1998, AUSTR SCI J, V44, P46, DOI DOI 10.3316/AEIPT.91058; Gowda MVR, 1997, B AM METEOROL SOC, V78, P2232; Holstein J.A., 1994, HDB QUALITATIVE RES, P262; Intergovernmental Panel on Climate Change, 2007, CLIM CHANG 2007 PHYS; Kilinc A., 2008, INT J ENV SCI ED, V3, P89; Kirk J., 1986, QUALITATIVE RES METH, V1; Koulaidis V, 1999, SCI EDUC, V83, P559, DOI 10.1002/(SICI)1098-237X(199909)83:5&lt;559::AID-SCE4&gt;3.0.CO;2-E; Kress G., 2001, Multimodal teaching and learning: Rhetorics of the science classroom; Lincoln Y. S., 1985, NATURALISTIC INQUIRY, DOI DOI 10.1016/0147-1767(85)90062-8; MANDUCA C, 2002, WORKSH SPONS NAT SCI; *NAT OC ATM ADM, 2007, CLIM LIT ESS PRINC F; Osborne R., 1985, Learning in science: The implications of children's science, P5; Österlind K, 2005, INT J SCI EDUC, V27, P891, DOI 10.1080/09500690500038264; Patton MQ, 2002, QUALITATIVE RES EVAL; Pruneau D., 2003, Environmental Education Research, V9, P429, DOI DOI 10.1080/1350462032000126096; Pruneau D., 2001, CAN J ENVIRON EDUC, V6, P58; Rickinson M., 2001, ENVIRON EDUC RES, V7, P207, DOI [10.1080/13504620120065230, DOI 10.1080/13504620120065230]; Rubin H., 2012, QUALITATIVE INTERVIE; Rye JA, 1997, INT J SCI EDUC, V19, P527, DOI 10.1080/0950069970190503; Schwandt TA., 1994, HDB QUALITATIVE RES, P118; Simmons D., 1994, CHILDRENS ENV, V11, P194; Strauss A. L., 1987, QUALITATIVE ANAL SOC; VOSNIADOU S, 1992, COGNITIVE PSYCHOL, V24, P535, DOI 10.1016/0010-0285(92)90018-W; White R.T., 1992, PROBING UNDERSTANDIN</t>
  </si>
  <si>
    <t>10.1007/s10584-009-9786-9</t>
  </si>
  <si>
    <t>706FV</t>
  </si>
  <si>
    <t>WOS:000286204300005</t>
  </si>
  <si>
    <t>Chen, JC; Yeh, SC; Chen, HW; Chen, H</t>
  </si>
  <si>
    <t>Zheng, F</t>
  </si>
  <si>
    <t>Chen, Jeng-Chung; Yeh, Shin-Cheng; Chen, Ho-Wen; Chen, Han</t>
  </si>
  <si>
    <t>A Computer Game Designed for Helping Kids to Make Informed Energy Decision</t>
  </si>
  <si>
    <t>PROCEEDINGS OF THE 2013 INTERNATIONAL CONFERENCE ON ADVANCED COMPUTER SCIENCE AND ELECTRONICS INFORMATION (ICACSEI 2013)</t>
  </si>
  <si>
    <t>Advances in Intelligent Systems Research</t>
  </si>
  <si>
    <t>International Conference on Advanced Computer Science and Electronics Information (ICACSEI)</t>
  </si>
  <si>
    <t>JUL 25-26, 2013</t>
  </si>
  <si>
    <t>Beijing, PEOPLES R CHINA</t>
  </si>
  <si>
    <t>Education; Computer Game; Energy Decision</t>
  </si>
  <si>
    <t>MANAGEMENT; SCALE; TOOL</t>
  </si>
  <si>
    <t>Education has very good role to make a good civilian. Current global issues such as climate change, energy crisis, and environmental sustainability highlight the need to energy education. Without a basic understanding of energy, people cannot make informed decisions on topics ranging from energy use at home to national energy policy. People with energy literacy can understand the nature and role of energy in the world and in our lives. They will also know how much energy he or she uses, for what purpose, and where the energy comes from. The task of this study was to draw out the responsibility of kids to energy use and to teach them energy literacy by using the simulation of computer game. This computer game removed the obstacle in front of realizing energy topics and made kids' participating the learning of energy issues active. Through a teaching test at Hualien Zhong Zheng elementary school, kids who ever experienced this computer game were more patient with all points of view. Eventually they will apply this understanding to make informed energy decisions.</t>
  </si>
  <si>
    <t>[Chen, Jeng-Chung; Chen, Han] Fooyin Univ, Dept Environm Engn &amp; Sci, Kaohsiung, Taiwan</t>
  </si>
  <si>
    <t>Fooyin University</t>
  </si>
  <si>
    <t>Chen, JC (corresponding author), Fooyin Univ, Dept Environm Engn &amp; Sci, Kaohsiung, Taiwan.</t>
  </si>
  <si>
    <t>chukong@ms4.hinet.net</t>
  </si>
  <si>
    <t>Brown A., 2007, IEA BIOENERGY; Chen J.C., 2011, COMBUSTION Q, V20, P57; Cheng V, 2011, ENVIRON MODELL SOFTW, V26, P1186, DOI 10.1016/j.envsoft.2011.04.005; Drozdz M, 2003, APPL ENERG, V76, P267, DOI 10.1016/S0306-2619(03)00067-9; Huang CJ, 2011, COMPUT EDUC, V57, P1270, DOI 10.1016/j.compedu.2011.01.013; Jenkins BM, 1997, BIOMASS BIOENERG, V13, P1, DOI 10.1016/S0961-9534(97)00085-8; Liu CC, 2011, COMPUT EDUC, V57, P1907, DOI 10.1016/j.compedu.2011.04.002; Mustajoki J, 2004, ENVIRON MODELL SOFTW, V19, P537, DOI 10.1016/j.envsoft.2003.07.002; Ning S. K., 2011, INT J ENERG IN PRESS; Raiyn J., 2011, ADV INTERNET THINGS, V1, P1; Souchère V, 2010, ENVIRON MODELL SOFTW, V25, P1359, DOI 10.1016/j.envsoft.2009.03.002; Yuda M, 2011, PROCD SOC BEHV, V21, DOI 10.1016/j.sbspro.2011.07.045; Zhu X, 2001, ENVIRON MODELL SOFTW, V16, P251, DOI 10.1016/S1364-8152(00)00082-7</t>
  </si>
  <si>
    <t>ATLANTIS PRESS</t>
  </si>
  <si>
    <t>PARIS</t>
  </si>
  <si>
    <t>29 AVENUE LAVMIERE, PARIS, 75019, FRANCE</t>
  </si>
  <si>
    <t>1951-6851</t>
  </si>
  <si>
    <t>978-90-78677-74-1</t>
  </si>
  <si>
    <t>ADV INTEL SYS RES</t>
  </si>
  <si>
    <t>BID53</t>
  </si>
  <si>
    <t>WOS:000327726600101</t>
  </si>
  <si>
    <t>Colston, NM; Thomas, J</t>
  </si>
  <si>
    <t>Colston, Nicole M.; Thomas, Julie</t>
  </si>
  <si>
    <t>Climate change skeptics teach climate literacy? A critical discourse analysis of children's books</t>
  </si>
  <si>
    <t>JCOM-JOURNAL OF SCIENCE COMMUNICATION</t>
  </si>
  <si>
    <t>Environmental communication; Science and media; Science education</t>
  </si>
  <si>
    <t>CHANGE SCIENCE; UNCERTAINTY; MOVEMENTS</t>
  </si>
  <si>
    <t>This critical discourse analysis examined climate change denial books intended for children and parents as examples of pseudo-educational materials reproduced within the conservative echo chamber in the United States. Guided by previous excavations in climate change denial discourses, we identified different types of skepticism, policy frames, contested scientific knowledge, and uncertainty appeals. Findings identify the ways these children's books introduced a logic of non-problematicity about environmental problems bolstered by contradictory forms of climate change skepticism and polarizing social-conflict frames. These results pose pedagogical dilemmas for educators, environmental advocates, and communication experts interested in advancing understanding and action in the face of rapid climate change.</t>
  </si>
  <si>
    <t>[Colston, Nicole M.] Oklahoma State Univ, Ctr Res STEM Teaching &amp; Learning, Stillwater, OK 74078 USA; [Thomas, Julie] Univ Nebraska Lincoln, Lincoln, NE USA</t>
  </si>
  <si>
    <t>Oklahoma State University System; Oklahoma State University - Stillwater; University of Nebraska System; University of Nebraska Lincoln</t>
  </si>
  <si>
    <t>Colston, NM (corresponding author), Oklahoma State Univ, Ctr Res STEM Teaching &amp; Learning, Stillwater, OK 74078 USA.</t>
  </si>
  <si>
    <t>nicole.colston@okstate.edu; julie.thomas@unl.edu</t>
  </si>
  <si>
    <t>Al Sonja Schmidt, 2008, A SCHMIDT FOX BUSINE; [Anonymous], FRONTLINE; [Anonymous], DESIGNING CONDUCTING; [Anonymous], 2011, The Oxford handbook of climate change and society; [Anonymous], THESIS; Antilla L, 2005, GLOBAL ENVIRON CHANG, V15, P338, DOI 10.1016/j.gloenvcha.2005.08.003; Backstrand Karin., 2007, SOCIAL CONSTRUCTION, P123; Benford RD, 2000, ANNU REV SOCIOL, V26, P611, DOI 10.1146/annurev.soc.26.1.611; Bennett J. O., 2011, WIZARD WHO SAVED WOR; Besel RD, 2011, SOUTH COMMUN J, V76, P120, DOI 10.1080/10417941003642403; Boykoff MT, 2004, GLOBAL ENVIRON CHANG, V14, P125, DOI 10.1016/j.gloenvcha.2003.10.001; Bozdogan AE, 2011, TURK ONLINE J EDUC T, V10, P218; Buttel FH, 1996, RURAL SOCIOL, V61, P56, DOI 10.1111/j.1549-0831.1996.tb00610.x; Buttel FH, 2000, GEOFORUM, V31, P57, DOI 10.1016/S0016-7185(99)00044-5; Carvalho A, 2010, WIRES CLIM CHANGE, V1, P172, DOI 10.1002/wcc.13; Ceccarelli L., 2011, SHAPING SCI RHETORIC; Ceccarelli L, 2011, RHETOR PUBLIC AFF, V14, P195, DOI 10.1353/rap.2010.0222; Cherry L., 2008, WE KNOW WHAT WE KNOW; Colston NM, 2015, GEOFORUM, V65, P255, DOI 10.1016/j.geoforum.2015.08.006; Colston NM, 2015, J EDUC POLICY, V30, P773, DOI 10.1080/02680939.2015.1011711; Cook J., 2009, SCI GUIDE SKEPTICS H; Cook J., 2011, The debunking handbook; Cooper CB, 2011, BIOSCIENCE, V61, P231, DOI 10.1525/bio.2011.61.3.8; Doyle J, 2011, ENVIRON SOCIOL, P1; Dugan A., 2015, CONSERVATIVE REPUBLI; Dunlap RileyE., 2010, The Routledge Handbook of Climate Change and Society, P240; Farrell J, 2015, NAT CLIM CHANGE, V5, P719, DOI 10.1038/nclimate2732; Fretwell H., 2007, The sky's not falling! Why it's OK to chill about global warming; Fretwell H., 2009, PERC REPORTS; Freudenburg W. R., 2000, SOCIAL CONSTRUCTIONS; Glaser B. G., 2009, DISCOV GROUNDED THEO; Hansen A, 2008, DISCOURSE STUD, V10, P777, DOI 10.1177/1461445608098200; Hendrickx M., 2008, WERE NOT SCARED ANYM; Hendrickx M., 2008, WE ARE NOT SCARED AN; Hoffman AJ, 2011, ORGAN ENVIRON, V24, P3, DOI 10.1177/1086026611404336; Johnson R.M., 2011, Climate change education in K-12: Teacher preparation, understanding, needs and concerns; Kahan DM, 2011, J RISK RES, V14, P147, DOI 10.1080/13669877.2010.511246; Knain E., 2015, SCI LITERACY PARTICI, DOI [10.1007/978-94-6209-896-1, DOI 10.1007/978-94-6209-896-1]; Lambert JL, 2012, INT J SCI EDUC, V34, P1167, DOI 10.1080/09500693.2011.633938; Latour B, 1996, SOZ WELT, V47, P369; Lemke J., 1993, READING SCI CRITICAL, P87; McBean G.A., 2000, CAN J ENVIRON EDUC, V5, P9; McCaffrey MS, 2008, PHYS GEOGR, V29, P512, DOI 10.2747/0272-3646.29.6.512; McCright AM, 2000, SOC PROBL, V47, P499, DOI 10.1525/sp.2000.47.4.03x0305s; Meehan CR, 2018, SCI EDUC, V102, P498, DOI 10.1002/sce.21338; Monroe MC, 2019, ENVIRON EDUC RES, V25, P791, DOI 10.1080/13504622.2017.1360842; Nathan S. W., 1951, CHICKEN LITTLE; National Center for Science Education, 2013, NGSS AD UPD; National Center for Science Education, 2012, CLIM CHANG DEN IS AF; Nisbet MC, 2009, ENVIRONMENT, V51, P12, DOI 10.3200/ENVT.51.2.12-23; Norton T, 2011, J APPL COMMUN RES, V39, P290, DOI 10.1080/00909882.2011.585397; Nova Jonanne., 2009, SKEPTICS HDB; Okimoto JD., 2013, WINSTON CHURCHILL ON; Oreskes N., 2010, Merchants of Doubt; Peterson TC, 2008, B AM METEOROL SOC, V89, P1325, DOI 10.1175/2008BAMS2370.1; Rahmstorf S., 2004, Weather Catastrophes and Climate Change, P76; Reardon S, 2011, SCIENCE, V333, P688, DOI 10.1126/science.333.6043.688; Reitan R, 2012, GLOBALIZATIONS, V9, P395, DOI 10.1080/14747731.2012.680735; Robinson M., 2008, AMERICA DEBATES GLOB; Rousell D, 2017, EDUC STUD-AESA, V53, P654, DOI 10.1080/00131946.2017.1369086; Schmidt A. S., 2008, DEB SEBYS REAL DEAL; Shackley S, 1996, SCI TECHNOL HUM VAL, V21, P275, DOI 10.1177/016224399602100302; Sharman A, 2017, PUBLIC UNDERST SCI, V26, P826, DOI 10.1177/0963662516632453; Truong-White H., 2015, Canadian Journal of Education, V38, P1; Wainwright J, 2013, ANTIPODE, V45, P1, DOI 10.1111/j.1467-8330.2012.01018.x; Weart S, 2011, B ATOM SCI, V67, P41, DOI 10.1177/0096340210392966; Wijnants ML, 2013, FRONT PHYSIOL, V3, DOI 10.3389/fphys.2012.00495; Wodak R., 2015, METHODS CRITICAL DIS</t>
  </si>
  <si>
    <t>SCUOLA INT SUPERIORE STUDI AVANZATI-S I S S A-INT SCH ADVANCED STUDIES</t>
  </si>
  <si>
    <t>TRIESTE</t>
  </si>
  <si>
    <t>VIA BEIRUT 2-4, TRIESTE, 34014, ITALY</t>
  </si>
  <si>
    <t>1824-2049</t>
  </si>
  <si>
    <t>JCOM-J SCI COMMUN</t>
  </si>
  <si>
    <t>JCOM-J. Sci. Commun.</t>
  </si>
  <si>
    <t>A02</t>
  </si>
  <si>
    <t>10.22323/2.18040202</t>
  </si>
  <si>
    <t>Communication</t>
  </si>
  <si>
    <t>IT5FG</t>
  </si>
  <si>
    <t>WOS:000482887300002</t>
  </si>
  <si>
    <t>Fortmann, L; Beaudoin, J; Rajbhandari, I; Wright, A; Neshyba, S; Rowe, P</t>
  </si>
  <si>
    <t>Fortmann, Lea; Beaudoin, Justin; Rajbhandari, Isha; Wright, Aedin; Neshyba, Steven; Rowe, Penny</t>
  </si>
  <si>
    <t>Teaching modules for estimating climate change impacts in economics courses using computational guided inquiry</t>
  </si>
  <si>
    <t>JOURNAL OF ECONOMIC EDUCATION</t>
  </si>
  <si>
    <t>active learning; climate change; economic modeling; environmental economics; guided inquiry; Microsoft Excel; real-world data; urban and regional economics</t>
  </si>
  <si>
    <t>PRINCIPLES; CLASSROOM</t>
  </si>
  <si>
    <t>The authors of this article introduce two teaching modules that aim to increase climate literacy and active learning in undergraduate economics courses through the incorporation of real-world data and modeling. These modules are based on the concept of computational guided inquiry (CGI), which combines a guided inquiry approach within a computational framework, such as Excel. In one module, students estimate and graph expected marginal damages due to regional sea level rise for various polar ice melt scenarios. In the second module, students partially replicate a journal article estimating the total economic value of ecosystem services in the Arctic. These modules have been used in urban, environmental, and climate change economics courses, and are ready to be implemented with minimal upfront cost to instructors.</t>
  </si>
  <si>
    <t>[Fortmann, Lea; Rajbhandari, Isha; Wright, Aedin; Neshyba, Steven] Univ Puget Sound, Econ Dept, 1500 North Warner St, Tacoma, WA 98416 USA; [Beaudoin, Justin] Acadia Univ, Econ Dept, Wolfville, NS, Canada; [Rowe, Penny] NorthWest Res Associates, Redmond, WA USA</t>
  </si>
  <si>
    <t>Acadia University; NorthWest Research Associates</t>
  </si>
  <si>
    <t>Fortmann, L (corresponding author), Univ Puget Sound, Econ Dept, 1500 North Warner St, Tacoma, WA 98416 USA.</t>
  </si>
  <si>
    <t>lfortmann@pugetsound.edu</t>
  </si>
  <si>
    <t>National Science Foundation [271033]</t>
  </si>
  <si>
    <t>This work was supported by the National Science Foundation under Grant 271033.</t>
  </si>
  <si>
    <t>[Anonymous], 2003, INT REV ECON EDUC, DOI DOI 10.1016/S1477-3880(15)30212-7; [Anonymous], 2007, RES BASED REFORM U P; [Anonymous], 1996, NAT SCI ED STAND, DOI DOI 10.17226/4962; Balaban RA, 2016, J ECON EDUC, V47, P269, DOI 10.1080/00220485.2016.1213679; Barreto H, 2009, INTERMEDIATE MICROECONOMICS WITH MICROSOFT EXCEL, P1; Barreto H, 2015, J ECON EDUC, V46, P300, DOI 10.1080/00220485.2015.1029177; Becker WilliamE., 2004, INT REV ECON EDUC, V3, P52; Burt R., 2005, BROKERAGE CLOSURE; Deslauriers L, 2011, SCIENCE, V332, P862, DOI 10.1126/science.1201783; Dori YJ, 1999, J RES SCI TEACH, V36, P411, DOI 10.1002/(SICI)1098-2736(199904)36:4&lt;411::AID-TEA2&gt;3.0.CO;2-E; Emerson TLN, 2004, SOUTH ECON J, V70, P672, DOI 10.2307/4135338; Gautier C., 2005, J GEOSCIENCE ED, V53, P432; Goffe WL, 2014, J ECON EDUC, V45, P360, DOI 10.1080/00220485.2014.946547; Hansen WL, 2002, AM ECON REV, V92, P463, DOI 10.1257/000282802320191813; Kvam PH, 2000, AM STAT, V54, P136, DOI 10.2307/2686032; Lage MJ, 2000, J ECON EDUC, V31, P30, DOI 10.2307/1183338; Leiserowitz A., 2016, Politics and global warming, Spring 2016; Marlon J., 2018, YALE CLIMATE OPINION; Martin-Hauser L., 2002, The Science Teacher, V69, P34; Moon B.-K., 2007, GUARDIAN; O'Garra T, 2017, ECOSYST SERV, V24, P180, DOI 10.1016/j.ecoser.2017.02.024; Olar M., 2011, Evidence of the Socio-Economic Importance of Polar Bears for Canada; Ryken A.E., 2016, Teacher Education Quarterly, V43, P31; Salemi MK, 2005, INT REV ECON EDUC, V4, P46, DOI 10.1016/S1477-3880(15)30132-8; Simkins S, 2004, SOC SCI COMPUT REV, V22, P444, DOI 10.1177/0894439304268643; Walstad W, 1999, AM ECON REV, V89, P350, DOI 10.1257/aer.89.2.350; Wiggins G., 1998, Understanding by design, P13; Yamarik S, 2007, J ECON EDUC, V38, P259, DOI 10.3200/JECE.38.3.259-277</t>
  </si>
  <si>
    <t>0022-0485</t>
  </si>
  <si>
    <t>2152-4068</t>
  </si>
  <si>
    <t>J ECON EDUC</t>
  </si>
  <si>
    <t>J. Econ. Educ.</t>
  </si>
  <si>
    <t>10.1080/00220485.2020.1731383</t>
  </si>
  <si>
    <t>Economics; Education &amp; Educational Research</t>
  </si>
  <si>
    <t>Business &amp; Economics; Education &amp; Educational Research</t>
  </si>
  <si>
    <t>LP8VY</t>
  </si>
  <si>
    <t>WOS:000534596500004</t>
  </si>
  <si>
    <t>Davies, AR; Hügel, S; Norman, A; Ryan, G</t>
  </si>
  <si>
    <t>Davies, Anna R.; Hugel, Stephan; Norman, Alison; Ryan, Grainne</t>
  </si>
  <si>
    <t>Climate Smart: geography, place and climate change adaptation education</t>
  </si>
  <si>
    <t>GEOGRAPHY</t>
  </si>
  <si>
    <t>climate change; adaptation; education; serious games; place-based learning</t>
  </si>
  <si>
    <t>Geographical education provides a unique space for supporting climate literacy and action. In this article we present a novel place-based online educational resource platform - Climate Smart - which seeks to expand the capacity of young people to engage in one dimension of climate action: adaptation planning. The Climate Smart platform comprises a set of six online student workshops containing videos and quizzes and ends with a serious game: iAdapt. We outline the drivers and process behind the development of the platform, outlining the results of prototype testing and setting out how the platform is evolving. Positive results have been revealed through evaluative analysis and novel extensions of the platform are ongoing, although challenges remain regarding the longer-term sustainability of the platform.</t>
  </si>
  <si>
    <t>[Davies, Anna R.; Hugel, Stephan] Trinity Coll Dublin, Sch Nat Sci, Dublin, Ireland; [Norman, Alison; Ryan, Grainne] Environm Educ Unit, An Taisce, Ireland</t>
  </si>
  <si>
    <t>Trinity College Dublin</t>
  </si>
  <si>
    <t>Davies, AR (corresponding author), Trinity Coll Dublin, Sch Nat Sci, Dublin, Ireland.</t>
  </si>
  <si>
    <t>daviesa@tcd.ie</t>
  </si>
  <si>
    <t>Davies, Anna/AAB-4254-2020; Davies, Anna/F-3812-2014</t>
  </si>
  <si>
    <t>Hugel, Stephan/0000-0003-4379-2450; Davies, Anna/0000-0002-3045-8552</t>
  </si>
  <si>
    <t>European Union [713567]; Science Foundation Ireland [21/DP/9560, 22/DP/10421]</t>
  </si>
  <si>
    <t>European Union(European Union (EU)); Science Foundation Ireland(Science Foundation Ireland)</t>
  </si>
  <si>
    <t>This project has received funding from the European Union's Horizon 2020 research and innovationprogram under the Marie Sklodowska-Curie GrantAgreement No. 713567, and financial support from Science Foundation Ireland under Grants No.21/DP/9560 and 22/DP/10421. The research project was approved with ref no:FSTEM_REC_14042023</t>
  </si>
  <si>
    <t>Aspinall R., 2013, Geography of Climate Change; Bracken LJ, 2009, AREA, V41, P371, DOI 10.1111/j.1475-4762.2009.00914.x; Climate, OneBuilding.Org; Davies AR, 2021, POLITICS GOV, V9, P100, DOI 10.17645/pag.v9i2.3892; Department of the Taoiseach, 2018, Third Report and Recommendations of the Citizens' Assembly. How the state can make Ireland a leader in tackling climate change; Dublin City Council, 2020, Dublin City Council Climate Change Action Plan 2019-2024; EU Reporter Correspondent, 2021, EU Reporter; Hugel S., 2024, Geoforum; Hügel S, 2022, URBAN PLAN, V7, P306, DOI 10.17645/up.v7i2.5113; Hugel S, 2020, WIRES CLIM CHANGE, V11, DOI 10.1002/wcc.645; IPCC, 2018, IPCC, DOI [DOI 10.1017/9781009157926.005, DOI 10.1017/CBO9781107415324]; Khadka A., 2021, Applied Environmental Education Communication, V20, P77, DOI [10.1080/1533015X.2020.1719238, DOI 10.1080/1533015X.2020.1719238]; Murphy A.B., 2020, Geography: Why it matters; O'Neill BC, 2020, NAT SUSTAIN, V3, P520, DOI 10.1038/s41893-020-0512-y; Persson Å, 2019, WIRES CLIM CHANGE, V10, DOI 10.1002/wcc.618; Podebradská M, 2020, WATER-SUI, V12, DOI 10.3390/w12092490; Rawlings Smith E., 2023, Encountering Ideas of Place in Education: Scholarship and practice in place-based learning; Scoffham S, 2013, LEARN TEACH PRIMARY, P1; US Environmental Protection Agency, 2023, Inventory of US Greenhouse Gas Emissions and Sinks: 1990-2021</t>
  </si>
  <si>
    <t>0016-7487</t>
  </si>
  <si>
    <t>2043-6564</t>
  </si>
  <si>
    <t>10.1080/00167487.2024.2297611</t>
  </si>
  <si>
    <t>GX5U9</t>
  </si>
  <si>
    <t>WOS:001155993800006</t>
  </si>
  <si>
    <t>McKinley, E; Kelly, R; Mackay, M; Shellock, R; Cvitanovic, C; van Putten, I</t>
  </si>
  <si>
    <t>McKinley, Emma; Kelly, Rachel; Mackay, Mary; Shellock, Rebecca; Cvitanovic, Christopher; van Putten, Ingrid</t>
  </si>
  <si>
    <t>Development and expansion in the marine social sciences: Insights from the global community</t>
  </si>
  <si>
    <t>ISCIENCE</t>
  </si>
  <si>
    <t>CONSERVATION</t>
  </si>
  <si>
    <t>The importance of understanding the complexities of societal relationships with our global ocean, and how these influence sustainable management and effective, equitable governance, is crucial to addressing ocean challenges. Using established horizon scanning method, this paper explores current trends in marine social sciences through a survey of the global marine social science research and practitioner community (n = 106). We find that marine social sciences research is broad, covering themes relating to governance and decision-making, stakeholder participation and engagement, the socio-cultural dimensions of marine systems, ocean literacy, community-based and area-specific management, and the blue economy, and identify future research priorities highlighted by the community. Our results, however, suggest several barriers persist, including the relationship between marine social sciences and other disciplines, and the visibility and recognition of marine social sciences both internal and external to academia. Finally, the paper generates prospective thinking and highlights recommendations for future research and practice.</t>
  </si>
  <si>
    <t>[McKinley, Emma] Cardiff Univ, Sch Earth &amp; Environm Sci, Pk Pl, Cardiff CF10 3AT, Wales; [Kelly, Rachel; Mackay, Mary; van Putten, Ingrid] Univ Tasmania, Ctr Marine Socioecol, Hobart, Tas 7005, Australia; [Kelly, Rachel] Mem Univ Newfoundland, Future Ocean &amp; Coastal Infrastruct Consortium, St John, NL A1C 5S7, Canada; [Kelly, Rachel; Mackay, Mary; van Putten, Ingrid] CSIRO Oceans &amp; Atmosphere, Hobart, Tas 7000, Australia; [Shellock, Rebecca; Cvitanovic, Christopher] Australian Natl Univ, Australian Natl Ctr Publ Awareness Sci, Canberra, ACT, Australia</t>
  </si>
  <si>
    <t>Cardiff University; University of Tasmania; Memorial University Newfoundland; Commonwealth Scientific &amp; Industrial Research Organisation (CSIRO); CSIRO Oceans &amp; Atmosphere; Australian National University</t>
  </si>
  <si>
    <t>McKinley, E (corresponding author), Cardiff Univ, Sch Earth &amp; Environm Sci, Pk Pl, Cardiff CF10 3AT, Wales.</t>
  </si>
  <si>
    <t>Kelly, Rachel/0000-0002-8364-1836</t>
  </si>
  <si>
    <t>Asase A, 2022, CONSERV SCI PRACT, V4, DOI 10.1111/csp2.517; Bavinck M, 2020, MARIT STUD, V19, P121, DOI 10.1007/s40152-020-00179-x; Bavinck M, 2018, MAR POLICY, V94, P46, DOI 10.1016/j.marpol.2018.04.026; Bennett NJ, 2021, FRONT MAR SCI, V8, DOI 10.3389/fmars.2021.711538; Bennett NJ, 2019, COAST MANAGE, V47, P244, DOI 10.1080/08920753.2019.1564958; Bennett NJ, 2017, BIOL CONSERV, V205, P93, DOI 10.1016/j.biocon.2016.10.006; Blythe J, 2020, FRONT MAR SCI, V7, DOI 10.3389/fmars.2020.539111; Borja F., 2020, CONNECTING PEOPLE TH, DOI [10.3389/978-2-88963-509-2, DOI 10.3389/978-2-88963-509-2]; Brasier MJ, 2020, FRONT MAR SCI, V7, DOI 10.3389/fmars.2020.00692; Bromham L, 2016, NATURE, V534, P684, DOI 10.1038/nature18315; Bryman A., 2011, Business Research Methods, V3rd ed.; Charmaz K., 2008, HDB EMERGENT METHODS, P155, DOI DOI 10.1080/15332691.2013.779094; Claudet J, 2021, CELL, V184, P1426, DOI 10.1016/j.cell.2021.01.055; Cvitanovic C, 2021, ENVIRON SCI POLICY, V123, P179, DOI 10.1016/j.envsci.2021.05.020; Cvitanovic C, 2013, J ENVIRON MANAGE, V114, P84, DOI 10.1016/j.jenvman.2012.10.051; Cvitanovic C, 2021, FRONT MAR SCI, V8, DOI 10.3389/fmars.2021.704495; Cvitanovic C, 2018, PLOS ONE, V13, DOI 10.1371/journal.pone.0203752; Department for Environment Food &amp; Rural Affairs, 2020, WELL BEING HUM HLTH; Edwards P, 2021, CURR OPIN ENV SUST, V49, P12, DOI 10.1016/j.cosust.2020.11.003; Fischer M, 2022, REV FISH BIOL FISHER, V32, P271, DOI 10.1007/s11160-021-09679-3; Flannery W, 2019, MARITIME SPATIAL PLANNING: PAST, PRESENT, FUTURE, P201, DOI 10.1007/978-3-319-98696-8_9; Fleming A., 2009, Extension Farming Systems Journal, V5, P1; Fleming L.E., 2021, AM J PUBLIC HEALTH; Fleming LE, 2019, PEOPLE NAT, V1, P276, DOI 10.1002/pan3.10038; Fletcher S, 2007, COAST MANAGE, V35, P511, DOI 10.1080/08920750701525818; Gilmour P., 2015, Aust. J. Marit. Ocean Aff, V7, P66, DOI [10.1080/18366503.2015.1014013, DOI 10.1080/18366503.2015.1014013]; Halpern BS, 2019, SCI REP-UK, V9, DOI 10.1038/s41598-019-47201-9; Halpern BS, 2015, NAT COMMUN, V6, DOI 10.1038/ncomms8615; Holder PE, 2020, REV FISH BIOL FISHER, V30, P137, DOI 10.1007/s11160-020-09595-y; Jefferson R, 2021, FRONT MAR SCI, V8, DOI 10.3389/fmars.2021.711245; Jefferson R, 2015, OCEAN COAST MANAGE, V115, P61, DOI 10.1016/j.ocecoaman.2015.06.014; Jouffray JB, 2020, ONE EARTH, V2, P43, DOI 10.1016/j.oneear.2019.12.016; Kelly R., 2021, CONVERSATION; Kelly R., 2019, SOCIO-ECOL PRACT RES, V1, P149, DOI [10.1007/s42532-019-00018-2, DOI 10.1007/S42532-019-00018-2]; Kelly R, 2022, REV FISH BIOL FISHER, V32, P123, DOI 10.1007/s11160-020-09625-9; Keynejad RC, 2021, HUM SOC SCI COMMUN, V8, DOI 10.1057/s41599-021-00834-6; Maas B, 2021, CONSERV LETT, V14, DOI 10.1111/conl.12797; Mackay M, 2020, FRONT MAR SCI, V7, DOI 10.3389/fmars.2020.579213; Marshall NA, 2011, ENVIRON SCI POLICY, V14, P327, DOI 10.1016/j.envsci.2010.10.005; Martin VY, 2020, BIOSCIENCE, V70, P13, DOI 10.1093/biosci/biz128; McKinley E., 2020, MARINE SOCIAL SCI RE; McKinley E, 2020, ENVIRON SCI POLICY, V108, P85, DOI 10.1016/j.envsci.2020.03.015; McKinley E, 2019, MARITIME SPATIAL PLANNING: PAST, PRESENT, FUTURE, P151, DOI 10.1007/978-3-319-98696-8_7; McKinley E, 2010, OCEAN COAST MANAGE, V53, P379, DOI 10.1016/j.ocecoaman.2010.04.012; McRobert CJ, 2018, PLOS ONE, V13, DOI 10.1371/journal.pone.0200184; Moon K, 2021, FRONT MAR SCI, V8, DOI 10.3389/fmars.2021.574158; Moon K, 2019, METHODS ECOL EVOL, V10, P294, DOI 10.1111/2041-210X.13126; Moon K, 2014, CONSERV BIOL, V28, P1167, DOI 10.1111/cobi.12326; Nash KL, 2022, REV FISH BIOL FISHER, V32, P161, DOI 10.1007/s11160-021-09669-5; Nash KL, 2020, ONE EARTH, V2, P160, DOI 10.1016/j.oneear.2020.01.008; Nash KL, 2017, NAT ECOL EVOL, V1, P1625, DOI 10.1038/s41559-017-0319-z; Pannell JL, 2019, ECOSPHERE, V10, DOI 10.1002/ecs2.2899; Parsons ECM, 2014, CONSERV BIOL, V28, P1206, DOI 10.1111/cobi.12303; Potts T, 2016, MAR POLICY, V72, P59, DOI 10.1016/j.marpol.2016.06.012; Rudd MA, 2013, MAR POLICY, V39, P101, DOI 10.1016/j.marpol.2012.09.004; Ryabinin V, 2019, FRONT MAR SCI, V6, DOI 10.3389/fmars.2019.00470; Smith NS, 2017, FRONT MAR SCI, V4, DOI 10.3389/fmars.2017.00234; Steins NA, 2020, MARIT STUD, V19, P125, DOI 10.1007/s40152-020-00181-3; Stoll-Kleemann S, 2019, FRONT MAR SCI, V6, DOI 10.3389/fmars.2019.00273; STRUTZEL E, 1968, NURS RES, V17, P364; Tolochko P, 2021, MAR POLICY, V124, DOI 10.1016/j.marpol.2020.104318; van Putten I, 2021, FRONT MAR SCI, V8, DOI 10.3389/fmars.2021.662350; van Putten IE, 2018, ECOL SOC, V23, DOI 10.5751/ES-10504-230404</t>
  </si>
  <si>
    <t>2589-0042</t>
  </si>
  <si>
    <t>iScience</t>
  </si>
  <si>
    <t>AUG 19</t>
  </si>
  <si>
    <t>10.1016/j.isci.2022.104735</t>
  </si>
  <si>
    <t>3Z5PJ</t>
  </si>
  <si>
    <t>WOS:000844469300005</t>
  </si>
  <si>
    <t>Guisado, MC; Agoiz, AB; Buendía, MP</t>
  </si>
  <si>
    <t>Caballero Guisado, Manuela; Baigorri Agoiz, Artemio; Pardo Buendia, Mercedes</t>
  </si>
  <si>
    <t>EDUCATION AND CLIMATE CHANGE. AN APPROACH FROM ESO</t>
  </si>
  <si>
    <t>ATHENEA DIGITAL</t>
  </si>
  <si>
    <t>Climate Change; Educational Systems; Ideology</t>
  </si>
  <si>
    <t>POLARIZATION</t>
  </si>
  <si>
    <t>Acceptance of Climate Change (CC) implies the recognition of its anthropogenic origin and therefore the responsibility of current societies to mitigate and reduce it. This position has an ideological substrate that connects with political approaches that defend that the education system is the most appropriate institution for the Climate Literacy (CA) of the new generations. In this article we analyze the situation of CA in the Obligatory Secondary Education (ESO) stage in Spain from the perspective of administrators and teachers. It is an exploratory research based on qualitative methodology carried out in the Autonomous Communities of Madrid and Extremadura. The results show minimal differences between both Autonomous Communities regarding the treatment of climate change in their respective school curricula despite the ideological differences of their governments.</t>
  </si>
  <si>
    <t>[Caballero Guisado, Manuela; Baigorri Agoiz, Artemio] Univ Extremadura, Badajoz, Spain; [Pardo Buendia, Mercedes] Univ Carlos III, Madrid, Spain</t>
  </si>
  <si>
    <t>Universidad de Extremadura; Universidad Carlos III de Madrid</t>
  </si>
  <si>
    <t>Guisado, MC (corresponding author), Univ Extremadura, Badajoz, Spain.</t>
  </si>
  <si>
    <t>manuelacaballero@unex.es; baigorri@unex.es; mpbuendi@polsoc.uc3m</t>
  </si>
  <si>
    <t>Caballero Guisado, Manuela/AFN-3835-2022</t>
  </si>
  <si>
    <t>Caballero Guisado, Manuela/0000-0001-6750-9918</t>
  </si>
  <si>
    <t>[Anonymous], BOCM, P10; [Anonymous], 2016, BOCM, V155, P41; [Anonymous], 2011, DIARIO OFICIAL 0309, P5952; [Anonymous], 2011, BOCM, P57; [Anonymous], 2015, DIARIO OFICIAL 0427, P13557; [Anonymous], 2017, ALLIANCE CLIMATE ED; [Anonymous], 2011, BOCM, V169, P11; [Anonymous], 2016, DIARIO OFICIAL 0706, P17347; [Anonymous], 2013, DIARIO OFICIAL 0621, P14920; Baigorri A, 2018, APOSTA, V77, P8; Bookchin Murray., 1962, OUR SYNTHETIC ENV; Boussalis C, 2016, GLOBAL ENVIRON CHANG, V36, P89, DOI 10.1016/j.gloenvcha.2015.12.001; Brulle RJ, 2014, CLIMATIC CHANGE, V122, P681, DOI 10.1007/s10584-013-1018-7; Caballero Manuela., 2020, QUIEN APAGA LUZ GENE; Carson R., 1962, SILENT SPRING, DOI DOI 10.4324/9781912281237; Commoner B., 1971, The closing circle; Dunlap RE, 2016, ENVIRONMENT, V58, P4, DOI 10.1080/00139157.2016.1208995; Dupigny-Giroux LAL, 2010, GEOGR COMPASS, V4, P1203, DOI 10.1111/j.1749-8198.2010.00368.x; Echavarren Jose M., 2012, Transiciones ambientales y participacion: estudios de sociologia ambiental, P67; Ehrlich P. R., 1968, The population bomb; Elcacho Joaquim., 2017, VANGUARDIA ESTA WEB; European Social Science Survey, 2018, EUR ATT CLIM EN CHAN; Farrell J, 2016, NAT CLIM CHANGE, V6, P370, DOI [10.1038/nclimate2875, 10.1038/NCLIMATE2875]; Farrell J, 2016, P NATL ACAD SCI USA, V113, P92, DOI 10.1073/pnas.1509433112; Forrest Sherrie, 2011, Climate Change Education: Goals, Audiences, and Strategies; Fuertes M. ., 2020, Education in the Knowledge Society (EKS), V21, P13, DOI [https://doi.org/10.14201/eks.22823, DOI 10.14201/EKS.22823]; Gallego Jose, 2020, GEOINNOVA; Garcia Antonio, 2017, ALFABETIZACION CLIMA; Gaudiano E J. G., 2009, Trayectorias, V11, P6; Goldstone JA, 1998, AM J SOCIOL, V104, P829, DOI 10.1086/210088; González Gaudiano Édgar J., 2012, RMIE, V17, P1035; Gonzalez Maria., 2016, PAPELES RELACIONES E, V136, P121; González-Gaudiano E, 2010, ROUTL RES EDUC, V30, P13; Heras F., 2016, REDESCOM REV ESTUDIO, V13, P31; Heras F., 2013, MEDIA CLIMATE CHANGE, P155; Martinez Gabriela, 2020, ALLEA; McCright AM, 2016, TOP COGN SCI, V8, P76, DOI 10.1111/tops.12171; McCright AM, 2000, SOC PROBL, V47, P499, DOI 10.1525/sp.2000.47.4.03x0305s; Meadows Donella H, 1972, LIMITES CRECIMIENTO; Ministry of Education and Training Live &amp; Learn and Plan in Vietnam, 2012, TEACH MAN CLIM CHANG; Monroe MC, 2019, ENVIRON EDUC RES, V25, P791, DOI 10.1080/13504622.2017.1360842; Muttarak R, 2014, ECOL SOC, V19, DOI 10.5751/ES-06476-190142; Pachauri R.K., 2014, Cambio climatico 2014: Informe de sintesis. Contribucion de los Grupos de trabajo I, II y III al Quinto Informe de Evaluacion del Grupo Intergubernamental de Expertos sobre el Cambio Climatico; Poushter J., 2017, Globally, People Point to ISIS and Climate Change and Leading Security Threats; Riesman D., 1965, FONDO CULTURA EC; Rosa E.A., 2014, The risk society revisited: Social theory and governance; Serantes-Pazos, 2016, DOCUMENTACION SOCIAL, V183, P153; U.S. Global change Research Program, 2009, Climate literacy: the essential principles of climate science</t>
  </si>
  <si>
    <t>UNIV AUTONOMA BARCELONA</t>
  </si>
  <si>
    <t>CERDANYOLA DEL VALLES, BARCELONA</t>
  </si>
  <si>
    <t>VICERECTORAT RELACIONS INSTITUCIONALS &amp; CULTURA, UNIV VALENCIA, VICERECTORAT INVESTIGACIO, CERDANYOLA DEL VALLES, BARCELONA, 08193, SPAIN</t>
  </si>
  <si>
    <t>1578-8946</t>
  </si>
  <si>
    <t>ATHENEA DIGIT</t>
  </si>
  <si>
    <t>Athenea Digit.</t>
  </si>
  <si>
    <t>e2293</t>
  </si>
  <si>
    <t>10.5565/rev/athenea.2293</t>
  </si>
  <si>
    <t>YO9ZK</t>
  </si>
  <si>
    <t>WOS:000748290700007</t>
  </si>
  <si>
    <t>Schio, C; Reis, P</t>
  </si>
  <si>
    <t>Schio, Caroline; Reis, Pedro</t>
  </si>
  <si>
    <t>Design of a Pedagogical Model to Foster Ocean Citizenship in Basic Education</t>
  </si>
  <si>
    <t>pedagogical model; ocean citizenship; ocean literacy; basic education; design-based research</t>
  </si>
  <si>
    <t>MARINE; CHALLENGES; LITERACY</t>
  </si>
  <si>
    <t>Following a design-based research methodology, this investigation develops a pedagogical model to foster ocean citizenship through the application of a design cycle consisting of four phases: (1) preliminary research, (2) planning, (3) action and (4) evaluation. This article presents the results of phases 1 and 2, which define the conceptual foundation of the pedagogical model, and the planning of actions for its implementation in the school environment. The conceptual foundation was established by drawing upon the theoretical principles of a systemic/complex approach to education, along with theoretical-methodological elements compiled from the literature in the field of ocean literacy and ocean citizenship. During the planning phase, six educational activities were defined, to be conducted as part of a citizen science project to monitor the coastal zone. This model was developed with the objective of going beyond theoretical concepts, to offer schools a practical and objective guide for fostering ocean citizenship in basic education.</t>
  </si>
  <si>
    <t>[Schio, Caroline; Reis, Pedro] Univ Lisbon, Inst Educ, P-1649004 Lisbon, Portugal</t>
  </si>
  <si>
    <t>Schio, C (corresponding author), Univ Lisbon, Inst Educ, P-1649004 Lisbon, Portugal.</t>
  </si>
  <si>
    <t>caroline.schio@edu.ulisboa.pt; preis@ie.ulisboa.pt</t>
  </si>
  <si>
    <t>Reis, Pedro/K-4439-2019</t>
  </si>
  <si>
    <t>Reis, Pedro/0000-0002-9549-2516; Schio, Caroline/0000-0003-2569-905X</t>
  </si>
  <si>
    <t>Ph.D. fellowship from FCT-Portuguese Foundation for Science and Technology</t>
  </si>
  <si>
    <t>The authors would like to thank Jorge Braga de Macedo for his review and valuable contributions in this paper.</t>
  </si>
  <si>
    <t>Alves R., 2012, A escola com que sempre sonhei sem pensar que pudesse existir; [Anonymous], 2018, Global Education Monitoring Report 2019: Migration, Displacement and Education: Building Bridges, Not Walls; [Anonymous], 2001, Ph.D. Thesis; [Anonymous], 2017, J. Res. Didact. Geogr; [Anonymous], 2010, NMEA Special Report #3: The Ocean Literacy Campaign; [Anonymous], 2020, The EU Blue Economy Report; [Anonymous], 2017, United Nations Our Ocean, Our Future: Call for Action; Baldrighi E, 2022, WATER-SUI, V14, DOI 10.3390/w14121843; Barab S, 2004, J LEARN SCI, V13, P1, DOI 10.1207/s15327809jls1301_1; Brennan C, 2019, FRONT MAR SCI, V6, DOI 10.3389/fmars.2019.00360; Britton S.A., 2015, EcoJustice, citizen science and youth activism, P207; Buchan PM, 2023, PLOS ONE, V18, DOI 10.1371/journal.pone.0280518; Chen CL, 2016, ENVIRON EDUC RES, V22, P958, DOI 10.1080/13504622.2015.1054266; Claudet J, 2020, ONE EARTH, V2, P34, DOI 10.1016/j.oneear.2019.10.012; Cobb P., 2003, Educational Researcher, V32, P9, DOI [DOI 10.3102/0013189X032001009, 10.3102/0013189X032001009]; Coghlan D., 2001, DOING ACTION RES YOU; Costa R.L., 2021, Ocean Literacy: Understanding the Ocean; Costa S, 2018, MAR POLICY, V87, P149, DOI 10.1016/j.marpol.2017.10.022; Costanza R, 1999, ECOL ECON, V31, P199, DOI 10.1016/S0921-8009(99)00079-8; Cury A., 2019, Inteligencia Socioemocional: Ferramentas para Pais Inspiradores e Professores Encantadores; Devenport E, 2021, MAR POLICY, V124, DOI 10.1016/j.marpol.2020.104312; Disinger J.F., 1992, ERIC/CSMEE Digest, V92, P1; Esteves de Vasconcellos M.J., 2002, Pensamento Sistemico: O Novo Paradigma da Ciencia; Fauville G, 2017, INT J SCI EDUC, V39, P2151, DOI 10.1080/09500693.2017.1365184; Fielding S, 2019, FRONT MAR SCI, V6, DOI 10.3389/fmars.2019.00340; Fletcher S, 2007, COAST MANAGE, V35, P511, DOI 10.1080/08920750701525818; Fraefel U., 2014, Professionalization of pre-service teachers through university-school partnerships: Development, implementation and evaluation of cooperative learning in schools and classes; Freire P., 2011, Extensao ou Comunicacao?, V15th ed.; FREIRE P., 2001, Politica e educacao; Gough A, 2017, MAR POLLUT BULL, V124, P633, DOI 10.1016/j.marpolbul.2017.06.069; Gravemeijer K., 2013, Educational design research, P72; Guest H, 2015, MAR POLICY, V58, P98, DOI 10.1016/j.marpol.2015.04.007; Hadjichambis A., 2020, Conceptualizing Environmental Citizenship for 21st Century Education, P1; Halversen C., 2021, A handbook for increasing ocean literacy: tools for educators and ocean literacy advocates; Hawthorne M, 1999, GLOBAL ENVIRON CHANG, V9, P25, DOI 10.1016/S0959-3780(98)00022-3; IOC Ocean and Climate Platform Paris, 2018, PROGRAMME HIGH LEVEL; IOC-UNESCO, 2021, IOC Ocean Decade Series; IOC-UNESCO, 2022, A New Blue Curriculum-A Toolkit for Policy-Makers IOC Manuals and Guides, 90; Jefferson RL, 2014, MAR POLICY, V43, P327, DOI 10.1016/j.marpol.2013.07.004; Juuti K., 2006, NorDiNa, V4, P54, DOI [10.5617/nordina.424, DOI 10.5617/NORDINA.424]; Kelly R, 2020, PHILOS T R SOC B, V375, DOI 10.1098/rstb.2019.0461; Kelly R, 2019, OCEAN COAST MANAGE, V178, DOI 10.1016/j.ocecoaman.2019.104855; Kelly R, 2019, ECOL SOC, V24, DOI 10.5751/ES-10704-240116; Konecny C, 2018, MAR POLLUT BULL, V135, P411, DOI 10.1016/j.marpolbul.2018.07.036; Leitao R, 2022, EDUC INF TECHNOL, V27, P1081, DOI 10.1007/s10639-021-10651-8; Lin CC, 2023, MAR POLICY, V155, DOI 10.1016/j.marpol.2023.105732; Maturana H., 1999, Transformacion en la convivencia; Maturana H., 2001, A Arvore do Conhecimento: as bases biologicas da compreensao humana; Maturana H.R., 2009, Emocoes e Linguagem na Educacao e na Politica, V4th ed.; McBride BB, 2013, ECOSPHERE, V4, DOI 10.1890/ES13-00075.1; McKinley E, 2023, MAR POLLUT BULL, V186, DOI 10.1016/j.marpolbul.2022.114467; McKinley E., 2010, Ph.D. Thesis; McKinley E, 2012, MAR POLICY, V36, P839, DOI 10.1016/j.marpol.2011.11.001; McKinley E, 2010, OCEAN COAST MANAGE, V53, P379, DOI 10.1016/j.ocecoaman.2010.04.012; Mokos M, 2020, SUSTAINABILITY-BASEL, V12, DOI 10.3390/su122410647; MORAES Maria Candida -., 2004, Pensamento eco-sistemico: educacao; MORIN E., 2011, Os sete saberes necessarios a educacao do futuro; MORIN Edgar, 2011, A cabeca bem-feita: repensar a reforma, reformar o pensamento; Nash KL, 2022, REV FISH BIOL FISHER, V32, P161, DOI 10.1007/s11160-021-09669-5; NOAA, 2021, The Essential Principles and Fundamental Concepts for Learners of All Ages; Paredes-Coral E, 2021, FRONT MAR SCI, V8, DOI 10.3389/fmars.2021.648492; Plomp T., 2013, Educational Design Research, DOI DOI 10.1007/978-1-4614-3185-5_11; Ponte J., 2016, Quadrante, VXXV, P77; Reed MS, 2010, ECOL SOC, V15; Reeves T., 2006, Educational design research, P52, DOI [DOI 10.4324/9780203088364, DOI 10.1017/S0958344019000065]; Reis P., 2020, Conceptualizing Environmental Citizenship for 21st Century Education, V4, DOI DOI 10.1007/978-3-030-20249-1; Romero-Ariza M., 2014, Magis, Revista Internacional de Investigacion en Educacion, V7, P159, DOI [10.11144/Javeriana.M7-14.UIPP, DOI 10.11144/JAVERIANA.M7-14.UIPP]; Salazar-Sepúlveda G, 2023, WATER-SUI, V15, DOI 10.3390/w15112095; Santoro F., 2017, Ocean Literacy for All - A toolkit, IOC/UNESCO UNESCO Venice Office; Santos C.C., 2005, Encontros e Caminhos: Formacao de Educadoras (Es) Ambientais e Coletivos Educadores, P295; UNEP-United Nations Environment Programme, 2014, Blue Economy Concept Paper; UNESCO, 2022, Press Release; UNESCO, 2014, Sustainable development begins with education: How education can contribute to the proposed post-2015 goals; UNESCO-IOC, 2021, IOC Ocean Decade Series, V20; United Nations, 2020, Life Below Water: Why It Matters; United Nations Educational Scientific and Cultural Organization (UNESCO), 2020, Education for Sustainable Development: A Roadmap, DOI [10.54675/YFRE1448, DOI 10.54675/YFRE1448]; Wademan M, 2005, Utilizing development research to guide people capability maturity model adoption considerations: instructional design, development and evaluation; World Bank Group, 2017, What is The Blue Economy?; Wyles KJ, 2017, ENVIRON BEHAV, V49, P509, DOI 10.1177/0013916516649412</t>
  </si>
  <si>
    <t>10.3390/su16030967</t>
  </si>
  <si>
    <t>HN4V5</t>
  </si>
  <si>
    <t>WOS:001160178900001</t>
  </si>
  <si>
    <t>Liu, LJ; Oh, H; Zhang, LY; Fang, T; Huang, ML; Hao, Y; Wang, JW; Yao, C; Ying, FT</t>
  </si>
  <si>
    <t>Liu, Lijuan; Oh, Hyunjoo; Zhang, Lingyan; Fang, Tuo; Huang, Muling; Hao, Yue; Wang, Junwu; Yao, Cheng; Ying, Fangtian</t>
  </si>
  <si>
    <t>A study of children's learning and play using an underwater robot construction kit</t>
  </si>
  <si>
    <t>INTERNATIONAL JOURNAL OF TECHNOLOGY AND DESIGN EDUCATION</t>
  </si>
  <si>
    <t>Underwater robot; Children; Robot education; Learning; Creation; Construction</t>
  </si>
  <si>
    <t>ACHIEVEMENT</t>
  </si>
  <si>
    <t>The underwater robot (UR) is an embodiment of interdisciplinary technologies, integrating underwater communication, machinery, marine science, computer science, and robotics. Although URs enable a highly engaging and exploratory construction that can foster children's engineering education and ocean literacy, little work has explored UR design and education for children. In this paper, we present a study using URs to engage children in exploring engineering, robotics, environmental science, and marine sustainability. We introduce ModBot, a modular UR-making toolkit for children that uses hardware blocks and software applications for UR creation. We describe a study with 31 children (ages 5-8; 16 girls and 15 boys) and report how they learned UR concepts such as buoyancy and balance through playing with the ModBot kit and creating their own URs. This study is intended to investigate how URs can be used to spark children's interest in water environments and make a connection to robotics by the creation of their own URs.</t>
  </si>
  <si>
    <t>[Liu, Lijuan; Zhang, Lingyan; Yao, Cheng; Ying, Fangtian] Zhejiang Univ, Coll Comp Sci &amp; Technol, Hangzhou, Peoples R China; [Liu, Lijuan] Zhejiang Univ, Ocean Coll, Hangzhou, Peoples R China; [Oh, Hyunjoo] Georgia Inst Technol, Sch Ind Design &amp; Interact Comp, Atlanta, GA 30332 USA; [Huang, Muling; Hao, Yue] Zhejiang Univ, Sch Software Technol, Hangzhou, Peoples R China; [Fang, Tuo] Dankook Univ, Commun Design Dept, Yongin, South Korea; [Wang, Junwu] Hubei Univ Technol, Sch Ind Design, Wuhan, Peoples R China</t>
  </si>
  <si>
    <t>Zhejiang University; Zhejiang University; University System of Georgia; Georgia Institute of Technology; Zhejiang University; Dankook University; Hubei University of Technology</t>
  </si>
  <si>
    <t>Liu, LJ; Yao, C (corresponding author), Zhejiang Univ, Coll Comp Sci &amp; Technol, Hangzhou, Peoples R China.;Liu, LJ (corresponding author), Zhejiang Univ, Ocean Coll, Hangzhou, Peoples R China.</t>
  </si>
  <si>
    <t>liulijuan@zju.edu.cn; yaoch@zju.edu.cn</t>
  </si>
  <si>
    <t>Zhang, Lingyan/AAK-5450-2020</t>
  </si>
  <si>
    <t>Liu, Lijuan/0000-0002-1456-5163; Oh, HyunJoo/0000-0001-8661-9426</t>
  </si>
  <si>
    <t>Engineering Research Center of Computer Aided Product Innovation Design, Ministry of Education, Fundamental Research Funds for the Central Universities; National Natural Science Foundation of China [52075478]; National Social Science Foundation of China [21AZD056]</t>
  </si>
  <si>
    <t>Engineering Research Center of Computer Aided Product Innovation Design, Ministry of Education, Fundamental Research Funds for the Central Universities; National Natural Science Foundation of China(National Natural Science Foundation of China (NSFC)); National Social Science Foundation of China(National Office of Philosophy and Social Sciences)</t>
  </si>
  <si>
    <t>This research was funded by the Engineering Research Center of Computer Aided Product Innovation Design, Ministry of Education, Fundamental Research Funds for the Central Universities, National Natural Science Foundation of China (Grant No. 52075478), and National Social Science Foundation of China (Grant No. 21AZD056).</t>
  </si>
  <si>
    <t>Ali S, 2019, PROCEEDINGS OF THE 2019 ON CREATIVITY AND COGNITION - C&amp;C 19, P359, DOI 10.1145/3325480.3325499; Angel L, 2019, 2019 IEEE 4TH COLOMBIAN CONFERENCE ON AUTOMATIC CONTROL (CCAC): AUTOMATIC CONTROL AS KEY SUPPORT OF INDUSTRIAL PRODUCTIVITY, DOI 10.1109/ccac.2019.8921229; [Anonymous], 2012, P 50 ANN SE REG C AC; Barker BS, 2007, J RES TECHNOL EDUC, V39, P229, DOI 10.1080/15391523.2007.10782481; Belpaeme T, 2018, SCI ROBOT, V3, DOI 10.1126/scirobotics.aat5954; Bers Marina Umaschi, 2013, Journal of Technology and Teacher Education, V21, P355; Bers M. U., 2018, CODING PLAYGROUND CO; Bers M.U., 2008, BLOCKS ROBOTS LEARNI; Bers MU, 2019, J COMPUT EDUC, V6, P499, DOI 10.1007/s40692-019-00147-3; Blikstein P, 2013, CULT MEDIA STUD, P203; Carlson LE, 1999, INT J ENG EDUC, V15, P20; Case R., 1984, Mechanisms of cognitive development, P19; Catlin D, 2019, TECHNOL KNOWL LEARN, V24, P291, DOI 10.1007/s10758-018-9378-8; Cejka E, 2006, INT J ENG EDUC, V22, P711; Chutia S, 2017, PROCEEDINGS OF THE ADVANCES IN ROBOTICS (AIR'17), DOI 10.1145/3132446.3134872; de Andrade Monteiro C., 2019, Phytochemicals in Human Health, P1, DOI DOI 10.5772/INTECHOPEN.87302; Dittert N., 2018, P C CREAT MAK ED, P112, DOI DOI 10.1145/3213818.3219812; Fan M, 2018, CHI 2018: EXTENDED ABSTRACTS OF THE 2018 CHI CONFERENCE ON HUMAN FACTORS IN COMPUTING SYSTEMS, DOI 10.1145/3170427.3188576; Feldman DH, 2004, NEW IDEAS PSYCHOL, V22, P175, DOI 10.1016/j.newideapsych.2004.11.005; Flannery LP, 2013, J RES TECHNOL EDUC, V46, P81, DOI 10.1080/15391523.2013.10782614; Gardner H., 1996, INTELLIGENCE MULTIPL; GELMAN D.L., 2014, Design for Kids: Digital products for playing and learning; Gordon M., 2015, P 14 INT C INT DES C, P355; Grey F., 2015, P 14 INT C INT DES C, P383; Hitron T, 2018, PROCEEDINGS OF THE 2018 ACM CONFERENCE ON INTERACTION DESIGN AND CHILDREN (IDC 2018), P563, DOI 10.1145/3202185.3210776; Honey M., 2013, Design, make, play: Growing the next generation of STEM innovators, DOI DOI 10.4324/9780203108352; Kafai YB, 2014, ACM T COMPUT EDUC, V14, DOI 10.1145/2576874; Kafai YB, 2014, HARVARD EDUC REV, V84, P532, DOI 10.17763/haer.84.4.46m7372370214783; Kahn K, 2018, PROCEEDINGS OF THE 2018 ACM CONFERENCE ON INTERACTION DESIGN AND CHILDREN (IDC 2018), P728, DOI 10.1145/3202185.3205869; Kazakoff ER, 2013, EARLY CHILD EDUC J, V41, P245, DOI 10.1007/s10643-012-0554-5; Kazemitabaar M, 2017, PROCEEDINGS OF THE 2017 ACM SIGCHI CONFERENCE ON HUMAN FACTORS IN COMPUTING SYSTEMS (CHI'17), P133, DOI 10.1145/3025453.3025887; Kim M, 2019, PLOS ONE, V14, DOI 10.1371/journal.pone.0216869; Lee KTH, 2013, COMPUT SCH, V30, P271, DOI 10.1080/07380569.2013.805676; Lemaignan S, 2016, ACMIEEE INT CONF HUM, P157, DOI 10.1109/HRI.2016.7451747; Lightfoot Cynthia., 2008, The Development of Children; Lijuan Liu, 2020, CHI EA '20: Extended Abstracts of the 2020 CHI Conference on Human Factors in Computing Systems, P1, DOI 10.1145/3334480.3382907; Markert L.R., 1996, Journal of Technology Studies, V22, P21, DOI [10.21061/jots.v22i2.a.4, DOI 10.21061/JOTS.V22I2.A.4]; Melson GF, 2009, J APPL DEV PSYCHOL, V30, P92, DOI 10.1016/j.appdev.2008.10.011; Montenegro C, 2018, PROCEEDINGS OF 2018 INTERNATIONAL CONFERENCE ON SOFTWARE ENGINEERING AND INFORMATION MANAGEMENT (ICSIM 2018) / WORKSHOP 2018 INTERNATIONAL CONFERENCE ON BIG DATA AND SMART COMPUTING (ICBDSC 2018), P1, DOI 10.1145/3178461.3178474; Nelson SG, 2015, OCEANS 2015 - GENOVA, DOI 10.1109/OCEANS-Genova.2015.7271419; Nian-Shing Chen, 2011, Edutainment Technologies. Educational Games and Virtual Reality/Augmented Reality Applications. Proceedings 6th International Conference on E-learning and Games, Edutainment 2011, P309, DOI 10.1007/978-3-642-23456-9_58; Piaget, 1981, PRINCIPLES GENETIC E; Pitkänen K, 2019, FABLEARN EUROPE 2019 - CONFERENCE ON CREATIVITY AND MAKING IN EDUCATION, DOI 10.1145/3335055.3335061; Qidwai U, 2020, J INTELL ROBOT SYST, V98, P759, DOI 10.1007/s10846-019-01075-1; Rücker MT, 2016, J SCI EDUC TECHNOL, V25, P274, DOI 10.1007/s10956-015-9592-2; Schaffer, 2016, INTRO CHILD PSYCHOL; Schweikardt Eric, 2006, P 8 INT C MULT INT, P72, DOI DOI 10.1145/1180995.1181010; Tahir A. M., 2014, SCI INT, V26, P1111; Toh LPE, 2016, EDUC TECHNOL SOC, V19, P148; von Hausswolff K, 2017, PROCEEDINGS OF THE 2017 ACM CONFERENCE ON INTERNATIONAL COMPUTING EDUCATION RESEARCH (ICER 17), P279, DOI 10.1145/3105726.3105735; Ward M. A., 2019, Exemplary practices in marine science education, P289, DOI [10.1007/978-3-319-90778, DOI 10.1007/978-3-319-90778]; Westlund JMK, 2018, PROCEEDINGS OF THE 2018 ACM CONFERENCE ON INTERACTION DESIGN AND CHILDREN (IDC 2018), P207, DOI 10.1145/3202185.3202732; Winks L, 2020, ENVIRON EDUC RES, V26, P969, DOI 10.1080/13504622.2020.1758631; Xie GM., 2017, INTRO BIONIC UNDERWA; Xu H., 2019, Autonomous Underwater Vehicle, Vfirst; Xu Y, 2020, PROCEEDINGS OF THE 2020 CHI CONFERENCE ON HUMAN FACTORS IN COMPUTING SYSTEMS (CHI'20), DOI 10.1145/3313831.3376416; Yuh J., 2000, Proceedings 2000 ICRA. Millennium Conference. IEEE International Conference on Robotics and Automation. Symposia Proceedings (Cat. No.00CH37065), P932, DOI 10.1109/ROBOT.2000.844168; Zaga C, 2017, ACMIEEE INT CONF HUM, P429, DOI 10.1145/3029798.3029804; Ziaeefard S., 2016, P 2016 ASEE ANN C EX, P1; Ziaeejard S, 2015, P AMER CONTR CONF, P2789, DOI 10.1109/ACC.2015.7171157</t>
  </si>
  <si>
    <t>0957-7572</t>
  </si>
  <si>
    <t>1573-1804</t>
  </si>
  <si>
    <t>INT J TECHNOL DES ED</t>
  </si>
  <si>
    <t>Int. J. Technol. Des. Educ.</t>
  </si>
  <si>
    <t>10.1007/s10798-021-09720-3</t>
  </si>
  <si>
    <t>Education &amp; Educational Research; Education, Scientific Disciplines; Engineering, Multidisciplinary</t>
  </si>
  <si>
    <t>A0NM9</t>
  </si>
  <si>
    <t>WOS:000774847400002</t>
  </si>
  <si>
    <t>Albayrak, T; Caber, M; Cater, C</t>
  </si>
  <si>
    <t>Albayrak, Tahir; Caber, Meltem; Cater, Carl</t>
  </si>
  <si>
    <t>Mass tourism underwater: a segmentation approach to motivations of scuba diving holiday tourists</t>
  </si>
  <si>
    <t>TOURISM GEOGRAPHIES</t>
  </si>
  <si>
    <t>Holiday tourists; scuba diving; push and pull motivations; market segmentation; Kemer; Antalya</t>
  </si>
  <si>
    <t>DIVERS; MANAGEMENT; AUSTRALIA; BEHAVIOR; RISK; PUSH</t>
  </si>
  <si>
    <t>Scuba diving is an increasingly popular activity in resort destinations worldwide, providing tourists a more active experience in their holiday. By following the Push and Pull Theory, this study examines the scuba diving motivations of holiday tourists. Whilst of substantial importance for the practice of the activity, host marine destinations and broader ocean literacy, this an under-researched topic in the tourism literature. Data were collected from a comprehensive data set of holiday tourists who participated scuba diving in Kemer, Antalya-Turkey. Exploration &amp; excitement, personal development, and socialisation &amp; challenge were identified as the push motivations, while tourism &amp; diving offerings, safety &amp; accessibility, ancillary attributes, new area, and unspoiled diving destination were determined as the pull motivations. Moreover, cluster analysis revealed four groups who had various motivations to participate scuba diving, namely Enthusiastic Positivists, Youthful Hedonists, Amateur Explorers, and Single Regulars. Findings of the research were discussed along with their theoretical and managerial implications.</t>
  </si>
  <si>
    <t>[Albayrak, Tahir] Akdeniz Univ, Tourism Fac, Tourism Management Dept, Antalya, Turkey; [Caber, Meltem] Akdeniz Univ, Tourism Fac, Tourism Guidance Dept, Antalya, Turkey; [Cater, Carl] Swansea Univ, Sch Management, Business Management Mkt Dept, Swansea, W Glam, Wales</t>
  </si>
  <si>
    <t>Akdeniz University; Akdeniz University; Swansea University</t>
  </si>
  <si>
    <t>Albayrak, T (corresponding author), Akdeniz Univ, Tourism Fac, Tourism Management Dept, Antalya, Turkey.</t>
  </si>
  <si>
    <t>tahiralbayrak@akdeniz.edu.tr</t>
  </si>
  <si>
    <t>Caber, Meltem/ABG-4409-2021; Albayrak, Tahir/C-1150-2016; Caber, Meltem/C-1267-2016</t>
  </si>
  <si>
    <t>Albayrak, Tahir/0000-0001-6961-0550; Caber, Meltem/0000-0001-5191-373X; Cater, Carl/0000-0002-6673-0677</t>
  </si>
  <si>
    <t>Albayrak T, 2018, J DESTIN MARK MANAGE, V9, P64, DOI 10.1016/j.jdmm.2017.11.001; [Anonymous], 2018, BAK GUL JEM 1 5 MIL; [Anonymous], 2001, Tourism 2020 vision. Vol. 7 Global forecasts and profiles of market segments, V7; [Anonymous], 2018, DAILYSABAH NEWS; Barker NHL, 2004, BIOL CONSERV, V120, P481, DOI 10.1016/j.biocon.2004.03.021; BEARD JG, 1983, J LEISURE RES, V15, P219, DOI 10.1080/00222216.1983.11969557; Bentz J, 2016, TOUR MANAG PERSPECT, V18, P74, DOI 10.1016/j.tmp.2016.01.004; Bideci C., 2019, ATMOSPHERIC TURN CUL, V16; Bradley D, 2017, MAR ECOL PROG SER, V567, P173, DOI 10.3354/meps12053; Caber M, 2016, TOURISM MANAGE, V55, P74, DOI 10.1016/j.tourman.2016.02.003; Cater C., 2007, Marine ecotourism: between the devil and the deep blue sea, DOI 10.1079/9781845932596.0000; Cater C., 2010, Journal of Ecotourism, V9, P133, DOI 10.1080/14724040903125039; Cater C. I., 2009, Tourism in Marine Environments, V5, P233, DOI 10.3727/154427308788714777; CBI, 2019, DIVE TOURISM EUROPE; DANN G.M. S., 1977, ANN TOURISM RES, V4, P184, DOI [https://doi.org/10.1016/0160-7383(77)90037-8, DOI 10.1016/0160-7383(77)90037-8]; DAVIS D, 1995, OCEAN COAST MANAGE, V26, P19, DOI 10.1016/0964-5691(95)00004-L; Dearden P, 2006, ENVIRON CONSERV, V33, P353, DOI 10.1017/S0376892906003419; Dimmock K, 2009, LEISURE STUD, V28, P279, DOI 10.1080/02614360902951674; Fuchs G, 2016, TOUR RECREAT RES, V41, P145, DOI 10.1080/02508281.2016.1161159; Garcia O., 2018, THESIS; Garrod B., 2008, New frontiers in marine tourism: diving experiences, sustainability, management; Ghazali Musa Ghazali Musa, 2005, Tourism in Marine Environments, V2, P89, DOI 10.3727/154427306779436273; Hair J.F., 2010, MULTIVARIATE DATA AN; Kemer Municipality, 2019, KEM; KETAV, 2019, KEM SUAL GUNL; Kim SS, 2003, TOURISM MANAGE, V24, P169, DOI 10.1016/S0261-5177(02)00059-6; Kline R.B., 2016, PRINCIPLES PRACTICE, DOI DOI 10.1126/SCITRANSLMED.3002085; Lee CK, 2007, TOURISM MANAGE, V28, P204, DOI 10.1016/j.tourman.2005.12.017; Meisel-Lusby C., 2008, Tourism in Marine Environments, V5, P1, DOI 10.3727/154427308785855279; Morgan D., 2005, Journal of Sport Tourism, V10, P73, DOI 10.1080/14775080500101593; Musa G., 2012, Tourism in Marine Environments, V8, P1, DOI 10.3727/154427312X13262430523947; National Oceanic and Atmospheric Administration (NOAA), 2019, TOURISM RECREATION; Neto AQ, 2017, TOUR RECREAT RES, V42, P356, DOI 10.1080/02508281.2017.1308086; NRW, 2017, SKOM MAR CONSE ZON A; Ong TF, 2012, TOURISM MANAGE, V33, P1521, DOI 10.1016/j.tourman.2012.02.007; PADI, 2019, PROF ASS DIV INSTR 2; Rice K, 1987, TOUR TRAVEL NEWS, V9, P24; Sung H. H., 2004, Journal of Travel Research, V42, P343, DOI 10.1177/0047287504263028; Taylor DM, 2003, WILD ENVIRON MED, V14, P83, DOI 10.1580/1080-6032(2003)014[0083:ESDIAA]2.0.CO;2; Todd S.L., 2002, P 2001 NE RECREATION, P107; Turkish Chamber of Shipping Antalya Branch, 2018, UND SCULPT MUS WAS C; Wilks J, 2000, TOURISM MANAGE, V21, P591, DOI 10.1016/S0261-5177(00)00008-X; Wong KM, 2013, CONTEMP GEOGR LEIS T, V40, P107; Woratschek H., 2007, Motivations of sports tourists - An empirical analysis in several European rock climbing regions</t>
  </si>
  <si>
    <t>1461-6688</t>
  </si>
  <si>
    <t>1470-1340</t>
  </si>
  <si>
    <t>TOURISM GEOGR</t>
  </si>
  <si>
    <t>Tour. Geogr.</t>
  </si>
  <si>
    <t>NOV 9</t>
  </si>
  <si>
    <t>5-6</t>
  </si>
  <si>
    <t>10.1080/14616688.2019.1696884</t>
  </si>
  <si>
    <t>NOV 2019</t>
  </si>
  <si>
    <t>XB8XX</t>
  </si>
  <si>
    <t>WOS:000499605100001</t>
  </si>
  <si>
    <t>Oliveira, D; Mesquita, M</t>
  </si>
  <si>
    <t>Oliveira, Daniel; Mesquita, Monica</t>
  </si>
  <si>
    <t>Co-constructing ecological societies: The diversity of knowledge for a common knowledge</t>
  </si>
  <si>
    <t>Co-construction; Sustainability; Social justice</t>
  </si>
  <si>
    <t>This article presents and discusses the collective and cross-cultural elaboration of a Teaching Module, applied to a Master class at Universidade Nova de Lisboa, Portugal. This co-construction process was part of the Partibridges Project, and made possible to give sequence to the work of the Ocean Literacy Observatory with local coastal communities. The Associacao de Pesca Artesanal -Ala-Ala (Artisanal Fishing Association) was a partner in the project, which allowed to go deeper into a theme of enormous socio-environmental relevance -artisanal fishing. We believe that the theoretical and practical approach presented and discussed here can be of great interest in the context of Environmental Education (EE), since it elucidates concepts, theories, methodologies and pedagogical methods, makes an analysis on the role of educational institutions in the transformation towards sustainability and presents a project of innovative character, which may serve as inspiration and initial basis for new actions of EE.</t>
  </si>
  <si>
    <t>[Oliveira, Daniel; Mesquita, Monica] Univ Nova Lisboa NOVA, Lisbon, Portugal; [Oliveira, Daniel; Mesquita, Monica] NOVA Univ, MARE Marine &amp; Environm Sci Ctr, NOVA Sch Sci &amp; Technol, Lisbon, Portugal</t>
  </si>
  <si>
    <t>Universidade Nova de Lisboa; Universidade Nova de Lisboa</t>
  </si>
  <si>
    <t>Oliveira, D (corresponding author), Univ Nova Lisboa NOVA, Lisbon, Portugal.;Oliveira, D (corresponding author), NOVA Univ, MARE Marine &amp; Environm Sci Ctr, NOVA Sch Sci &amp; Technol, Lisbon, Portugal.</t>
  </si>
  <si>
    <t>danielgeo13@gmail.com; mmbm@fct.unl.pt</t>
  </si>
  <si>
    <t>[Anonymous], 2018, CONNECTED COMMUNITIE; BABER Z, 1995, CONTEMP SOCIOL, V24, P751, DOI 10.2307/2076669; Balibar Etienne., 2011, Politics and the Other Scene; Bauters M., 2012, Collaborative Knowledge Creation: Practices, Tools, Concepts, V7, P53; Beebeejaun Y, 2014, COMMUNITY DEV J, V49, P37, DOI 10.1093/cdj/bst008; BISPO Ant?nio, 2015, COLONIZAO QUILOMBOS; BOOKCHIN Murray., 1982, ECOLOGY FREEDOM EMER; Carspecken PF, 1996, CRITICAL ETHNOGRAPHY; DAMBROSIO Ubiratan, 2016, Perspectivas da Educacao Matematica, V9; Desgagne Serge., 1997, Revue des sciences de l'education, V23, P371, DOI [10.7202/031921ar, DOI 10.7202/031921AR]; DEWEY John, 1959, DEMOCRACIA ED INTRO; Freire P., 1989, Learning to question: A pedagogy of liberation; Freire P., 1974, PEDAGOGIA OPRIMIDO, V50a; HENRIQUES Rafael da Silva, 2015, RELATORIO PRATICA PR; Koglin T, 2017, SUSTAINABILITY-BASEL, V9, DOI 10.3390/su9101836; Lewin K., 1952, READINGS SOCIAL PSYC, V2nd; MASEMANN VL, 1982, COMP EDUC REV, V26, P1, DOI 10.1086/446259; Mattos C.L. G., 2011, Etnografia e educacao: conceitos e usos, P49; May S., 2019, SAGE Research Methods Foundations, DOI DOI 10.4135/9781526421036831954; MESQUITA Monica, 2014, ENSAIOS HUMANIZACAO; MESQUITA Monica, DISORDER MATH ED CHA, P307; OLIVEIRA Daniel Gomes Batista, 2019, THESIS U NOVA LISBOA; POOL Steve, 2018, CONNECTED COMMUNITIE, P309; Raffestin Claude., 1993, Por uma Geografia do Poder; SALLEH Hairon, 2008, THESIS; Thomas J :., 1993, Doing Critical Etlmograpl1y</t>
  </si>
  <si>
    <t>WOS:000880810000019</t>
  </si>
  <si>
    <t>Behr, A; Cascalho, J; Mendes, A; Guerra, H; Cavique, L; Trigo, P; Coelho, H; Vicari, R</t>
  </si>
  <si>
    <t>Marreiros, G; Martins, B; Paiva, A; Ribeiro, B; Sardinha, A</t>
  </si>
  <si>
    <t>Behr, Andre; Cascalho, Jose; Mendes, Armando; Guerra, Helia; Cavique, Luis; Trigo, Paulo; Coelho, Helder; Vicari, Rosa</t>
  </si>
  <si>
    <t>Bringing Underused Learning Objects to the Light: A Multi-agent Based Approach</t>
  </si>
  <si>
    <t>PROGRESS IN ARTIFICIAL INTELLIGENCE, EPIA 2022</t>
  </si>
  <si>
    <t>Lecture Notes in Artificial Intelligence</t>
  </si>
  <si>
    <t>21st EPIA Conference on Artificial Intelligence (EPIA)</t>
  </si>
  <si>
    <t>Univ Lisbon, Lisbon, PORTUGAL</t>
  </si>
  <si>
    <t>Univ Lisbon</t>
  </si>
  <si>
    <t>Agent; Multi-agent Systems; Repositories; Metadata; Learning Objects; Analytics</t>
  </si>
  <si>
    <t>The digital learning transformation brings the extension of the traditional libraries to online repositories. Learning object repositories are employed to deliver several functionalities related to the learning object's lifecycle. However, these educational resources usually are not described effectively, lacking, for example, educational metadata and learning goals. Then, metadata incompleteness limits the quality of the services, such as search and recommendation, resulting in educational objects that do not have a proper role in teaching/learning environments. This work proposes to bring an active role to all educational resources, acting on the analysis generated from the usage statistics. To achieve this goal, we created a multi-agent architecture that complements the common repository's functionalities to improve learning and teaching experiences. We intend to use this architecture on a repository focused on ocean literacy learning objects. This paper presents some steps toward this goal by enhancing, when needed, the repository to adapt itself.</t>
  </si>
  <si>
    <t>[Behr, Andre; Cascalho, Jose; Mendes, Armando; Guerra, Helia] Univ Azores, NIDeS, Ponta Delgada, Portugal; [Behr, Andre; Cascalho, Jose; Mendes, Armando; Guerra, Helia] Univ Azores, FCT, Ponta Delgada, Portugal; [Cascalho, Jose; Mendes, Armando] GRIA, Ponta Delgada, Portugal; [Cascalho, Jose; Mendes, Armando] LIACC, Ponta Delgada, Portugal; [Guerra, Helia] Univ Minho, Ctr Algoritmi, Braga, Portugal; [Cavique, Luis] Open Univ, Lisbon, Portugal; [Cavique, Luis] Univ Lisbon, LASIGE, Lisbon, Portugal; [Trigo, Paulo] ISEL, Lisbon, Portugal; [Trigo, Paulo] GuIAA, Lisbon, Portugal; [Coelho, Helder] ULisbon, Lisbon, Portugal; [Vicari, Rosa] Univ Fed Rio Grande do Sul, Informat Inst, Porto Alegre, RS, Brazil</t>
  </si>
  <si>
    <t>Universidade dos Acores; Universidade dos Acores; Universidade do Minho; Universidade de Lisboa; Polytechnic Institute of Lisbon; Universidade de Lisboa; Universidade Federal do Rio Grande do Sul</t>
  </si>
  <si>
    <t>Behr, A (corresponding author), Univ Azores, NIDeS, Ponta Delgada, Portugal.;Behr, A (corresponding author), Univ Azores, FCT, Ponta Delgada, Portugal.</t>
  </si>
  <si>
    <t>and_behr@hotmail.com</t>
  </si>
  <si>
    <t>Guerra, Helia/GON-8551-2022; Trigo, Paulo/HPB-8296-2023; B Mendes, Armando/N-7280-2015; Cascalho, Jose/V-2744-2017</t>
  </si>
  <si>
    <t>Guerra, Helia/0000-0002-4130-417X; B Mendes, Armando/0000-0003-3049-5852; Cavique Santos, Luis Manuel Pereira Sales/0000-0002-5590-1493; vicari, Rosa/0000-0002-6909-6405; Behr, Andre/0000-0003-3080-2146; Cascalho, Jose/0000-0002-5176-4882; Trigo, Paulo/0000-0001-5850-615X</t>
  </si>
  <si>
    <t>FEDER [ACORES01-0145-FEDER-000110]; Coordenacao de Aperfeicoamento de Pessoal de Nivel Superior - Brasil (CAPES) [001]</t>
  </si>
  <si>
    <t>FEDER(European Union (EU)Spanish Government); Coordenacao de Aperfeicoamento de Pessoal de Nivel Superior - Brasil (CAPES)(Coordenacao de Aperfeicoamento de Pessoal de Nivel Superior (CAPES))</t>
  </si>
  <si>
    <t>This work is financed by the FEDER in 85% and by regional funds in 15%, through the Operational Program Azores 2020, within the scope of the SEA-THINGS Learning Objects to Promote Ocean Literacy project ACORES01-0145-FEDER-000110. This study was also financed in part by the Coordenacao de Aperfeicoamento de Pessoal de Nivel Superior -Brasil (CAPES) -Finance Code 001.</t>
  </si>
  <si>
    <t>Al-Ghuribi SM, 2019, IEEE ACCESS, V7, P169446, DOI 10.1109/ACCESS.2019.2954861; Behr A., 2021, ANAIS 12 WORKSHOP CO, P137; Behr A., 2021, PRACTICAL APPL AGENT, V1472, P115, DOI 10.1007/978-3-030-85710; DCMI, 2020, DCMI metadata terms. Section 7: DCMI Type Vocabulary; de Amorim J, 2016, COMM COM INF SC, V616, P428, DOI 10.1007/978-3-319-39387-2_36; de Oliveira MR, 2018, 2018 4TH IEEE INTERNATIONAL CONFERENCE ON COLLABORATION AND INTERNET COMPUTING (CIC 2018), P346, DOI 10.1109/CIC.2018.00053; Gabdank I, 2018, DATABASE-OXFORD, DOI 10.1093/database/bay008; Gluz Joao Carlos, 2012, Intelligent Tutoring Systems. Proceedings 11th International Conference (ITS 2012), P696, DOI 10.1007/978-3-642-30950-2_126; Gluz J.C., 2014, BRAZILIAN S COMPUTER, V25, P993; Gluz JC, 2016, J UNIVERS COMPUT SCI, V22, P16; Kravari K, 2015, JASSS-J ARTIF SOC S, V18, DOI 10.18564/jasss.2661; Mosharraf M, 2020, IEEE T LEARN TECHNOL, V13, P297, DOI 10.1109/TLT.2019.2937084; Mourao AB, 2019, PROC FRONT EDUC CONF, DOI 10.1109/fie43999.2019.9028504; Risk U., 2002, IEEE standard, V1484; Rodírguez P, 2015, ADCAIJ-ADV DISTRIB C, V4, P80; Saighi A., 2020, 2020 INT C ELECT COM, P1; Santos-Hermosa G, 2017, INT REV RES OPEN DIS, V18, P84; Sarwar S., 2018, INT C ADV ED SOCIAL; Tavakoli M, 2021, LAK21 CONFERENCE PROCEEDINGS: THE ELEVENTH INTERNATIONAL CONFERENCE ON LEARNING ANALYTICS &amp; KNOWLEDGE, P626, DOI 10.1145/3448139.3448208; Vicari RM, 2010, COMM COM INF SC, V108, P300; Vieyra G.Q., 2020, EUR J EDUC, V3, P62</t>
  </si>
  <si>
    <t>2945-9133</t>
  </si>
  <si>
    <t>1611-3349</t>
  </si>
  <si>
    <t>978-3-031-16474-3; 978-3-031-16473-6</t>
  </si>
  <si>
    <t>LECT NOTES ARTIF INT</t>
  </si>
  <si>
    <t>10.1007/978-3-031-16474-3_61</t>
  </si>
  <si>
    <t>Computer Science, Artificial Intelligence</t>
  </si>
  <si>
    <t>BU0IP</t>
  </si>
  <si>
    <t>WOS:000869745400061</t>
  </si>
  <si>
    <t>Kubokawa, K</t>
  </si>
  <si>
    <t>Kubokawa, Kaoru</t>
  </si>
  <si>
    <t>Assessment of knowledge on fisheries from results of the survey of ocean literacy in school children</t>
  </si>
  <si>
    <t>NIPPON SUISAN GAKKAISHI</t>
  </si>
  <si>
    <t>Japanese</t>
  </si>
  <si>
    <t>[Kubokawa, Kaoru] Univ Tokyo, Ocean Alliance, Res Ctr Marine Educ, Bunkyo Ku, Tokyo 1130033, Japan</t>
  </si>
  <si>
    <t>University of Tokyo</t>
  </si>
  <si>
    <t>Kubokawa, K (corresponding author), Univ Tokyo, Ocean Alliance, Res Ctr Marine Educ, Bunkyo Ku, Tokyo 1130033, Japan.</t>
  </si>
  <si>
    <t>JAPANESE SOC FISHERIES SCIENCE</t>
  </si>
  <si>
    <t>TOKYO</t>
  </si>
  <si>
    <t>C/O TOKYO UNIV FISHERIES, KONAN 4, MINATO, TOKYO, 108-8477, JAPAN</t>
  </si>
  <si>
    <t>0021-5392</t>
  </si>
  <si>
    <t>1349-998X</t>
  </si>
  <si>
    <t>NIPPON SUISAN GAKK</t>
  </si>
  <si>
    <t>Nippon Suisan Gakkaishi</t>
  </si>
  <si>
    <t>10.2331/suisan.WA2360-3</t>
  </si>
  <si>
    <t>Fisheries</t>
  </si>
  <si>
    <t>FC0GP</t>
  </si>
  <si>
    <t>WOS:000406517000023</t>
  </si>
  <si>
    <t>Lotze, HK; Guest, H; O'Leary, J; Tuda, A; Wallace, D</t>
  </si>
  <si>
    <t>Lotze, Heike K.; Guest, Haley; O'Leary, Jennifer; Tuda, Arthur; Wallace, Douglas</t>
  </si>
  <si>
    <t>Public perceptions of marine threats and protection from around the world</t>
  </si>
  <si>
    <t>Marine environment; Human impacts; Ocean threats; Protected areas; Public surveys</t>
  </si>
  <si>
    <t>OCEAN LITERACY; ATTITUDES; AWARENESS; CONSERVATION; MANAGEMENT; IMPACTS; ISSUES; CITIZENSHIP; BENEFITS; OPINION</t>
  </si>
  <si>
    <t>The ocean is increasingly facing direct and indirect threats from multiple human activities that alter marine ecosystems worldwide. Mitigating these threats requires a global shift in the way people perceive and interact with the marine environment. Marine public perceptions research has emerged as a useful tool to understand public awareness and attitudes towards the sea. This study compares available surveys of public perceptions of marine threats and protection involving &gt; 32,000 respondents across 21 countries. Results indicate that 70% of respondents believe the marine environment is under threat from human activities, and 45% believe the threat is high or very high. Yet when asked about the ocean's health, only 15% thought it was poor or threatened. Respondents consistently ranked pollution issues as the highest threat, followed by fishing, habitat alteration and climate change. With respect to ocean protection, 73% of respondents support marine protected areas in their region. Most respondents overestimated the area of ocean currently protected, and would like to see much larger areas protected in the future. Overall, a clear picture emerged of the perceived threats and support for protection which can inform marine managers, policy makers, conservation practitioners and educators to improve marine management and conservation programs.</t>
  </si>
  <si>
    <t>[Lotze, Heike K.; Guest, Haley] Dalhousie Univ, Dept Biol, 1355 Oxford St,POB 15000, Halifax, NS B3H 4R2, Canada; [Guest, Haley; Wallace, Douglas] Dalhousie Univ, Dept Oceanog, 1355 Oxford St, Halifax, NS B3H 4R2, Canada; [O'Leary, Jennifer] Calif Polytech State Univ San Luis Obispo, Calif Sea Grant, San Luis Obispo, CA 93407 USA; [Tuda, Arthur] Kenya Wildlife Serv, Coast Conservat Area, POB 82144-80100, Mombasa, Kenya; [Tuda, Arthur] Univ Cadiz, Erasmus Mundus Off, Aularlo Norte, Puerto Real Campus, Cadiz 11519, Spain</t>
  </si>
  <si>
    <t>Dalhousie University; Dalhousie University; California State University System; California Polytechnic State University San Luis Obispo; Universidad de Cadiz</t>
  </si>
  <si>
    <t>Lotze, HK (corresponding author), Dalhousie Univ, Dept Biol, 1355 Oxford St,POB 15000, Halifax, NS B3H 4R2, Canada.</t>
  </si>
  <si>
    <t>Heike.Lotze@dal.ca</t>
  </si>
  <si>
    <t>Natural Sciences and Engineering Research Council of Canada [RGPIN-2014- 04491]; Western Indian Ocean Marine Science Association through Marine Science for Management programme [MASMA/OP/2013/03]; Canada Excellence Research Chair in Ocean Science and Technology</t>
  </si>
  <si>
    <t>Natural Sciences and Engineering Research Council of Canada(Natural Sciences and Engineering Research Council of Canada (NSERC)CGIAR); Western Indian Ocean Marine Science Association through Marine Science for Management programme; Canada Excellence Research Chair in Ocean Science and Technology</t>
  </si>
  <si>
    <t>Thanks to B. Worm, J. Hanlon, B. Davis, and three anonymous reviewers for valuable comments and to Dalhousie Research Services and the International Ocean Institute for assistance. We are grateful for the participation of five school boards and many principals, teachers and students in Nova Scotia as well as the public and staff at the Mombasa Marine Park and Reserve in Kenya. Financial support was provided by the Natural Sciences and Engineering Research Council of Canada (grant no. RGPIN-2014- 04491) to HKL, the Western Indian Ocean Marine Science Association through the Marine Science for Management programme (grant no. MASMA/OP/2013/03) to JO'L and AT, and the Canada Excellence Research Chair in Ocean Science and Technology to DW. This paper is a contribution to the MEOPAR Network of Centers of Excellence (www.meopar.ca).</t>
  </si>
  <si>
    <t>[Anonymous], THESIS; [Anonymous], 2005, Ecosystems and human well-being, V5, DOI DOI 10.1119/1.2344558; Chen CL, 2016, ENVIRON EDUC RES, V22, P958, DOI 10.1080/13504622.2015.1054266; COSEE (Centers for Ocean Sciences Education Excellence), 2013, OC LIT ESS PRINC FUN; Daigle RM, 2016, MAR POLICY, V74, P77, DOI 10.1016/j.marpol.2016.09.012; Dulvy Nicholas K., 2009, P129; Eddy TD, 2014, MAR POLICY, V46, P61, DOI 10.1016/j.marpol.2014.01.004; Edgar GJ, 2014, NATURE, V506, P216, DOI 10.1038/nature13022; Edge Research, 2002, PUBL ATT OC PROT RES; Fletcher S, 2007, COAST MANAGE, V35, P511, DOI 10.1080/08920750701525818; Fletcher S, 2009, MAR POLICY, V33, P370, DOI 10.1016/j.marpol.2008.08.004; Frisch LC, 2015, MAR POLICY, V53, P101, DOI 10.1016/j.marpol.2014.11.022; Gardner J., 2008, CHALLENGES OPPORTUNI, P165; Gelcich S, 2016, AQUAT CONSERV, V26, P986, DOI 10.1002/aqc.2714; Gelcich S, 2014, P NATL ACAD SCI USA, V111, P15042, DOI 10.1073/pnas.1417344111; Guest H, 2015, MAR POLICY, V58, P98, DOI 10.1016/j.marpol.2015.04.007; Halpern BS, 2008, SCIENCE, V319, P948, DOI 10.1126/science.1149345; Halpern BS, 2015, NAT COMMUN, V6, DOI 10.1038/ncomms8615; Hawkins JP, 2016, MAR POLLUT BULL, V111, P231, DOI 10.1016/j.marpolbul.2016.07.003; Heinen JT, 2017, J COASTAL RES, V33, P295, DOI 10.2112/JCOASTRES-D-15-00191.1; Hoelting KR, 2013, FISH RES, V144, P48, DOI 10.1016/j.fishres.2012.10.006; Howard C, 2006, BIODIVERS CONSERV, V15, P4335, DOI 10.1007/s10531-005-3740-6; Huang HW, 2013, COAST MANAGE, V41, P420, DOI 10.1080/08920753.2013.822288; Hynes S, 2014, MAR POLICY, V47, P57, DOI 10.1016/j.marpol.2014.02.002; Jefferson RL, 2014, MAR POLICY, V43, P327, DOI 10.1016/j.marpol.2013.07.004; Jefferson R, 2015, OCEAN COAST MANAGE, V115, P61, DOI 10.1016/j.ocecoaman.2015.06.014; Kappel CV, 2005, FRONT ECOL ENVIRON, V3, P275, DOI 10.2307/3868490; KELLERT SR, 1995, ANTHROZOOS, V8, P20, DOI 10.2752/089279395787156518; Lacroix D, 2016, EUR J FUTURES RES, V4, DOI 10.1007/s40309-016-0089-x; Lotze HK, 2006, SCIENCE, V312, P1806, DOI 10.1126/science.1128035; Lotze HK, 2011, TRENDS ECOL EVOL, V26, P595, DOI 10.1016/j.tree.2011.07.008; Lubchenco J, 2015, SCIENCE, V350, P382, DOI 10.1126/science.aad5443; McCauley DJ, 2015, SCIENCE, V347, DOI 10.1126/science.1255641; McClanahan TR, 2012, ENVIRON CONSERV, V39, P357, DOI 10.1017/S0376892912000197; McCook LJ, 2010, P NATL ACAD SCI USA, V107, P18278, DOI 10.1073/pnas.0909335107; McGregor Tan Research, 2008, SOL ISL MAR PARK COM; McGregor Tan Research, 2008, JERV BAY MAR PARK CO; McKinley E, 2012, MAR POLICY, V36, P839, DOI 10.1016/j.marpol.2011.11.001; McKinley E, 2010, OCEAN COAST MANAGE, V53, P379, DOI 10.1016/j.ocecoaman.2010.04.012; Mora C, 2009, PLOS BIOL, V7, DOI 10.1371/journal.pbio.1000131; Parnell PE, 2005, MAR ECOL PROG SER, V296, P39, DOI 10.3354/meps296039; Pomeroy R, 2008, MAR POLICY, V32, P816, DOI 10.1016/j.marpol.2008.03.017; Potts T, 2011, PUBLIC PERCEPTIONS E; Potts T, 2016, MAR POLICY, V72, P59, DOI 10.1016/j.marpol.2016.06.012; Ressurreiçao A, 2012, OCEAN COAST MANAGE, V69, P243, DOI 10.1016/j.ocecoaman.2012.09.002; Roberts CM, 2005, PHILOS T R SOC B, V360, P123, DOI 10.1098/rstb.2004.1578; Sáenz-Arroyo A, 2005, P ROY SOC B-BIOL SCI, V272, P1957, DOI 10.1098/rspb.2005.3175; Scott NJ, 2005, AQUAT CONSERV, V15, P299, DOI 10.1002/aqc.662; Secretariat of the Convention on Biological Diversity, 2014, GLOB BIOD OUTL; Spruill V.N., 1997, Oceanography, V10, P149, DOI DOI 10.5670/0CEAN0G.1997.13; Steel BS, 2005, OCEAN COAST MANAGE, V48, P97, DOI 10.1016/j.ocecoaman.2005.01.002; Thomassin A, 2010, OCEAN COAST MANAGE, V53, P169, DOI 10.1016/j.ocecoaman.2010.01.008; Tudor DT, 2003, J COASTAL RES, V19, P1104; UNEP-WCMC and IUCN, 2016, PROT PLANT REP 2016; Wells S, 2007, OCEAN COAST MANAGE, V50, P67, DOI 10.1016/j.ocecoaman.2006.08.012; Whatmough S, 2011, MAR FRESHWATER RES, V62, P755, DOI 10.1071/MF10142; Worm B, 2006, SCIENCE, V314, P787, DOI 10.1126/science.1132294; Worm B, 2009, SCIENCE, V325, P578, DOI 10.1126/science.1173146; WWF (World Wildlife Fund)-Canada, 2016, PUBL OP MAR PROT AR; WWF-New Zealand, 2011, NZ ATT THEIR OC MAR; WWF-New Zealand, 2005, NZ VIEWS THREATS PRO; Young J., 2008, RES PUBLICATIN GREAT, V90</t>
  </si>
  <si>
    <t>10.1016/j.ocecoaman.2017.11.004</t>
  </si>
  <si>
    <t>FU1ZF</t>
  </si>
  <si>
    <t>WOS:000423647300002</t>
  </si>
  <si>
    <t>Snow, S; Matthews, S; Chen, YE; Yang, SC; Bayley, M</t>
  </si>
  <si>
    <t>Snow, Stephen; Matthews, Sarah; Chen, Yueer; Yang, Sicheng; Bayley, Mark</t>
  </si>
  <si>
    <t>Designing serious games to engage children with energy saving in the home: potential learning outcomes and design considerations</t>
  </si>
  <si>
    <t>JOURNAL OF COMPUTERS IN EDUCATION</t>
  </si>
  <si>
    <t>Games; Energy literacy; Energy saving; Design; Children; Active learning</t>
  </si>
  <si>
    <t>LITERACY; SUSTAINABILITY; CONSUMPTION; MOTIVATION; EDUCATION; FEEDBACK; STUDENTS; BEHAVIOR</t>
  </si>
  <si>
    <t>The children of today will inherit a more complex domestic energy landscape than their parents. While children consume energy themselves and can meaningfully participate in energy saving, they are neglected by the current discourse on energy literacy. This research details the design, deployment, and evaluation of two serious game prototypes aiming to engage children between the ages of 6-11 years with energy savings in the home. Based on semi-formal interviews with 13 children and their parent(s), findings suggest serious games can positively influence children's learning about household energy use. Parental involvement in gameplay or post-game discussions can respond to curiosities raised during the game, enhancing the learning potential of the game for children. Yet positive engagement in a game does not guarantee learning from it; children's learning was hindered by a disconnection between game-world and home-world, and by simple usability factors. The design of serious games for children's energy literacy should encourage-but not require- parental involvement, maximise scalability, customisation, and connection to context. The post-COVID landscape of re-organised family practices towards greater work and study from home presents many opportunities for designers in this space.</t>
  </si>
  <si>
    <t>[Snow, Stephen; Chen, Yueer; Yang, Sicheng; Bayley, Mark] Univ Queensland, Sch Elect Engn &amp; Comp Sci, St Lucia 4072, Australia; [Snow, Stephen] CSIRO Environm, Dutton Pk 4101, Australia; [Matthews, Sarah] Queensland Univ Technol, Ctr Excellence Digital Child, Australian Res Council, Brisbane, Australia</t>
  </si>
  <si>
    <t>University of Queensland; Commonwealth Scientific &amp; Industrial Research Organisation (CSIRO); Queensland University of Technology (QUT)</t>
  </si>
  <si>
    <t>Snow, S (corresponding author), Univ Queensland, Sch Elect Engn &amp; Comp Sci, St Lucia 4072, Australia.;Snow, S (corresponding author), CSIRO Environm, Dutton Pk 4101, Australia.</t>
  </si>
  <si>
    <t>s.snow@uq.edu.au</t>
  </si>
  <si>
    <t>Yang, SiCheng/IXW-6432-2023; Snow, Stephen/KLY-3258-2024</t>
  </si>
  <si>
    <t>Snow, Stephen/0000-0002-8408-0153</t>
  </si>
  <si>
    <t>Aguirre-Bielschowsky I, 2017, ENVIRON EDUC RES, V23, P832, DOI 10.1080/13504622.2015.1054267; [Anonymous], 2020, 2020 ESSENTIAL FACTS; Antle A.N., 2014, Playful User Interfaces, P163, DOI [10.1007/978-981-4560-96-2_8, DOI 10.1007/978-981-4560-96-2_8]; Australian Government, 2021, Electricity generation; Banerjee A., 2016, P 2016 CHI C EXTENDE, DOI [10.1145/2851581.2892507, DOI 10.1145/2851581.2892507]; Banerjee Amartya, 2014, TEI 2014 8 INT C TAN, P267, DOI [10.1145/2540930.2540964, DOI 10.1145/2540930.2540964]; Barrouillet P, 2015, DEV REV, V38, P1, DOI 10.1016/j.dr.2015.07.004; Braun V, 2006, QUAL RES PSYCHOL, V3, P77, DOI [DOI 10.1191/1478088706QP063OA, 10.1191/1478088706qp063oa]; Brown J., 1989, ED RES, V18, P32, DOI [DOI 10.3102/0013189X018001032, 10.2307/1176008]; CAMERON J, 1994, REV EDUC RES, V64, P363, DOI 10.3102/00346543064003363; Chaudhury SR, 2019, COGENT BUS MANAG, V6, DOI 10.1080/23311975.2019.1622178; Connolly T., 2009, Games-based learning advancements for multi-sensory human computer interfaces: techniques and effective practices; Connolly TM, 2012, COMPUT EDUC, V59, P661, DOI 10.1016/j.compedu.2012.03.004; Darby S., 2006, A Review for DEFRA of the Literature on Metering, Billing and direct Displays; Desjardins A, 2011, PROCEEDINGS OF IDC 2011: THE 10TH INTERNATIONAL CONFERENCE ON INTERACTION DESIGN AND CHILDREN (IDC2011), P37; DeWaters J, 2013, J ENVIRON EDUC, V44, P38, DOI 10.1080/00958964.2012.711378; Dillahunt Tawanna, 2017, International Journal of Child-Computer Interaction, V13, P19, DOI 10.1016/j.ijcci.2017.05.002; Druin A, 2002, BEHAV INFORM TECHNOL, V21, P1, DOI [10.1080/014492901101008659, 10.1080/01449290110108659]; Fell MJ, 2014, ENERG POLICY, V65, P351, DOI 10.1016/j.enpol.2013.10.003; Filsecker M, 2014, COMPUT EDUC, V75, P136, DOI 10.1016/j.compedu.2014.02.008; Fischer C, 2008, ENERG EFFIC, V1, P79, DOI 10.1007/s12053-008-9009-7; Flynn R. M., 2021, International Journal of Child-Computer Interaction, V30, P100325, DOI [https://doi.org/10.1016/j.ijcci.2021.100325, DOI 10.1016/J.IJCCI.2021.100325]; Froehlich J, 2010, CHI2010: PROCEEDINGS OF THE 28TH ANNUAL CHI CONFERENCE ON HUMAN FACTORS IN COMPUTING SYSTEMS, VOLS 1-4, P1999; Gee J.P., 2008, INT HDB CHILDREN MED, P196; Gennari Rosella, 2019, End-User Development. 7th International Symposium, IS-EUD 2019. Proceedings: Lecture Notes in Computer Science (LNCS 11553), P132, DOI 10.1007/978-3-030-24781-2_9; Green M, 2015, ENVIRON EDUC RES, V21, P832, DOI 10.1080/13504622.2014.923382; Hakkarainen K, 2003, J RES SCI TEACH, V40, P1072, DOI 10.1002/tea.10121; Hargreaves T, 2013, ENERG POLICY, V52, P126, DOI 10.1016/j.enpol.2012.03.027; Hennessy S., 1993, STUD SCI EDUC, V22, DOI DOI 10.1080/03057269308560019; Hogan S., 2018, Building Australia's Energy Literacy; Horn MS, 2011, PROCEEDINGS OF IDC 2011: THE 10TH INTERNATIONAL CONFERENCE ON INTERACTION DESIGN AND CHILDREN (IDC2011), P161; IPSOS, 2022, The IPSOS Climate Change Report; Isabelle GM, 2011, ENERG EFFIC, V4, P493, DOI 10.1007/s12053-011-9124-8; Iten N, 2016, BRIT J EDUC TECHNOL, V47, P151, DOI 10.1111/bjet.12226; Johnson D, 2017, RENEW SUST ENERG REV, V73, P249, DOI 10.1016/j.rser.2017.01.134; Katsaliaki K, 2015, SIMULAT GAMING, V46, P647, DOI 10.1177/1046878114552166; Kumar V, 2019, PROCEEDINGS OF ACM INTERACTION DESIGN AND CHILDREN (IDC 2019), P660, DOI 10.1145/3311927.3325343; Kynigos Chronis, 2018, International Journal of Child-Computer Interaction, V17, P16, DOI 10.1016/j.ijcci.2018.04.001; Laine TH, 2020, IEEE T LEARN TECHNOL, V13, P804, DOI 10.1109/TLT.2020.3018503; Lameras P, 2017, BRIT J EDUC TECHNOL, V48, P972, DOI 10.1111/bjet.12467; Lave J., 1991, Situated learning: Legitimate peripheral participation; Lee LS, 2015, ENERG POLICY, V76, P98, DOI 10.1016/j.enpol.2014.11.012; Lundberg DC, 2019, ENERGY RES SOC SCI, V58, DOI 10.1016/j.erss.2019.101257; Marshall P., 2007, P 1 ST INT C TANGIBL, P163, DOI DOI 10.1145/1226969.1227004; Mobvista, 2017, GameAnalytics report reveals: the gap between top-performing mobile games and the rest reaches an all-time high; Musick Geoff, 2021, Proceedings of the ACM on Human-Computer Interaction, V5, DOI 10.1145/3474678; Mylonas G., 2019, INT J CHILD COMPUTER, V20, P43, DOI [https://doi.org/10.1016/j.ijcci.2019.03.003, DOI 10.1016/J.IJCCI.2019.03.003]; Okuyan CB, 2022, PERSPECT PSYCHIATR C, V58, P173, DOI 10.1111/ppc.12847; Oprins E, 2015, INT J TECHNOL ENHANC, V7, P326, DOI 10.1504/IJTEL.2015.074189; Osbaldiston R, 2012, ENVIRON BEHAV, V44, P257, DOI 10.1177/0013916511402673; Resnick M., 2017, Lifelong Kindergarten - Cultivating Creativity through Projects, Passion, Peers, and Play, DOI DOI 10.7551/MITPRESS/11017.001.0001; Rieber LP, 1996, ETR&amp;D-EDUC TECH RES, V44, P43, DOI 10.1007/BF02300540; Sanson AV, 2019, CHILD DEV PERSPECT, V13, P201, DOI 10.1111/cdep.12342; Spradley J.P., 2016, The ethnographic interview; Strengers Y., 2013, Smart Energy Technologies in Everyday Life, DOI DOI 10.1057/9781137267054; van den Broek KL, 2019, ENERGY RES SOC SCI, V57, DOI 10.1016/j.erss.2019.101256; Wertsch J.V., 1997, VOICES MIND SOCIOCUL; Wethal U, 2022, SUSTAINABILITY-SCI P, V18, P325, DOI 10.1080/15487733.2022.2063097; Yu ZG, 2019, INT J COMPUT GAMES T, V2019, DOI 10.1155/2019/4797032; Zimmerman J, 2007, CONFERENCE ON HUMAN FACTORS IN COMPUTING SYSTEMS, VOLS 1 AND 2, P493</t>
  </si>
  <si>
    <t>2197-9987</t>
  </si>
  <si>
    <t>2197-9995</t>
  </si>
  <si>
    <t>J COMPUT EDUC</t>
  </si>
  <si>
    <t>J. Comput. Educ.</t>
  </si>
  <si>
    <t>2023 DEC 9</t>
  </si>
  <si>
    <t>10.1007/s40692-023-00302-x</t>
  </si>
  <si>
    <t>AH8P7</t>
  </si>
  <si>
    <t>WOS:001117669000001</t>
  </si>
  <si>
    <t>Heck, N; Paytan, A; Potts, DC; Haddad, B</t>
  </si>
  <si>
    <t>Heck, Nadine; Paytan, Adina; Potts, Donald C.; Haddad, Brent</t>
  </si>
  <si>
    <t>Coastal residents' literacy about seawater desalination and its impacts on marine ecosystems in California</t>
  </si>
  <si>
    <t>Seawater desalination; Coastal community; Public awareness and knowledge; Ocean literacy; Information sources</t>
  </si>
  <si>
    <t>OCEAN LITERACY; PERCEPTIONS; KNOWLEDGE; RESERVE; AREA; CITIZENSHIP; MANAGEMENT; ATTACHMENT; ATTITUDES; ISSUES</t>
  </si>
  <si>
    <t>This article examines coastal residents' awareness and knowledge about impacts of seawater desalination on marine ecosystems Carlsbad, California. The paper explores to what extent sociodemographics, motivational factors, and information use shape public awareness and self-assessed and factual knowledge. Data was collected using a mail survey (n=330) from a random sample of residents in Carlsbad. Both self-assessed and factual knowledge about the desalination plant and its impacts on marine ecosystem were low, with only two of 11 factual questions answered correctly by more than 50% of respondents. Gender, frequency of ocean use, and use of distinct information sources correlated positively with greater factual knowledge. Education, age, time of residency in local community, membership in an NGO, and place attachment to marine areas did not increase factual knowledge. Findings also demonstrate that knowledge shaped attitudes towards the seawater desalination plant as greater knowledge about marine impacts reduced support. (C) 2016 Elsevier Ltd. All rights reserved.</t>
  </si>
  <si>
    <t>[Heck, Nadine; Paytan, Adina] Univ Calif Santa Cruz, Inst Marine Sci, 1156 High St, Santa Cruz, CA 95064 USA; [Paytan, Adina] Univ Calif Santa Cruz, Dept Earth &amp; Planetary Sci, 1156 High St, Santa Cruz, CA 95064 USA; [Potts, Donald C.] Univ Calif Santa Cruz, Dept Ecol &amp; Evolutionary Biol, 1156 High St, Santa Cruz, CA 95064 USA; [Haddad, Brent] Univ Calif Santa Cruz, Environm Studies, 1156 High St, Santa Cruz, CA 95064 USA</t>
  </si>
  <si>
    <t>University of California System; University of California Santa Cruz; University of California System; University of California Santa Cruz; University of California System; University of California Santa Cruz; University of California System; University of California Santa Cruz</t>
  </si>
  <si>
    <t>Heck, N (corresponding author), Univ Calif Santa Cruz, Inst Marine Sci, 1156 High St, Santa Cruz, CA 95064 USA.</t>
  </si>
  <si>
    <t>nheck@ucsc.edu; apaytan@ucsc.edu; potts@ucsc.edu; bhaddad@ucsc.edu</t>
  </si>
  <si>
    <t>National Science Foundation Coastal SEES program [1325649]</t>
  </si>
  <si>
    <t>National Science Foundation Coastal SEES program(National Science Foundation (NSF)NSF - Directorate for Biological Sciences (BIO))</t>
  </si>
  <si>
    <t>The study was funded under the National Science Foundation Coastal SEES program, award 1325649.</t>
  </si>
  <si>
    <t>Abd el Wahab M, 2012, THALASSAS, V28, P27; Alaska Sea Grant, 2015, AL SEA GRANTS MAR ED; Anderson E., 2015, DRINKING WATER START; [Anonymous], 2013, DROUGHT ARID SEMIARI, DOI DOI 10.1007/978-94-007-6636-5_17; [Anonymous], 2015, 1 INT C INF SYST SEC; Beierle T.C. Cayford., 2002, Democracy in Practice: Public Participation in Environmental Decisions; Beldon Russonello Stewart and American Viewpoint, 1999, COMM OC RES NAT SURV; Bourne G., 2008, CALIFORNIA DESALINAT; Boxall B., 2013, LA TIMES; California Coastal Commission, 2004, SEAW DES CAL COAST A; California Water Boards, 2014, DES FAC INT BRIN DIS; Compas E, 2007, MAR POLICY, V31, P691, DOI 10.1016/j.marpol.2007.03.001; Connelly NA, 2003, SOC NATUR RESOUR, V16, P541, DOI 10.1080/08941920309152; Cooley H., 2013, Key issues for seawater desalination in California: Energy and greenhouse gas emissions; Cudaback C, 2008, OCEANOGRAPHY, V21, P10, DOI 10.5670/oceanog.2008.21; Daigle D., 2003, VALUES AT SEA; Dillman DA, 2014, INTERNET PHONE MAIL, V4th; Duda M., 2007, CALIFORNIA RESIDENTS; ETTEMA JS, 1977, COMMUN RES, V4, P179, DOI 10.1177/009365027700400204; Fletcher S, 2007, COAST MANAGE, V35, P511, DOI 10.1080/08920750701525818; Fletcher S, 2009, MAR POLICY, V33, P370, DOI 10.1016/j.marpol.2008.08.004; Greely T., 2008, Ocean literacy and reasoning about ocean issues: The influence of content, experience and morality; Guzman G, 2009, J KNOWL MANAG, V13, P86, DOI 10.1108/13673270910971851; Heberger M., 2009, IMPACTS SEA LEVEL RI; Hynes S, 2014, MAR POLICY, V47, P57, DOI 10.1016/j.marpol.2014.02.002; Jefferson R, 2015, OCEAN COAST MANAGE, V115, P61, DOI 10.1016/j.ocecoaman.2015.06.014; Jones N, 2011, OCEAN COAST MANAGE, V54, P577, DOI 10.1016/j.ocecoaman.2011.05.001; Kelley Angela Haren, 2011, ECOLOGY L CURRENTS, V38, P40; Knowlton N, 2001, MARINE COMMUNITY ECOLOGY, P395; Lattemann S, 2009, GREEN ENERGY TECHNOL, P273, DOI 10.1007/978-3-642-01150-4_11; Little J., 2015, ABC 10 NEWS; Liu TK, 2013, DESALINATION, V326, P10, DOI 10.1016/j.desal.2013.07.003; LOVRICH NP, 1984, COMMUN RES, V11, P415, DOI 10.1177/009365084011003005; Fuentes-Bargues JL, 2014, DESALINATION, V347, P166, DOI 10.1016/j.desal.2014.05.032; McKinley E, 2012, MAR POLICY, V36, P839, DOI 10.1016/j.marpol.2011.11.001; Monterey Bay National Marine Sanctuary National Marine Fisheries Service, 2010, GUID DES PLANTS MONT; National Ocean Council, 2013, NAT OC POL IMPL PLAN; Needham MD, 2013, TOURISM MANAGE, V35, P70, DOI 10.1016/j.tourman.2012.06.001; NOAA Office of Education Ocean Literacy, 2013, ESS PRINC FUND CONC; Pacific Institute, 2012, PROP SEAW DES PLANTS; Parnell PE, 2005, MAR ECOL PROG SER, V296, P39, DOI 10.3354/meps296039; Peel J, 2014, WATER GOVERNANCE CLI; Perry EE, 2014, OCEAN COAST MANAGE, V95, P107, DOI 10.1016/j.ocecoaman.2014.04.011; Perry T., 2015, LA TIMES; Pew Oceans Commission, 2003, AM LIV OC CHART COUR; Pierce J., 1999, HDB GLOBAL ENV POLIC; Pierce J. C., 1992, PRAEGER SERIES POLIT; Pierce J.C., 1999, HDB GLOBAL ENV POLIC, V74, P433; Poseidon Water, 2008, POS RES MAR LIF MIT; Poseidon Water, 2014, PROJ OV DES PLANT; (Poseidon) Water, 2005, ENV IMP REP ENV AN B; Ressurreiçao A, 2012, OCEAN COAST MANAGE, V69, P243, DOI 10.1016/j.ocecoaman.2012.09.002; San Diego County Water Authority, 2012, SEAW DES; San Diego County Water Authority, 2014, SEAW DES CARLSB DES; Sellers J.M., 2008, DESALACTION AGUA CON, P173; Snider A, 2010, COAST MANAGE, V38, P540, DOI 10.1080/08920753.2010.511696; State of California Public Utilities Commission, 2015, AM MON PEN WAT SUPPL; [State Water Resources Control Board C.E.P. Agency], 2014, AM WAT QUAL IN PRESS; Steel B, 2005, COAST MANAGE, V33, P37, DOI 10.1080/08920750590883105; Steel B., 1992, J ENVIRON SYST, V22, P123; STEEL BS, 1990, SOC NATUR RESOUR, V3, P331, DOI 10.1080/08941929009380730; Steel BS, 2005, OCEAN COAST MANAGE, V48, P97, DOI 10.1016/j.ocecoaman.2005.01.002; U. S. C. Sea Grant Ocean, 2015, SEA GRANT OC SCI ENV; *US COMM OC POL, 2004, OC BLUEPR 21 CENT RE; Vaske J.J., 2008, Survey Research and Analysis; Voyer M, 2015, MAR POLICY, V52, P93, DOI 10.1016/j.marpol.2014.10.027; Williams DR, 2003, FOREST SCI, V49, P830; Xu JY, 2006, J ENVIRON MANAGE, V78, P362, DOI 10.1016/j.jenvman.2005.05.003</t>
  </si>
  <si>
    <t>10.1016/j.marpol.2016.03.004</t>
  </si>
  <si>
    <t>DL3FJ</t>
  </si>
  <si>
    <t>WOS:000375519300020</t>
  </si>
  <si>
    <t>Dupont, S</t>
  </si>
  <si>
    <t>Dupont, Sam</t>
  </si>
  <si>
    <t>I am the Ocean - arts and sciences to move from ocean literacy to passion for the ocean</t>
  </si>
  <si>
    <t>JOURNAL OF THE MARINE BIOLOGICAL ASSOCIATION OF THE UNITED KINGDOM</t>
  </si>
  <si>
    <t>Recent events in world politics demonstrate that a part of society has lost faith in their institutions. The importance of facts and evidence in citizens' decision making is weakened by opinions and belief systems. This post-fact or alternate facts era is a new challenge in the field of science communication as we urgently need to tackle global environmental challenges. Not only do scientists need to better communicate their work, they also need to explore alternative ways of transferring knowledge to help citizens reconnect with nature and actively take responsible decisions to protect it. The activity 'I am the Ocean' has been developed by an artist and a scientist with the goal to help students understand, connect and be equipped to take actions on marine global changes. The activity was a mix of field trips, open discussions and sensory immersion. It illustrates how art and metaphors can add an emotional and physical dimension to science communication, allowing a better understanding of otherwise invisible threats, and move from knowledge to passion.</t>
  </si>
  <si>
    <t>[Dupont, Sam] Univ Gothenburg, Sven Loven Ctr Marine Infrastruct Kristineberg, Dept Biol &amp; Environm Sci, S-45178 Fiskebackskil, Sweden</t>
  </si>
  <si>
    <t>Dupont, S (corresponding author), Univ Gothenburg, Sven Loven Ctr Marine Infrastruct Kristineberg, Dept Biol &amp; Environm Sci, S-45178 Fiskebackskil, Sweden.</t>
  </si>
  <si>
    <t>sam.dupont@bioenv.gu.se</t>
  </si>
  <si>
    <t>Dupont, Sam T/F-5527-2013</t>
  </si>
  <si>
    <t>Cava F., 2005, Science Content and Standards for Ocean Literacy: A Report on Ocean Literacy, P1; Curtis DJ, 2012, ECOL SOC, V17, DOI 10.5751/ES-04670-170203; Dupont S., 2017, Handbook on the Economics and Management of Sustainable Oceans, P519, DOI [10.4337/9781786430724, DOI 10.4337/9781786430724.00037]; Dupont S, 2015, J MAR BIOL ASSOC UK, V95, P863, DOI 10.1017/S0025315415000193; Dupont S, 2014, J SHELLFISH RES, V33, P857, DOI 10.2983/035.033.0320; Fiels C. B., 2013, CLIMATE CHANGE 201 A, P1132; Kahan DM, 2012, NAT CLIM CHANGE, V2, P732, DOI 10.1038/NCLIMATE1547; Kollmuss A., 2002, ENVIRON EDUC RES, V8, P239, DOI [10.1080/13504620220145401, DOI 10.1080/13504620220145401]; Ramasundaram V, 2005, COMPUT EDUC, V45, P21, DOI 10.1016/j.compedu.2004.03.002; Stepath C. M., 2006, THESIS; Worm B, 2013, MAR POLICY, V40, P194, DOI 10.1016/j.marpol.2012.12.034; Zeidler DL, 1997, SCI EDUC, V81, P483</t>
  </si>
  <si>
    <t>32 AVENUE OF THE AMERICAS, NEW YORK, NY 10013-2473 USA</t>
  </si>
  <si>
    <t>0025-3154</t>
  </si>
  <si>
    <t>1469-7769</t>
  </si>
  <si>
    <t>J MAR BIOL ASSOC UK</t>
  </si>
  <si>
    <t>J. Mar. Biol. Assoc. U.K.</t>
  </si>
  <si>
    <t>10.1017/S0025315417000376</t>
  </si>
  <si>
    <t>Marine &amp; Freshwater Biology</t>
  </si>
  <si>
    <t>FX9LF</t>
  </si>
  <si>
    <t>WOS:000426420100001</t>
  </si>
  <si>
    <t>Armstrong, CW; Aanesen, M; Hynes, S; Tinch, R</t>
  </si>
  <si>
    <t>Armstrong, Claire W.; Aanesen, Margrethe; Hynes, Stephen; Tinch, Rob</t>
  </si>
  <si>
    <t>People do care about the deep sea. A comment on Jamieson et al. (2020)</t>
  </si>
  <si>
    <t>ICES JOURNAL OF MARINE SCIENCE</t>
  </si>
  <si>
    <t>deep sea; valuation; willingness to pay</t>
  </si>
  <si>
    <t>STATED PREFERENCE VALUATION; WILLINGNESS-TO-PAY; ENVIRONMENT; GOODS</t>
  </si>
  <si>
    <t>In a paper in this journal entitled Fear and loathing of the deep sea: why don't people care about the deep sea?, Jamieson et al. (2020) pose this question and answer it with many interesting perspectives from psychology, ocean literacy and philosophy. However, there is an inherent assumption in the question they ask that people do not care about the deep sea. In order to assess this assumption, we contend that the first question to ask is: do people care about the deep sea? Based on the cultural significance of the theme of the deep ocean in art and literature, the results of ocean attitudinal surveys and the work done on deep sea economic valuation in recent years, we suggest that the answer is that people do care about many different aspects of the deep sea, not only the ones that hold market value, but also non-market values. It is nonetheless argued that the welfare benefits that societies gain from the deep sea are not at the fore in political discussions or marine policy making.</t>
  </si>
  <si>
    <t>[Armstrong, Claire W.] UiT Arctic Univ Norway, Hansine Hansens Veg 18, N-9019 Tromso, Norway; [Aanesen, Margrethe] NORCE Norwegian Res Ctr Appl Res, Nygardsgaten 112, N-5008 Bergen, Norway; [Hynes, Stephen] Univ Galway, Whitaker Inst, Socioecon Marine Res Unit, Galway, Ireland; [Tinch, Rob] Econ Environm Consultancy, 1OF Printing House Yard, London E2 7PR, England</t>
  </si>
  <si>
    <t>UiT The Arctic University of Tromso; Ollscoil na Gaillimhe-University of Galway</t>
  </si>
  <si>
    <t>Armstrong, CW (corresponding author), UiT Arctic Univ Norway, Hansine Hansens Veg 18, N-9019 Tromso, Norway.</t>
  </si>
  <si>
    <t>claire.armstrong@uit.no</t>
  </si>
  <si>
    <t>Armstrong, Claire/0000-0002-1837-9165</t>
  </si>
  <si>
    <t>Aanesen M, 2021, LAND ECON, V97, P207; Aanesen M, 2015, ECOL ECON, V112, P53, DOI 10.1016/j.ecolecon.2015.02.007; Ankamah-Yeboah I, 2022, J ENVIRON ECON POLIC, V11, P113, DOI 10.1080/21606544.2021.1924286; Ankamah-Yeboah I, 2020, FRONT MAR SCI, V7, DOI 10.3389/fmars.2020.00137; [Anonymous], 2019, Special Eurobarometer 501; Armstrong CW, 2019, CONSERV BIOL, V33, P1329, DOI 10.1111/cobi.13380; Armstrong CW, 2017, MAR RESOUR ECON, V32, P351, DOI 10.1086/693477; Armstrong CW, 2012, ECOSYST SERV, V2, P2, DOI 10.1016/j.ecoser.2012.07.001; Arrow K., 1993, Fed Regist, V58, P4601, DOI DOI 10.1002/QJ.49703213905; Börger T, 2020, J ENVIRON MANAGE, V265, DOI 10.1016/j.jenvman.2020.110520; Byron GeorgeGordon., 1812, Childe Harold's Pilgrimage: A Romaunt; Chen WT, 2022, J ENVIRON MANAGE, V303, DOI 10.1016/j.jenvman.2021.114127; Costanza R, 2014, GLOBAL ENVIRON CHANG, V26, P152, DOI 10.1016/j.gloenvcha.2014.04.002; Elliot, 1943, DRY SALVAGES 4 QUART; Folkersen MV, 2019, GLOBAL ENVIRON CHANG, V54, P1, DOI 10.1016/j.gloenvcha.2018.11.002; H2020 SOPHIE Consortium, 2020, CIT SEA PUBL PERC OC; Hanley N., 2015, J OCEAN COAST EC, V2, P1, DOI [10.15351/2373-8456.1014, DOI 10.15351/2373-8456.1014]; Hanley N, 2019, REV ENV ECON POLICY, V13, P248, DOI 10.1093/reep/rez005; Hawthorne N., 1825, POEM OCEAN; Hynes S, 2021, ECOL ECON, V189, DOI 10.1016/j.ecolecon.2021.107142; Hynes S, 2021, J ENVIRON PLANN MAN, V64, P1428, DOI 10.1080/09640568.2020.1828840; Hynes S, 2014, MAR POLICY, V47, P57, DOI 10.1016/j.marpol.2014.02.002; Jamieson AJ, 2021, ICES J MAR SCI, V78, P797, DOI 10.1093/icesjms/fsaa234; Jobstvogt N, 2014, ECOL ECON, V97, P10, DOI 10.1016/j.ecolecon.2013.10.019; Joyce James., 1986, ULYSSES; Kaikkonen L, 2021, PEOPLE NAT, V3, P843, DOI 10.1002/pan3.10224; LaRiviere J, 2014, J ENVIRON ECON MANAG, V68, P376, DOI 10.1016/j.jeem.2014.07.004; Larsen L, 2004, J AM PLANN ASSOC, V70, P374; Mentz S, 2009, LIT COMPASS, V6, P997, DOI 10.1111/j.1741-4113.2009.00655.x; O'Connor E, 2020, J ENVIRON MANAGE, V275, DOI 10.1016/j.jenvman.2020.111180; O'Connor E, 2021, RESTOR ECOL, V29, DOI 10.1111/rec.13239; Potts T, 2011, PUBLIC PERCEPTIONS E; Rogers A.D., 2015, POSITION PAPER 22 EU, P224, DOI DOI 10.13140/RG.2.1.4077.0009; Rossetti C.G., 1858, COMPLETE POEMS CHRIS, P185; Tinch R., 2021, J OCEAN COASTAL EC, V8; Torres C, 2017, MAR POLICY, V75, P99, DOI 10.1016/j.marpol.2016.10.017; Wattage P, 2011, FISH RES, V107, P59, DOI 10.1016/j.fishres.2010.10.007; Wells, 1921, COLLECTED POEMS AR W; Whittington D, 2017, ANNU REV RESOUR ECON, V9, P317, DOI 10.1146/annurev-resource-121416-125602; Wynne, 1919, DAYS DAYS YEAR ROUND, P139; Xuan BB, 2021, CONSERV BIOL, V35, P1405, DOI 10.1111/cobi.13720; Zanoli R, 2015, MAR POLICY, V61, P227, DOI 10.1016/j.marpol.2015.08.009</t>
  </si>
  <si>
    <t>1054-3139</t>
  </si>
  <si>
    <t>1095-9289</t>
  </si>
  <si>
    <t>ICES J MAR SCI</t>
  </si>
  <si>
    <t>ICES J. Mar. Sci.</t>
  </si>
  <si>
    <t>10.1093/icesjms/fsac161</t>
  </si>
  <si>
    <t>Fisheries; Marine &amp; Freshwater Biology; Oceanography</t>
  </si>
  <si>
    <t>5O8KE</t>
  </si>
  <si>
    <t>Green Submitted, hybrid</t>
  </si>
  <si>
    <t>WOS:000859803900001</t>
  </si>
  <si>
    <t>Lucrezi, S; Esfehani, MH; Ferretti, E; Cerrano, C</t>
  </si>
  <si>
    <t>Lucrezi, Serena; Esfehani, Minoo Hassani; Ferretti, Eliana; Cerrano, Carlo</t>
  </si>
  <si>
    <t>The effects of stakeholder education and capacity building in marine protected areas: A case study from southern Mozambique</t>
  </si>
  <si>
    <t>Stakeholder engagement; Focus groups; Capacity building; Ocean literacy; Environmental monitoring; Intertidal ecosystem</t>
  </si>
  <si>
    <t>CONSERVATION; MANAGEMENT; EMPOWERMENT; PARTICIPATION; PERCEPTIONS; TANZANIA; BENEFITS; IMPACTS</t>
  </si>
  <si>
    <t>Stakeholder engagement is a critical component of marine protected area (MPA) management. Education and capacity-building initiatives, in particular, have the potential to empower stakeholders, promote collaboration, create a culture of marine stewardship and encourage alternative and sustainable livelihoods. Empirical evidence on the impacts of these initiatives on stakeholders and MPAs is however still lacking. This study tested the impact of an ocean literacy, marine education and environmental monitoring initiative on stakeholders' views of conservation, community and livelihood in the Ponta do Ouro Partial Marine Reserve (PPMR) in southern Mozambique. Data were collected via two focus groups, one before and one after participation in the initiative. Stakeholders who participated in this research included representatives from governance, tourism and education sectors in the PPMR. Participation in the initiative had a positive effect on stakeholders' views of conservation, community and livelihood. Following the initiative, some of these views became more aligned with the goals of the PPMR, while others highlighted important issues to be addressed by management. This study demonstrates the bilateral nature of stakeholder engagement in MPAs, including stakeholder empowerment and steering management strategies.</t>
  </si>
  <si>
    <t>[Lucrezi, Serena; Esfehani, Minoo Hassani] North West Univ, TREES, 11 Hoffman St, ZA-2531 Potchefstroom, South Africa; [Ferretti, Eliana] Studio Associato GAIA Snc, Via Brigata Liguria 1-9 Scala A, I-16121 Genoa, Italy; [Cerrano, Carlo] Polytech Univ Marche, Dept Life &amp; Environm Sci DiSVA, UO CoNISMa, Via Brecce Bianche, I-60131 Ancona, Italy</t>
  </si>
  <si>
    <t>North West University - South Africa; Marche Polytechnic University</t>
  </si>
  <si>
    <t>Lucrezi, S (corresponding author), North West Univ, TREES, Private Bag X6001, ZA-2520 Potchefstroom, North West, South Africa.</t>
  </si>
  <si>
    <t>Cerrano, Carlo/AAF-3557-2019; Esfehani, Minoo/P-5877-2018</t>
  </si>
  <si>
    <t>Cerrano, Carlo/0000-0001-9580-5546; Esfehani, Minoo/0000-0002-7955-4713</t>
  </si>
  <si>
    <t>Green Bubbles RISE project [H2020-MSCA-RISE-2014]; European Union Horizon 2020 research and innovation programme under the Marie Sklodowska-Curie grant [643712]</t>
  </si>
  <si>
    <t>Green Bubbles RISE project; European Union Horizon 2020 research and innovation programme under the Marie Sklodowska-Curie grant(European Union (EU))</t>
  </si>
  <si>
    <t>The authors extend their sincere gratitude to all the participants in this study. Special thanks go to the manager of the PPMR Miguel Gonsalves, Antonio Sara, Maria Annino, Lisa Pola, William Maliepaard, Angelina Neves, Vicente Matzimbe, Ana Alexandra Arailjo do Rosario, Rentia Mynhardt, Angie Gullan, Casey De Lange, Candice Eardley, Daniela Pica, Fabrizio Torsani, Ubaldo Pantaleo, Martina Milanese, and Marco Palma. This study was funded by the Green Bubbles RISE project, H2020-MSCA-RISE-2014. The project has received funding from the European Union Horizon 2020 research and innovation programme under the Marie Sklodowska-Curie grant agreement No. 643712. This paper reflects only the authors' view. The Research Executive Agency is not responsible for any use that may be made of the information it contains. This study was approved by the Faculty of Economic and Management Sciences Research Ethics Committee (EMS-REC) at the North-West University under the ethics code EMS2016/11/25-02/10.</t>
  </si>
  <si>
    <t>Almudi T, 2010, LOCAL ENVIRON, V15, P217, DOI 10.1080/13549830903575570; [Anonymous], 1999, PROTECTED AREA GUIDE; Bennett NJ, 2014, MAR POLICY, V44, P107, DOI 10.1016/j.marpol.2013.08.017; Berg B., 2007, QUALITATIVE RES METH, V6th; Camargo C, 2009, BIODIVERS CONSERV, V18, P935, DOI 10.1007/s10531-008-9555-5; Choi J, 2012, INT J QUAL METH, V11, P652, DOI 10.1177/160940691201100508; Fennessy S.T., 2004, LUBOMBO TRANSF UNPUB, P35; Freeman ER, 2018, BRIT FOOD J, V120, P2631, DOI 10.1108/BFJ-01-2018-0041; GARNIER J., 2008, 10 YEARS BLEACHING F, P121; Gustavsson M, 2014, MAR POLICY, V46, P91, DOI 10.1016/j.marpol.2014.01.005; Harvey K., 2018, FARMERS WKLY, V2018, P36; Howe V, 2001, MAR POLICY, V25, P445, DOI 10.1016/S0308-597X(01)00029-X; Jury MR, 2011, AFR J BUS MANAGE, V5, P481; Kamat VR, 2018, MAR POLICY, V88, P261, DOI 10.1016/j.marpol.2017.12.002; Katikiro RE, 2016, MAR POLICY, V70, P22, DOI 10.1016/j.marpol.2016.04.025; Katikiro RE, 2015, MAR POLICY, V51, P220, DOI 10.1016/j.marpol.2014.08.004; Leisher C, 2012, MAR POLICY, V36, P1005, DOI 10.1016/j.marpol.2012.02.022; Lucrezi S, 2018, J BIOL EDUC, V52, P391, DOI 10.1080/00219266.2017.1385509; Mahajan SL, 2016, MAR POLICY, V74, P108, DOI 10.1016/j.marpol.2016.09.005; Mangora MM, 2011, WETL ECOL MANAG, V19, P533, DOI 10.1007/s11273-011-9234-2; Mifsud MC, 2016, WORLD SUSTAIN SER, P109, DOI 10.1007/978-3-319-26734-0_8; Nieuwenhuis J., 2017, 1 STEPS RES, P103; Pace P, 2002, ROLE ED PROMOTING SU; Peace Parks Foundation, 2016, COMM CONS; Pietri D, 2009, COAST MANAGE, V37, P331, DOI 10.1080/08920750902851625; Pollnac R, 2010, P NATL ACAD SCI USA, V107, P18262, DOI 10.1073/pnas.0908266107; Pomeroy R, 2008, MAR POLICY, V32, P816, DOI 10.1016/j.marpol.2008.03.017; Pomeroy RS, 2005, OCEAN COAST MANAGE, V48, P485, DOI 10.1016/j.ocecoaman.2005.05.004; Pomeroy RS, 2006, FISHERY CO-MANAGEMENT: A PRACTICAL HANDBOOK, P1; Puente-Rodríguez D, 2014, COAST MANAGE, V42, P426, DOI 10.1080/08920753.2014.942029; Schlacher TA, 2006, ETHOL ECOL EVOL, V18, P349, DOI 10.1080/08927014.2006.9522701; Shepherd G., 2004, The Ecosystem Approach: Five Steps to Implementation; Sowman M, 2018, OCEAN COAST MANAGE, V157, P168, DOI 10.1016/j.ocecoaman.2018.02.013; Symons K, 2018, J POLIT ECOL, V25, P488, DOI 10.2458/v25i1.22762; Twichell J, 2018, ENVIRON MANAGE, V61, P916, DOI 10.1007/s00267-018-1020-y; Vivian EVC, 2015, AUSTRALAS J ENV MAN, V22, P149, DOI 10.1080/14486563.2014.990936; Voyer M, 2014, AQUAT CONSERV, V24, P441, DOI 10.1002/aqc.2363; Voyer M, 2012, MAR POLICY, V36, P432, DOI 10.1016/j.marpol.2011.08.002; Ward M. A., 2019, Exemplary practices in marine science education, P289, DOI [10.1007/978-3-319-90778, DOI 10.1007/978-3-319-90778]; Wendt DE, 2009, MAR COAST FISH, V1, P315, DOI 10.1577/C08-054.1; Williams JL, 2017, FRONT MAR SCI, V3, DOI 10.3389/fmars.2016.00288; Zaldívar-Jiménez A, 2017, ENVIRON DEV, V22, P206, DOI 10.1016/j.envdev.2017.02.007</t>
  </si>
  <si>
    <t>10.1016/j.marpol.2019.103645</t>
  </si>
  <si>
    <t>JL4RX</t>
  </si>
  <si>
    <t>WOS:000495518700018</t>
  </si>
  <si>
    <t>Schubel, JR; Monroe, C; Lau, A</t>
  </si>
  <si>
    <t>Schubel, Jerry R.; Monroe, Corinne; Lau, Adam</t>
  </si>
  <si>
    <t>Energizing networks of free-choice learning organizations around the USCOP report and one ocean</t>
  </si>
  <si>
    <t>The U.S. Commission on Ocean Policy and the Pew Oceans Commission both underscore the need to elevate the level of awareness of the general public concerning the importance of the ocean on their lives no matter where they live and the importance of their lives and livelihoods on the ocean no matter where they live. The nation has a number of potentially powerful networks of free-choice learning institutions dedicated to ocean education and literacy. These include the nation's aquariums that are linked together by one or more of the following networks: the American Zoo and Aquarium Association (AZA), Centers for Ocean Sciences Education Excellence (COSEE), Coastal America's Coastal Ecosystem Learning Centers, CORE, and The Ocean Project. These networks could, and should, make a significant contribution to ocean literacy and education. Individually the nodes in the networks do, but the value added from the networks is disappointingly small. The USCOP report provides a singular opportunity that should not be missed. We will propose a strategy involving the NITS to fire all the synapses.</t>
  </si>
  <si>
    <t>Aquarium Pacific, Long Beach, CA 90802 USA</t>
  </si>
  <si>
    <t>Schubel, JR (corresponding author), Aquarium Pacific, Long Beach, CA 90802 USA.</t>
  </si>
  <si>
    <t>UNPUB FREE CHOICE LE</t>
  </si>
  <si>
    <t>WOS:000238978700024</t>
  </si>
  <si>
    <t>Canfield, C; de Bruin, WB; Wong-Parodi, G</t>
  </si>
  <si>
    <t>Canfield, Casey; de Bruin, Wandi Bruine; Wong-Parodi, Gabrielle</t>
  </si>
  <si>
    <t>Perceptions of electricity-use communications: effects of information, format, and individual differences</t>
  </si>
  <si>
    <t>JOURNAL OF RISK RESEARCH</t>
  </si>
  <si>
    <t>electricity-use information; graphs; energy literacy</t>
  </si>
  <si>
    <t>HEALTH-RISK; GRAPHICAL DISPLAYS; VISUAL AIDS; NUMERACY; COMPREHENSION; CONSUMPTION; UNCERTAINTY; FEEDBACK; NUMBERS; QUALITY</t>
  </si>
  <si>
    <t>Electricity bills could be an effective strategy for improving communications about consumers' electricity use and promoting electricity savings. However, quantitative communications about electricity use may be difficult to understand, especially for consumers with low energy literacy. Here, we build on the health communication and graph comprehension literature to inform electricity bill design, with the goal of improving understanding, preferences for the presented communication, and intentions to save electricity. In a survey-based experiment, each participant saw a hypothetical electricity bill for a family with relatively high electricity use, covering information about (a) historical use, (b) comparisons to neighbors, and (c) historical use with appliance breakdown. Participants saw all information types in one of three formats including (a) tables, (b) bar graphs, and (c) icon graphs. We report on three main findings. First, consumers understood each type of electricity-use information the most when it was presented in a table, perhaps because tables facilitate simple point reading. Second, preferences and intentions to save electricity were the strongest for the historical use information, independent of format. Third, individuals with lower energy literacy understood all information less. We discuss implications for designing utility bills that are understandable, perceived as useful, and motivate consumers to save energy.</t>
  </si>
  <si>
    <t>[Canfield, Casey; de Bruin, Wandi Bruine; Wong-Parodi, Gabrielle] Carnegie Mellon Univ, Dept Engn &amp; Publ Policy, Pittsburgh, PA 15213 USA; [de Bruin, Wandi Bruine] Univ Leeds, Sch Business, Ctr Decis Res, Leeds, W Yorkshire, England</t>
  </si>
  <si>
    <t>Carnegie Mellon University; University of Leeds</t>
  </si>
  <si>
    <t>de Bruin, WB (corresponding author), Carnegie Mellon Univ, Dept Engn &amp; Publ Policy, Pittsburgh, PA 15213 USA.;de Bruin, WB (corresponding author), Univ Leeds, Sch Business, Ctr Decis Res, Leeds, W Yorkshire, England.</t>
  </si>
  <si>
    <t>w.bruinedebruin@leeds.ac.uk</t>
  </si>
  <si>
    <t>Canfield, Casey/J-2707-2019; BRUINE DE BRUIN, Wandi/N-8588-2018</t>
  </si>
  <si>
    <t>Canfield, Casey/0000-0001-5325-3798; Wong-Parodi, Gabrielle/0000-0001-5207-7489; BRUINE DE BRUIN, Wandi/0000-0002-1601-789X</t>
  </si>
  <si>
    <t>U.S. Department of Energy [DE-OE0000300, DE-OE0000204]; Carnegie Mellon Electricity Industry Center; center for Climate and Energy Decision Making [SES-0949710, SES-1463492]; National Science Foundation Graduate Research Fellowship [1121895]; agency of the United States Government; Direct For Social, Behav &amp; Economic Scie; Divn Of Social and Economic Sciences [1463492] Funding Source: National Science Foundation</t>
  </si>
  <si>
    <t>U.S. Department of Energy(United States Department of Energy (DOE)); Carnegie Mellon Electricity Industry Center; center for Climate and Energy Decision Making; National Science Foundation Graduate Research Fellowship(National Science Foundation (NSF)); agency of the United States Government; Direct For Social, Behav &amp; Economic Scie; Divn Of Social and Economic Sciences(National Science Foundation (NSF)NSF - Directorate for Social, Behavioral &amp; Economic Sciences (SBE))</t>
  </si>
  <si>
    <t>This work was supported by the U.S. Department of Energy (DE-OE0000300 and DE-OE0000204) via a cost-share arrangement with the Carnegie Mellon Electricity Industry Center as well as the center for Climate and Energy Decision Making (SES-0949710; SES-1463492), through a cooperative agreement between the National Science Foundation and Carnegie Mellon University. Casey Canfield was supported by the National Science Foundation Graduate Research Fellowship (1121895). This report was prepared as an account of work sponsored by an agency of the United States Government. Neither the United States Government nor any agency thereof, nor any of their employees, makes any warranty, express or implied, or assumes any legal liability or responsibility for the accuracy, completeness, or usefulness of any information, apparatus, product, or process disclosed, or represents that its use would not infringe privately owned rights. Reference herein to any specific commercial product, process, or service by trade name, trademark, manufacturer, or otherwise does not necessarily constitute or imply its endorsement, recommendation, or favoring by the United States Government or any agency thereof. The views and opinions of authors expressed herein do not necessarily state or reflect those of the United States Government or any agency thereof. We thank Denise Caruso, Barbara Bugosh, and Jack Wang for their help in conducting the research. In addition, we are grateful to Baruch Fischhoff, Yasmina Okan, Eric Stone, and anonymous reviewers from CMU's Engineering and Public Policy faculty for their comments on an earlier draft. details have been set correctly.</t>
  </si>
  <si>
    <t>Abrahamse W, 2005, J ENVIRON PSYCHOL, V25, P273, DOI 10.1016/j.jenvp.2005.08.002; Allcott H, 2011, J PUBLIC ECON, V95, P1082, DOI 10.1016/j.jpubeco.2011.03.003; Ancker JS, 2007, J AM MED INFORM ASSN, V14, P713, DOI 10.1197/jamia.M2464; Ancker JS, 2006, J AM MED INFORM ASSN, V13, P608, DOI 10.1197/jamia.M2115; [Anonymous], AM LOW EN IQ RISK OU; [Anonymous], 2011, INT EN STAT; Attari SZ, 2010, P NATL ACAD SCI USA, V107, P16054, DOI 10.1073/pnas.1001509107; Beattie V., 1997, Journal of International Financial Management and Accounting, V8, P33; Bergkvist L, 2007, J MARKETING RES, V44, P175, DOI 10.1509/jmkr.44.2.175; Brewer NT, 2012, MED DECIS MAKING, V32, P545, DOI 10.1177/0272989X12441395; Cavanaugh K, 2008, ANN INTERN MED, V148, P737, DOI 10.7326/0003-4819-148-10-200805200-00006; CLEVELAND WS, 1984, J AM STAT ASSOC, V79, P531, DOI 10.2307/2288400; DAVIS LR, 1989, ACCOUNT ORG SOC, V14, P495, DOI 10.1016/0361-3682(89)90014-7; de Bruin WB, 2015, MED DECIS MAKING, V35, P22, DOI 10.1177/0272989X14542485; de Bruin WB, 2013, P NATL ACAD SCI USA, V110, P14062, DOI 10.1073/pnas.1212729110; DeWaters JE, 2011, ENERG POLICY, V39, P1699, DOI 10.1016/j.enpol.2010.12.049; Dietz T, 2009, P NATL ACAD SCI USA, V106, P18452, DOI 10.1073/pnas.0908738106; Egan C., 1999, ACEEE SUMM STUD P; EIA (Energy Information Administration), 2012, US EN REL CARB DIOX; Erickson T., 2012, CHI AUST TX; Estrada CA, 2004, AM J MED SCI, V328, P88, DOI 10.1097/00000441-200408000-00004; Fagerlin A, 2007, AM J HEALTH BEHAV, V31, pS47; Feldman-Stewart D, 2000, MED DECIS MAKING, V20, P228, DOI 10.1177/0272989X0002000208; Field CB, 2014, CLIMATE CHANGE 2014: IMPACTS, ADAPTATION, AND VULNERABILITY, PT A: GLOBAL AND SECTORAL ASPECTS, P1; Fischer C, 2008, ENERG EFFIC, V1, P79, DOI 10.1007/s12053-008-9009-7; Fischhoff B., 2011, Communicating risks and benefits: an evidence-based user's guide; Friel SN, 2001, J RES MATH EDUC, V32, P124, DOI 10.2307/749671; Galesic M, 2009, PUBLIC OPIN QUART, V73, P349, DOI 10.1093/poq/nfp031; Garcia-Retamero R, 2013, CURR DIR PSYCHOL SCI, V22, P392, DOI 10.1177/0963721413491570; Garcia-Retamero R, 2012, SCI WORLD J, DOI 10.1100/2012/562637; Garcia-Retamero R, 2011, J EXP PSYCHOL-APPL, V17, P270, DOI 10.1037/a0023677; Garcia-Retamero R, 2010, SOC SCI MED, V70, P1019, DOI 10.1016/j.socscimed.2009.11.031; Gardner GT, 2008, ENVIRONMENT, V50, P12, DOI 10.3200/ENVT.50.5.12-25; Hawley ST, 2008, PATIENT EDUC COUNS, V73, P448, DOI 10.1016/j.pec.2008.07.023; HAYES SC, 1981, J APPL BEHAV ANAL, V14, P81, DOI 10.1901/jaba.1981.14-81; Hegarty M, 2012, J EXP PSYCHOL-APPL, V18, P1, DOI 10.1037/a0026625; Hertwig R, 2001, BEHAV BRAIN SCI, V24, P383, DOI 10.1017/S0140525X01004149; IBREKK H, 1987, RISK ANAL, V7, P519, DOI 10.1111/j.1539-6924.1987.tb00488.x; Iyer M, 2006, ENERG BUILDINGS, V38, P988, DOI 10.1016/j.enbuild.2005.11.009; JOHNSON BB, 1995, RISK ANAL, V15, P485, DOI 10.1111/j.1539-6924.1995.tb00341.x; Karjalainen S, 2011, ENERG BUILDINGS, V43, P458, DOI 10.1016/j.enbuild.2010.10.010; KELLERCOHEN D, 1987, DISCOURSE PROCESS, V10, P417, DOI 10.1080/01638538709544686; Krishnamurti T, 2013, APPL ENERG, V108, P448, DOI 10.1016/j.apenergy.2013.03.048; Krishnamurti T, 2012, ENERG POLICY, V41, P790, DOI 10.1016/j.enpol.2011.11.047; Krosnick JA, 1999, ANNU REV PSYCHOL, V50, P537, DOI 10.1146/annurev.psych.50.1.537; Lipkus I M, 1999, J Natl Cancer Inst Monogr, P149; Lipkus IM, 2007, MED DECIS MAKING, V27, P696, DOI 10.1177/0272989x07307271; Lipkus IM, 2009, HEALTH EDUC BEHAV, V36, P1065, DOI 10.1177/1090198109341533; Miron-Shatz T, 2009, J HEALTH COMMUN, V14, P439, DOI 10.1080/10810730903032986; Morgan M.G., 2002, RISK COMMUNICATION M; Owens S, 2008, ENERG POLICY, V36, P4412, DOI 10.1016/j.enpol.2008.09.031; Pacala S, 2004, SCIENCE, V305, P968, DOI 10.1126/science.1100103; Peters E, 2007, MED CARE RES REV, V64, P169, DOI 10.1177/10775587070640020301; Peters E, 2011, MED DECIS MAKING, V31, P432, DOI 10.1177/0272989X10391672; Reyna VF, 2009, PSYCHOL BULL, V135, P943, DOI 10.1037/a0017327; Rowe A., 2013, ENVIRON SCI TECHNOL, V47, P4004; Schapira MM, 2001, MED DECIS MAKING, V21, P459, DOI 10.1177/02729890122062811; Schultz PW, 2007, PSYCHOL SCI, V18, P429, DOI 10.1111/j.1467-9280.2007.01917.x; Shah P, 2002, EDUC PSYCHOL REV, V14, P47, DOI 10.1023/A:1013180410169; Shah P., 2005, CAMBRIDGE HDB VISUOS, P426, DOI [DOI 10.1017/CBO9780511610448.012, 10.1017/CBO9780511610448.0121,2, DOI 10.1017/CBO9780511610448.0121,2]; Shah P, 2011, TOP COGN SCI, V3, P560, DOI 10.1111/j.1756-8765.2009.01066.x; Sorensen K, 2012, BMC PUBLIC HEALTH, V12, DOI 10.1186/1471-2458-12-80; Spiegelhalter D, 2011, SCIENCE, V333, P1393, DOI 10.1126/science.1191181; Stone ER, 2003, ORGAN BEHAV HUM DEC, V90, P19, DOI 10.1016/S0749-5978(03)00003-7; Stone ER, 1997, J EXP PSYCHOL-APPL, V3, P243, DOI 10.1037/1076-898X.3.4.243; van Merriënboer JJG, 2003, EDUC PSYCHOL-US, V38, P5, DOI 10.1207/S15326985EP3801_2; VESSEY I, 1991, DECISION SCI, V22, P219, DOI 10.1111/j.1540-5915.1991.tb00344.x; Wanous JP, 1997, J APPL PSYCHOL, V82, P247, DOI 10.1037/0021-9010.82.2.247; WEINSTEIN ND, 1993, RISK ANAL, V13, P103, DOI 10.1111/j.1539-6924.1993.tb00733.x; WILHITE H, 1995, ENERG BUILDINGS, V22, P145, DOI 10.1016/0378-7788(94)00912-4; Woller-Carter M. M., 2013, P HUM FACT ERG SOC A, V56, P1; Zikmund-Fisher BJ, 2014, MED DECIS MAKING, V34, P443, DOI 10.1177/0272989X13511706; Zografakis N, 2008, ENERG POLICY, V36, P3226, DOI 10.1016/j.enpol.2008.04.021</t>
  </si>
  <si>
    <t>1366-9877</t>
  </si>
  <si>
    <t>1466-4461</t>
  </si>
  <si>
    <t>J RISK RES</t>
  </si>
  <si>
    <t>J. Risk Res.</t>
  </si>
  <si>
    <t>10.1080/13669877.2015.1121909</t>
  </si>
  <si>
    <t>FD3WM</t>
  </si>
  <si>
    <t>WOS:000407463100003</t>
  </si>
  <si>
    <t>Covitt, BA; Parker, JM; Kohn, C; Lee, M; Lin, QY; Anderson, CW</t>
  </si>
  <si>
    <t>Covitt, Beth A.; Parker, Joyce M.; Kohn, Craig; Lee, May; Lin, Qinyun; Anderson, Charles W.</t>
  </si>
  <si>
    <t>Understanding and responding to challenges students face when engaging in carbon cycle pool-and-flux reasoning</t>
  </si>
  <si>
    <t>carbon cycle curriculum; carbon cycle pool-and-flux reasoning; climate literacy</t>
  </si>
  <si>
    <t>Carbon cycle pool-and-flux reasoning is a critical facet of climate literacy. This article begins with discussion of why this type of reasoning is both challenging and important. Results from two studies are reported. The first describes students' approaches to carbon cycle pool-and-flux reasoning. The second describes and reports results from an instructional intervention designed to scaffold secondary students' model-based pool-and-flux reasoning. Before instruction, most secondary students employed informal reasoning approaches including good versus bad and correlation heuristics to carbon cycle pool-and-flux problems. After instruction, the portion of students employing goal model-based pool-and-flux reasoning increased from 27 to 52 percent. This study builds on previous and current research to offer a promising instructional approach to scaffolding improvements in students' model-based pool-and-flux reasoning.</t>
  </si>
  <si>
    <t>[Covitt, Beth A.] Univ Montana, Missoula, MT 59812 USA; [Parker, Joyce M.; Kohn, Craig; Lee, May; Lin, Qinyun; Anderson, Charles W.] Michigan State Univ, E Lansing, MI 48824 USA</t>
  </si>
  <si>
    <t>University of Montana System; University of Montana; Michigan State University</t>
  </si>
  <si>
    <t>Covitt, BA (corresponding author), Univ Montana, SpectrUM Discovery Area, Missoula, MT 59812 USA.</t>
  </si>
  <si>
    <t>beth.covitt@umontana.edu</t>
  </si>
  <si>
    <t>Lee, May/AGC-0093-2022; Lin, Qinyun/ACG-7266-2022</t>
  </si>
  <si>
    <t>Lee, May/0000-0003-2488-4296; Lin, Qinyun/0000-0001-9792-3351</t>
  </si>
  <si>
    <t>National Science Foundation [NSF 1440988]</t>
  </si>
  <si>
    <t>This study was supported by National Science Foundation, Grant/Award Number: NSF 1440988. Any opinions, findings, and or conclusions or recommendations expressed in this material are those of the authors and do not necessarily reflect the views of the National Science Foundation.</t>
  </si>
  <si>
    <t>Anderson CW, 2018, J RES SCI TEACH, V55, P1026, DOI 10.1002/tea.21484; [Anonymous], 1996, National science education standards, DOI DOI 10.17226/4962; BARZILAI S, 2020, EDUC PSYCHOL-US, V55; Bishop K, 1998, PUBLIC UNDERST SCI, V7, P225, DOI 10.1088/0963-6625/7/3/002; Black P, 2011, MEAS-INTERDISCIP RES, V9, P71, DOI 10.1080/15366367.2011.591654; Boden T.A., 2015, GLOBAL REGIONAL NATL; Bofferding L, 2015, ENVIRON EDUC RES, V21, P275, DOI 10.1080/13504622.2014.888401; Braaten M, 2011, SCI EDUC, V95, P639, DOI 10.1002/sce.20449; Bransford JD, 1999, REV RES EDUC, V24, P61, DOI 10.3102/0091732X024001061; Chang CH, 2016, INT RES GEOGR ENVIRO, V25, P84, DOI 10.1080/10382046.2015.1106206; Cobb P., 2003, Educational Researcher, V32, DOI https://doi.org/10.3102/0013189X032001009; Collins A, 2004, J LEARN SCI, V13, P15, DOI 10.1207/s15327809jls1301_2; Covitt B, 2018, LANGUAGE, LITERACY, AND LEARNING IN THE STEM DISCIPLINES: HOW LANGUAGE COUNTS FOR ENGLISH LEARNERS, P206; Coyle K., 2005, ENV LITERACY AM WHAT; Cronin MA, 2009, ORGAN BEHAV HUM DEC, V108, P116, DOI 10.1016/j.obhdp.2008.03.003; Design-Based Research Collective, 2003, EDUC RESEARCHER, V32; Düsing K, 2019, INT J SCI EDUC, V41, P2484, DOI 10.1080/09500693.2019.1686665; Duncan RG, 2013, SCIENCE, V339, P396, DOI 10.1126/science.1228692; Duschl R.A., 2007, Taking science to school: Learning and teaching science in grades K-8; Dutt V, 2012, FRONT PSYCHOL, V3, DOI 10.3389/fpsyg.2012.00177; Feinstein NW, 2020, EDUC PSYCHOL-US, V55, P155, DOI 10.1080/00461520.2020.1780130; Gee J., 1991, Annual Review of Applied Linguistics, V12, P31, DOI DOI 10.1017/S0267190500002130; Gigerenzer G., 1999, Simple Heuristics that Make us Smart; Gotwals A.W., 2012, LEARNING PROGR SCI; GUNCKEL K, 2012, J RES SCI TEACH, V49; Guy S, 2013, CLIMATIC CHANGE, V121, P579, DOI 10.1007/s10584-013-0949-3; Hmelo-Silver CE, 2007, J LEARN SCI, V16, P307, DOI 10.1080/10508400701413401; Hogan K, 2002, UNDERSTANDING URBAN ECOSYSTEMS, P233; Hoover K.S., 2019, SCI TEACH, V87, P1; Hsu S., 2004, J ENVIRON EDUC, V35; Iyengar S, 2019, P NATL ACAD SCI USA, V116, P7656, DOI 10.1073/pnas.1805868115; Kahneman D., 2013, THINKING FAST SLOW; Kollmuss A., 2002, ENVIRON EDUC RES, V8, P239, DOI [10.1080/13504620220145401, DOI 10.1080/13504620220145401]; Lin VSY, 1997, SCIENCE, V278, P840, DOI 10.1126/science.278.5339.840; LIS JR, 1977, BIOMETRICS, V33; Mayfield E., 2013, Handbook of automated essay evaluation: Current applications and new directions; McBeth W, 2009, J ENVIRON EDUC, V41, P55, DOI 10.1080/00958960903210031; Mogensen F, 2010, ENVIRON EDUC RES, V16, P59, DOI 10.1080/13504620903504032; Mohan L, 2009, J RES SCI TEACH, V46, P675, DOI 10.1002/tea.20314; Moxnes E, 2009, CLIMATIC CHANGE, V93, P15, DOI 10.1007/s10584-008-9465-2; NAAEE, 2019, K 12 ENV ED GUID EXC; National Oceanic Atmospheric Association (NOAA), 2019, GLOB CARB DIOX GROWT; Niebert K, 2013, ENVIRON EDUC RES, V19, P282, DOI 10.1080/13504622.2012.690855; Özdem Y, 2014, INT RES GEOGR ENVIRO, V23, P294, DOI 10.1080/10382046.2014.946323; Parker JM, 2015, AM BIOL TEACH, V77, P232, DOI 10.1525/abt.2015.77.4.2; Payne J.W., 1993, The adaptive decision maker; Peel A., 2017, Teaching and Learning about Climate Change: A Framework for Educators, P153; Portner H.-O., 2022, CLIMATE CHANGE 2022, DOI [10.1017/9781009325844, DOI 10.1017/9781009325844]; Project Learning Tree , 12 VID HELP US UND C; Pruneau D., 2003, ENVIRON EDUC RES, V9, DOI https://doi.org/10.1080/1350462032000126096; Reichert C., 2015, J GEOSCIENCE ED, V63, DOI https://doi.org/10.5408/14-055.1; Reichert C., 2014, Journal of Geoscience Education, V62, P460, DOI [DOI 10.5408/13-052.1, 10.5408/13-052.1]; Shepardson DP, 2014, ENVIRON EDUC RES, V20, P333, DOI 10.1080/13504622.2013.803037; Shepardson DP, 2011, CLIMATIC CHANGE, V104, P481, DOI 10.1007/s10584-009-9786-9; Shepardson DP, 2009, ENVIRON EDUC RES, V15, P549, DOI 10.1080/13504620903114592; Sterman JD, 2007, CLIMATIC CHANGE, V80, P213, DOI 10.1007/s10584-006-9107-5; Stubenvoll M, 2019, CLIM CHANG MANAG, P31, DOI 10.1007/978-3-319-98294-6_3; Sweeney L.Booth., 2007, SYST DYNAM REV, V23; The Globe Program, BIOSPHERE GLOBE PROG; Thomas, ANN M AM ED RES ASS; Thomas J., ANN M NAT COUNC MEAS; Van Dooren W, 2007, BRIT J EDUC PSYCHOL, V77, P307, DOI 10.1348/000709906X115967; [Wilson M.R. National Research Council National Research Council], 2006, Board on Testing and Assessment, Center for Education, Division of Behavioral and Social Sciences and Education; You HS, 2018, J RES SCI TEACH, V55, P377, DOI 10.1002/tea.21423; Zangori L, 2017, J RES SCI TEACH, V54, P1249, DOI 10.1002/tea.21404; Zeidler D.L., 2014, It's Debatable! Using Socioscientific Issues to Develop Scientific Literacy, K-12; ZEIDLER DL, 2009, J RES SCI TEACH, V46</t>
  </si>
  <si>
    <t>10.1080/00958964.2020.1847882</t>
  </si>
  <si>
    <t>RN0EY</t>
  </si>
  <si>
    <t>WOS:000624716000001</t>
  </si>
  <si>
    <t>Fox, HK; Swearingen, TC; Molina, AC; Kennedy, CM</t>
  </si>
  <si>
    <t>Fox, Haley K.; Swearingen, Thomas C.; Molina, Allen C.; Kennedy, Camilla M.</t>
  </si>
  <si>
    <t>Oregon recreational fishers' knowledge, support, and perceived impacts of marine reserves</t>
  </si>
  <si>
    <t>Marine protected area; No-take reserves; Human dimensions; Fishing effort shift; Recreational fishing</t>
  </si>
  <si>
    <t>PROTECTED AREA; OCEAN LITERACY; CONSERVATION; SPECIALIZATION; MANAGEMENT; AWARENESS; COMMUNITY; BENEFITS; SCIENCE; SYSTEMS</t>
  </si>
  <si>
    <t>Marine reserves (MRs) are increasingly used as a tool for conservation and management. However, few studies have investigated the potential impacts of MRs on the recreational fishing community, despite this community's importance to coastal economies. In addition, marine reserves knowledge and support are crucial to compliance to regulations and reserve success, yet there is limited related research. To address these gaps, we conducted an online survey of Oregon, USA, recreational anglers (N = 7638). Opposition to Oregon's MRs was quite low (9.9%), but was significantly higher among avid saltwater fishers, those who consider angling central to their lifestyle, and respondents whose fishing behavior had been impacted by MR establishment. Over half of the respondents (57.6%) were aware of Oregon's MRs, and those respondents were asked additional questions regarding MR knowledge and perceived impact. In general, MR name recognition and spatial knowledge were low. However, knowledge scores were significantly higher among respondents who were members of a sport-fishing organization and respondents who fished off the central Oregon coast, where three of Oregon's five MRs are located. Of note, respondents who fished off the central Oregon coast were not more likely to shift their fishing effort because of MR implementation, despite the high concentration of reserves in that area. Of those aware of the MRs, only 11.8% (n = 509) indicated they had changed their angling behavior due to MR estab-lishment. Most of these respondents indicated that they found substitute marine fishing grounds. Avid saltwater fishers and those who consider angling to be more important to their lifestyle were significantly more likely to indicate that their angling behavior was impacted by MR establishment. These avid specialized fishers may have a stronger preference for specific angling locations, which could have been affected by area closures. This study found that impacts of MR implementation on the Oregon recreational fishing community have been minimal in aggregate. The lack of MR opposition suggests that fishers would likely comply with MR regulations, though the lack of knowledge suggests a need for increased communication efforts to ensure compliance is attainable.</t>
  </si>
  <si>
    <t>[Fox, Haley K.; Swearingen, Thomas C.] Oregon Dept Fish &amp; Wildlife, Marine Reserv Program, Newport, OR 97365 USA; [Molina, Allen C.; Kennedy, Camilla M.] Oregon Dept Fish &amp; Wildlife, Management Resources Div, Salem, OR 97302 USA; [Fox, Haley K.] 2040 SE Marine Sci Dr, Newport, OR 97365 USA</t>
  </si>
  <si>
    <t>Fox, HK (corresponding author), 2040 SE Marine Sci Dr, Newport, OR 97365 USA.</t>
  </si>
  <si>
    <t>epperly@nceas.ucsb.edu</t>
  </si>
  <si>
    <t>Molina, Allen/0000-0002-3332-5042; Fox, Haley/0000-0001-6102-4784</t>
  </si>
  <si>
    <t>Agardy T, 2011, MAR POLICY, V35, P226, DOI 10.1016/j.marpol.2010.10.006; Angulo-Valdés JA, 2010, MAR POLICY, V34, P635, DOI 10.1016/j.marpol.2009.12.002; [Anonymous], 2012, SENATE BILL SB 1510; [Anonymous], 2018, STATE WORLD FISHERIE, DOI DOI 10.18356/8D6-A4B6-EN; [Anonymous], 2009, HOUSE BILL HB 3013; [Anonymous], 2003, J INT WILDL LAW POL; Badalamenti F, 2000, ENVIRON CONSERV, V27, P110, DOI 10.1017/S0376892900000163; Ban NC, 2019, NAT SUSTAIN, V2, P524, DOI 10.1038/s41893-019-0306-2; Barreto GC, 2020, MAR POLICY, V119, DOI 10.1016/j.marpol.2020.104040; Beardmore B, 2013, LEISURE SCI, V35, P273, DOI 10.1080/01490400.2013.780539; Bennett NJ, 2014, MAR POLICY, V44, P107, DOI 10.1016/j.marpol.2013.08.017; BRYAN H, 1977, J LEISURE RES, V9, P174, DOI 10.1080/00222216.1977.11970328; Carneiro G, 2011, MAR POLICY, V35, P351, DOI 10.1016/j.marpol.2010.10.015; Chaigneau T, 2016, ECOL SOC, V21, DOI 10.5751/ES-08204-210136; Christie P, 2004, AM FISH S S, V42, P155; Cinner JE, 2014, SOC NATUR RESOUR, V27, P994, DOI 10.1080/08941920.2014.918229; Clucas R.A., 2005, OREGON POLITICS GOVT; Cook GS, 2005, NAT AREA J, V25, P390; Danylchuk AJ, 2011, CONSERV BIOL, V25, P458, DOI 10.1111/j.1523-1739.2010.01631.x; Di Lorenzo M, 2016, J NAT CONSERV, V32, P62, DOI 10.1016/j.jnc.2016.04.004; DITTON RB, 1992, J LEISURE RES, V24, P33, DOI 10.1080/00222216.1992.11969870; Duda M., 2007, CALIFORNIA RESIDENTS; Elmer LK, 2017, ENVIRON MANAGE, V60, P165, DOI 10.1007/s00267-017-0895-3; Fletcher S, 2009, MAR POLICY, V33, P370, DOI 10.1016/j.marpol.2008.08.004; Fox H.K., REV INTERRUPTED TIME; Goñi R, 2010, MAR ECOL PROG SER, V400, P233, DOI 10.3354/meps08419; Grorud-Colvert K, 2019, MAR POLICY, V105, P52, DOI 10.1016/j.marpol.2019.04.003; Guest H, 2015, MAR POLICY, V58, P98, DOI 10.1016/j.marpol.2015.04.007; Guidetti P, 2010, CONSERV BIOL, V24, P312, DOI 10.1111/j.1523-1739.2009.01358.x; Gurney GG, 2015, PHILOS T R SOC B, V370, DOI 10.1098/rstb.2014.0277; Halpern BS, 2008, SCIENCE, V319, P948, DOI 10.1126/science.1149345; Hard CH, 2012, COAST MANAGE, V40, P312, DOI 10.1080/08920753.2012.677640; Heck N, 2016, MAR POLICY, V68, P178, DOI 10.1016/j.marpol.2016.03.004; Heppell S., 2008, SIZ SPAC MAR RES WOR; Hothorn T, 2008, BIOMETRICAL J, V50, P346, DOI 10.1002/bimj.200810425; Hudson B, 2018, ASSESSING EFFORT SHI; Hyun WY, 2006, USDA FOR SERV N RES, P248; Kayal M, 2020, PLOS ONE, V15, DOI 10.1371/journal.pone.0237685; Kim SS, 1997, J LEISURE RES, V29, P320, DOI 10.1080/00222216.1997.11949799; Knekta E, 2019, CBE-LIFE SCI EDUC, V18, DOI 10.1187/cbe.18-04-0064; Lancaster D, 2015, GLOB ECOL CONSERV, V4, P645, DOI 10.1016/j.gecco.2015.11.004; Lindberg K, 2019, OREGON COASTAL COMMU; Lovell Sabrina, 2020, U.S. Dep. Commerce. NOAA Tech. Memo. NMFS-F/SPO-201, P80; Lubchenco J, 2015, SCIENCE, V350, P382, DOI 10.1126/science.aad5443; Ludecke D., 2021, J OPEN SOURCE SOFTW, V6, DOI [10.21105/joss.0.139, DOI 10.21105/JOSS.0.139]; Lundquist CJ, 2005, CONSERV BIOL, V19, P1771, DOI 10.1111/j.1523-1739.2005.00279.x; Mangun JC, 2009, SOC NATUR RESOUR, V22, P295, DOI 10.1080/08941920801981931; Manson P, 2021, OCEAN COAST MANAGE, V201, DOI 10.1016/j.ocecoaman.2020.105480; Marino E, 2020, QUALITATIVE EVALUATI; Marino E, 2017, CAPE FALCON MARINE R; Marino E, 2015, CAPE FALCON MARINE R; McFarlane B.L, 2004, LEISURE SCI, V14, P3; McNeill A, 2018, MAR POLICY, V94, P106, DOI 10.1016/j.marpol.2018.04.020; National Marine Fisheries Service, 2018, NMFSFSPO187A NOAA US, P243; Needham M.D., 2016, RESIDENT PERCEPTIONS; Oh CO, 2006, LEISURE SCI, V28, P369, DOI 10.1080/01490400600745886; Oregon Ocean Policy Advisory Council (Opac), 2008, OR MAR RES POL REC; Pascual M, 2016, OCEAN COAST MANAGE, V133, P1, DOI 10.1016/j.ocecoaman.2016.09.001; Perry EE, 2014, OCEAN COAST MANAGE, V95, P107, DOI 10.1016/j.ocecoaman.2014.04.011; Pita C, 2011, HYDROBIOLOGIA, V670, P289, DOI 10.1007/s10750-011-0665-9; Poe MR, 2014, CONSERV LETT, V7, P166, DOI 10.1111/conl.12068; Pollnac R, 2010, P NATL ACAD SCI USA, V107, P18262, DOI 10.1073/pnas.0908266107; Pomeroy R. S., 2007, FAO Fisheries Report, P149; Pournelle G. H., 1953, Journal of Mammalogy, V34, P133, DOI 10.1890/0012-9658(2002)083[1421:SDEOLC]2.0.CO;2; Ngoc QTK, 2018, MAR POLICY, V90, P174, DOI 10.1016/j.marpol.2017.12.015; Recreational Boating &amp; Fishing Foundation (RBFF) and The Outdoor Foundation (TOF), 2020, 2020 SPEC REP FISH, P59; Russ GR, 2011, ECOL APPL, V21, P241, DOI 10.1890/09-1197.1; Salz R.J., 2005, HUM DIMENS WILDL, V10, P187, DOI [10.1080/10871200591003436, DOI 10.1080/10871200591003436]; Salz R.J., 2001, Human Dimensions of Wildlife, V6, P239; Spalding MD, 2013, OCEAN YEARB, V27, P213, DOI 10.1163/22116001-90000160; Steel BS, 2005, OCEAN COAST MANAGE, V48, P97, DOI 10.1016/j.ocecoaman.2005.01.002; Stelzenmüller V, 2008, MAR POLLUT BULL, V56, P2018, DOI 10.1016/j.marpolbul.2008.08.006; The Research Group LLC. (TRG), 2021, INT MOD US GUID BROA; The Research Group LLC. (TRG), 2021, OR COMM RECR FISH IN; The Research Group LLC (TRG), 2018, OR NEARSH FISH EFF S; Thomas HL, 2014, AQUAT CONSERV, V24, P8, DOI 10.1002/aqc.2511; Venables W. N., 2002, Modern Applied Statistics with S, P271, DOI [10.1007/978-0-387-21706-2, DOI 10.1007/978-0-387-21706-2]; Voyer M, 2014, AQUAT CONSERV, V24, P441, DOI 10.1002/aqc.2363; Williams DR, 2003, FOREST SCI, V49, P830; WINSHIP C, 1994, SOCIOL METHOD RES, V23, P230, DOI 10.1177/0049124194023002004</t>
  </si>
  <si>
    <t>10.1016/j.ocecoaman.2022.106241</t>
  </si>
  <si>
    <t>MAY 2022</t>
  </si>
  <si>
    <t>1Y8GF</t>
  </si>
  <si>
    <t>WOS:000808375900005</t>
  </si>
  <si>
    <t>Ramadhan, A; Salim, WA; Argo, TA; Prihatiningsih, P</t>
  </si>
  <si>
    <t>Ramadhan, Andrian; Salim, Wilmar A.; Argo, Teti Armiati; Prihatiningsih, Puji</t>
  </si>
  <si>
    <t>The human dimension dilemma in marine spatial planning</t>
  </si>
  <si>
    <t>Democracy; Karimunjawa; Community; Indonesia; Social benefit; Decision-making</t>
  </si>
  <si>
    <t>CULTURAL ECOSYSTEM SERVICES; OCEAN LITERACY; SOCIAL-SCIENCE; MANAGEMENT; VALUES; CONSERVATION; HERITAGE; POWER</t>
  </si>
  <si>
    <t>Scholars have criticised the practice of marine spatial planning because of its shortcomings in engaging the human dimension. However, working with social issues causes various planning dilemmas. This study develops a framework for understanding this problem through intervention, regulatory, and investment dilemmas. We argue that there is a link between these three dilemmas and how marine spatial planners work on the human dimension issue. This research conducted a case study of Karimunjawa National Park, Indonesia to provide empirical evidence for this argument. The article concludes that the planning dilemmas framework can help explain the application of the human dimension in marine spatial planning. The study further demonstrates that demands for the depth of democracy in decision-making, the equitable distribution of benefits, and recognition in planning will face a vicious cycle because of institutional mandates to intervene in land use for specific purposes as well as planners' limited power over other stakeholders.</t>
  </si>
  <si>
    <t>[Ramadhan, Andrian; Salim, Wilmar A.; Argo, Teti Armiati] Inst Bandung Technol, Urban &amp; Reg Planning, Sch Architecture Planning &amp; Policy Dev, Jl B, Bandung 40132, West Java, Indonesia; [Ramadhan, Andrian] Natl Res &amp; Innovat Agcy, Jl MH Thamrin 8, Jakarta 10340, Indonesia; [Prihatiningsih, Puji] Minist Forestry &amp; Environm Indonesia, Karimunjawa Natl Pk Agcy, Jl Sinar Waluyo Raya 248, Semarang 50273, Central Java, Indonesia</t>
  </si>
  <si>
    <t>Ramadhan, A (corresponding author), Inst Bandung Technol, Urban &amp; Reg Planning, Sch Architecture Planning &amp; Policy Dev, Jl B, Bandung 40132, West Java, Indonesia.</t>
  </si>
  <si>
    <t>andr056@brin.go.id</t>
  </si>
  <si>
    <t>Ramadhan, Andrian/0000-0001-5820-0679</t>
  </si>
  <si>
    <t>Andrews C, 2012, INT J HERIT STUD, V18, P352, DOI 10.1080/13527258.2011.647535; [Anonymous], 2007, INTERGOVERNMENTAL OC; Aulia T., 2015, CETAK JULI, V13, P1693; Beaudry J.Miller., 2016, Research literacy: A primer for understanding and using research; Bennett NJ, 2019, COAST MANAGE, V47, P244, DOI 10.1080/08920753.2019.1564958; Bennett NJ, 2017, BIOL CONSERV, V205, P93, DOI 10.1016/j.biocon.2016.10.006; Binder G, 2012, URBAN POLICY RES, V30, P175, DOI 10.1080/08111146.2012.672059; Blasbjerg M., 2009, Marine Spatial Planning in the Nordic region - Principles, Perspectives and Opportunities; Boda CS, 2015, J COAST CONSERV, V19, P561, DOI 10.1007/s11852-015-0407-7; Bolis I, 2017, J CLEAN PROD, V145, P310, DOI 10.1016/j.jclepro.2017.01.025; BPS Jepara Regency, 2021, KECAMATAN KARIMUNJAW, DOI [10.1016/j.cirp.2016.06.001%0A, DOI 10.1016/J.CIRP.2016.06.001%0A]; BPS Jepara Regency, 2021, KABUPATEN JEPARA DAL; BTNKJ, 2017, LAPORAN AKHIR RENCAN; BTNKJ, 2004, Penataan zonasi taman nasional karimunjawa kabupaten jepara provinsi jawa tengah; BTNKJ, 2012, Zonasi TN Karimunjawa 2012, P1; Buchan, 2021, INVEST MAR CITIZSH I, P1; Calado H, 2010, MAR POLICY, V34, P1341, DOI 10.1016/j.marpol.2010.06.007; Campbell H., 1998, Planning Practice and Research, V13, P117, DOI [10.1080/02697459816139, DOI 10.1080/02697459816139]; Campbell SJ, 2011, AQUAT BIOL, V13, P65, DOI 10.3354/ab00352; Costa S, 2018, MAR POLICY, V87, P149, DOI 10.1016/j.marpol.2017.10.022; Dendy W., 2013, Laporan Kajian Dampak Wisata Terhadap Ekosistem Terumbu Karang Di Taman Nasional Karimunjawa; Douvere F, 2009, J ENVIRON MANAGE, V90, P77, DOI 10.1016/j.jenvman.2008.07.004; Ehler C, 2008, MAR POLICY, V32, P840, DOI 10.1016/j.marpol.2008.03.014; Ehler C, 2019, MARITIME SPATIAL PLANNING: PAST, PRESENT, FUTURE, P1, DOI 10.1007/978-3-319-98696-8_1; FAINSTEIN SS, 1971, URBAN AFFAIRS Q, V6, P341, DOI 10.1177/107808747100600305; Ferreira A, 2013, TOWN PLAN REV, V84, P703, DOI 10.3828/tpr.2013.37; Fish R, 2016, ECOSYST SERV, V21, P208, DOI 10.1016/j.ecoser.2016.09.002; Fish R, 2016, ECOSYST SERV, V21, P329, DOI 10.1016/j.ecoser.2016.09.017; Fisher R.J., 2000, SOURCES CONFLICT MET; Fisher S., 2000, WORKING CONFLICT SKI; Flannery W, 2020, MARIT STUD, V19, P269, DOI 10.1007/s40152-020-00174-2; Flannery W, 2019, MARITIME SPATIAL PLANNING: PAST, PRESENT, FUTURE, P201, DOI 10.1007/978-3-319-98696-8_9; Flannery W, 2018, MAR POLICY, V88, P32, DOI 10.1016/j.marpol.2017.11.001; Flannery W, 2016, PLAN THEORY PRACT, V17, P121, DOI 10.1080/14649357.2015.1131482; Flyvbjerg B, 2002, J PLAN EDUC RES, V21, P353, DOI 10.1177/0739456X0202100401; Foley MM, 2010, MAR POLICY, V34, P955, DOI 10.1016/j.marpol.2010.02.001; Gee K, 2017, OCEAN COAST MANAGE, V136, P139, DOI 10.1016/j.ocecoaman.2016.11.026; Gilek M, 2021, OCEAN COAST MANAGE, V208, DOI 10.1016/j.ocecoaman.2021.105618; Gissi E, 2019, ENVIRON SCI POLICY, V92, P191, DOI 10.1016/j.envsci.2018.12.002; Gopnik M, 2015, FROM THE FOREST TO THE SEA: PUBLIC LANDS MANAGEMENT AND MARINE SPATIAL PLANNING, P1; Grimmel H, 2019, OCEAN COAST MANAGE, V173, P139, DOI 10.1016/j.ocecoaman.2019.02.013; Harris LR, 2019, MARITIME SPATIAL PLANNING: PAST, PRESENT, FUTURE, P71, DOI 10.1007/978-3-319-98696-8_4; Hollweck T, 2015, CAN J PROGRAM EVAL, V30, P108, DOI 10.3138/cjpe.30.1.108; Innes J.E., 2014, OVERCOMING DIVID DIS, P1, DOI [10.1177/1473095213519356, DOI 10.1177/1473095213519356]; Innes JE, 1996, J AM PLANN ASSOC, V62, P460, DOI 10.1080/01944369608975712; Irvine KN, 2016, ECOSYST SERV, V21, P184, DOI 10.1016/j.ecoser.2016.07.001; Ivankova NV, 2009, QUALITATIVE RESEARCH IN APPLIED LINGUISTICS: A PRACTICAL INTRODUCTION, P135; Ives CD, 2014, J ENVIRON MANAGE, V144, P67, DOI 10.1016/j.jenvman.2014.05.013; Jones PJS, 2016, MAR POLICY, V71, P256, DOI 10.1016/j.marpol.2016.04.026; Kay R., 1999, COASTAL PLANNING MAN; Kelly R, 2019, OCEAN COAST MANAGE, V178, DOI 10.1016/j.ocecoaman.2019.104855; Koehn JZ, 2013, MAR POLICY, V42, P31, DOI 10.1016/j.marpol.2013.01.015; Latifah N., 2018, J KELAUT TROP, DOI [10.14710/jkt.v21i2.2977, DOI 10.14710/JKT.V21I2.2977]; Lehtonen M, 2004, ECOL ECON, V49, P199, DOI 10.1016/j.ecolecon.2004.03.019; LINDBLOM CE, 1959, PUBLIC ADMIN REV, V19, P79, DOI 10.2307/973677; Lotze HK, 2006, SCIENCE, V312, P1806, DOI 10.1126/science.1128035; Lune H., 2017, QUALITATIVE RES METH, V9; Mahmud A., 2016, J ILMU SOS DAN ILMU, V18, P237, DOI [10.22146/jsp.13141, DOI 10.22146/JSP.13141]; Mckinley E., 2011, LITTORAL, V10001, P1, DOI [10.1051/litt/201110001, DOI 10.1051/LITT/201110001]; MCKINLEY E, 2019, MARITIME SPATIAL PLA, P219, DOI DOI 10.1007/978-3-319-98696-8_10; Mubarok, 2018, SYIAR ISLAM DAN WARI; Muchlissin S.I., 2021, LAUT KARIMUNJAWA, V24, P1; Neuman M, 2000, J PLAN EDUC RES, V19, P343, DOI 10.1177/0739456X0001900403; Neuman W.L., 2011, SOCIAL RES METHODS Q; O'Higgins T, 2019, MARITIME SPATIAL PLANNING: PAST, PRESENT, FUTURE, P47, DOI 10.1007/978-3-319-98696-8_3; Osmond M, 2010, OCEAN COAST MANAGE, V53, P41, DOI 10.1016/j.ocecoaman.2010.01.002; Papageorgiou M, 2018, OCEAN COAST MANAGE, V165, P195, DOI 10.1016/j.ocecoaman.2018.08.032; Pomeroy RS, 2014, DESENVOLV MEIO AMBIE, V32, P151, DOI 10.5380/dma.v32i0.35627; Portman ME, 2016, PLOS ONE, V11, DOI 10.1371/journal.pone.0154473; Puguh D.R., 2016, SEJ CITRA LEKHA, V1, P56; Putri A.A., 2020, HISTIOGRAFI, V1, P109; Pyc D, 2019, MARITIME SPATIAL PLANNING: PAST, PRESENT, FUTURE, P375, DOI 10.1007/978-3-319-98696-8_16; Ranger S, 2016, ECOSYST SERV, V21, P344, DOI 10.1016/j.ecoser.2016.09.016; Raymond CM, 2014, ECOL ECON, V107, P145, DOI 10.1016/j.ecolecon.2014.07.033; Ritchie H, 2010, J ENVIRON PLANN MAN, V53, P701, DOI 10.1080/09640568.2010.488100; Sandström UG, 2006, LANDSCAPE URBAN PLAN, V75, P43, DOI 10.1016/j.landurbplan.2004.11.016; SANTOS FC, 2018, MAR POLICY, P1, DOI DOI 10.1016/J.MARPOL.2018.08.032; Sasrabirawa, 2010, NASKAH AKADEMIK REVI; Saunders F., 2020, THEORIZING SOCIAL SU, DOI [10.3390/su12062560, DOI 10.3390/SU12062560]; Saunders FP, 2019, MARITIME SPATIAL PLANNING: PAST, PRESENT, FUTURE, P175, DOI 10.1007/978-3-319-98696-8_8; Savini F, 2015, PLAN THEOR, V14, P296, DOI 10.1177/1473095214531430; Schultz-Zehden A, 2019, MARITIME SPATIAL PLANNING: PAST, PRESENT, FUTURE, P121, DOI 10.1007/978-3-319-98696-8_6; Simon H. A., 2000, Mind &amp; Society, V1, P25, DOI [10.1007/BF02512227, DOI 10.1007/BF02512227]; Stamoulis KA, 2015, OCEAN COAST MANAGE, V116, P214, DOI 10.1016/j.ocecoaman.2015.07.011; Stone, 1996, MANAGEMENT, V1, P633; Sullivan EdwardJ., 2014, The Urban Lawyer, V46, P685; Tafon RV, 2018, ENVIRON PLAN C-POLIT, V36, P258, DOI 10.1177/2399654417707527; Uyarra MC, 2016, MAR POLLUT BULL, V104, P1, DOI 10.1016/j.marpolbul.2016.02.060; WCS, 2020, EKOSISTEM TERUMBU KA; White CS, 2018, MARE PUBL SER, V17, P45, DOI 10.1007/978-3-319-60750-4_3; Widyawati A., 2015, Yustisia, V4, P602</t>
  </si>
  <si>
    <t>10.1016/j.marpol.2022.105297</t>
  </si>
  <si>
    <t>5J4CB</t>
  </si>
  <si>
    <t>WOS:000868989000004</t>
  </si>
  <si>
    <t>Whitford, DJ</t>
  </si>
  <si>
    <t>Teaching ocean wave forecasting using computer-generated visualization and animation - Part 2: swell forecasting</t>
  </si>
  <si>
    <t>COMPUTERS &amp; GEOSCIENCES</t>
  </si>
  <si>
    <t>wave dynamics; oceanography; education; wave height; MATLAB (R)</t>
  </si>
  <si>
    <t>PREDICTION</t>
  </si>
  <si>
    <t>This paper, the second of a two-part series, introduces undergraduate students to ocean wave forecasting using interactive computer-generated visualization and animation. Verbal descriptions and two-dimensional illustrations are often insufficient for student comprehension. Fortunately, the introduction of computers in the geosciences provides a tool for addressing this problem. Computer-generated visualization and animation, accompanied by oral explanation, have been shown to be a pedagogical improvement to more traditional methods of instruction. Cartographic science and other disciplines using geographical information systems have been especially aggressive in pioneering the use of visualization and animation, whereas oceanography has not. This paper will focus on the teaching of ocean swell wave forecasting, often considered a difficult oceanographic topic due to the mathematics and physics required, as well as its interdependence on time and space. Several MATLAB(R) software programs are described and offered to visualize and animate group speed, frequency dispersion, angular dispersion, propagation, and wave height forecasting of deep water ocean swell waves. Teachers may use these interactive visualizations and animations without requiring an extensive background in computer programming.</t>
  </si>
  <si>
    <t>USN Acad, Dept Oceanog, Annapolis, MD 21402 USA</t>
  </si>
  <si>
    <t>United States Department of Defense; United States Navy; United States Naval Academy</t>
  </si>
  <si>
    <t>USN Acad, Dept Oceanog, 572M Holloway Rd, Annapolis, MD 21402 USA.</t>
  </si>
  <si>
    <t>whitford@usna.edu</t>
  </si>
  <si>
    <t>Whitford, Dave J/F-9556-2011</t>
  </si>
  <si>
    <t>Airy G.B., 1845, TIDES AND WAVES, P241; [Anonymous], 1995, NAT SCI ED STAND; [Anonymous], 1973, ERGAENZUNGSHEFT DTSC; BRAND DL, 1995, J COLL SCI TEACH, V24, P180; CARTER DJT, 1982, OCEAN ENG, V9, P17, DOI 10.1016/0029-8018(82)90042-7; Dean RG., 1991, Water Wave Mechanics for Engineers and Scientists, V2; Goda Y., 1985, RANDOM SEAS DESIGN M; GREEN KC, 1989, AM SCI, V77, P475; HASSELMANN K, 1976, J PHYS OCEANOGR, V6, P200, DOI 10.1175/1520-0485(1976)006&lt;0200:APWPM&gt;2.0.CO;2; HASSELMANN S, 1988, J PHYS OCEANOGR, V18, P1775; Kinsman B., 1984, Wind Waves; KNAUSS JA, 1997, INTRO PHYSICAL OCEAN; KOMAN GL, 1994, DYNAMICS MODELLING O; LONGUETHIGGINS MS, 1952, J MAR RES, V11, P245; MITSUYASU H, 1980, J PHYS OCEANOGR, V10, P286, DOI 10.1175/1520-0485(1980)010&lt;0286:OOTPSO&gt;2.0.CO;2; PIERSON WJ, 1960, NAVAL OCEANOGRAPHIC, V603; Sorensen R.M., 1997, BASIC COASTAL ENG; St Denis M., 1953, T SNAME, V61, P280; Whitford DJ, 2002, COMPUT GEOSCI-UK, V28, P537, DOI 10.1016/S0098-3004(01)00058-9</t>
  </si>
  <si>
    <t>0098-3004</t>
  </si>
  <si>
    <t>1873-7803</t>
  </si>
  <si>
    <t>COMPUT GEOSCI-UK</t>
  </si>
  <si>
    <t>Comput. Geosci.</t>
  </si>
  <si>
    <t>PII S0098-3004(01)00059-0</t>
  </si>
  <si>
    <t>10.1016/S0098-3004(01)00059-0</t>
  </si>
  <si>
    <t>Computer Science, Interdisciplinary Applications; Geosciences, Multidisciplinary</t>
  </si>
  <si>
    <t>Computer Science; Geology</t>
  </si>
  <si>
    <t>559ND</t>
  </si>
  <si>
    <t>WOS:000176031500011</t>
  </si>
  <si>
    <t>Mahaffy, PG; Holme, TA; Martin-Visscher, L; Martin, BE; Versprille, A; Kirchhoff, M; McKenzie, L; Towns, M</t>
  </si>
  <si>
    <t>Mahaffy, Peter G.; Holme, Thomas A.; Martin-Visscher, Leah; Martin, Brian E.; Versprille, Ashley; Kirchhoff, Mary; McKenzie, Lallie; Towns, Marcy</t>
  </si>
  <si>
    <t>Beyond Inert Ideas to Teaching General Chemistry from Rich Contexts: Visualizing the Chemistry of Climate Change (VC3)</t>
  </si>
  <si>
    <t>JOURNAL OF CHEMICAL EDUCATION</t>
  </si>
  <si>
    <t>Curriculum; First-Year Undergraduate/General; Interdisciplinary/Multidisciplinary; Internet/Web-Based Learning; Acids/Bases; Atmospheric Chemistry; Isotopes; Gases; Thermodynamics; Misconceptions/Discrepant Events</t>
  </si>
  <si>
    <t>CHEMICAL EDUCATION; STUDENTS; SCIENCE; ANTHROPOCENE; CONCEPTIONS; MOTIVATION; CURRICULUM; LITERACY; ATTITUDE; SYSTEMS</t>
  </si>
  <si>
    <t>As one approach to moving beyond transmitting inert ideas to chemistry students, we use the term teaching from rich contexts to describe implementations of case studies or context-based learning based on systems thinking that provide deep and rich opportunities for learning crosscutting concepts through contexts. This approach nurtures the use of higher-order cognitive skills to connect concepts and apply the knowledge gained to new contexts. We describe the approach used to design a set of resources that model how rich contexts can be used to facilitate learning of general chemistry topics. The Visualizing the Chemistry of Climate Change (VC3) initiative provides an exemplar for introducing students in general chemistry courses to a set of core chemistry concepts, while infusing rich contexts drawn from sustainability science literacy. Climate change, one defining sustainability challenges of our century, with deep and broad connections to chemistry curriculum and crosscutting concepts, was selected as a rich context to introduce four topics (isotopes, acids bases, gases, and thermochemistry) into undergraduate general chemistry courses. The creation and assessment of VC3 resources for general chemistry was implemented in seven steps: (i) mapping the correlation between climate literacy principles and core first-year university chemistry content, (ii) documenting underlying science conceptions, (iii) developing an inventory of chemistry concepts related to climate change and validating instruments that make use of the inventory to assess understanding, (iv) articulating learning outcomes for each topic, (v) developing and testing peer-reviewed interactive digital learning objects related to climate literacy principles with particular relevance to undergraduate chemistry, (vi) piloting the materials with first-year students and measuring the change in student understanding of both chemistry and climate Science concepts, and (vii) disseminating the interactive resources for use by chemistry educators and students. A novel feature of the approach was to design resources (step v) based on tripartite sets of learning outcomes (step iv) for each chemistry and climate concept, with each knowledge outcome accompanied by an outcome describing the evidential basis for that knowledge, and a third outcome highlighting the relevance of that knowledge for students.</t>
  </si>
  <si>
    <t>[Mahaffy, Peter G.; Martin-Visscher, Leah] Kings Univ, Dept Chem, Edmonton, AB T6B2H3, Canada; [Mahaffy, Peter G.; Martin-Visscher, Leah; Martin, Brian E.] Kings Univ, Kings Ctr Visualizat Sci, Edmonton, AB T6B2H3, Canada; [Holme, Thomas A.] Iowa State Univ, Dept Chem, Ames, IA 50011 USA; [Martin, Brian E.] Kings Univ, Dept Phys, Edmonton, AB T6B2H3, Canada; [Versprille, Ashley; Towns, Marcy] Purdue Univ, Dept Chem, W Lafayette, IN 47907 USA; [Kirchhoff, Mary] Amer Chem Soc, Educ Div, Washington, DC 20036 USA; [McKenzie, Lallie] Chem11, Eugene, OR 97403 USA</t>
  </si>
  <si>
    <t>Iowa State University; Purdue University System; Purdue University; American Chemical Society</t>
  </si>
  <si>
    <t>Mahaffy, PG (corresponding author), Kings Univ, Dept Chem, Edmonton, AB T6B2H3, Canada.;Mahaffy, PG (corresponding author), Kings Univ, Kings Ctr Visualizat Sci, Edmonton, AB T6B2H3, Canada.</t>
  </si>
  <si>
    <t>mahaffy, peter/0000-0002-0650-7414; Holme, Thomas/0000-0003-0590-5848</t>
  </si>
  <si>
    <t>National Science Foundation [1022992]; Direct For Education and Human Resources; Division Of Undergraduate Education [1022992] Funding Source: National Science Foundation</t>
  </si>
  <si>
    <t>National Science Foundation(National Science Foundation (NSF)); Direct For Education and Human Resources; Division Of Undergraduate Education(National Science Foundation (NSF)NSF - Directorate for STEM Education (EDU))</t>
  </si>
  <si>
    <t>This work was supported by the National Science Foundation under Grant 1022992. The VC3Chem learning materials and simulations were created by the undergraduate student research team at the King's Centre for Visualization of Science (www.kcvs.ca). We are grateful to the faculty and students at eight North American institutions for piloting VC3 resources and providing helpful feedback and assessment data.</t>
  </si>
  <si>
    <t>Anderson L., 2009, TAXONOMY LEARNING TE; [Anonymous], 2015, Chemistry education; Barke H.-D., 2009, Misconceptions in chemistry: Addressing perceptions in chemical education; Bauer CF, 2008, J CHEM EDUC, V85, P1440, DOI 10.1021/ed085p1440; Bodner G.M., 2001, J CHEM EDUC, V78, P1107, DOI [DOI 10.1021/ED078P1107.4, 10.1021/ed078p1107.4]; BODNER GM, 1986, J CHEM EDUC, V63, P873, DOI 10.1021/ed063p873; Brown T.L., 2009, Chemistry: The Central Science, Vfourteenth; Bulte AMW, 2006, INT J SCI EDUC, V28, P1063, DOI 10.1080/09500690600702520; Burke M, 2015, NATURE, V527, P235, DOI 10.1038/nature15725; Chang R., 2010, CHEMISTRY, V10th; Committee on Challenges for the Chemical Sciences in the 21st Century Board on Chemical Sciences and Technology National Research Council of the National Academies, 2003, MOL FRONT CHALL CHEM; Cooper M, 2010, J CHEM EDUC, V87, P231, DOI 10.1021/ed800096m; Gilbert JK, 2006, INT J SCI EDUC, V28, P957, DOI 10.1080/09500690600702470; Grassian VH, 2007, ENVIRON SCI TECHNOL, V41, P4840, DOI 10.1021/es0725798; Grassian VH, 2015, J CHEM EDUC, V92, P595, DOI 10.1021/acs.jchemed.5b00153; Greeno JG, 1998, AM PSYCHOL, V53, P5, DOI 10.1037/0003-066X.53.1.5; Hake RR, 1998, AM J PHYS, V66, P64, DOI 10.1119/1.18809; Hmelo-Silver CE, 2007, J LEARN SCI, V16, P307, DOI 10.1080/10508400701413401; Hodson D, 2014, INT J SCI EDUC, V36, P2534, DOI 10.1080/09500693.2014.899722; Horton C., 2007, California Journal of Science Education, V7; Hsiang SM, 2013, SCIENCE, V341, P1212, DOI 10.1126/science.1235367; Johnson F., CASE NEXT GENERATION; Johnson F, WHY NEXT GENERATION; Johnstone AH, 2010, J CHEM EDUC, V87, P22, DOI 10.1021/ed800026d; Kelly RM, 2008, J CHEM EDUC, V85, P303, DOI 10.1021/ed085p303; Kind V., 2004, Beyond Appearances: Students' Misconceptions about Basic Chemical Ideas; King D, 2012, STUD SCI EDUC, V48, P51, DOI 10.1080/03057267.2012.655037; Kotz J.C., 2009, CHEM CHEM REACTIVITY, V4th; Luxford CJ, 2015, J CHEM EDUC, V92, P993, DOI 10.1021/ed500889j; Mahaffy P, 2006, J CHEM EDUC, V83, P49, DOI 10.1021/ed083p49; Mahaffy P. G., 2015, WORKSHOP CREATING LE; Mahaffy P. G., 2011, CHEM HUMAN ACTIVITY; Mahaffy PG, 2014, ACS SUSTAIN CHEM ENG, V2, P2488, DOI 10.1021/sc500415k; Mahaffy PG, 2014, J CHEM EDUC, V91, P463, DOI 10.1021/ed5001922; MARTIN B, 1990, SCI EDUC, V74, P541, DOI 10.1002/sce.3730740505; Martin BE, 2013, ACS SYM SER, V1142, P411; Mason J., 1999, EDUC STUD MATH, V38, P135; Matlin SA, 2016, NAT CHEM, V8, P393, DOI 10.1038/nchem.2498; McCaffrey MS, 2008, PHYS GEOGR, V29, P512, DOI 10.2747/0272-3646.29.6.512; McClary LM, 2012, INT J SCI EDUC, V34, P2317, DOI 10.1080/09500693.2012.684433; McCuin J.L., 2014, J GEOSCIENCE ED, V62, P445, DOI [10.5408/13-068.1, DOI 10.5408/13-068.1]; Menthe J., 2015, AFFECTIVE DIMENSIONS, P51; Mulford DR, 2002, J CHEM EDUC, V79, P739, DOI 10.1021/ed079p739; National Research Council, 2013, NEXT GENERATION SCIE; Nentwig PM, 2007, J CHEM EDUC, V84, P1439, DOI 10.1021/ed084p1439; Önen AS, 2014, J BALT SCI EDUC, V13, P809; Overton TL, 2009, INNOVATIVE METHODS OF TEACHING AND LEARNING CHEMISTRY IN HIGHER EDUCATION, P45; Parchmann I., 2015, Chemistry Education, P259, DOI DOI 10.1002/9783527679300.CH10; Petrucci R.H., 2010, General chemistry: principles and modern applications; Rockström J, 2009, NATURE, V461, P472, DOI 10.1038/461472a; Royal Society of Chemistry, 2009, CHEM TOM WORLD ROADM; Shepardson DP, 2012, ENVIRON EDUC RES, V18, P323, DOI 10.1080/13504622.2011.622839; Silberberg MS., 2008, CHEM MOL NATURE MATT, V5th; Steffen W, 2015, SCIENCE, V347, DOI 10.1126/science.1259855; Sterman JD, 2002, SYST DYNAM REV, V18, P207, DOI 10.1002/sdr.242; Taber K.S., 2002, CHEM MISCONCEPTIONS; Taber K.S., 2015, Affective dimensions in chemistry education, P3; Talanquer V, 2014, J CHEM EDUC, V91, P24, DOI 10.1021/ed400134c; Teichert MA, 2008, INT J SCI EDUC, V30, P1095, DOI 10.1080/09500690701355301; Tro NivaldoJ., 2011, CHEM MOL APPROACH; U.S. Global change Research Program, 2009, Climate literacy: the essential principles of climate science; Ültay N, 2012, J SCI EDUC TECHNOL, V21, P686, DOI 10.1007/s10956-011-9357-5; Versprille A, 2017, J CHEM EDUC, V94, P407, DOI 10.1021/acs.jchemed.6b00759; Versprille AN, 2015, J CHEM EDUC, V92, P603, DOI 10.1021/ed500589g; WHITEHEAD AN, 1959, DAEDALUS, V88, P192; Wigfield A, 2000, CONTEMP EDUC PSYCHOL, V25, P68, DOI 10.1006/ceps.1999.1015; Xu XY, 2011, J CHEM EDUC, V88, P561, DOI 10.1021/ed900071q; Zalasiewicz J, 2011, PHILOS T R SOC A, V369, P835, DOI 10.1098/rsta.2010.0339</t>
  </si>
  <si>
    <t>0021-9584</t>
  </si>
  <si>
    <t>1938-1328</t>
  </si>
  <si>
    <t>J CHEM EDUC</t>
  </si>
  <si>
    <t>J. Chem. Educ.</t>
  </si>
  <si>
    <t>10.1021/acs.jchemed.6b01009</t>
  </si>
  <si>
    <t>FE4MH</t>
  </si>
  <si>
    <t>WOS:000408187500008</t>
  </si>
  <si>
    <t>Teaching ocean wave forecasting using computer-generated visualization and animation - Part 1: sea forecasting</t>
  </si>
  <si>
    <t>STUDENTS; WORDS</t>
  </si>
  <si>
    <t>Ocean waves are the most recognized phenomena in oceanography. Unfortunately, undergraduate study of ocean wave dynamics and forecasting involves mathematics and physics and therefore can pose difficulties with some students because of the subject's interrelated dependence on time and space. Verbal descriptions and two-dimensional illustrations are often insufficient for student comprehension. Computer-generated visualization and animation offer a visually intuitive and pedagogically sound medium to present geoscience, yet there are very few oceanographic examples. A two-part article series is offered to explain ocean wave forecasting using computer-generated visualization and animation. This paper, Part 1, addresses forecasting of sea wave conditions and serves as the basis for the more difficult topic of swell wave forecasting addressed in Part 2. Computer-aided visualization and animation, accompanied by oral explanation, are a welcome pedagogical supplement to more traditional methods of instruction. In this article, several MATLAB(R) software programs have been written to visualize and animate development and comparison of wave spectra, wave interference, and forecasting of sea conditions. These programs also set the stage for the more advanced and difficult animation topics in Part 2. The programs are user-friendly, interactive, easy to modify, and developed as instructional tools. By using these software programs, teachers can enhance their instruction of these topics with colorful visualizations and animation without requiring an extensive background in computer programming.</t>
  </si>
  <si>
    <t>Whitford, DJ (corresponding author), USN Acad, Dept Oceanog, 572M Holloway Rd, Annapolis, MD 21402 USA.</t>
  </si>
  <si>
    <t>Airy G.B., 1845, TIDES AND WAVES, P241; [Anonymous], 1995, NAT SCI ED STAND; [Anonymous], 1973, ERGAENZUNGSHEFT DTSC; [Anonymous], 1993, Basic Wave Mechanics: For Coastal and Ocean Engineers; Boettcher E. G., 1981, Journal of Computer-Based Instruction, V8, P13; BRAND DL, 1995, J COLL SCI TEACH, V24, P180; CARTER DJT, 1982, OCEAN ENG, V9, P17, DOI 10.1016/0029-8018(82)90042-7; CHAKRABARTI SK, 1977, J GEOPHYS RES-OC ATM, V82, P1363, DOI 10.1029/JC082i009p01363; Clark JM, 1991, EDUC PSYCHOL REV, V3, P149, DOI 10.1007/BF01320076; *DEP ARM WAT EXPT, 1984, SHOR PROT MAN, V1; EARLE MD, 1975, J GEOPHYS RES, V80, P377, DOI 10.1029/JC080i003p00377; ELMORE W, 1969, PHYSICS WAVES; GOULD FG, 2000, J GEOSCIENCE ED, V48, P267; GREEN KC, 1989, AM SCI, V77, P476; HASSELMANN K, 1976, J PHYS OCEANOGR, V6, P200, DOI 10.1175/1520-0485(1976)006&lt;0200:APWPM&gt;2.0.CO;2; Kinsman B., 1984, Wind Waves; KNAUSS JA, 1997, INTRO PHYSICAL OCEAN; Kulik J. A., 1989, SCH LIB MEDIA Q, V17, P19; LONGUETHIGGINS MS, 1952, J MAR RES, V11, P245; MAYER RE, 1992, J EDUC PSYCHOL, V84, P444, DOI 10.1037/0022-0663.84.4.444; MAYER RE, 1991, J EDUC PSYCHOL, V83, P484, DOI 10.1037/0022-0663.83.4.484; MAYER RE, 1994, J EDUC PSYCHOL, V86, P389, DOI 10.1037/0022-0663.86.3.389; Mayer RE, 1998, J EDUC PSYCHOL, V90, P312, DOI 10.1037/0022-0663.90.2.312; Paivio A., 1986, Mental representation: A dual coding approach; PIERSON WJ, 1964, J GEOPHYS RES, V69, P5181, DOI 10.1029/JZ069i024p05181; PIERSON WJ, 1960, NAVAL OCEANOGRAPHIC, V603; RIEBER LP, 1990, J EDUC PSYCHOL, V82, P135, DOI 10.1037/0022-0663.82.1.135; RIEBER LP, 1991, J EDUC PSYCHOL, V83, P318, DOI 10.1037/0022-0663.83.3.318; Sorensen R.M., 1997, BASIC COASTAL ENG; Thurman H.V., 2001, Introductory Oceanography, V9th; TJADEN BJ, 1995, COMPUT EDUC, V24, P271, DOI 10.1016/0360-1315(95)00031-G; Whitford DJ, 2002, COMPUT GEOSCI-UK, V28, P547, DOI 10.1016/S0098-3004(01)00059-0; WHITFORD DJ, 1997, J COLL SCI TEACH, V27, P109</t>
  </si>
  <si>
    <t>PII S0098-3004(01)00058-9</t>
  </si>
  <si>
    <t>10.1016/S0098-3004(01)00058-9</t>
  </si>
  <si>
    <t>WOS:000176031500010</t>
  </si>
  <si>
    <t>Uherek, E; Schüpbach, E</t>
  </si>
  <si>
    <t>Uherek, Elmar; Schupbach, Eva</t>
  </si>
  <si>
    <t>EUROPEAN EFFORTS IN EARTH SCIENCE AND CLIMATE CHANGE EDUCATION</t>
  </si>
  <si>
    <t>climate literacy; environmental education; science curricula; media influence; learning methodologies</t>
  </si>
  <si>
    <t>STUDENTS; CONSEQUENCES; ELEMENTARY; DISCOURSES; KNOWLEDGE; ISSUES; PUPILS; WORK</t>
  </si>
  <si>
    <t>Although many efforts have been undertaken to improve climate literacy, misconceptions about climate are still difficult to eliminate. This is, on the one hand, due to the complexity of the topic and to limits in school curricula or their day-to-day application, and, on the other hand, due to biases of discourse in media and politics. In this paper, we summarize opinions of teachers who judge in their majority the information presented to the pupils still as scattered and not comprehensive. We present an overview of primarily science-driven European projects in Earth science and climate change education, and we analyze the approaches and methodologies of these projects in the context of European curricula and experiences from former studies in this field. Although the availability of high-quality and impartial material has increased, its integration into classes is still a challenge for the future.</t>
  </si>
  <si>
    <t>[Uherek, Elmar] Max Planck Inst Chem, Dept Atmospher Chem, D-55128 Mainz, Germany; [Schupbach, Eva] Univ Bern, Inst Geog, CH-3012 Bern, Switzerland</t>
  </si>
  <si>
    <t>Max Planck Society; University of Bern</t>
  </si>
  <si>
    <t>Uherek, E (corresponding author), Max Planck Inst Chem, Dept Atmospher Chem, Johann J Becher Weg 27, D-55128 Mainz, Germany.</t>
  </si>
  <si>
    <t>Andersson B, 2000, J RES SCI TEACH, V37, P1096, DOI 10.1002/1098-2736(200012)37:10&lt;1096::AID-TEA4&gt;3.0.CO;2-8; [Anonymous], HAUSHALTE OHNE AUTO; Antilla L, 2005, GLOBAL ENVIRON CHANG, V15, P338, DOI 10.1016/j.gloenvcha.2005.08.003; BOYES E, 1993, INT J SCI EDUC, V15, P531, DOI 10.1080/0950069930150507; Bransford J.D., 1984, IDEAL PROBLEM SOLVER; Brimblecombe P, 2006, J PHYS IV, V139, P413, DOI 10.1051/jp4:2006139027; Carvalho A, 2007, PUBLIC UNDERST SCI, V16, P223, DOI 10.1177/0963662506066775; Chou J., 2003, APPL ENV ED COMMUNIC, V2, P161, DOI DOI 10.1080/15330150390218289; Dove J., 1996, ENVIRON EDUC RES, V2, P89, DOI [DOI 10.1080/1350462960020108, https://doi.org/10.1080/1350462960020108]; *EUR COMM, 2007, EUR22845 OFF OFF PUB; Fensham P.J., 1994, The content of science, P14; GAYFORD C, 1993, INT J SCI EDUC, V15, P521, DOI 10.1080/0950069930150506; Johnson P, 1998, INT J SCI EDUC, V20, P695, DOI 10.1080/0950069980200607; Johnson P, 1998, INT J SCI EDUC, V20, P393, DOI 10.1080/0950069980200402; JONASSEN DH, 1997, ED TECHNOLOGY RES DE, V74, P65; Kuhlemeier H., 1999, J ENVIRON EDUC, V30, P4, DOI [10.1080/00958969909601864, DOI 10.1080/00958969909601864]; Lester BT, 2006, INT J SCI EDUC, V28, P315, DOI 10.1080/09500690500240100; Mayer RE, 2004, AM PSYCHOL, V59, P14, DOI 10.1037/0003-066X.59.1.14; McCright AM, 2003, SOC PROBL, V50, P348, DOI 10.1525/sp.2003.50.3.348; Monroe M., 2008, APPL ENV ED COMMUNIC, V6, P205, DOI DOI 10.1080/15330150801944416; Oreskes N, 2004, SCIENCE, V306, P1686, DOI 10.1126/science.1103618; Österlind K, 2005, INT J SCI EDUC, V27, P891, DOI 10.1080/09500690500038264; Papageorgiou G, 2005, INT J SCI EDUC, V27, P1299, DOI 10.1080/09500690500102698; Rye JA, 1997, INT J SCI EDUC, V19, P527, DOI 10.1080/0950069970190503; SCHUEPBACH E, 2006, ACCENT PUBLICATION, V5; SCHUEPBACH E, 2006, IGACTIVITIES NEWSLET, V34, P27; SCHUPBACH E, 2003, PEDAGOGICAL USER GUI; SOLOMON J, 1992, INT J SCI EDUC, V14, P431, DOI 10.1080/0950069920140406; UNGAR S, 1994, CAN REV SOC ANTHROP, V31, P288; Weingart P, 2000, PUBLIC UNDERST SCI, V9, P261, DOI 10.1088/0963-6625/9/3/304; Yilmaz O, 2004, INT J SCI EDUC, V26, P1527, DOI 10.1080/0950069042000177280; Zehr SC, 2000, PUBLIC UNDERST SCI, V9, P85, DOI 10.1088/0963-6625/9/2/301</t>
  </si>
  <si>
    <t>10.2747/0272-3646.29.6.545</t>
  </si>
  <si>
    <t>WOS:000264488400006</t>
  </si>
  <si>
    <t>Childress, MJ; Tallapragada, M; Prosser, KL</t>
  </si>
  <si>
    <t>Childress, M. J.; Tallapragada, M.; Prosser, K. L.</t>
  </si>
  <si>
    <t>Something Very Fishy: An ocean literacy STEAM exhibit impacts how children, teachers, and university students think about science</t>
  </si>
  <si>
    <t>Annual Meeting of the Society-for-Integrative-and-Comparative-Biology (SICB)</t>
  </si>
  <si>
    <t>JAN 31-FEB 28, 2021</t>
  </si>
  <si>
    <t>Clemson Univ, Clemson, SC 29631 USA; Temple Univ, Philadelphia, PA 19122 USA; Educ Entertainment, Tucson, AZ USA</t>
  </si>
  <si>
    <t>mchildr@clemson.edu</t>
  </si>
  <si>
    <t>S4-16</t>
  </si>
  <si>
    <t>E137</t>
  </si>
  <si>
    <t>E138</t>
  </si>
  <si>
    <t>SE1DI</t>
  </si>
  <si>
    <t>WOS:000651814700177</t>
  </si>
  <si>
    <t>Mogles, N; Padget, J; Gabe-Thomas, E; Walker, I; Lee, J</t>
  </si>
  <si>
    <t>Mogles, Nataliya; Padget, Julian; Gabe-Thomas, Elizabeth; Walker, Ian; Lee, JeeHang</t>
  </si>
  <si>
    <t>A computational model for designing energy behaviour change interventions</t>
  </si>
  <si>
    <t>USER MODELING AND USER-ADAPTED INTERACTION</t>
  </si>
  <si>
    <t>Behaviour change; Energy consumption; Persuasive technology; Internal values; Energy literacy; Computational model; Simulation</t>
  </si>
  <si>
    <t>HOUSEHOLD ELECTRICITY CONSUMPTION; PRO-ENVIRONMENTAL BEHAVIOR; GOAL-DIRECTED BEHAVIOR; DECISION-MAKING; ECO-FEEDBACK; VALUES; SMART; IMPLEMENTATION; CONSERVATION; INFORMATION</t>
  </si>
  <si>
    <t>The conflicting evidence in the literature on energy feedback as a driver for energy behaviour change has lead to the realization that it is a complex problem and that interventions must be proposed and evaluated in the context of a tangled web of individual and societal factors. We put forward an integrated agent-based computational model of energy consumption behaviour change interventions based on personal values and energy literacy, informed by research in persuasive technologies, environmental, educational and cognitive psychology, sociology, and energy education. Our objectives are: (i) to build a framework to accommodate a rich variety of models that might impact consumption decisions, (ii) to use the simulation as a means to evaluate persuasive technologies in-silico prior to deployment. The model novelty lies in its capacity to connect the determinants of energy related behaviour (values, energy literacy and social practices) and several generic design strategies proposed in the area of persuasive technologies within one framework. We validate the framework using survey data and personal value and energy consumption data extracted from a 2-year field study in Exeter, UK. The preliminary evaluation results demonstrate that the model can predict energy saving behaviour much better than a random model and can correctly estimate the effect of persuasive technologies. The model can be embedded into an adaptive decision-making system for energy behaviour change.</t>
  </si>
  <si>
    <t>[Padget, Julian; Walker, Ian] Univ Bath, Claverton Down Rd, Bath BA2 7AY, Avon, England; [Mogles, Nataliya] Univ Bristol, Senate House,Tyndall Ave, Bristol BS8 1TH, Avon, England; [Gabe-Thomas, Elizabeth] Univ Plymouth, Plymouth PL4 8AA, Devon, England; [Lee, JeeHang] Korea Adv Inst Sci &amp; Technol, 291 Daehak Ro, Daejeon, South Korea</t>
  </si>
  <si>
    <t>University of Bath; University of Bristol; University of Plymouth; Korea Advanced Institute of Science &amp; Technology (KAIST)</t>
  </si>
  <si>
    <t>Mogles, N (corresponding author), Univ Bristol, Senate House,Tyndall Ave, Bristol BS8 1TH, Avon, England.</t>
  </si>
  <si>
    <t>mogles1@yahoo.com</t>
  </si>
  <si>
    <t>Padget, Julian/JOJ-9944-2023</t>
  </si>
  <si>
    <t>Padget, Julian/0000-0003-1314-2094; Walker, Ian/0000-0002-0079-3149; Lee, JeeHang/0000-0002-4337-2774</t>
  </si>
  <si>
    <t>ENLITEN project, EPSRC [EP/K002724/1]; EPSRC [EP/K002724/1] Funding Source: UKRI</t>
  </si>
  <si>
    <t>ENLITEN project, EPSRC(UK Research &amp; Innovation (UKRI)Engineering &amp; Physical Sciences Research Council (EPSRC)); EPSRC(UK Research &amp; Innovation (UKRI)Engineering &amp; Physical Sciences Research Council (EPSRC))</t>
  </si>
  <si>
    <t>This work was done under the auspices of the ENLITEN project, EPSRC Grant Number EP/K002724/1. The electricity consumption data, the survey data used for the validation of the model and the Matlab model code are published via: 10.15125/BATH-00193 (Link: https://doi.org/10.15125/BATH-00193). We would like to thank the anonymous reviewers for their suggestions which have done much to improve the paper.</t>
  </si>
  <si>
    <t>0924-1868</t>
  </si>
  <si>
    <t>1573-1391</t>
  </si>
  <si>
    <t>USER MODEL USER-ADAP</t>
  </si>
  <si>
    <t>User Model. User-Adapt. Interact.</t>
  </si>
  <si>
    <t>10.1007/s11257-017-9199-9</t>
  </si>
  <si>
    <t>Computer Science, Cybernetics</t>
  </si>
  <si>
    <t>FY3NA</t>
  </si>
  <si>
    <t>WOS:000426725600001</t>
  </si>
  <si>
    <t>Dunk, R; Sexton, J; Hinerman, K; Holt, EA</t>
  </si>
  <si>
    <t>Dunk, Ryan; Sexton, Julie; Hinerman, Krystal; Holt, Emily A.</t>
  </si>
  <si>
    <t>Development of the biotic impacts of climate change core concepts (BIC4) framework</t>
  </si>
  <si>
    <t>Climate change; education research; education; 4DEE; framework</t>
  </si>
  <si>
    <t>TERRESTRIAL ECOSYSTEMS; CHANGE EDUCATION; CHANGE ATTITUDES; KNOWLEDGE; FUTURE; RESPONSES; VISION</t>
  </si>
  <si>
    <t>The ability of living organisms to respond and adapt to a changing climate is an urgent concern. However, current educational efforts aimed at increasing US undergraduate student climate literacy primarily focus on the causes of, and abiotic responses to, climate change, mostly neglecting the biotic impacts. Here, we present a new framework, the Biotic Impacts of Climate Change Core Concepts (BIC4), which provides context for addressing student understanding of how climate change will impact the living environment. The BIC4 consists of 7 Core Concepts arranged into 3 overarching themes: Species Outcomes, Systems Outcomes, and Scale of Outcomes. This framework was developed through literature review, expert and novice surveys and interviews, and expert review. We show how the BIC4 is well suited to support educational efforts developed with other frameworks (most notably the 4DEE), and we discuss future use of the BIC4 as an education research tool.</t>
  </si>
  <si>
    <t>[Dunk, Ryan; Holt, Emily A.] Univ Northern Colorado, Sch Biol Sci, Greeley, CO 80639 USA; [Sexton, Julie] Univ Colorado, Environm Studies Dept, Boulder, CO 80309 USA; [Hinerman, Krystal] Lamar Univ, Educ Leadership, Beaumont, TX 77710 USA</t>
  </si>
  <si>
    <t>University of Northern Colorado; University of Colorado System; University of Colorado Boulder; Texas State University System; Lamar University</t>
  </si>
  <si>
    <t>Holt, EA (corresponding author), Univ Northern Colorado, Sch Biol Sci, Greeley, CO 80639 USA.</t>
  </si>
  <si>
    <t>Dunk, Ryan/0000-0003-1519-8526; Holt, Emily/0000-0002-1777-7882</t>
  </si>
  <si>
    <t>This work was supported by the National Science Foundation (NSF) Improving Undergraduate STEM Education (DUE-1836522). Any opinions, findings, and conclusions or recommendations expressed in this article are those of the authors and do not necessarily reflect the views of the NSF.</t>
  </si>
  <si>
    <t>Aguirre KM, 2013, CBE-LIFE SCI EDUC, V12, P579, DOI 10.1187/cbe.13-09-0183; Aksit O, 2018, J RES SCI TEACH, V55, P550, DOI 10.1002/tea.21430; American Association for the Advancement of Science, 2011, VISION CHANGE UNDERG; American Society of Plant Biologists, 2017, ASPB BSA COR CONC OB; Ashcroft MB, 2010, J BIOGEOGR, V37, P1407, DOI 10.1111/j.1365-2699.2010.02300.x; Auerbach AJ, 2017, CBE-LIFE SCI EDUC, V16, DOI 10.1187/cbe.16-08-0258; Baker DM, 2018, ISME J, V12, P921, DOI 10.1038/s41396-018-0046-8; Bellard C, 2012, ECOL LETT, V15, P365, DOI 10.1111/j.1461-0248.2011.01736.x; Bernal S, 2012, P NATL ACAD SCI USA, V109, P3406, DOI 10.1073/pnas.1121448109; Boyes E., 1992, International Journal of Environmental Studies, V42, P287, DOI DOI 10.1080/00207239208710804; Bradley BA, 2010, BIOL INVASIONS, V12, P1855, DOI 10.1007/s10530-009-9597-y; Brownell SE, 2014, CBE-LIFE SCI EDUC, V13, P200, DOI 10.1187/cbe.13-12-0233; Brownlee MTJ, 2013, ENVIRON EDUC RES, V19, P1, DOI 10.1080/13504622.2012.683389; Busch KC, 2019, ENVIRON EDUC RES, V25, P955, DOI 10.1080/13504622.2018.1514588; Carter B.E., 2014, EVOL EDUC OUTREACH, V7, P6, DOI DOI 10.1186/s12052-014-0006-3; Cary TL, 2019, CBE-LIFE SCI EDUC, V18, DOI 10.1187/cbe.18-09-0192; Christensen R., 2015, International Journal of Environmental and Science Education, V10, P773, DOI DOI 10.12973/IJESE.2015.276A; Cordero EC, 2008, B AM METEOROL SOC, V89, P865, DOI 10.1175/2007BAMS2432.1; Cordero EC, 2020, PLOS ONE, V15, DOI 10.1371/journal.pone.0206266; Danielson KI, 2015, CBE-LIFE SCI EDUC, V14, DOI 10.1187/cbe.14-11-0209; Dijkstra EM, 2012, ENVIRON EDUC RES, V18, P733, DOI 10.1080/13504622.2012.662213; Donelson JM, 2019, PHILOS T R SOC B, V374, DOI 10.1098/rstb.2018.0186; Dutton A, 2015, SCIENCE, V349, DOI 10.1126/science.aaa4019; Estiarte M, 2015, GLOBAL CHANGE BIOL, V21, P1005, DOI 10.1111/gcb.12804; Evans TG, 2018, J BIOL EDUC, V52, P143, DOI 10.1080/00219266.2017.1285806; Feeley KJ, 2020, NAT CLIM CHANGE, V10, P965, DOI 10.1038/s41558-020-0873-2; Feinstein NW, 2020, CLIM POLICY, V20, P317, DOI 10.1080/14693062.2019.1701975; Fitt RNL, 2017, J ANIM ECOL, V86, P543, DOI 10.1111/1365-2656.12655; Gang CC, 2017, GLOBAL PLANET CHANGE, V148, P153, DOI 10.1016/j.gloplacha.2016.12.007; Genetics Society of America Education Committee, 2015, COR CONC COMP GEN; Goldberg MH, 2019, P NATL ACAD SCI USA, V116, P14804, DOI 10.1073/pnas.1906589116; Greenville AC, 2017, ROY SOC OPEN SCI, V4, DOI 10.1098/rsos.170384; Grimm NB, 2013, FRONT ECOL ENVIRON, V11, P474, DOI 10.1890/120282; Halady IR, 2010, INT J CLIM CHANG STR, V2, P6, DOI 10.1108/17568691011020229; Hermans M, 2017, INT RES GEOGR ENVIRO, V26, P223, DOI 10.1080/10382046.2017.1330035; Hess DJ, 2018, J CLEAN PROD, V170, P1451, DOI 10.1016/j.jclepro.2017.09.215; Hoegh-Guldberg O, 2010, SCIENCE, V328, P1523, DOI 10.1126/science.1189930; Holt EA, 2021, ECOSPHERE, V12, DOI 10.1002/ecs2.3706; Hückstädt LA, 2020, NAT CLIM CHANGE, V10, P472, DOI 10.1038/s41558-020-0745-9; Hughes TP, 2018, SCIENCE, V359, P80, DOI 10.1126/science.aan8048; Huxster JK, 2015, J ENVIRON EDUC, V46, P149, DOI 10.1080/00958964.2015.1021661; Jarrett L, 2020, ENVIRON EDUC RES, V26, P400, DOI 10.1080/13504622.2019.1679092; Kilinc A., 2008, INT J ENV SCI ED, V3, P89; Klemow K, 2019, FRONT ECOL ENVIRON, V17, P71, DOI 10.1002/fee.2013; Lauchlan SS, 2020, FISH FISH, V21, P32, DOI 10.1111/faf.12412; Lauchlan SS, 2019, MAR ENVIRON RES, V151, DOI 10.1016/j.marenvres.2019.104777; Laverty JT, 2016, PLOS ONE, V11, DOI 10.1371/journal.pone.0162333; Libarkin J., 2008, NATL RES COUNCIL PRO; Lin VSY, 1997, SCIENCE, V278, P840, DOI 10.1126/science.278.5339.840; Lin ZH, 2018, SCI REP-UK, V8, DOI 10.1038/s41598-018-29517-0; Lombardi D, 2012, RES SCI EDUC, V42, P201, DOI 10.1007/s11165-010-9196-z; Malhi Y, 2008, SCIENCE, V319, P169, DOI 10.1126/science.1146961; Martinet B, 2021, FUNCT ECOL, V35, P739, DOI 10.1111/1365-2435.13738; McBride BB, 2013, ECOSPHERE, V4, DOI 10.1890/ES13-00075.1; McCright AM, 2013, NAT CLIM CHANGE, V3, P713, DOI [10.1038/NCLIMATE1844, 10.1038/nclimate1844]; McCuin J.L., 2014, J GEOSCIENCE ED, V62, P445, DOI [10.5408/13-068.1, DOI 10.5408/13-068.1]; McMichael AJ, 2013, NEW ENGL J MED, V369, P96, DOI [10.1056/NEJMra1109341, 10.1056/NEJMc1305749]; Merilä J, 2014, EVOL APPL, V7, P1, DOI 10.1111/eva.12137; Merkel S, 2012, J MICROBIOL BIOL EDU, V13, P32, DOI 10.1128/jmbe.v13i1.363; Miller-Struttmann NE, 2015, SCIENCE, V349, P1541, DOI 10.1126/science.aab0868; Mochizuki Y., 2015, Journal of Education for Sustainable Development, V9, P4, DOI [DOI 10.1177/0973408215569109, 10.1177/0973408215569109]; Molthan-Hill P, 2019, J CLEAN PROD, V226, P1092, DOI 10.1016/j.jclepro.2019.04.053; Monroe MC, 2019, ENVIRON EDUC RES, V25, P791, DOI 10.1080/13504622.2017.1360842; Nadeau CP, 2019, ECOGRAPHY, V42, P1280, DOI 10.1111/ecog.04404; Nearing MA, 2004, J SOIL WATER CONSERV, V59, P43; Nolan C, 2018, SCIENCE, V361, P920, DOI 10.1126/science.aan5360; Papadimitriou V., 2004, J SCI EDUC TECHNOL, V13, P299, DOI [10.1023/B:JOST.0000031268.72848.6d, https://doi.org/10.1023/B:JOST.0000031268.72848.6d, DOI 10.1023/B:JOST.0000031268.72848.6D]; Parkinson Alan J, 2014, Int J Circumpolar Health, V73, P25163, DOI 10.3402/ijch.v73.25163; Patz JA, 2005, NATURE, V438, P310, DOI 10.1038/nature04188; Pilfold NW, 2017, ECOGRAPHY, V40, P189, DOI 10.1111/ecog.02109; Román-Palacios C, 2020, P NATL ACAD SCI USA, V117, P4211, DOI 10.1073/pnas.1913007117; Rousell D, 2020, CHILD GEOGR, V18, P191, DOI 10.1080/14733285.2019.1614532; Scannell L, 2013, ENVIRON BEHAV, V45, P60, DOI 10.1177/0013916511421196; Shepardson DP, 2012, ENVIRON EDUC RES, V18, P323, DOI 10.1080/13504622.2011.622839; Shepardson DP, 2009, ENVIRON EDUC RES, V15, P549, DOI 10.1080/13504620903114592; Short E.E., 2017, INFECT DIS RES TREAT; Sinatra GM, 2012, INSTR SCI, V40, P1, DOI 10.1007/s11251-011-9166-5; Smith MK, 2019, ECOSPHERE, V10, DOI 10.1002/ecs2.2873; Smith MK, 2019, J MICROBIOL BIOL EDU, V20, DOI 10.1128/jmbe.v20i2.1787; Stott P, 2016, SCIENCE, V352, P1517, DOI 10.1126/science.aaf7271; Stubbs JL, 2020, ECOL MODEL, V431, DOI 10.1016/j.ecolmodel.2020.109185; Tansey JT, 2013, BIOCHEM MOL BIOL EDU, V41, P289, DOI 10.1002/bmb.20727; UNESCO, 2021, GETT EV SCH CLIM REA; UNESCO, 2019, COUNTRY PROGR CLIMAT; UNFCCC, 2012, ART 6 CONV; Varela B, 2020, RES SCI EDUC, V50, P599, DOI 10.1007/s11165-018-9703-1; Wachholz S, 2014, INT J SUST HIGHER ED, V15, P128, DOI 10.1108/IJSHE-03-2012-0025; Walsh BS, 2019, TRENDS ECOL EVOL, V34, P249, DOI 10.1016/j.tree.2018.12.002; Walther GR, 2002, NATURE, V416, P389, DOI 10.1038/416389a; Wang WJ, 2015, ECOSPHERE, V6, DOI 10.1890/ES15-00238.1; Wapstra E, 2009, J ANIM ECOL, V78, P84, DOI 10.1111/j.1365-2656.2008.01470.x; Watson J, 2016, NATURE, V534, P437, DOI 10.1038/534437a; Whitehead PG, 2009, HYDROLOG SCI J, V54, P101, DOI 10.1623/hysj.54.1.101</t>
  </si>
  <si>
    <t>AUG 1</t>
  </si>
  <si>
    <t>10.1080/13504622.2022.2069682</t>
  </si>
  <si>
    <t>3L3RC</t>
  </si>
  <si>
    <t>WOS:000788878900001</t>
  </si>
  <si>
    <t>Limaye, VS; Grabow, ML; Stull, VJ; Patz, JA</t>
  </si>
  <si>
    <t>Limaye, Vijay S.; Grabow, Maggie L.; Stull, Valerie J.; Patz, Jonathan A.</t>
  </si>
  <si>
    <t>Developing A Definition Of Climate And Health Literacy</t>
  </si>
  <si>
    <t>HEALTH AFFAIRS</t>
  </si>
  <si>
    <t>EDUCATION; POLLUTION; EXERCISE</t>
  </si>
  <si>
    <t>A new generation of activists is calling for bold responses to the climate crisis. Although young people are motivated to act on climate issues, existing educational frameworks do not adequately prepare them by addressing the scope and complexity of the human health risks associated with climate change. We adapted the US government's climate literacy principles to propose a definition and corresponding set of elements for a concept we term climate and health literacy. We conducted a scoping review to assess how the peer-reviewed literature addresses these elements. Our analysis reveals a focus on training health professionals; more international than US domestic content; and limited information about data and models, fossil fuels, and equity. We propose developing a framework that builds on the elements to support a broader educational agenda that prepares students and future leaders to recognize the complex health ramifications of a changing climate.</t>
  </si>
  <si>
    <t>[Limaye, Vijay S.] Nat Resources Def Council, New York, NY USA; [Grabow, Maggie L.] Univ Wisconsin, Dept Family Med &amp; Community Hlth, Sch Med &amp; Publ Hlth, Madison, WI 53706 USA; [Stull, Valerie J.; Patz, Jonathan A.] Univ Wisconsin, Global Hlth Inst, Madison, WI USA; [Patz, Jonathan A.] Univ Wisconsin, Nelson Inst Environm Studies, Madison, WI USA; [Patz, Jonathan A.] Univ Wisconsin, Dept Populat Hlth Sci, Madison, WI USA</t>
  </si>
  <si>
    <t>University of Wisconsin System; University of Wisconsin Madison; University of Wisconsin System; University of Wisconsin Madison; University of Wisconsin System; University of Wisconsin Madison; University of Wisconsin System; University of Wisconsin Madison</t>
  </si>
  <si>
    <t>Grabow, ML (corresponding author), Univ Wisconsin, Dept Family Med &amp; Community Hlth, Sch Med &amp; Publ Hlth, Madison, WI 53706 USA.</t>
  </si>
  <si>
    <t>grabow@wisc.edu</t>
  </si>
  <si>
    <t>Stull, Valerie/0000-0003-4309-859X; Limaye, Vijay/0000-0003-3118-6912; Grabow, Maggie/0000-0002-8925-9937</t>
  </si>
  <si>
    <t>Health Resources and Services Administration [T32HP10010]; National Center for Complementary and Integrative Health, National Institutes of Health [T32AT006956]</t>
  </si>
  <si>
    <t>Health Resources and Services Administration(United States Department of Health &amp; Human ServicesUnited States Health Resources &amp; Service Administration (HRSA)); National Center for Complementary and Integrative Health, National Institutes of Health</t>
  </si>
  <si>
    <t>Maggie Grabow was supported by both the Health Resources and Services Administration (Grant No. T32HP10010) and the National Center for Complementary and Integrative Health, National Institutes of Health, training award (Grant No. T32AT006956). The authors thank both Mary Hitchcock and Colleen Henegan for their support and expertise.</t>
  </si>
  <si>
    <t>American Public I Iealth Association, 2019, ADDR IMP CLIM CHANG; [Anonymous], 2013, NEXT GEN SCI STAND; Chadborn NH, 2013, LOCAL ENVIRON, V18, P271, DOI 10.1080/13549839.2012.719017; Climate Literacy and Energy Awareness Network, 2020, CLIM LIT EN AW NESS; Costa R, 2015, J TRAUMA STRESS DISO, V4; Fisher SR, 2016, ENVIRON EDUC RES, V22, P229, DOI 10.1080/13504622.2015.1007337; Global Consortium on Climate and Ilealth Education, 2018, GLOB CONS CLIM HLTH; Grabow ML, 2012, ENVIRON HEALTH PERSP, V120, P68, DOI 10.1289/ehp.1103440; Han H, 2020, SUSTAINABILITY-BASEL, V12, DOI 10.3390/su12104127; Ilealth Care Without Ilarm, 2013, CLIM HLTH LIT CONS; Laurent JGC, 2018, PLOS MED, V15, DOI 10.1371/journal.pmed.1002605; Lavey WG, 2019, INT J SUST HIGHER ED, V20, P39, DOI 10.1108/IJSHE-04-2018-0062; Lawrence C, 2018, ACAD MED, V93, P648, DOI 10.1097/ACM.0000000000002004; Limaye VS, 2019, GEOHEALTH, V3, P245, DOI 10.1029/2019GH000202; Majeed H, 2017, LANCET PLANET HEALTH, V1, pE94, DOI 10.1016/S2542-5196(17)30045-1; Mancuso JM, 2008, NURS HEALTH SCI, V10, P248, DOI 10.1111/j.1442-2018.2008.00394.x; Murray S, 2020, FRAMING CLIMATE CRIS; National Institute of Environmental Ilealth Sciences, 2020, CLIM CHANG HUM HLTH; Nemet GF, 2010, ENVIRON RES LETT, V5, DOI 10.1088/1748-9326/5/1/014007; Nutbeam D, 2000, HEALTH PROMOT INT, V15, P259, DOI 10.1093/heapro/15.3.259; Nutbeam D, 2008, SOC SCI MED, V67, P2072, DOI 10.1016/j.socscimed.2008.09.050; Park H, 2002, ARCH PEDIAT ADOL MED, V156, P1235, DOI 10.1001/archpedi.156.12.1235; Patz JA, 2007, ECOHEALTH, V4, P397, DOI 10.1007/s10393-007-0141-1; Patz JA, 2020, JAMA-J AM MED ASSOC, V323, P1247, DOI 10.1001/jama.2020.1313; Ramírez Andrea, 2012, Rev. salud pública, V14, P570; Reidmiller D. R., 2018, 4 NATL CLIMATE ASSES, VII, DOI [10.7930/NCA4.2018.CH1, DOI 10.7930/NCA4.2018]; Salas R.N., 2019, Lancet Countdown; Sanders LM, 2009, PEDIATRICS S3, V121, pS306; Schreiner C., 2005, Studies in Science Education, V41, P3, DOI [DOI 10.1080/03057260508560213, 10.1080/03057260508560213, https://doi.org/10.1080/03057260508560213]; Shaman J, 2018, AM J PUBLIC HEALTH, V108, pS66, DOI 10.2105/AJPH.2017.304045; Shaman J, 2013, P NATL ACAD SCI USA, V110, P3653, DOI 10.1073/pnas.1301104110; Shea B, 2020, JAMA NETW OPEN, V3, DOI 10.1001/jamanetworkopen.2020.6609; Teherani A, 2017, MED EDUC ONLINE, V22, DOI 10.1080/10872981.2017.1386042; US Global Change Research Pro- gram, 2009, US GLOBAL CHANGE RES; Vernon D.E., 2016, Journal of College Science Teaching, V45, P43, DOI DOI 10.2505/4/JCST16_045_06_43; Watts N, 2018, LANCET, V392, P2479, DOI 10.1016/S0140-6736(18)32594-7; Weathers MR, 2016, ENVIRON COMMUN, V10, P593, DOI 10.1080/17524032.2015.1050436; Wellhery C, 2018, ACAD MED, V93, P1771</t>
  </si>
  <si>
    <t>PROJECT HOPE</t>
  </si>
  <si>
    <t>BETHESDA</t>
  </si>
  <si>
    <t>7500 OLD GEORGETOWN RD, STE 600, BETHESDA, MD 20814-6133 USA</t>
  </si>
  <si>
    <t>0278-2715</t>
  </si>
  <si>
    <t>HEALTH AFFAIR</t>
  </si>
  <si>
    <t>Health Aff.</t>
  </si>
  <si>
    <t>10.1377/hlthaff.2020.01116</t>
  </si>
  <si>
    <t>Health Care Sciences &amp; Services; Health Policy &amp; Services</t>
  </si>
  <si>
    <t>Health Care Sciences &amp; Services</t>
  </si>
  <si>
    <t>PC0MT</t>
  </si>
  <si>
    <t>WOS:000596704700019</t>
  </si>
  <si>
    <t>Fraternali, P; Gonzalez, SLH</t>
  </si>
  <si>
    <t>Tzovaras, D; Giakoumis, D; Vincze, M; Argyros, A</t>
  </si>
  <si>
    <t>Fraternali, Piero; Gonzalez, Sergio Luis Herrera</t>
  </si>
  <si>
    <t>An Augmented Reality Game for Energy Awareness</t>
  </si>
  <si>
    <t>COMPUTER VISION SYSTEMS (ICVS 2019)</t>
  </si>
  <si>
    <t>Lecture Notes in Computer Science</t>
  </si>
  <si>
    <t>12th International Conference on Computer Vision Systems (ICVS)</t>
  </si>
  <si>
    <t>SEP 23-25, 2019</t>
  </si>
  <si>
    <t>Thessaloniki, GREECE</t>
  </si>
  <si>
    <t>Augmented Reality; Serious games; Energy awareness</t>
  </si>
  <si>
    <t>Energy efficiency requires a behavioral shift towards sustainable consumption. Such a change can be supported by persuasive IT applications, which employ a variety of stimuli to increase the energy literacy and awareness of consumers. We describe FunergyAR, an Augmented Reality digital game targeting children and their families. FunergyAR incorporates Computer Vision and Augmented Reality components within traditional game mechanics and can be used either in a standalone manner or together with Funergy, a card game designed for improving energy savvy behaviors in children.</t>
  </si>
  <si>
    <t>[Fraternali, Piero; Gonzalez, Sergio Luis Herrera] Politecn Milan, Dipartimento Elettron Informaz &amp; Bioingn, Piazza Leonardo da Vinci 32, Milan, Italy</t>
  </si>
  <si>
    <t>Polytechnic University of Milan</t>
  </si>
  <si>
    <t>Gonzalez, SLH (corresponding author), Politecn Milan, Dipartimento Elettron Informaz &amp; Bioingn, Piazza Leonardo da Vinci 32, Milan, Italy.</t>
  </si>
  <si>
    <t>piero.fraternali@polimi.it; sergioluis.herrera@polimi.it</t>
  </si>
  <si>
    <t>EU H2020 Programme [723791, 723059]</t>
  </si>
  <si>
    <t>EU H2020 Programme(Horizon 2020)</t>
  </si>
  <si>
    <t>This work is partially supported by the enCOMPASS - Collaborative Recommendations and Adaptive Control for Personalised Energy Saving project funded by the EU H2020 Programme, grant agreement no. 723059 and by the PENNY - Psychological, social and financial barriers to energy efficiency project funded by the EU H2020 Programme, grant agreement no. 723791.</t>
  </si>
  <si>
    <t>Arizton, 2018, ARIZTON BOARD GAMES; Casals M, 2017, 2017 GLOBAL INTERNET OF THINGS SUMMIT (GIOTS 2017), P279; De Luca V., 2014, P WORKSH FOST SMART, P27; Frajberg D, 2017, PR INT CONF DATA SC, P313, DOI 10.1109/DSAA.2017.5; Garcia-Perez A., 2019, Designing and tracking knowledge management metrics, P163; Palmarini R, 2018, ROBOT CIM-INT MANUF, V49, P215, DOI 10.1016/j.rcim.2017.06.002; Reeves B., 2012, 2012 International Conference on Collaboration Technologies and Systems (CTS), P354, DOI 10.1109/CTS.2012.6261074; Yang JC, 2012, TURK ONLINE J EDUC T, V11, P27</t>
  </si>
  <si>
    <t>0302-9743</t>
  </si>
  <si>
    <t>978-3-030-34995-0; 978-3-030-34994-3</t>
  </si>
  <si>
    <t>LECT NOTES COMPUT SC</t>
  </si>
  <si>
    <t>10.1007/978-3-030-34995-0_57</t>
  </si>
  <si>
    <t>Automation &amp; Control Systems; Computer Science, Artificial Intelligence; Computer Science, Theory &amp; Methods; Remote Sensing; Imaging Science &amp; Photographic Technology</t>
  </si>
  <si>
    <t>Automation &amp; Control Systems; Computer Science; Remote Sensing; Imaging Science &amp; Photographic Technology</t>
  </si>
  <si>
    <t>BP3RU</t>
  </si>
  <si>
    <t>WOS:000548737700057</t>
  </si>
  <si>
    <t>Khuc, QV; Tran, M; Nguyen, T; Thinh, NA; Dang, T; Tuyen, DT; Pham, P; Dat, LQ</t>
  </si>
  <si>
    <t>Khuc, Quy Van; Tran, Mai; Nguyen, Thuy; Thinh, Nguyen An; Dang, Thao; Tuyen, Dang Trung; Pham, Phu; Dat, Luu Quoc</t>
  </si>
  <si>
    <t>Improving Energy Literacy to Facilitate Energy Transition and Nurture Environmental Culture in Vietnam</t>
  </si>
  <si>
    <t>URBAN SCIENCE</t>
  </si>
  <si>
    <t>energy transformation; energy policy; sustainability; bayesian approach; renewable energy</t>
  </si>
  <si>
    <t>VALUE-ATTITUDE-BEHAVIOR; ECONOMIC-GROWTH; KNOWLEDGE; EDUCATION; COMMUNICATION; PERCEPTIONS; EMISSIONS; STUDENTS; MODEL; RISK</t>
  </si>
  <si>
    <t>Concern about energy depletion has risen because of industrialization and consumerism, pushing a transition from fossil fuels to renewable energy sources. To this end, every group within society, especially the youth, should be made responsible for confronting and/or mitigating environmental problems. This study advances the understanding of young adults' intentions to learn about energy conservation and its influencing factors, as well as contributes to the literature on environmental management and environmental culture and development. We used a systematic random sample technique to conduct a large-scale online survey with 1454 students from 48 different Vietnamese universities and employed Bayesian regression model to analyze the data. The initial research indicates that young adults are highly concerned about the environment, but more work has to be done to turn perceptions into actions. The majority of respondents-nearly 83%-want to increase their energy-saving knowledge, and around 50% are interested in enrolling in an energy course. Their decision regarding participation in an energy course is largely influenced by their perception and income. Women were more inclined to take energy-saving courses, and people who lived in rural areas had a stronger desire to increase their knowledge. Our research has various policy implications for promoting energy transformation and/or nurturing environmental cultures associated with environmental education improvement in Vietnam and beyond.</t>
  </si>
  <si>
    <t>[Khuc, Quy Van; Thinh, Nguyen An; Dat, Luu Quoc] Vietnam Natl Univ, VNU Univ Econ &amp; Business, Fac Dev Econ, Hanoi 100000, Vietnam; [Tran, Mai; Nguyen, Thuy; Pham, Phu] Vietkap, Hanoi 100000, Vietnam; [Dang, Thao] Western Univ, Dept Gender Sexual &amp; Womens Studies, London, ON N6A 3K7, Canada; [Tuyen, Dang Trung] Vietnam Natl Univ, VNU Univ Econ &amp; Business, Fac Polit Econ, Hanoi 100000, Vietnam; [Pham, Phu] Vietnam Acad Sci &amp; Technol, Inst Ecol &amp; Biol Resources, 18 Hoang Quoc Viet, Hanoi 100000, Vietnam</t>
  </si>
  <si>
    <t>Vietnam National University Hanoi; Western University (University of Western Ontario); Vietnam National University Hanoi; Vietnam Academy of Science &amp; Technology (VAST)</t>
  </si>
  <si>
    <t>Khuc, QV (corresponding author), Vietnam Natl Univ, VNU Univ Econ &amp; Business, Fac Dev Econ, Hanoi 100000, Vietnam.</t>
  </si>
  <si>
    <t>qvkhuc.4vina@gmail.com</t>
  </si>
  <si>
    <t>Tran, Mai/JDM-2267-2023; Nguyen, Tuan/AAC-8994-2021; Khuc, Van Quy/X-2279-2019</t>
  </si>
  <si>
    <t>Khuc, Van Quy/0000-0001-9516-2413; NGUYEN, An Thinh/0000-0002-9738-2142</t>
  </si>
  <si>
    <t>Adlong W, 2012, AUST J ENVIRON EDUC, V28, P125, DOI 10.1017/aee.2013.5; Akitsu Y., 2017, Int. J. Environ. Sci. Educ., V12, P1067; Andrade C, 2020, INDIAN J PSYCHOL MED, V42, P575, DOI 10.1177/0253717620957496; [Anonymous], 2006, VIETNAM PRIME MINIST; [Anonymous], NGUYEN MANH HIEN ENE; [Anonymous], 2020, NATL ASSEMBLY LAW NU, P110; Arroyo R, 2020, TRANSPORT RES F-TRAF, V71, P8, DOI 10.1016/j.trf.2020.04.002; Bamberg S, 2003, J ENVIRON PSYCHOL, V23, P21, DOI 10.1016/S0272-4944(02)00078-6; Banga M, 2011, J ENVIRON DEV, V20, P428, DOI 10.1177/1070496511426779; BP, Statistical Review of World Energy; Brulle RJ, 2010, ENVIRON COMMUN, V4, P82, DOI 10.1080/17524030903522397; Champ P.A., 2017, ECON NON-MARK GOOD, VVolume 13, P1031; CHARI VV, 1991, J POLIT ECON, V99, P1142, DOI 10.1086/261795; Chen SJ, 2015, ENERG EFFIC, V8, P791, DOI 10.1007/s12053-015-9327-5; Cheung MFY, 2019, J RETAIL CONSUM SERV, V50, P145, DOI 10.1016/j.jretconser.2019.04.006; Chomsky N., NOT POLITICIANS; Cloughton I., 2021, SOC WORK POLICY STUD, V4, P1; CRACRAFT J, 1988, NATURE, V331, P389, DOI 10.1038/331389a0; Dang P., 2022, An evaluation of Vietnam's pathway to net zero by 2050: Reconciling the Developmental State and Civil Society Conference: The 11th Congress of the Asian Association of Environmental and Resource Economics (AAERE 2022)-A Pathway Towards Carbon Neutrality in Asia At: Hochiminh City-Vietnam.; De Leeuw A, 2015, J ENVIRON PSYCHOL, V42, P128, DOI 10.1016/j.jenvp.2015.03.005; DeWaters JE, 2011, ENERG POLICY, V39, P1699, DOI 10.1016/j.enpol.2010.12.049; DeWaters JE., 2011, FRONTIERS ED C FIE 2, DOI DOI 10.1109/FIE.2011.6142961; Dias RA, 2004, ENERG POLICY, V32, P1339, DOI 10.1016/S0301-4215(03)00100-9; Faber Jorge, 2014, Dental Press J. Orthod., V19, P27, DOI 10.1590/2176-9451.19.4.027-029.ebo; Fua J. L., 2018, IOP Conference Series: Earth and Environmental Science, V175, P012229, DOI [https://doi.org/10.1088/1755-1315/175/1/012229, DOI 10.1088/1755-1315/175/1/012229]; GREELEY A, 1993, J SCI STUD RELIG, V32, P19, DOI 10.2307/1386911; Halder P, 2010, ENERG POLICY, V38, P3058, DOI 10.1016/j.enpol.2010.01.046; Han MS, 2020, ENERG POLICY, V140, DOI 10.1016/j.enpol.2020.111405; Herrington G, 2021, J IND ECOL, V25, P614, DOI 10.1111/jiec.13084; Ho SS, 2022, ENVIRON COMMUN, V16, P589, DOI 10.1080/17524032.2022.2107553; HOMER PM, 1988, J PERS SOC PSYCHOL, V54, P638, DOI 10.1037/0022-3514.54.4.638; Huang LP, 2020, RESOUR CONSERV RECY, V158, DOI 10.1016/j.resconrec.2020.104747; International Energy Agency, 2021, Net Zero by 2050, DOI DOI 10.1787/7A222C8B-EN; IPCC Climate Change, 2022, Impacts, Adaptation, and Vulnerability. Contribution of Working Group II to the Sixth Assessment Report of the Intergovernmental Panel on Climate Change; Jacobs K, 2018, J CLEAN PROD, V203, P1155, DOI 10.1016/j.jclepro.2018.07.320; Jarreau PB, 2017, ENVIRON COMMUN, V11, P143, DOI 10.1080/17524032.2015.1094103; Karatepe Y, 2012, RENEW ENERG, V44, P174, DOI 10.1016/j.renene.2012.01.099; Keramitsoglou KM, 2016, RENEW SUST ENERG REV, V59, P1159, DOI 10.1016/j.rser.2015.12.047; Kollmuss A., 2002, ENVIRON EDUC RES, V8, P239, DOI [10.1080/13504620220145401, DOI 10.1080/13504620220145401]; Le L., RENEWABLES FRENZY VI; Le TH, 2020, ENERG J, V41, P73, DOI 10.5547/01956574.41.2.thle; Le TH, 2019, ENERG POLICY, V129, P436, DOI 10.1016/j.enpol.2019.02.038; Lee LS, 2019, ENERG POLICY, V135, DOI 10.1016/j.enpol.2019.111005; Lee LS, 2015, ENERG POLICY, V76, P98, DOI 10.1016/j.enpol.2014.11.012; Maurer M, 2020, STUD EDUC EVAL, V65, DOI 10.1016/j.stueduc.2020.100863; McElreath R, 2016, TEXT STAT SCI, pXI; MEADOWS D H, 1972, P205; Nguyen MH, 2022, METHODSX, V9, DOI 10.1016/j.mex.2022.101808; Mitchell IK, 2015, ENVIRON DEV SUSTAIN, V17, P279, DOI 10.1007/s10668-014-9587-9; MOET, HIGH ED STAT AC YEAR; Mukherji SB, 2016, SUSTAINABILITY-BASEL, V8, DOI 10.3390/su8101065; Nguyen C., 2016, POPULATION SEX AGE S; Nguyen MH, 2022, HUM SOC SCI COMMUN, V9, DOI 10.1057/s41599-022-01441-9; Nguyen MH, 2022, J DATA INFO SCI, V7, P76, DOI 10.2478/jdis-2022-0001; Nguyen MH, 2021, INT J ENV RES PUB HE, V18, DOI 10.3390/ijerph18073681; Niringiye Aggrey., 2010, Current Research Journal of Economic Theory, V2, P119; Nong D, 2020, RENEW SUST ENERG REV, V134, DOI 10.1016/j.rser.2020.110117; Padi A., 2015, J EC SUSTAINABLE DEV, V6, P15; Pham L, 2019, APPL ECON LETT, V26, P1756, DOI 10.1080/13504851.2019.1593934; Piironen J, 2017, STAT COMPUT, V27, P711, DOI 10.1007/s11222-016-9649-y; Pothitou M, 2017, INT J SUSTAIN ENERGY, V36, P398, DOI 10.1080/14786451.2015.1032290; Vuong QH, 2015, INT J INTERCULT REL, V49, P354, DOI 10.1016/j.ijintrel.2015.06.003; Vuong QH, 2020, METHODSX, V7, DOI 10.1016/j.mex.2020.100924; Khuc QV, 2022, INT J ENV RES PUB HE, V19, DOI 10.3390/ijerph19063645; Khuc QV, 2020, DATA BRIEF, V33, DOI 10.1016/j.dib.2020.106414; Ritchie H., 2020, CO2 and Greenhouse Gas Emissions: Our World in Data CO2 and Greenhouse Gas Emissions database; Roczen N, 2014, ENVIRON BEHAV, V46, P972, DOI 10.1177/0013916513492416; Rognli EW, 2023, J CHILD PSYCHOL PSYC, V64, P339, DOI 10.1111/jcpp.13662; Sanson A, 2021, BJPSYCH BULL, V45, P205, DOI 10.1192/bjb.2021.16; Sayan B, 2016, CONTEMP NURSE, V52, P771, DOI 10.1080/10376178.2016.1254051; Schröder E, 2020, INT J POLIT ECON, V49, P153, DOI 10.1080/08911916.2020.1778866; Sidique SF, 2010, RESOUR CONSERV RECY, V54, P163, DOI 10.1016/j.resconrec.2009.07.012; Suhartanto D, 2024, ASIA PAC BUS REV, V30, P94, DOI 10.1080/13602381.2022.2082715; Tran Q.V., GOLDEN FIGURES VIETN; Triguero A, 2016, J CLEAN PROD, V138, P38, DOI 10.1016/j.jclepro.2016.05.119; Trotta G, 2018, ENERG POLICY, V114, P529, DOI 10.1016/j.enpol.2017.12.042; UN, DEC ACT UN SUST DEV; UN Secretary General Calls Latest, IPCC CLIM REP COD RE; Ünal AB, 2018, ENVIRON BEHAV, V50, P1092, DOI 10.1177/0013916517728991; United Nations, The 17 Goals: Sustainable Development; University of Wisconsin Stevens Point, WISC K 12 EN ED PROG; Van Khuc Q., 2022, MINDSPONGECONOMICS, DOI [10.31219/osf.io/hnucr, DOI 10.31219/OSF.IO/HNUCR]; VNA, VIETNAM FORECAST BE; Vuong Q.H., 2022, VMOST J. Soc. Sci. Humanit, V64, P85, DOI [10.31276/VMOSTJOSSH.64(1).85-96, DOI 10.31276/VMOSTJOSSH.64(1).85-96]; Vuong Q.-H., 2023, MINDSPONGE BMF ANAL; Vuong QH., 2023, Mindsponge theory, DOI DOI 10.2478/9788367405157; Vuong QH, 2022, HUM SOC SCI COMMUN, V9, DOI 10.1057/s41599-022-01034-6; World Bank, 2022, NO TIM WAST CHALL OP; worldometers, 2022, WORLD VIETN POP; Xie Y, 2013, RENEW ENERG, V60, P34, DOI 10.1016/j.renene.2013.03.036; Yusliza MY, 2020, SUSTAINABILITY-BASEL, V12, DOI 10.3390/su12177083; Zguir MF, 2021, J CLEAN PROD, V319, DOI 10.1016/j.jclepro.2021.128534; Zografakis N, 2008, ENERG POLICY, V36, P3226, DOI 10.1016/j.enpol.2008.04.021; Zulfiqar F, 2016, NAT HAZARDS, V84, P959, DOI 10.1007/s11069-016-2468-9</t>
  </si>
  <si>
    <t>2413-8851</t>
  </si>
  <si>
    <t>URBAN SCI</t>
  </si>
  <si>
    <t>Urban Sci.</t>
  </si>
  <si>
    <t>10.3390/urbansci7010013</t>
  </si>
  <si>
    <t>Environmental Sciences; Environmental Studies; Geography; Regional &amp; Urban Planning; Urban Studies</t>
  </si>
  <si>
    <t>Environmental Sciences &amp; Ecology; Geography; Public Administration; Urban Studies</t>
  </si>
  <si>
    <t>D4RC5</t>
  </si>
  <si>
    <t>WOS:000968610500001</t>
  </si>
  <si>
    <t>Collins, JA; Collins, AG</t>
  </si>
  <si>
    <t>Collins, Jennifer A.; Collins, Allen G.</t>
  </si>
  <si>
    <t>Systematics as a hypothesis-based science and its fundamental role in understanding oceans</t>
  </si>
  <si>
    <t>Far from its static stamp collecting image, systematics is a dynamic, hypothesis-driven pursuit to perceive, describe, and explain organismal diversity in an organized and useful manner. The activities of the systematist (identification, the provision of names, description, classification, and phylogenetics) provide data that are at the core of many other fields of biology, ranging from environmental science and ecology to evolutionary biology. In terms of education, systematics has qualities that make it an ideal subject around which K-12 lessons in biology can be designed. Unfortunately, in terms of ocean education, the substantial potential for systematics is unfulfilled. New curriculum that uses real world systematic research for classroom lessons could provide meaningful educational experiences, particularly those that improve ocean literacy. This assertion is illustrated using the example of research that involves the genetic identification of whale meat sold in Japanese and Korean markets. New lessons drawn from systematic research should reflect up-to-date educational philosophy, explicitly address science methodology and the nature of science, and address socioscientific issues. Greater support for the development of such lessons, in terms of funding, making research data available, and collaboration between educators and scientists, should be encouraged.</t>
  </si>
  <si>
    <t>Fairfax Cty Publ Sch, S Cty Secondary Sch, Lorton, VA 22079 USA</t>
  </si>
  <si>
    <t>Collins, JA (corresponding author), Fairfax Cty Publ Sch, S Cty Secondary Sch, Lorton, VA 22079 USA.</t>
  </si>
  <si>
    <t>Collins, Allen/A-7944-2008</t>
  </si>
  <si>
    <t>Collins, Allen/0000-0002-3664-9691</t>
  </si>
  <si>
    <t>Akerson VL, 2000, J RES SCI TEACH, V37, P295, DOI 10.1002/(SICI)1098-2736(200004)37:4&lt;295::AID-TEA2&gt;3.0.CO;2-2; Alters BJ, 1997, J RES SCI TEACH, V34, P39; [Anonymous], 2004, OC BLUEPR 21 CENT; Baker CS, 1996, MOL ECOL, V5, P671, DOI 10.1111/j.1365-294X.1996.tb00362.x; BAKER CS, 1994, SCIENCE, V265, P1538, DOI 10.1126/science.265.5178.1538; COLLETTE BB, 1996, OCEANOGRAPHY, V9, P46; COLLINS J, 2005, ANOLIS LIZARDS GREAT; COLLINS J, 2005, WHAT DID T REX TASTE; Darling-Hammond L., 1997, RIGHT LEARN BLUEPRIN; *ED REF DESK, 2005, POT CHIP CLASS; FILSON RP, 2005, ISLAND BIOGEOGRAPHY; Grabe M., 2000, INTEGRATING INTERNET; HAZEN RM, 2005, AIBS ACTION BIOSCIEN; Hillis DM, 1999, SCIENCE, V286, P1866, DOI 10.1126/science.286.5446.1866; *I WALT LEAG AM SA, 2005, STREAM STUD; *MAR SEA GRAT, WHAT KEY CLASS; MARINER J, 2005, CLASSIFYING SEQUEN A; Martin JW, 1997, BIOL BULL, V193, P8, DOI 10.2307/1542731; McComas W.F., 2000, NATURE SCI SCI ED, P3; Miller JD, 1998, PUBLIC UNDERST SCI, V7, P203, DOI 10.1088/0963-6625/7/3/001; *N CENTR REG ED LA, 2004, CONSTR TEACH LEARN M; *NAT AC SCI, 2004, 912 NAT AC SCI; *NAT CTR BIOT, 2005, GENBANK; *NAT HIST MUS LOND, 2005, KEY MAJ CLAD ECH; *NAT HLTH MUS, 2005, ACC EXC ACT COLL; NELSON C, 2005, WHAT ANYTHING IS ZEB; NICKELS M, 2005, NUTS BOLTS IS CLASSI, V1; Oulton C, 2004, INT J SCI EDUC, V26, P411, DOI 10.1080/0950069032000072746; PEARSON H, 2005, NATURE NEWS FEB; *PEW OC COMM, 2003, AM LIV OC CHART COUR; Sadler TD, 2004, INT J SCI EDUC, V26, P387, DOI 10.1080/0950069032000119456; *SCI ENG IND, 2002, SCI TECHN PUBL ATT P; *SEA GRANT OC SCI, BRIDGE; *U CAL MUS PAL, 2005, UND EV; *U CAL MUS PAL, EXPL THROUGH TIM; Vecchione M, 2000, ICES J MAR SCI, V57, P677, DOI 10.1006/jmsc.2000.0707; Vecchione M., 1996, Oceanography, V9, P44, DOI DOI 10.5670/0CEAN0G.1996.26; Winston J.E., 1999, DESCRIBING SPECIES; Zeidler DL, 2002, SCI EDUC, V86, P343, DOI 10.1002/sce.10025</t>
  </si>
  <si>
    <t>WOS:000238978701071</t>
  </si>
  <si>
    <t>Pantaleo, S</t>
  </si>
  <si>
    <t>Pantaleo, Sylvia</t>
  </si>
  <si>
    <t>Student Meaning-Making of the Artwork in a Science Trade Book: An Interdisciplinary Opportunity for Developing Visual Literacy</t>
  </si>
  <si>
    <t>LITERACY RESEARCH AND INSTRUCTION</t>
  </si>
  <si>
    <t>Reader response; reading; writing across the curriculum; visual literacy; instructional strategies and materials; elementary schools</t>
  </si>
  <si>
    <t>SOCIAL SEMIOTIC ACCOUNT; MULTIMODAL TEXTS; REPRESENTATIONS; INSTRUCTION</t>
  </si>
  <si>
    <t>During a classroom-based study, Grade 4 students were provided with multiple opportunities to develop their visual meaning-making skills and competences, as well as their aesthetic understanding of and critical thinking about multimodal texts. Intentionally designed instruction during the research included a range of activities focused on specific elements of visual art and design. Student participants read and discussed, and wrote about selections of children's literature during Language Arts, Social Studies, and Science. The Sea Book was one of the books featured during an interdisciplinary unit on Ocean Literacy, a component of the overall case study research. Content analysis of the students' responses about the trade book revealed their capacity to engage in five synergistic visual reading skills. As well, data analysis revealed how the students perceived, described, and interpreted the use of color, visual point of view, typography, framing and line in Milner's artwork as fulfilling multiple, and often concomitant, meaning-making purposes. The findings demonstrated that instruction about how to read and understand visual representations can enhance students' knowledge and interpretation of content conveyed through multiple modes of representation, and develop students' capacity and agency for critically reading visual and multimodal texts.</t>
  </si>
  <si>
    <t>[Pantaleo, Sylvia] Univ Victoria, Fac Educ, Dept Curriculum &amp; Instruct, Victoria, BC V8W 2Y2, Canada</t>
  </si>
  <si>
    <t>Pantaleo, S (corresponding author), Univ Victoria, Fac Educ, Dept Curriculum &amp; Instruct, Victoria, BC V8W 2Y2, Canada.</t>
  </si>
  <si>
    <t>pantaleo@uvic.ca</t>
  </si>
  <si>
    <t>Alvermann DE, 2011, THEOR PRACT, V50, P116, DOI 10.1080/00405841.2011.558436; [Anonymous], 2008, ELECT J RES SCI MATH; ARIZPE E., 2016, CHILDREN READING PIC; Avgerinou M., 2011, J VISUAL LITERACY, V30, P1, DOI DOI 10.1080/23796529.2011.11674687; Avgerinou MD, 2009, TECHTRENDS, V53, P28; Bezemer J., 2016, Multimodality, Learning and Communication: A Social Semiotic Framework; Bezerner J, 2008, WRIT COMMUN, V25, P166, DOI 10.1177/0741088307313177; Browne A., 1998, Voices in the park; Brugar KA, 2017, J TEACH EDUC, V68, P262, DOI 10.1177/0022487117696280; Chen X., 2017, Journal of Visual Literacy, V36, P104, DOI DOI 10.1080/1051144X.2017.1386388; Coleman J., 2010, Journal of Visual Literacy, V29, P198, DOI [10.1080/23796529.2010.11674681, DOI 10.1080/23796529.2010.11674681]; Coleman J., 2018, Science and Children, V56, P48; Coleman J.M., 2016, Journal of Visual Literacy, V35, P24, DOI [DOI 10.1080/1051144X.2016.1198543, 10.1080/1051144X.2016.1198543]; Coleman Julianne., 2013, Science Children, V50, P73; Coleman JM, 2011, J SCI TEACH EDUC, V22, P613, DOI 10.1007/s10972-010-9204-1; Cummins S.., 2015, UNPACKING COMPLEXITY; Dipper F.., 2016, MARINE WORLD NATURAL; Eisner E., 2002, ARTS CREATION MIND; Fang ZH, 2013, J ADOLESC ADULT LIT, V57, P274, DOI 10.1002/jaal.250; Guo DB, 2018, ELEM SCHOOL J, V119, P244, DOI 10.1086/700266; Hsieh HF, 2005, QUAL HEALTH RES, V15, P1277, DOI 10.1177/1049732305276687; Jewitt C., 2009, Handbook of multimodal analysis; JohnSteiner V, 1996, EDUC PSYCHOL, V31, P191, DOI 10.1207/s15326985ep3103&amp;4_4; Kedra J., 2018, Journal of Visual Literacy, V37, P67, DOI [10.1080/1051144X.2018.1492234, DOI 10.1080/1051144X.2018.1492234]; Kelley MJ, 2010, READ TEACH, V64, P191, DOI 10.1598/RT.64.3.4; Kelly LB, 2018, J RES SCI TEACH, V55, P1188, DOI 10.1002/tea.21447; Kress G., 2010, MULTIMODALITY SOCIAL; Kress G, 2015, AILA REV, V28, P49, DOI 10.1075/aila.28.03kre; Kress Gunther., 2006, READING IMAGES; Lemke JL, 2001, J RES SCI TEACH, V38, P296, DOI 10.1002/1098-2736(200103)38:3&lt;296::AID-TEA1007&gt;3.3.CO;2-I; Macken-Horarik M, 2016, ENGL AUST, V51, P85; Marsden J., 2003, VECTOR CALCULUS; Martens P, 2012, READ TEACH, V66, P285, DOI 10.1002/TRTR.01099; McTigue EM, 2011, READ TEACH, V64, P578, DOI 10.1598/RT.64.8.3; Merriam S. B., 1988, Case study research in education: A qualitative approach; Mills K.A., 2017, OXFORD RES ENCY ED, DOI [10.1093/acrefore/9780190264093.001.0001/acrefore-9780190264093-e-232, DOI 10.1093/ACREFORE/9780190264093.001.0001/ACREFORE-9780190264093-E-232]; Mills KA, 2019, LANG EDUC-UK, V33, P521, DOI 10.1080/09500782.2019.1635618; Milner C., 2019, The Sea Book; Müller MG, 2008, VISUAL STUD, V23, P101, DOI 10.1080/14725860802276248; O'Brien D, 2016, HANDBOOK OF EDUCATIONAL PSYCHOLOGY, 3RD EDITION, P311; Pantaleo S., 2018, New Review of Children's Literature and Librarianship, V24, P167; Pantaleo S., 2019, Ubiquity: The Journal of Literature, Literacy, and the Arts, Research Strand, V6, P60; Pantaleo S., 2014, J CHILDRENS LIT, V40, P15; Pantaleo S, 2020, LITERACY, V54, P40, DOI 10.1111/lit.12190; Pantaleo S, 2017, LANG EDUC-UK, V31, P152, DOI 10.1080/09500782.2016.1242599; Pantaleo S, 2016, J EARLY CHILD LIT, V16, P228, DOI 10.1177/1468798415569816; Pantaleo S, 2012, CHILD LIT EDUC, V43, P51, DOI 10.1007/s10583-011-9156-x; PEARSON PD, 1983, CONTEMP EDUC PSYCHOL, V8, P317, DOI 10.1016/0361-476X(83)90019-X; Pettersson R., 2013, VASA J. Images Cult. (VJIC), V1, P1; Robbins J, 2005, RES SCI EDUC, V35, P151, DOI 10.1007/s11165-005-0092-x; Roberts KL, 2017, READ PSYCHOL, V38, P733, DOI 10.1080/02702711.2017.1336661; Roberts KL, 2013, READ TEACH, V67, P12, DOI 10.1002/TRTR.1174; Sackes M, 2009, EARLY CHILD EDUC J, V36, P415, DOI 10.1007/s10643-009-0304-5; Serafini F., 2014, READING VISUAL INTRO; Serafini F, 2012, PEDAGOGIES, V7, P150, DOI 10.1080/1554480X.2012.656347; Sipe L.R., 2008, Storytime: Young children's literary understanding in the classroom; Stylianidou F, 2002, INT J SCI EDUC, V24, P257, DOI 10.1080/09500690110078905; SUHOR C, 1983, J CURRICULUM STUD, V16, P247; Tang KS, 2014, SCI EDUC, V98, P305, DOI 10.1002/sce.21099; Tishman Shari., 2018, Slow Looking: The Art of Practice of Learning Through Observation; Vygotsky L. S., 1978, MIND SOC DEV HIGHER, DOI 10.2307/j.ctvjf9vz4; Wenzel B., 2016, They all saw a cat; Wiesner David., 2006, FLOTSAM; Yazan B, 2015, QUAL REP, V20, P134; Yolen Jane., 1992, ENCOUNTER; Youngs S., 2012, Language Arts, V89, P379</t>
  </si>
  <si>
    <t>1938-8071</t>
  </si>
  <si>
    <t>1938-8063</t>
  </si>
  <si>
    <t>LIT RES INSTR</t>
  </si>
  <si>
    <t>Lit. Res. Instr.</t>
  </si>
  <si>
    <t>10.1080/19388071.2020.1854906</t>
  </si>
  <si>
    <t>YZ0VX</t>
  </si>
  <si>
    <t>WOS:000755202400002</t>
  </si>
  <si>
    <t>Logan, BE</t>
  </si>
  <si>
    <t>Logan, Bruce E.</t>
  </si>
  <si>
    <t>Energy Literacy Begins with Units That Make Sense: The Daily Energy Unit D</t>
  </si>
  <si>
    <t>ENVIRONMENTAL SCIENCE &amp; TECHNOLOGY LETTERS</t>
  </si>
  <si>
    <t>loaan-office@estlett.acs.org</t>
  </si>
  <si>
    <t>Logan, Bruce/0000-0001-7478-8070</t>
  </si>
  <si>
    <t>2328-8930</t>
  </si>
  <si>
    <t>ENVIRON SCI TECH LET</t>
  </si>
  <si>
    <t>Environ. Sci. Technol. Lett.</t>
  </si>
  <si>
    <t>10.1021/acs.estlett.9b00623</t>
  </si>
  <si>
    <t>Engineering, Environmental; Environmental Sciences</t>
  </si>
  <si>
    <t>Engineering; Environmental Sciences &amp; Ecology</t>
  </si>
  <si>
    <t>JV5PY</t>
  </si>
  <si>
    <t>WOS:000502418500001</t>
  </si>
  <si>
    <t>Parsons, ECM; Scarlett, A; Kornblatt, A</t>
  </si>
  <si>
    <t>Parsons, E. C. M.; Scarlett, Ashley; Kornblatt, Andrew</t>
  </si>
  <si>
    <t>FantaSEAS Project: Incorporating Inspiring Ocean Science in the Popular Media</t>
  </si>
  <si>
    <t>One of the goals of the UN Oceans Decade is an inspiring and engaging ocean where society understands and values the ocean in relation to human well-being and sustainable development. The UN Ocean Decade also calls for promoting diversity in ocean science, engaging multiple stakeholders, including industries and the wider public, as well as promoting ocean science literacy. The FANTASeas project aims to do this. One major source of inspiration for the general public for millennia has been art and literature. Over the past century, key sources of public inspiration when it comes to science include science fiction and fantasy in books, movies, TV shows, comics and, recently, computer games. Most famously, the TV show Star Trek inspired a generation of space scientists. The idea behind this project is to promote and facilitate the production of popular artistic and literary projects that incorporate ocean science to enhance both ocean literacy and to create more inspirational ocean-related projects. It is proposed that a series of international workshops be organized to connect ocean scientists with novelists, writers, and designers from the: (a) computer gaming; (b) tabletop gaming; (c) TV and movie; and (d) comic and graphic novel industries.</t>
  </si>
  <si>
    <t>[Parsons, E. C. M.] Univ Exeter, Ctr Ecol &amp; Conservat, Exeter, Devon, England; [Scarlett, Ashley] Absolutely Smashing Events &amp; Consulting, Tampa, FL USA; [Kornblatt, Andrew] Online Ocean Symposium, Portland, OR USA</t>
  </si>
  <si>
    <t>University of Exeter</t>
  </si>
  <si>
    <t>Parsons, ECM (corresponding author), Univ Exeter, Ctr Ecol &amp; Conservat, Exeter, Devon, England.</t>
  </si>
  <si>
    <t>ecm-parsons@earthlink.net; asitargo@gmail.com; akornblatt@gmail.com</t>
  </si>
  <si>
    <t>Parsons, Edward Christien Michael/C-2409-2011</t>
  </si>
  <si>
    <t>Parsons, Edward Christien Michael/0000-0002-0464-1046</t>
  </si>
  <si>
    <t>JOYRICH L, 1996, CINEMA J, V35, P61, DOI 10.2307/1225756</t>
  </si>
  <si>
    <t>WOS:000707639700035</t>
  </si>
  <si>
    <t>Nugroho, WA; Sajidan; Maridi</t>
  </si>
  <si>
    <t>IOP</t>
  </si>
  <si>
    <t>Nugroho, W. A.; Sajidan; Maridi</t>
  </si>
  <si>
    <t>Students' Energy Awareness Profile of High, Mid, and Low Levels Junior High School Student in Sragen</t>
  </si>
  <si>
    <t>2ND ANNUAL INTERNATIONAL CONFERENCE ON MATHEMATICS AND SCIENCE EDUCATION</t>
  </si>
  <si>
    <t>2nd Annual International Conference on Mathematics and Science Education (ICOMSE)</t>
  </si>
  <si>
    <t>AUG 28-29, 2018</t>
  </si>
  <si>
    <t>INDONESIA</t>
  </si>
  <si>
    <t>Energy Awareness; Students' Energy Awareness; Junior High School</t>
  </si>
  <si>
    <t>Energy awareness needs to be owned by students because environmental and energy problems in the 21st century become more complicated. This research was conducted to describe the profile of students' energy awareness. The descriptive analysis method was used as the research method. Eighty-four junior high school students in Sragen Regency were selected as the subject. The subjects were selected through purposive sampling technique. The energy awareness instrument was adapted from Climate Literacy and Energy Awareness Network (CLEAN) by National Science Foundation and modified based on energy awareness model from Muhammad G. Hassan which included Environmental Concern, Visibility of Consumption, and Educational aspects. The results showed that the students' energy awareness on visibility consumption was 52.72% with enough category acquisition while 23.76% on the environmental concern and 21.41% on the education aspects indicate quite low criteria. Based on the results, it can be concluded the students' energy awareness in Sragen was relatively low, so need to be improved.</t>
  </si>
  <si>
    <t>[Nugroho, W. A.; Sajidan; Maridi] Univ Sebelas Maret, Fac Teacher Training &amp; Educ, Surakarta, Indonesia</t>
  </si>
  <si>
    <t>Sebelas Maret University</t>
  </si>
  <si>
    <t>Nugroho, WA (corresponding author), Univ Sebelas Maret, Fac Teacher Training &amp; Educ, Surakarta, Indonesia.</t>
  </si>
  <si>
    <t>wahyuadhinugroho@student.uns.ac.id</t>
  </si>
  <si>
    <t>Altin M., 2002, NATL SCI MATH C; Altuntas Esra Cakirlar, 2017, RENEWABLE ENERGY REN, DOI [10.1016/j,RenewableEnergyrenene.2017.09.034, DOI 10.1016/J,RENEWABLEENERGYRENENE.2017.09.034]; [Anonymous], 2015, WORLD OUTLOOK ENERGY; Aripriharta, 2009, ANALISIS BESAR POTEN, V9; CLEAN, 2018, CLIM LIT EN AW EN AW; Cobanoglu O., 2015, ULUSLARARASI TURK EG, P235; Dasrita Y., 2015, DINAMIKA LINGKUNGAN, V2, P61; Erten S., 2006, EN VER KONF 23 24 SU; Fatmawati I., 2012, THESIS; Hassan MG, 2009, INT J SUSTAIN ENG, V2, P284, DOI 10.1080/19397030903121968; HUTTON DG, 1992, PERS SOC PSYCHOL B, V18, P68, DOI 10.1177/0146167292181010; Kaldellis JK, 2012, ENERG POLICY, V42, P37, DOI 10.1016/j.enpol.2011.11.017; Kemendikbud, 2017, PAMER SMP SRAGEN; Nehir S., 2005, TSK KORUYUCU HEKIMLI, V4, P330; Simsekli Y, 2004, J ULUDAG U FACULTY E, V17, P83; Theivaa, 2010, ADVANTAGES USING ENV; TIRIS M, 1994, ENERGY, V19, P1005, DOI 10.1016/0360-5442(94)90087-6; Wolfram C, 2012, J ECON PERSPECT, V26, P119, DOI 10.1257/jep.26.1.119</t>
  </si>
  <si>
    <t>10.1088/1742-6596/1227/1/012038</t>
  </si>
  <si>
    <t>BN3OB</t>
  </si>
  <si>
    <t>WOS:000480431200038</t>
  </si>
  <si>
    <t>Campbell, K; Overeem, I; Berlin, M</t>
  </si>
  <si>
    <t>Campbell, Karen; Overeem, Irina; Berlin, Maureen</t>
  </si>
  <si>
    <t>Taking it to the streets: The case for modeling in the geosciences undergraduate curriculum</t>
  </si>
  <si>
    <t>Education; Undergraduate; Quantitative techniques; Modeling</t>
  </si>
  <si>
    <t>The United States faces a crisis in education: a dire shortage of students sufficiently prepared in the STEM (Science, Technology, Engineering and Mathematics) disciplines to competitively enter the workforce (National Education Technology Plan, 2010). At the same time, there is increasing demand for well-trained geoscientists in a variety of careers related to the environment and natural resources. Many efforts, including the recently released Earth Science and Climate Literacy Principles, seek to promote better Earth science education, as well as to strengthen the Earth science literacy of the entire US population. Yet even those undergraduate students who choose to major in geology or related geoscience disciplines rarely acquire sufficient quantitative skills to be truly competitive graduate students or professionals. Experience with modeling, during their undergraduate careers, could greatly increase the quantitative literacy of geoscience majors and help them appreciate the real world applicability of mathematics and computational methods in their future careers in the geosciences. (C) 2011 Elsevier Ltd. All rights reserved.</t>
  </si>
  <si>
    <t>[Campbell, Karen] Univ Minnesota, Natl Ctr Earthsurface Dynam NCED, Minneapolis, MN 55455 USA; [Overeem, Irina; Berlin, Maureen] Univ Colorado, Boulder, CO 80303 USA</t>
  </si>
  <si>
    <t>University of Minnesota System; University of Minnesota Twin Cities; University of Colorado System; University of Colorado Boulder</t>
  </si>
  <si>
    <t>Overeem, I (corresponding author), Univ Colorado, Boulder, CO 80303 USA.</t>
  </si>
  <si>
    <t>irina.overeem@colorado.edu</t>
  </si>
  <si>
    <t>OVEREEM, IRINA/0000-0002-8422-580X</t>
  </si>
  <si>
    <t>Science and Technology Center program of the National Science Foundation via the National Center for Earth-surface Dynamics [EAR-0120914]; Science and Technology Center program of the National Science Foundation via the Community Surface Dynamics Modeling System [0621695]; Directorate For Geosciences; Division Of Earth Sciences [0621695] Funding Source: National Science Foundation; Directorate For Geosciences; Division Of Earth Sciences [1226297] Funding Source: National Science Foundation</t>
  </si>
  <si>
    <t>Science and Technology Center program of the National Science Foundation via the National Center for Earth-surface Dynamics; Science and Technology Center program of the National Science Foundation via the Community Surface Dynamics Modeling System; Directorate For Geosciences; Division Of Earth Sciences(National Science Foundation (NSF)NSF - Directorate for Geosciences (GEO)); Directorate For Geosciences; Division Of Earth Sciences(National Science Foundation (NSF)NSF - Directorate for Geosciences (GEO))</t>
  </si>
  <si>
    <t>This work was supported by the Science and Technology Center program of the National Science Foundation via the National Center for Earth-surface Dynamics under Cooperative Agreement EAR-0120914 and the Community Surface Dynamics Modeling System under Cooperative Agreement 0621695. The authors would also like to thank numerous colleagues who have contributed to the educational materials available through the websites of both NCED and CSDMS, and to the productive conversations of the CSDMS Education and Knowledge Transfer Working Group. We thank Cathy Manduca, Science Education Resource Center at Carleton College, for detailed discussion with respect to this paper.</t>
  </si>
  <si>
    <t>[Anonymous], 1996, P INT C UND PHYS ED; [Anonymous], 2010, OECD EUR ENTR IND PR, DOI DOI 10.1787/EAG-2010-EN.45926093.PDF(OECD.ORG); Bailey CM, 2000, MATH GEOL, V32, P151, DOI 10.1023/A:1007571205384; Berlin M., 2010, SAMPLE INVENTORY MOD; Bransford J.D., 2000, How People Learn: Brain, Mind, Experience, and School: Expanded Edition; Chamberlin ThomasC., 1897, The Journal of Geology, V5, P837, DOI DOI 10.1086/607980; Dohm A., 2007, OCCUPATIONAL EMPLOYM; Ireton M., 1997, Shaping the future of undergraduate earth science education: Innovation and change using an earth systems approach; Kastens K., 2008, CUTT EDG PROF DEV GE; Manduca C.A., 2008, EOS T AM GEOPHYS UN, V89, P149, DOI DOI 10.1029/2008EO160001; National Center for Education Statistics (NCES), 2003, REM ED DEGR GRANT PO; National Education Technology Plan, 2010, NAT ED TECHN PLAN TR; National Science Foundation, 2011, GRANT PROP GUID; Wenner JenniferM., 2009, Numeracy, V2, DOI [10.5038/1936-4660.2.1.4, DOI 10.5038/1936-4660.2.1.4]</t>
  </si>
  <si>
    <t>10.1016/j.cageo.2011.09.006</t>
  </si>
  <si>
    <t>120IM</t>
  </si>
  <si>
    <t>WOS:000317164000014</t>
  </si>
  <si>
    <t>Sutton, S</t>
  </si>
  <si>
    <t>Sutton, Sarah</t>
  </si>
  <si>
    <t>The evolving responsibility of museum work in the time of climate change</t>
  </si>
  <si>
    <t>MUSEUM MANAGEMENT AND CURATORSHIP</t>
  </si>
  <si>
    <t>Museum; climate change; energy efficiency; collections; exhibitions</t>
  </si>
  <si>
    <t>Museums have inherent capabilities, resources, and opportunities that position them to influence public responses to climate change. Using examples from diverse museum-types, Sutton highlights innovative ways in which energy efficient practices and thoughtful approaches to engaging communities with collections, exhibitions and programs can increase climate literacy and call people to action. Sutton argues that these bright spots in the sector's work signal capacity but not widespread commitment. The result is a slow process of aligning resources and talents of museums toward this global fight. During 2020, as the World and the sector reels from the impacts of COVID-19, museum actions mirror many responses appropriate in the climate crisis. Sutton suggests that these build the sector's ability and appetite to help communities. As nations emerge with recovery plans that could create a healthier, more just and resilient society, museums have the opportunity to influence that work, thereby magnifying positive impacts.</t>
  </si>
  <si>
    <t>[Sutton, Sarah] Sustainable Museums, 539 Broadway, Tacoma, WA 98407 USA</t>
  </si>
  <si>
    <t>Sutton, S (corresponding author), Sustainable Museums, 539 Broadway, Tacoma, WA 98407 USA.</t>
  </si>
  <si>
    <t>sarah@sustainablemuseums.net</t>
  </si>
  <si>
    <t>Sutton, Sarah/0000-0002-0236-9421</t>
  </si>
  <si>
    <t>Aratani L, 2020, The Guardian [Internet]; Bergdahl E., 2018, CURATING FUTURE MUSE; Bickersteth Julian., 2016, STUD CONSERV, V59; Decter Avi, 2020, EPISODES CHANGE LONG; Economopolous R., 2015, LIMITS NEUTRALITY ME; Gelles David., 2020, NEW YORK TIMES; Hatchfield P., 2011, MUSEUM; Hoffman JS, 2020, J MUS EDUC, V45, P28, DOI 10.1080/10598650.2020.1711496; Janes R., 2015, INMAL LEARNING RE; Janes R. R., 2019, Museum Activism; Lee J, 2017, ENERGY STAR SCORE MU; Lyons S., 2015, GUARDIAN; Lyons Steve., 2019, MUSEUM ACTIVISM, P174; McGhie H., 2020, VOICES; McGraw Adrienne., 2013, MUSEUMS ENV SUSTAINA; Mock B., 2019, BLOOMBERG CITYLAB; Newberger E., 2020, MSN BLOGPOST 0627; Newell J, 2017, ROUT ENVIRON HUM, P1; Newell J., 2019, CURATING FUTURE MUSE; Sutton S., 2020, CORONA VIRUS COMMUNI; Sutton S., 2020, CLIMATE CULTURE; Sutton S.E., 2017, Curator: The Museum Journal, V60, P429</t>
  </si>
  <si>
    <t>0964-7775</t>
  </si>
  <si>
    <t>1872-9185</t>
  </si>
  <si>
    <t>MUS MANAGE CURATOR</t>
  </si>
  <si>
    <t>Mus. Manag. Curatorship</t>
  </si>
  <si>
    <t>10.1080/09647775.2020.1837000</t>
  </si>
  <si>
    <t>OCT 2020</t>
  </si>
  <si>
    <t>Humanities, Multidisciplinary</t>
  </si>
  <si>
    <t>Arts &amp; Humanities - Other Topics</t>
  </si>
  <si>
    <t>PD9HQ</t>
  </si>
  <si>
    <t>WOS:000591161500001</t>
  </si>
  <si>
    <t>Gutierrez, KS; Blanchard, MR; Busch, KC</t>
  </si>
  <si>
    <t>Gutierrez, Kristie S.; Blanchard, Margaret R.; Busch, K. C.</t>
  </si>
  <si>
    <t>What effective design strategies do rural, underserved students in STEM clubs value while learning about climate change?</t>
  </si>
  <si>
    <t>Climate change education; culturally relevant pedagogy; expectancy-value theory; extracurricular; middle school; STEM clubs</t>
  </si>
  <si>
    <t>CULTURALLY RELEVANT PEDAGOGY; KNOWLEDGE; EDUCATION; PROGRAM; IMPLEMENTATION; CONCEPTIONS; CONFUSION; MATTERS; SUCCESS; MIDDLE</t>
  </si>
  <si>
    <t>This study investigated the experiences of rural, underserved middle school students in afterschool clubs. Culturally relevant climate change education strategies were used to enhance students' climate change literacy. We investigated changes in students' climate change literacy, perceptions of strategies used, and what they valued about the clubs by analyzing a pre-post survey (N = 97) and structured written reflections (N = 113). A new integrative framework brought together climate change education design elements to promote culturally relevant programming in an afterschool setting. The effective climate change education strategies and Expectancy-Value Theory (EVT) guided data analyses. Overall, students demonstrated significant growth in climate literacy; beliefs, attitudes, and subjective knowledge did not increase significantly. Students' reflections indicated some climate change strategies resonated more than others. Analyses using EVT found that students' interest/enjoyment and identity were most often described, followed by self-efficacy and expectations for success with club tasks. Implications for practice are shared.</t>
  </si>
  <si>
    <t>[Gutierrez, Kristie S.] Old Dominion Univ, Teaching &amp; Learning, Norfolk, VA 23529 USA; [Blanchard, Margaret R.; Busch, K. C.] North Carolina State Univ, STEM Educ, Raleigh, NC USA</t>
  </si>
  <si>
    <t>Old Dominion University; North Carolina State University</t>
  </si>
  <si>
    <t>Gutierrez, KS (corresponding author), Old Dominion Univ, Teaching &amp; Learning, Norfolk, VA 23529 USA.</t>
  </si>
  <si>
    <t>kgutierr@odu.edu</t>
  </si>
  <si>
    <t>Blanchard, Margaret/0000-0003-4711-3793; Busch, K.C./0000-0002-4549-5401; Gutierrez, Kristie/0000-0002-9339-7574</t>
  </si>
  <si>
    <t>NSF-ITEST Grant [1433747]</t>
  </si>
  <si>
    <t>NSF-ITEST Grant</t>
  </si>
  <si>
    <t>Research reported in this publication was funded by NSF-ITEST Grant Award Number 1433747.</t>
  </si>
  <si>
    <t>Abernathy T. V., 2001, The Clearing House: A Journal of Educational Strategies, Issues and Ideas, V74, P269, DOI [DOI 10.1080/00098650109599206, https://doi.org/10.1080/00098650109599206]; Aguilar Lorena., 2009, TRAINING MANUAL GEND; [Anonymous], 2007, The Journal of Environmental Education, DOI [DOI 10.3200/JOEE.38.4.14-24, 10.3200/JOEE.38.4.14-24]; Ballew MT, 2019, ENVIRONMENT, V61, P4; Barker BS, 2014, INT J TECHNOL DES ED, V24, P39, DOI 10.1007/s10798-013-9245-9; Barron B., 2013, Learning about Out of School Time (LOST) Learning Opportunities, P99, DOI DOI 10.1007/978-94-007-4304-5_8; Blanchard, 2021, INT HDB RES MULTICUL, P1; Blanchard M.R., 2010, STEM CAREER AWARENES; Blanchard M. R., 2018, EL P ESERA 2017 C RE, P264; Bofferding L, 2015, ENVIRON EDUC RES, V21, P275, DOI 10.1080/13504622.2014.888401; Burnham M, 2013, GEOGR COMPASS, V7, P228, DOI 10.1111/gec3.12033; Busch KC, 2019, INT J SCI EDUC, V41, P2389, DOI 10.1080/09500693.2019.1680903; Busch KC, 2016, INT J SCI EDUC PART, V6, P137, DOI 10.1080/21548455.2015.1027320; Bybee R. W., 2006, BSCS 5E INSTRUCTIONA, V5, P88; Carlone HB, 2007, J RES SCI TEACH, V44, P1187, DOI 10.1002/tea.20237; Choi S, 2010, B AM METEOROL SOC, V91, P889, DOI 10.1175/2009BAMS2625.1; Collins KH, 2018, J ADV ACAD, V29, P143, DOI 10.1177/1932202X18757958; Corner A, 2015, WIRES CLIM CHANGE, V6, P523, DOI 10.1002/wcc.353; Darling-Hammond L, 2015, EDUC RESEARCHER, V44, P132, DOI 10.3102/0013189X15575346; DeCuir-Gunby J.T., 2017, Developing a mixed methods proposal: A practical guide for beginning researchers; Durlak J.A., 2007, IMPACT AFTER SCH PRO; Durlak JA, 2008, AM J COMMUN PSYCHOL, V41, P327, DOI 10.1007/s10464-008-9165-0; Eccles J. S., 2002, Review of Research in Education, V26, P113, DOI [10.3102/0091732X026001113, DOI 10.3102/0091732X026001113]; Eccles J, 2009, EDUC PSYCHOL-US, V44, P78, DOI 10.1080/00461520902832368; ECCLES JS, 1995, PERS SOC PSYCHOL B, V21, P215, DOI 10.1177/0146167295213003; ECCLES JS, 1994, PSYCHOL WOMEN QUART, V18, P585, DOI 10.1111/j.1471-6402.1994.tb01049.x; Fereday J., 2006, International journal of qualitative methods, V5, P80, DOI DOI 10.1177/160940690600500107; Flora JA, 2014, CLIMATIC CHANGE, V127, P419, DOI 10.1007/s10584-014-1274-1; Geiger N, 2017, SCI COMMUN, V39, P221, DOI 10.1177/1075547017697980; Gifford R, 2011, AM PSYCHOL, V66, P290, DOI 10.1037/a0023566; Ginsberg MB, 2005, THEOR PRACT, V44, P218, DOI 10.1207/s15430421tip4403_6; Gliem J. A., 2003, MIDW RES TO PRACT C, V1, P82, DOI DOI 10.1109/PROC.1975.9792; Gold A.U., 2015, Journal of Geoscience Education, V63, P185, DOI DOI 10.5408/14-030.1; Gottfried M.A., 2013, Education Policy Analysis Archives, V21, P1, DOI [10.14507/epaa.v21n79.2013, DOI 10.14507/EPAA.V21N79.2013]; Gubler M, 2019, CLIM CHANG MANAG, P129, DOI 10.1007/978-3-030-32898-6_8; Gutierrez K.S., 2016, THESIS N CAROLINA ST; Gutierrez KS, 2016, INT J ENV RES PUB HE, V13, DOI 10.3390/ijerph13020189; Hardesty DM, 2004, J BUS RES, V57, P98, DOI 10.1016/S0148-2963(01)00295-8; Hartley, 2014, INT P EC DEV RES, V81, P167, DOI [10.7763/IPEDR.2014.V81.26, DOI 10.7763/IPEDR.2014.V81.26]; Hartley J. M., 2021, FRONT POLIT SCI, V3, P27, DOI [10.3389/fpos.2021.662886, DOI 10.3389/FPOS.2021.662886]; Hashimoto-Martell EA, 2012, RES SCI EDUC, V42, P1007, DOI 10.1007/s11165-011-9233-6; Hestness E., 2014, Journal of Geoscience Education, V62, P319, DOI [DOI 10.5408/13-049.1, 10.5408/13-049.1]; Holthuis N., 2014, Journal of Geoscience Education, V62, P374, DOI [10.5408/13-036.1, DOI 10.5408/13-036.1]; Hoyle K.S., 2018, NSTA SCI SCOPE, V41, P82; Jacobson S.K., 2015, CONSERVATION ED OUTR, V2; Kier MW, 2021, INT J SCI MATH EDUC, V19, P151, DOI 10.1007/s10763-019-10042-z; Klosterman ML, 2010, INT J SCI EDUC, V32, P1017, DOI 10.1080/09500690902894512; Krishnamurthi A., 2014, EXAMINING IMPACT AFT; Ladson-Billings G., 1994, The dreamkeepers; Ladson-Billings G, 2014, HARVARD EDUC REV, V84, P74, DOI 10.17763/haer.84.1.p2rj131485484751; Lawson DF, 2019, NAT CLIM CHANGE, V9, P458, DOI 10.1038/s41558-019-0463-3; Lee K, 2020, WIRES CLIM CHANGE, V11, DOI 10.1002/wcc.641; Leiserowitz A, 2010, Americans' knowledge of climate change; Leiserowitz A., 2011, American teens' knowledge of climate change; Leiserowitz A., 2021, Climate activism: A Six-Americas analysis, December 2020; Lindahl B., 2007, 80 NARST INT C NEW O; Mahoney JL, 2003, J EDUC PSYCHOL, V95, P409, DOI 10.1037/0022-0663.95.2.409; Maio G.R., 2007, SOC PSYCHOL-GERMANY, V2nd, P565; McCaffrey MS, 2008, PHYS GEOGR, V29, P512, DOI 10.2747/0272-3646.29.6.512; McNeal K.S., 2014, Journal of Geoscience Education, V62, P631, DOI DOI 10.5408/13-061.1; McNeal K.S., 2014, J GEOSCIENCE ED, V62, P560; Monroe MC, 2019, ENVIRON EDUC RES, V25, P791, DOI 10.1080/13504622.2017.1360842; Morrison KA, 2008, EQUITY EXCELL EDUC, V41, P433, DOI 10.1080/10665680802400006; Myers TA, 2013, NAT CLIM CHANGE, V3, P343, DOI [10.1038/NCLIMATE1754, 10.1038/nclimate1754]; National Center for Science Education, 2020, MAK GRAD STAT PUBL S; Niebert K, 2013, ENVIRON EDUC RES, V19, P282, DOI 10.1080/13504622.2012.690855; Öhman J, 2013, ENVIRON EDUC RES, V19, P324, DOI 10.1080/13504622.2012.695012; Palmer DH, 2009, J RES SCI TEACH, V46, P147, DOI 10.1002/tea.20263; Patton MQ, 2002, QUALITATIVE RES EVAL; Pink R.M., 2018, CLIMATE CHANGE CRISI, DOI [10.1007/978-3-319-71033-4_1, DOI 10.1007/978-3-319-71033-4_1]; Plutzer E, 2016, SCIENCE, V351, P664, DOI 10.1126/science.aab3907; Pruneau D., 2003, Environmental Education Research, V9, P429, DOI DOI 10.1080/1350462032000126096; Reinfried S, 2012, INT RES GEOGR ENVIRO, V21, P155, DOI 10.1080/10382046.2012.672685; Robelen E.W., 2011, Education Week, V30, P2; Robinson P, 2007, AUST NZ J PUBL HEAL, V31, P388, DOI 10.1111/j.1753-6405.2007.00096.x; Sahin A., 2013, Journal of STEM Education: Innovations And Research, V14, P5; Scannell L, 2013, ENVIRON BEHAV, V45, P60, DOI 10.1177/0013916511421196; Shepardson DP, 2011, CLIMATIC CHANGE, V104, P481, DOI 10.1007/s10584-009-9786-9; Stevenson KT, 2014, CLIMATIC CHANGE, V126, P293, DOI 10.1007/s10584-014-1228-7; Stocklmayer SM, 2010, STUD SCI EDUC, V46, P1, DOI 10.1080/03057260903562284; Svihla V, 2012, INT J SCI EDUC, V34, P651, DOI 10.1080/09500693.2011.597453; Swarat S, 2012, J RES SCI TEACH, V49, P515, DOI 10.1002/tea.21010; Swim JK, 2017, CURATOR, V60, P101, DOI 10.1111/cura.12187; Taber F., 2009, International Journal of Environmental &amp; Science Education, V4, P97; Theobald EJ, 2015, FRONT ECOL ENVIRON, V13, P132, DOI 10.1890/140261; Tokcan H, 2013, INT J ACAD RES, V5, P263, DOI [10.7813/2075-4124.2013/5-5/B.40, DOI 10.7813/2075-4124.2013/5-5/B.40]; U.S. Global change Research Program, 2009, Climate literacy: the essential principles of climate science; Vandell D., 2007, Outcomes linked to high-quality afterschool programs: longitudinal findings form the study of promising afterschool programs; Vijil V.G., 2015, Student Achievement: Assistant Principals make a Difference, VXXIV, P38; Young JL, 2019, ROEPER REV, V41, P8, DOI 10.1080/02783193.2018.1553215</t>
  </si>
  <si>
    <t>JUL 3</t>
  </si>
  <si>
    <t>10.1080/13504622.2022.2032611</t>
  </si>
  <si>
    <t>2H6ZK</t>
  </si>
  <si>
    <t>WOS:000753048600001</t>
  </si>
  <si>
    <t>Powdthavee, N</t>
  </si>
  <si>
    <t>Powdthavee, Nattavudh</t>
  </si>
  <si>
    <t>Education and pro-environmental attitudes and behaviours: A nonparametric regression discontinuity analysis of a major schooling reform in England and Wales</t>
  </si>
  <si>
    <t>ECOLOGICAL ECONOMICS</t>
  </si>
  <si>
    <t>Climate Change; Education; Pro-Environmental Behaviours; Regression Discontinuity; UK</t>
  </si>
  <si>
    <t>CLIMATE-CHANGE; ECONOMIC RETURN; HEALTH; GREEN; INFERENCE; CHOICE; RISK</t>
  </si>
  <si>
    <t>There is a widespread belief that a lack of education contributes to public apathy to climate change. Yet, despite the global campaign to promote education as a tool to combat global warming, empirical evidence on the causal effect of education on climate literacy and pro-environmental behaviours remains scarce. Using the raising of the minimum school leaving age law in England from 15 to 16 years of age in September 1972 as a natural experiment, we show that remaining in school as a result of the reform causally reduces people's unwillingness to change their behaviours for the environment and their perception that climate change is too far in the future to worry. However, we find little evidence that more education improves the pro-environmental behaviours of those who were affected by the reform. This raises an important question of whether policies aimed at improving climate change awareness through education can effectively produce long-lasting changes in pro-environmental behaviours.</t>
  </si>
  <si>
    <t>[Powdthavee, Nattavudh] Warwick Business Sch, Scarman Rd, Coventry CV4 7AL, W Midlands, England; [Powdthavee, Nattavudh] IZA, Scarman Rd, Coventry CV4 7AL, W Midlands, England</t>
  </si>
  <si>
    <t>University of Warwick</t>
  </si>
  <si>
    <t>Powdthavee, N (corresponding author), Warwick Business Sch, Scarman Rd, Coventry CV4 7AL, W Midlands, England.;Powdthavee, N (corresponding author), IZA, Scarman Rd, Coventry CV4 7AL, W Midlands, England.</t>
  </si>
  <si>
    <t>Nattavudh.powdthavee@wbs.ac.uk</t>
  </si>
  <si>
    <t>Powdthavee, Nattavudh/0000-0002-9345-4882</t>
  </si>
  <si>
    <t>Angrist JD, 2001, J ECON PERSPECT, V15, P69, DOI 10.1257/jep.15.4.69; Becker G.S., 1964, Human capital theory; Behrman JR, 2002, AM ECON REV, V92, P323, DOI 10.1257/000282802760015757; BENPORATH Y, 1967, J POLIT ECON, V75, P352, DOI 10.1086/259291; BERGER MC, 1989, J HUM RESOUR, V24, P433, DOI 10.2307/145822; Callan S.J., 2006, EAST ECON J, V32, P221; Calonico S, 2015, J AM STAT ASSOC, V110, P1753, DOI 10.1080/01621459.2015.1017578; Calonico S, 2014, STATA J, V14, P909, DOI 10.1177/1536867X1401400413; Calonico S, 2014, ECONOMETRICA, V82, P2295, DOI 10.3982/ECTA11757; Card D, 2001, ECONOMETRICA, V69, P1127, DOI 10.1111/1468-0262.00237; Card David., 1995, ASPECTS LABOUR MARKE, P201; Cascio EU, 2006, J HUM RESOUR, V41, P294, DOI 10.3368/jhr.XLI.2.294; Cerulli G, 2017, ADV ECONOMETRICS, V38, P317, DOI 10.1108/S0731-905320170000038013; Chankrajang T, 2017, ECOL ECON, V131, P434, DOI 10.1016/j.ecolecon.2016.09.015; Clark D, 2013, AM ECON REV, V103, P2087, DOI 10.1257/aer.103.6.2087; Dahmann S., 2014, IZA DISCUSSION PAPER; Davies NM, 2018, NAT HUM BEHAV, V2, P117, DOI 10.1038/s41562-017-0279-y; De Silva DG, 2014, APPL ECON, V46, P573, DOI 10.1080/00036846.2013.857003; Dell M, 2018, Q J ECON, V133, P701, DOI 10.1093/qje/qjx037; Dong YY, 2015, ECONOMET REV, V34, P82, DOI 10.1080/07474938.2014.944470; Ek K, 2008, ECOL ECON, V68, P169, DOI 10.1016/j.ecolecon.2008.02.013; Festinger L, 1954, HUM RELAT, V7, P117, DOI 10.1177/001872675400700202; Gelman A, 2019, J BUS ECON STAT, V37, P447, DOI 10.1080/07350015.2017.1366909; Glaeser EL, 2007, J ECON GROWTH, V12, P77, DOI 10.1007/s10887-007-9015-1; Glied S, 2008, DEMOGRAPHY, V45, P741; Grossman DA, 2006, INT J EMERG MARK, V1, DOI 10.1108/ijoem.2006.1.3.282.1; HARDIN G, 1968, SCIENCE, V162, P1243, DOI 10.1126/science.162.3859.1243; Harmon C, 1995, AM ECON REV, V85, P1278; Hausman C, 2018, ANNU REV RESOUR ECON, V10, P533, DOI 10.1146/annurev-resource-121517-033306; Hollis S, 1999, BRIT MED J, V319, P670, DOI 10.1136/bmj.319.7211.670; Imbens GW, 2009, J ECON LIT, V47, P5, DOI 10.1257/jel.47.1.5; Johnston RJ, 2001, J AGR RESOUR ECON, V26, P20; Kahan DM, 2012, NAT CLIM CHANGE, V2, P732, DOI 10.1038/NCLIMATE1547; KAISER HF, 1960, EDUC PSYCHOL MEAS, V20, P141, DOI 10.1177/001316446002000116; KENKEL DS, 1991, J POLIT ECON, V99, P287, DOI 10.1086/261751; Kolesár M, 2018, AM ECON REV, V108, P2277, DOI 10.1257/aer.20160945; Laibson D, 1997, Q J ECON, V112, P443, DOI 10.1162/003355397555253; Lee TM, 2015, NAT CLIM CHANGE, V5, P1014, DOI 10.1038/NCLIMATE2728; Leigh J.P., 1997, ECON EDUC REV, V16, P45; Li JH, 2015, SOC SCI MED, V127, P83, DOI 10.1016/j.socscimed.2014.07.021; McCrary J, 2008, J ECONOMETRICS, V142, P698, DOI 10.1016/j.jeconom.2007.05.005; McCright AM, 2011, SOCIOL QUART, V52, P155, DOI 10.1111/j.1533-8525.2011.01198.x; Meyer A, 2015, ECOL ECON, V116, P108, DOI 10.1016/j.ecolecon.2015.04.018; Milligan K, 2004, J PUBLIC ECON, V88, P1667, DOI 10.1016/j.jpubeco.2003.10.005; Mincer Jacob., 1974, Schooling, Experience, and Earnings, V2; Mols F, 2015, EUR J POLIT RES, V54, P81, DOI 10.1111/1475-6765.12073; Ölander F, 2014, J CONSUM POLICY, V37, P341, DOI 10.1007/s10603-014-9256-2; Oreopoulos P, 2006, AM ECON REV, V96, P152, DOI 10.1257/000282806776157641; Oreopoulos P, 2007, J PUBLIC ECON, V91, P2213, DOI 10.1016/j.jpubeco.2007.02.002; Oreopoulos P, 2011, J ECON PERSPECT, V25, P159, DOI 10.1257/jep.25.1.159; Powdthavee N, 2010, J HUM CAPITAL, V4, P173, DOI 10.1086/657020; Ranney MA, 2016, TOP COGN SCI, V8, P49, DOI 10.1111/tops.12187; Rosenzweig MR, 2000, J ECON LIT, V38, P827, DOI 10.1257/jel.38.4.827; Rumore D, 2016, NAT CLIM CHANGE, V6, P745, DOI 10.1038/NCLIMATE3084; Schubert C, 2017, ECOL ECON, V132, P329, DOI 10.1016/j.ecolecon.2016.11.009; SOSKICE DW, 1993, OXFORD REV ECON POL, V9, P101, DOI 10.1093/oxrep/9.3.101; Torgler B, 2007, ECOL ECON, V63, P536, DOI 10.1016/j.ecolecon.2006.12.013; Trostel P, 2002, LABOUR ECON, V9, P1, DOI 10.1016/S0927-5371(01)00052-5; TVERSKY A, 1991, Q J ECON, V106, P1039, DOI 10.2307/2937956; Vlaeminck P, 2014, ECOL ECON, V108, P180, DOI 10.1016/j.ecolecon.2014.10.019; Wagstaff A, 1993, Health Econ, V2, P189</t>
  </si>
  <si>
    <t>0921-8009</t>
  </si>
  <si>
    <t>1873-6106</t>
  </si>
  <si>
    <t>ECOL ECON</t>
  </si>
  <si>
    <t>Ecol. Econ.</t>
  </si>
  <si>
    <t>10.1016/j.ecolecon.2020.106931</t>
  </si>
  <si>
    <t>Ecology; Economics; Environmental Sciences; Environmental Studies</t>
  </si>
  <si>
    <t>Environmental Sciences &amp; Ecology; Business &amp; Economics</t>
  </si>
  <si>
    <t>PR9EZ</t>
  </si>
  <si>
    <t>WOS:000607535200009</t>
  </si>
  <si>
    <t>Lee, TM; Markowitz, EM; Howe, PD; Ko, CY; Leiserowitz, AA</t>
  </si>
  <si>
    <t>Lee, Tien Ming; Markowitz, Ezra M.; Howe, Peter D.; Ko, Chia-Ying; Leiserowitz, Anthony A.</t>
  </si>
  <si>
    <t>Predictors of public climate change awareness and risk perception around the world</t>
  </si>
  <si>
    <t>VIEWS; ATTITUDES; BEHAVIOR; BELIEFS</t>
  </si>
  <si>
    <t>Climate change is a threat to human societies and natural ecosystems, yet public opinion research finds that public awareness and concern vary greatly. Here, using an unprecedented survey of 119 countries, we determine the relative influence of socio-demographic characteristics, geography, perceived well-being, and beliefs on public climate change awareness and risk perceptions at national scales. Worldwide, educational attainment is the single strongest predictor of climate change awareness. Understanding the anthropogenic cause of climate change is the strongest predictor of climate change risk perceptions, particularly in Latin America and Europe, whereas perception of local temperature change is the strongest predictor in many African and Asian countries. However, other key factors associated with public awareness and risk perceptions highlight the need to develop tailored climate communication strategies for individual nations. The results suggest that improving basic education, climate literacy, and public understanding of the local dimensions of climate change are vital to public engagement and support for climate action.</t>
  </si>
  <si>
    <t>[Lee, Tien Ming] Columbia Univ, Earth Inst, Dept Ecol Evolut &amp; Environm Biol, New York, NY 10027 USA; [Lee, Tien Ming; Markowitz, Ezra M.] Columbia Univ, Ctr Res Environm Decis, New York, NY 10027 USA; [Lee, Tien Ming; Howe, Peter D.; Ko, Chia-Ying; Leiserowitz, Anthony A.] Yale Univ, Yale Project Climate Change Commun, Sch Forestry &amp; Environm Studies, New Haven, CT 06511 USA; [Markowitz, Ezra M.] Columbia Univ, Earth Inst, New York, NY 10027 USA; [Markowitz, Ezra M.] Princeton Univ, Princeton Inst Int &amp; Reg Studies, Princeton, NJ 08544 USA; [Markowitz, Ezra M.] Univ Massachusetts, Dept Environm Conservat, Amherst, MA 01003 USA; [Howe, Peter D.] Utah State Univ, Dept Environm &amp; Soc, Logan, UT 84322 USA; [Ko, Chia-Ying] Yale Univ, Dept Ecol &amp; Evolutionary Biol, New Haven, CT 06520 USA; [Ko, Chia-Ying] Acad Sinica, Res Ctr Environm Changes, Taipei 11529, Taiwan</t>
  </si>
  <si>
    <t>Columbia University; Columbia University; Yale University; Columbia University; Princeton University; University of Massachusetts System; University of Massachusetts Amherst; Utah System of Higher Education; Utah State University; Yale University; Academia Sinica - Taiwan</t>
  </si>
  <si>
    <t>Lee, TM (corresponding author), Princeton Univ, Woodrow Wilson Sch Publ &amp; Int Affairs, Program Sci Technol &amp; Environm Policy, Princeton, NJ 08544 USA.</t>
  </si>
  <si>
    <t>tienminglee@gmail.com; anthony.leiserowitz@yale.edu</t>
  </si>
  <si>
    <t>Leiserowitz, Anthony/ABE-6529-2020; Leiserowitz, Anthony/HGB-4208-2022</t>
  </si>
  <si>
    <t>Leiserowitz, Anthony/0000-0001-5349-409X; Leiserowitz, Anthony/0000-0001-5349-409X; Howe, Peter/0000-0002-1555-3746; Markowitz, Ezra/0000-0002-8140-2970</t>
  </si>
  <si>
    <t>Earth Institute Fellows Program, Columbia University; Yale Project on Climate Change Communication</t>
  </si>
  <si>
    <t>This research was supported in part by the Earth Institute Fellows Program, Columbia University and the Yale Project on Climate Change Communication (T.M.L). The authors wish to thank A. Pugliese (Gallup World Poll) for assistance with the survey data and D. Budescu (Fordham University) for comments on the manuscript.</t>
  </si>
  <si>
    <t>Anderson A, 2012, ENVIRONMENT, V54, P3, DOI 10.1080/00139157.2012.730010; Anderson MJ, 2001, AUSTRAL ECOL, V26, P32, DOI 10.1046/j.1442-9993.2001.01070.x; Barkan SE, 2004, SOC SCI QUART, V85, P913, DOI 10.1111/j.0038-4941.2004.00251.x; Blewitt ME, 2008, NAT GENET, V40, P663, DOI 10.1038/ng.142; Bord RJ, 1998, CLIMATE RES, V11, P75, DOI 10.3354/cr011075; Bord RJ, 2000, PUBLIC UNDERST SCI, V9, P205, DOI 10.1088/0963-6625/9/3/301; Borick CP, 2010, SOC SCI QUART, V91, P777, DOI 10.1111/j.1540-6237.2010.00719.x; BOSTROM A, 1994, RISK ANAL, V14, P959, DOI 10.1111/j.1539-6924.1994.tb00065.x; Bowman TE, 2010, SCIENCE, V330, P1044, DOI 10.1126/science.330.6007.1044; Brechin SR, 2011, WIRES CLIM CHANGE, V2, P871, DOI 10.1002/wcc.146; Breiman L., 2001, Machine Learning, V45, P5, DOI 10.1023/A:1010933404324; Brulle RJ, 2012, CLIMATIC CHANGE, V114, P169, DOI 10.1007/s10584-012-0403-y; Dietz T, 2007, FRONT ECOL ENVIRON, V5, P13, DOI 10.1890/1540-9295(2007)5[13:DTHEF]2.0.CO;2; Dixon P, 2003, J VEG SCI, V14, P927, DOI 10.1658/1100-9233(2003)014[0927:VAPORF]2.0.CO;2; Doherty TJ, 2011, AM PSYCHOL, V66, P265, DOI 10.1037/a0023141; Dreher A, 2006, APPL ECON, V38, P1091, DOI 10.1080/00036840500392078; Dunlap RE, 1998, INT SOCIOL, V13, P473, DOI 10.1177/026858098013004004; Ehrlich PR, 2012, NATURE, V486, P68, DOI 10.1038/nature11157; FAITH DP, 1987, VEGETATIO, V69, P57, DOI 10.1007/BF00038687; Fussel H.M., 2009, Review and quantitative analysis of indices of climate change exposure, adaptive capacity, sensitivity, and impacts; Gallup, 2012, WORLDW RES METH COD; Gauch H.G., 1982, Multivariate analysis in community ecology; GFN, 2010, GLOB FOOTPR NETW 201; Grothmann T, 2005, GLOBAL ENVIRON CHANG, V15, P199, DOI 10.1016/j.gloenvcha.2005.01.002; Hamilton LC, 2009, INT J CLIMATOL, V29, P2348, DOI 10.1002/joc.1930; Hapfelmeier A, 2012, COMPUT STAT DATA AN, V56, P1552, DOI 10.1016/j.csda.2011.09.024; Hothorn T, 2006, J COMPUT GRAPH STAT, V15, P651, DOI 10.1198/106186006X133933; Howe PD, 2013, NAT CLIM CHANGE, V3, P352, DOI [10.1038/nclimate1768, 10.1038/NCLIMATE1768]; Janitza S, 2013, BMC BIOINFORMATICS, V14, DOI 10.1186/1471-2105-14-119; Jorgenson AK, 2011, SOC SCI RES, V40, P226, DOI 10.1016/j.ssresearch.2010.09.004; Kahneman D, 2010, P NATL ACAD SCI USA, V107, P16489, DOI 10.1073/pnas.1011492107; Kaufmann D., 2010, Policy Research working paper, No. WPS 5430, DOI [DOI 10.1017/S1876404511200046, 10.1017/S1876404511200046]; KRUSKAL JB, 1964, PSYCHOMETRIKA, V29, P1, DOI 10.1007/BF02289565; Kvaloy B, 2012, J PEACE RES, V49, P11, DOI 10.1177/0022343311425841; Legendre P., 1998, NUMERICAL ECOLOGY, DOI DOI 10.1007/S11356-011-0616-Z; Leiserowitz A., 2007, HUMAN DEV REPORT; Leiserowitz AA, 2005, RISK ANAL, V25, P1433, DOI 10.1111/j.1540-6261.2005.00690.x; Li Y, 2011, PSYCHOL SCI, V22, P454, DOI 10.1177/0956797611400913; Liu JCE, 2009, ENVIRONMENT, V51, P32, DOI 10.3200/ENV.51.4.32-45; Lorenzoni I, 2006, CLIMATIC CHANGE, V77, P73, DOI 10.1007/s10584-006-9072-z; Lutz W, 2014, SCIENCE, V346, P1061, DOI 10.1126/science.1257975; Maibach EW, 2011, PLOS ONE, V6, DOI 10.1371/journal.pone.0017571; McCright AM, 2011, SOCIOL QUART, V52, P155, DOI 10.1111/j.1533-8525.2011.01198.x; MINCHIN PR, 1987, VEGETATIO, V69, P89, DOI 10.1007/BF00038690; Nisbet MC, 2007, PUBLIC OPIN QUART, V71, P444, DOI 10.1093/poq/nfm031; Norgaard KariMarie., 2011, LIVING DENIAL CLIMAT, DOI [10.7551/mitpress/9780262015448.001.0001, DOI 10.7551/MITPRESS/9780262015448.001.0001]; O'Connor RE, 1999, RISK ANAL, V19, P461, DOI 10.1023/A:1007004813446; Pournelle G. H., 1953, Journal of Mammalogy, V34, P133, DOI 10.1890/0012-9658(2002)083[1421:SDEOLC]2.0.CO;2; Pugliese A, 2009, J Harvard Int Rev, V31, P64; Schultz PW, 2000, ENVIRON BEHAV, V32, P576, DOI 10.1177/00139160021972676; Scruggs L, 2012, GLOBAL ENVIRON CHANG, V22, P505, DOI 10.1016/j.gloenvcha.2012.01.002; Slovic P, 1999, RISK ANAL, V19, P689, DOI 10.1023/A:1007041821623; Strobl C, 2009, PSYCHOL METHODS, V14, P323, DOI 10.1037/a0016973; Strobl C, 2008, BMC BIOINFORMATICS, V9, DOI 10.1186/1471-2105-9-307; Tortora RobertD., 2010, Survey methods in multinational, multiregional, and multicultural contexts, P535, DOI DOI 10.1002/9780470609927.CH31; Tschakert P, 2007, GLOBAL ENVIRON CHANG, V17, P381, DOI 10.1016/j.gloenvcha.2006.11.008; Wackernagel M, 2002, P NATL ACAD SCI USA, V99, P9266, DOI 10.1073/pnas.142033699; Weber EU, 2011, AM PSYCHOL, V66, P315, DOI 10.1037/a0023253; Wheeler D., 2011, Center for Global Development Working Paper, DOI 10.2139/ssrn.1824611; Whitmarsh L, 2011, GLOBAL ENVIRON CHANG, V21, P690, DOI 10.1016/j.gloenvcha.2011.01.016; Wolf J, 2011, WIRES CLIM CHANGE, V2, P547, DOI 10.1002/wcc.120; Zapala MA, 2006, P NATL ACAD SCI USA, V103, P19430, DOI 10.1073/pnas.0609333103; Zaval L, 2014, NAT CLIM CHANGE, V4, P143, DOI 10.1038/NCLIMATE2093</t>
  </si>
  <si>
    <t>10.1038/NCLIMATE2728</t>
  </si>
  <si>
    <t>CU7BJ</t>
  </si>
  <si>
    <t>WOS:000363689700022</t>
  </si>
  <si>
    <t>Lucas, CH; Earl-Jones, CA; Mocatta, G; Beasy, K; Kelly, R; Pecl, GT</t>
  </si>
  <si>
    <t>Lucas, Chloe H.; Earl-Jones, Charlotte A.; Mocatta, Gabi; Beasy, Kim; Kelly, Rachel; Pecl, Gretta T.</t>
  </si>
  <si>
    <t>Analysis of children's questions on climate change reveals that they are most concerned about how to take action</t>
  </si>
  <si>
    <t>YOUNG-PEOPLE</t>
  </si>
  <si>
    <t>Children across the world are facing physical, emotional, and social impacts of climate change. Despite burgeoning scientific and political climate discourse, the voices and opinions of children are underrepresented, as previous research has focused on the opinions of adults. This lack of representation contributes to feelings of disempowerment and betrayal. We investigate children's priorities for climate knowledge, reporting on questions asked by approximately 1,500 Australian school students as part of a climate literacy engagement project. They reveal remarkable depth of consideration about climate change, with a stronger focus on impacts and action than on scientific causes. What can we do?was the core concern of 40% of questions, which often emphasized individual responsibility. Urgency and frustration were evident in questions about climate impacts posing an existential threat to life. Findings demonstrate the importance of considering children's valid concerns when making decisions that affect their education, well-being, and future.</t>
  </si>
  <si>
    <t>[Lucas, Chloe H.; Earl-Jones, Charlotte A.; Mocatta, Gabi] Univ Tasmania, Sch Geog Planning &amp; Spatial Sci, Hobart, Tas 7000, Australia; [Lucas, Chloe H.; Mocatta, Gabi; Beasy, Kim; Kelly, Rachel; Pecl, Gretta T.] Univ Tasmania, Ctr Marine Socioecol, Hobart, Tas 7000, Australia; [Lucas, Chloe H.] Univ Tasmania, Sustainabil Ctr, Hobart, Tas 7000, Australia; [Mocatta, Gabi] Deakin Univ, Melbourne, Vic 3125, Australia; [Beasy, Kim] Univ Tasmania, Sch Educ, Hobart, Tas 7000, Australia; [Kelly, Rachel; Pecl, Gretta T.] Univ Tasmania, Inst Marine &amp; Antarctic Studies, Hobart, Tas 7000, Australia</t>
  </si>
  <si>
    <t>University of Tasmania; University of Tasmania; University of Tasmania; Deakin University; University of Tasmania; University of Tasmania</t>
  </si>
  <si>
    <t>Lucas, CH (corresponding author), Univ Tasmania, Sch Geog Planning &amp; Spatial Sci, Hobart, Tas 7000, Australia.;Lucas, CH (corresponding author), Univ Tasmania, Ctr Marine Socioecol, Hobart, Tas 7000, Australia.;Lucas, CH (corresponding author), Univ Tasmania, Sustainabil Ctr, Hobart, Tas 7000, Australia.</t>
  </si>
  <si>
    <t>chloe.lucas@utas.edu.au</t>
  </si>
  <si>
    <t>Lucas, Chloe/E-7835-2019</t>
  </si>
  <si>
    <t>Lucas, Chloe/0000-0002-0834-1622; Mocatta, Gabi/0000-0001-6093-8330</t>
  </si>
  <si>
    <t>Centre for Marine Socioecology; School of Geography, Planning, and Spatial Sciences; College of Sciences and Engineering at the University of Tasmania; Tasmanian Government Climate Change Office</t>
  </si>
  <si>
    <t>The authors would like to acknowledge funding for Curious Climate Schools from the Centre for Marine Socioecology, the School of Geography, Planning, and Spatial Sciences, and the College of Sciences and Engineering at the University of Tasmania and the Tasmanian Government Climate Change Office. We would like to thank the teachers who participated in the project and all the students who asked questions. Finally, we would like to acknowledge the work of the 80+ expert climate researchers who volunteered to answer questions and visit schools.</t>
  </si>
  <si>
    <t>Abate RS, 2020, CLIMATE CHANGE AND THE VOICELESS: PROTECTING FUTURE GENERATIONS, WILDLIFE, AND NATURAL RESOURCES, P1, DOI 10.1017/9781108647076; Beasy K., Education and the UN Sustainable Development Goals: Praxis Within and Beyond the Classroom; Beasy K., 2022, The Conversation; Beasy K, 2023, ENVIRON EDUC RES, V29, P1678, DOI 10.1080/13504622.2023.2238136; Bowman B, 2022, AUST J ENVIRON EDUC, V38, P70, DOI 10.1017/aee.2022.3; Braun V, 2006, QUAL RES PSYCHOL, V3, P77, DOI [DOI 10.1191/1478088706QP063OA, 10.1191/1478088706qp063oa]; Busch KC, 2022, CLIMATIC CHANGE, V171, DOI 10.1007/s10584-022-03349-4; Carrington D., 2019, GUARDIAN 0210; Chiw A., 2019, Young People of Australia and Climate Change: Perceptions and Concerns-A Brief Report, P23; Cutter-Mackenzie A, 2019, CHILD GEOGR, V17, P90, DOI 10.1080/14733285.2018.1467556; Daly A, 2022, HUM RIGHTS LAW REV, V22, DOI 10.1093/hrlr/ngac011; Davies AR, 2021, POLITICS GOV, V9, P100, DOI 10.17645/pag.v9i2.3892; de Moor J, 2021, SOC MOVEMENT STUD, V20, P619, DOI 10.1080/14742837.2020.1836617; Dunlop L, 2021, CHILD GEOGR, V19, P291, DOI 10.1080/14733285.2020.1828827; Gibbons ED, 2014, HEALTH HUM RIGHTS, V16, P19; Hickman C, 2021, LANCET PLANET HEALTH, V5, pE863, DOI 10.1016/S2542-5196(21)00278-3; Hicks D., 2007, Environmental Education Research, V13, P501, DOI [10.1080/13504620701581596, DOI 10.1080/13504620701581596]; Jones CA, 2023, GLOBAL ENVIRON CHANG, V83, DOI 10.1016/j.gloenvcha.2023.102744; Jones CA, 2023, WIRES CLIM CHANGE, V14, DOI 10.1002/wcc.853; Jones CA, 2021, GEOFORUM, V118, P190, DOI 10.1016/j.geoforum.2020.11.006; Karsgaard C, 2023, EDUC REV, V75, P74, DOI 10.1080/00131911.2021.1905611; Klein N., 2015, The Shock Doctrine: The Rise of Disaster Capitalism; Lee K, 2020, PUBLIC UNDERST SCI, V29, P868, DOI 10.1177/0963662520952999; Lee K, 2020, WIRES CLIM CHANGE, V11, DOI 10.1002/wcc.641; Mayes E., 2020, Curriculum Perspectives, V40, P99; Murunga M, 2022, ECOL SOC, V27, DOI 10.5751/ES-13147-270214; Norgaard KariMarie., 2011, LIVING DENIAL CLIMAT, DOI [10.7551/mitpress/9780262015448.001.0001, DOI 10.7551/MITPRESS/9780262015448.001.0001]; O'Brien K, 2018, ECOL SOC, V23, DOI 10.5751/ES-10287-230342; Ojeda C, 2015, AM SOCIOL REV, V80, P1150, DOI 10.1177/0003122415606101; Rousell D, 2020, CHILD GEOGR, V18, P191, DOI 10.1080/14733285.2019.1614532; Sanson AV, 2019, CHILD DEV PERSPECT, V13, P201, DOI 10.1111/cdep.12342; Siperstein S., 2015, Journal of Sustainability Education, V10, P6; Stapleton SR, 2019, ENVIRON EDUC RES, V25, P732, DOI 10.1080/13504622.2018.1472220; Teach the Future, 2021, Teaching the Future-Summary Report; Threadgold S, 2012, J YOUTH STUD, V15, P17, DOI 10.1080/13676261.2011.618490; Tucci J., 2007, Children's Fears, Hopes and Heroes: Modern Childhood in Australia; UNESCO, 2016, GEM Report: Education for People and Planet; UNICEF, 2021, The Climate Crisis Is Also a Child Rights Crisis; Vamvalis M, 2023, RES EDUC, V117, P88, DOI 10.1177/00345237231160090; Wahren J., 2021, Global Campus of Human Rights Policy Briefs, DOI [10.25330/1226, DOI 10.25330/1226]; Zummo L, 2020, ENVIRON EDUC RES, V26, P1207, DOI 10.1080/13504622.2020.1771288</t>
  </si>
  <si>
    <t>APR 19</t>
  </si>
  <si>
    <t>10.1016/j.oneear.2024.02.017</t>
  </si>
  <si>
    <t>SB7E4</t>
  </si>
  <si>
    <t>WOS:001232056600001</t>
  </si>
  <si>
    <t>Jefferson, R; McKinley, E; Capstick, S; Fletcher, S; Griffin, H; Milanese, M</t>
  </si>
  <si>
    <t>Jefferson, Rebecca; McKinley, Emma; Capstick, Stuart; Fletcher, Stephen; Griffin, Holly; Milanese, Martina</t>
  </si>
  <si>
    <t>Understanding audiences: Making public perceptions research matter to marine conservation</t>
  </si>
  <si>
    <t>International Marine Conservation Congress (IMCC3)</t>
  </si>
  <si>
    <t>AUG 14-18, 2014</t>
  </si>
  <si>
    <t>Glasgow, SCOTLAND</t>
  </si>
  <si>
    <t>Ocean optimism; Public engagement; Framework; Interdisciplinary; Research priorities</t>
  </si>
  <si>
    <t>SCIENCE COMMUNICATION; PROTECTED AREAS; OCEAN LITERACY; VALUES; RISK; ENVIRONMENT; MANAGEMENT; SPILLOVER; CONSUMER; SHALLOWS</t>
  </si>
  <si>
    <t>There is increasing awareness of the need to meaningfully engage society in efforts to tackle marine conservation challenges. Public perceptions research (PPR) in a marine conservation context provides tools to see the sea through the multiple lenses with which society interprets both the marine environment and marine conservation efforts. Traditionally, PPR is predominantly a social science which has considerable interdisciplinarity, owing to the variety of disciplines which contribute to its delivery and benefit from its outputs. Similarly, the subjects of a marine application of PPR are diverse, and relate to public perceptions of any marine component or activity. Evidence shows this is a growing area of science, and the paper presents a qualitative approach to addressing key questions to inform the continuing development of this field through a workshop held at the Third International Marine Conservation Congress 2014. Key findings are discussed under the themes of 1) the benefits of PPR to marine conservation; 2) priorities for PPR to support marine conservation; 3) making PPR accessible to marine practitioners and policy makers; and 4) interdisciplinary research collaboration to deliver PPR. The workshop supported the development of a framework which illustrates: the key conditions which can support PPR to take place; the types of research which PPR can be used to address; the applications of PPR findings for marine conservation; and the types of marine conservation benefits which can be delivered. As PPR gains an increasing presence in marine conservation, it is hoped that this discussion and framework will support researchers and practitioners to identify opportunities for PPR to deliver benefits, and to work together to achieve these. (C) 2015 Elsevier Ltd.</t>
  </si>
  <si>
    <t>[Jefferson, Rebecca] RSPB, RSPB Ctr Conservat Sci, Sandy SG19 2DL, Beds, England; [McKinley, Emma] Univ Chichester, Sch Enterprise Management &amp; Leadership, Bognor Regis PO22 8BN, England; [Capstick, Stuart] Cardiff Univ, Sch Psychol, Cardiff CF10 3AT, S Glam, Wales; [Fletcher, Stephen] Univ Plymouth, Ctr Marine &amp; Coastal Policy Res, Plymouth PL4 8AA, Devon, England; [Griffin, Holly] UCL, Dept Geog, London WC1E 6BT, England; [Milanese, Martina] Studio Associato Gala Snc, I-16121 Genoa, Italy</t>
  </si>
  <si>
    <t>Royal Society for Protection of Birds; University of Chichester; Cardiff University; University of Plymouth; University of London; University College London</t>
  </si>
  <si>
    <t>Jefferson, R (corresponding author), RSPB, RSPB Ctr Conservat Sci, Sandy SG19 2DL, Beds, England.</t>
  </si>
  <si>
    <t>rebecca.jefferson@rspb.org.uk; e.mckinley@chi.ac.uk; capsticksb@cardiff.ac.uk; steve.fletcher@plymouth.ac.uk; m.milanese@studioassociatogaia.com</t>
  </si>
  <si>
    <t>Fletcher, Stephen/B-4224-2009; Capstick, Stuart/E-8622-2010</t>
  </si>
  <si>
    <t>Capstick, Stuart/0000-0002-1934-4503; Fletcher, Stephen/0000-0003-1180-9844</t>
  </si>
  <si>
    <t>4SEAS, 2010, 4SEAS SYN SCI SOC SH; [Anonymous], 2011, OCEAN ACIDIFICATION; Bauer MW, 2007, PUBLIC UNDERST SCI, V16, P79, DOI 10.1177/0963662506071287; Bickford D, 2012, BIOL CONSERV, V151, P74, DOI 10.1016/j.biocon.2011.12.016; Bravo M, 2009, MAR POLLUT BULL, V58, P1718, DOI 10.1016/j.marpolbul.2009.06.017; Campbell LM, 2006, ENVIRON MANAGE, V38, P84, DOI 10.1007/s00267-005-0188-0; Capstick S. B., 2014, INT MAR CONS C GLASG; Cerrano C., 2015, DIVING SCI SCI UNPUB; Colmar Brunton, 2014, PUBL PERC NZ AQ IND; Corner A., 2014, 1401 CARD U UND RISK; Crompton T., 2010, Common Cause: The Case for Working with our Cultural Values.: WWF, Oxfam, Friends of the Earth, CPRE; Cummins S., 2000, Canadian Journal of Environmental Education, V5, P305; de Bruin WB, 2013, P NATL ACAD SCI USA, V110, P14062, DOI 10.1073/pnas.1212729110; Doney SC, 2009, ANNU REV MAR SCI, V1, P169, DOI 10.1146/annurev.marine.010908.163834; Ferse SCA, 2010, ENVIRON CONSERV, V37, P23, DOI 10.1017/S0376892910000172; Fletcher S, 2012, AQUAT CONSERV, V22, P7, DOI 10.1002/aqc.2220; Fox HE, 2006, CONSERV BIOL, V20, P1817, DOI 10.1111/j.1523-1739.2006.00598.x; FUNKHOUSER GR, 1971, J COMMUN, V21, P58, DOI 10.1111/j.1460-2466.1971.tb00904.x; Gattuso J.-P., 2011, OCEAN ACIDIFICATION, P1; Gattuso JP, 2013, CLIMATIC CHANGE, V117, P725, DOI 10.1007/s10584-012-0591-5; Gelcich S, 2014, P NATL ACAD SCI USA, V111, P15042, DOI 10.1073/pnas.1417344111; Guest H, 2015, MAR POLICY, V58, P98, DOI 10.1016/j.marpol.2015.04.007; Halpern BS, 2008, SCIENCE, V319, P948, DOI 10.1126/science.1149345; Hammerton Z., 2012, Tourism in Marine Environments, V8, P77, DOI 10.3727/154427312X13262430524180; Hitzhusen GE, 2013, FRONT ECOL ENVIRON, V11, P368, DOI 10.1890/120322; Hunt CV, 2013, OCEAN COAST MANAGE, V78, P35, DOI 10.1016/j.ocecoaman.2013.03.004; Jefferson RL, 2014, MAR POLICY, V43, P327, DOI 10.1016/j.marpol.2013.07.004; Jefferson R. L., 2015, ENV CONSERV UNPUB; Jefferson RL, 2010, COMMUNICATING MARINE; Jobstvogt N, 2014, ECOSYST SERV, V10, P97, DOI 10.1016/j.ecoser.2014.09.006; Kellert S.R., 1996, The Value of Life: Biological Diversity and Human Society; Kerr S, 2014, ENERG POLICY, V67, P694, DOI 10.1016/j.enpol.2013.11.063; Kollmuss A., 2002, ENVIRON EDUC RES, V8, P239, DOI [10.1080/13504620220145401, DOI 10.1080/13504620220145401]; Koss RS, 2010, OCEAN COAST MANAGE, V53, P447, DOI 10.1016/j.ocecoaman.2010.06.002; Krieger JR, 2013, J COAST CONSERV, V17, P179, DOI 10.1007/s11852-012-0229-9; Laffoley D, 2014, MAR POLICY, V45, P259, DOI 10.1016/j.marpol.2013.09.016; Lam ME, 2014, FRONT ECOL ENVIRON, V12, P250, DOI 10.1890/1540-9295-12.4.250; Lee CJ, 2005, SCI COMMUN, V27, P240, DOI 10.1177/1075547005281474; Lindenfeld LA, 2012, ENVIRON COMMUN, V6, P23, DOI 10.1080/17524032.2011.640702; Lotze HK, 2011, TRENDS ECOL EVOL, V26, P595, DOI 10.1016/j.tree.2011.07.008; Mascia MB, 2003, CONSERV BIOL, V17, P649, DOI 10.1046/j.1523-1739.2003.01738.x; McKinley E, 2012, MAR POLICY, V36, P839, DOI 10.1016/j.marpol.2011.11.001; Mengerink KJ, 2014, SCIENCE, V344, P696, DOI 10.1126/science.1251458; Milanese M., 2014, INT MAR CONS C GLASG; Milanese M., 2013, COMMUNICATION 1120; Morgan KL, 2010, HARMFUL ALGAE, V9, P333, DOI 10.1016/j.hal.2009.12.004; Nisbet MC, 2009, AM J BOT, V96, P1767, DOI 10.3732/ajb.0900041; Nordstrom KF, 2001, OCEAN COAST MANAGE, V44, P545, DOI 10.1016/S0964-5691(01)00065-5; Ocean Project, 1999, COMM OC RES NAT SURV; Orams M. B., 1996, Journal of Sustainable Tourism, V4, P81, DOI 10.1080/09669589608667260; Pendleton L, 2001, MAR POLLUT BULL, V42, P1155, DOI 10.1016/S0025-326X(01)00131-X; Petrosillo I, 2007, LANDSCAPE URBAN PLAN, V79, P29, DOI 10.1016/j.landurbplan.2006.02.017; Pidgeon N, 2011, NAT CLIM CHANGE, V1, P35, DOI [10.1038/NCLIMATE1080, 10.1038/nclimate1080]; Planlds B. J., 2010, J ENVIRON EDUC, V1, P21; Pörtner HO, 2014, CLIMATE CHANGE 2014: IMPACTS, ADAPTATION, AND VULNERABILITY, PT A: GLOBAL AND SECTORAL ASPECTS, P411; Reynolds TW, 2010, RISK ANAL, V30, P1520, DOI 10.1111/j.1539-6924.2010.01448.x; Rose C., 2008, NATURAL ENGLAND RES; Royal Society, 2006, SCI COMMUN; Ryan R.L., 2001, Journal of Environmental Planning and Management, V44, P629, DOI DOI 10.1080/09640560120079948; Sandbrook C, 2013, CONSERV BIOL, V27, P1487, DOI 10.1111/cobi.12141; Savadori L, 2004, RISK ANAL, V24, P1289, DOI 10.1111/j.0272-4332.2004.00526.x; Slovic P, 2004, RISK ANAL, V24, P311, DOI 10.1111/j.0272-4332.2004.00433.x; Steel BS, 2005, OCEAN COAST MANAGE, V48, P97, DOI 10.1016/j.ocecoaman.2005.01.002; Sundblad EL, 2007, J ENVIRON PSYCHOL, V27, P97, DOI 10.1016/j.jenvp.2007.01.003; Thogersen J, 2003, J ENVIRON PSYCHOL, V23, P225, DOI 10.1016/S0272-4944(03)00018-5; Thomas M, 2015, GLOBAL ENVIRON CHANG, V33, P71, DOI 10.1016/j.gloenvcha.2015.04.009; Trenouth AL, 2012, OCEAN COAST MANAGE, V67, P19, DOI 10.1016/j.ocecoaman.2012.04.007; Truelove HB, 2014, GLOBAL ENVIRON CHANG, V29, P127, DOI 10.1016/j.gloenvcha.2014.09.004; Vincent ACJ, 2011, AQUAT CONSERV, V21, P495, DOI 10.1002/aqc.1226; Voyer M, 2015, MAR POLICY, V52, P93, DOI 10.1016/j.marpol.2014.10.027; Weatherell C, 2003, J RURAL STUD, V19, P233, DOI 10.1016/S0743-0167(02)00083-9; Williams L, 2008, PUBLIC ATTITUDES MAR; WWF, 2012, VAL WAL SEAS COASTS; Zeebe RE, 2008, SCIENCE, V321, P51, DOI 10.1126/science.1159124</t>
  </si>
  <si>
    <t>10.1016/j.ocecoaman.2015.06.014</t>
  </si>
  <si>
    <t>CV4QT</t>
  </si>
  <si>
    <t>WOS:000364252300009</t>
  </si>
  <si>
    <t>Delaney, JR; Sulc, AA</t>
  </si>
  <si>
    <t>Delaney, John R.; Sulc, Anna A.</t>
  </si>
  <si>
    <t>OCEAN CULTURAL LITERACY: Captivating the Global Public with the Power and 'Magic' of Oceans in Their Lives</t>
  </si>
  <si>
    <t>OCEANS 2021: SAN DIEGO - PORTO</t>
  </si>
  <si>
    <t>OCEANS Conference</t>
  </si>
  <si>
    <t>SEP 20-23, 2021</t>
  </si>
  <si>
    <t>Earth's ocean is the global 'engine' driving planetary-scale and most regional-scale environmental variations. Equally important, the ocean provides a crucial underpinning for global economies and national securities. For tens of millennia the ocean has strongly influenced the evolution of human culture. For the past two centuries, human societies have been progressively affecting the character of the oceans. Whether positive or negative, we define all such Human-Ocean interactions as Ocean Culture. During the U.N. Decade of Ocean Science for Sustainable Development (2021-2030), we are launching a novel 10-year public outreach effort focused on entraining many diverse sectors of the general populace with the crucial importance, complexity, and power of Ocean Culture. Through the Internet, we will share captivating stories, narratives, performances, and art forms illuminating the vast array of Human-Ocean interactions from our past, from our present, and projected into our future. The range of this content reaches far beyond Ocean Sciences. It weaves a broad spectrum of interlinked threads into an engaging tapestry of readily accessible human experiences, all made available via a hand-held device. Our objective is to inspire many different kinds of people across wide swathes of society to begin self-educating, following one or more facets that particularly capture their own personal interests. We believe that a potentially significant fraction of such citizens could emerge as more proactive members of our global society, exerting influence on their leaders to address major issues of planet-wide ocean resilience.</t>
  </si>
  <si>
    <t>[Delaney, John R.; Sulc, Anna A.] Univ Washington, Sch Oceanog, Seattle, WA 98195 USA</t>
  </si>
  <si>
    <t>University of Washington; University of Washington Seattle</t>
  </si>
  <si>
    <t>Delaney, JR (corresponding author), Univ Washington, Sch Oceanog, Seattle, WA 98195 USA.</t>
  </si>
  <si>
    <t>Catalano AS, 2019, BIOL CONSERV, V238, DOI 10.1016/j.biocon.2019.108223; Cava F., 2005, Science Content and Standards for Ocean Literacy: A Report on Ocean Literacy, P1; Diaz S. M., 2019, GLOBAL ASSESSMENT RE, DOI DOI 10.4337/9781784710644; Fauville G, 2019, ENVIRON EDUC RES, V25, P238, DOI 10.1080/13504622.2018.1440381; Jouffray JB, 2020, ONE EARTH, V2, P43, DOI 10.1016/j.oneear.2019.12.016; Kelly R, 2022, REV FISH BIOL FISHER, V32, P123, DOI 10.1007/s11160-020-09625-9; Mogias A, 2019, FRONT MAR SCI, V6, DOI 10.3389/fmars.2019.00396; Pecl GT, 2017, SCIENCE, V355, DOI 10.1126/science.aai9214; Poloczanska ES, 2016, FRONT MAR SCI, V3, DOI 10.3389/fmars.2016.00062; Rousseau, 2019, P NATL ACAD SCI; Schoedinger S., 2010, 3 NMEA; Stoll-Kleemann S, 2019, FRONT MAR SCI, V6, DOI 10.3389/fmars.2019.00273; Vince J, 2018, FRONT MAR SCI, V5, DOI 10.3389/fmars.2018.00214</t>
  </si>
  <si>
    <t>978-0-692-93559-0</t>
  </si>
  <si>
    <t>BU8HJ</t>
  </si>
  <si>
    <t>WOS:000947273300030</t>
  </si>
  <si>
    <t>Duffy, MA; Hammond, JW; Cheng, SJ</t>
  </si>
  <si>
    <t>Duffy, Meghan A.; Hammond, J. W.; Cheng, Susan J.</t>
  </si>
  <si>
    <t>Preaching to the choir or composing new verses? Toward a writerly climate literacy in introductory undergraduate biology</t>
  </si>
  <si>
    <t>ECOLOGY AND EVOLUTION</t>
  </si>
  <si>
    <t>climate denial; climate literacy; discipline-based education research; pedagogy; solastalgia; student affect</t>
  </si>
  <si>
    <t>UNIVERSITY-STUDENTS; SCIENCE LITERACY; KNOWLEDGE; MISCONCEPTIONS; COMMUNICATION; CHALLENGES; ENGAGEMENT; EDUCATION; TEACHERS; VALUES</t>
  </si>
  <si>
    <t>Climate change is one of the most pressing issues facing society today, yet a wide range of misconceptions exist in society about whether or why climate change is happening, what its consequences are, and what can be done to address it. Large introductory biology courses present an opportunity to teach a large number of students-some of whom may never take another course focused on climate, ecology, or the environment-about climate change. However, content knowledge alone may not be enough to prepare students to transform their knowledge into action. To begin understanding how content knowledge interacts with student constructions of climate change solutions, we administered and quantitatively analyzed a survey that examined student views of climate change and how they shifted with instruction during an undergraduate introductory biology course at a large Midwestern university. Almost all participants entered the course agreeing that climate change is occurring, and their certainty about the science of climate change increased after instruction. After taking the course, more participants described climate change as having more immediate impacts, reporting that climate change is already harming people and that climate change will harm them personally. However, both at the beginning and end of the course, participants tended to think that humans would either be unable or unwilling to reduce climate change. They were also more worried about climate change at the end of the course than they were before. Increased concern might result from students becoming more certain of the science and severity of climate change, while remaining pessimistic that humans will effectively act on climate change. This pattern suggests instructors have opportunities to modify curricula in ways that leave students with a greater sense of empowerment and efficacy; we suggest questions that instructors can ask themselves in order to modify their courses with this goal in mind.</t>
  </si>
  <si>
    <t>[Duffy, Meghan A.] Univ Michigan, Dept Ecol &amp; Evolutionary Biol, Biol Sci Bldg,1105 North Univ, Ann Arbor, MI 48109 USA; [Duffy, Meghan A.] Univ Michigan, Off Acad Innovat, Ann Arbor, MI 48109 USA; [Hammond, J. W.] Univ Michigan, Sch Educ, Ann Arbor, MI 48109 USA; [Cheng, Susan J.] Cornell Univ, Dept Biol &amp; Environm Engn, Dept Ecol &amp; Evolutionary Biol, Ithaca, NY USA; [Cheng, Susan J.] Univ Michigan, Ctr Res Learning &amp; Teaching, Ann Arbor, MI 48109 USA</t>
  </si>
  <si>
    <t>University of Michigan System; University of Michigan; University of Michigan System; University of Michigan; University of Michigan System; University of Michigan; Cornell University; University of Michigan System; University of Michigan</t>
  </si>
  <si>
    <t>Duffy, MA (corresponding author), Univ Michigan, Dept Ecol &amp; Evolutionary Biol, Biol Sci Bldg,1105 North Univ, Ann Arbor, MI 48109 USA.</t>
  </si>
  <si>
    <t>duffymeg@umich.edu</t>
  </si>
  <si>
    <t>Duffy, Meghan/AFN-5376-2022</t>
  </si>
  <si>
    <t>Duffy, Meghan/0000-0002-8142-0802; Cheng, Susan J/0000-0001-7222-2268; Hammond, James/0000-0001-7226-0408</t>
  </si>
  <si>
    <t>Aksit O, 2018, J RES SCI TEACH, V55, P550, DOI 10.1002/tea.21430; Albrecht G, 2007, AUSTRALAS PSYCHIATRY, V15, pS95, DOI 10.1080/10398560701701288; Albrecht G, 2011, INT CULT PSYCHOL, P43, DOI 10.1007/978-1-4419-9742-5_3; [Anonymous], 2014, WHAT WE KNOW REAL RI; [Anonymous], 2016, The politics of climate; [Anonymous], 2018, IMPACTS RISKS ADAPTA, DOI [DOI 10.7930/NCA4.2018, 10.7930/NCA4.2018]; [Anonymous], 2009, Climate Literacy: The essential Principles of Climate Science; Bauchner H, 2014, JAMA-J AM MED ASSOC, V312, P1519, DOI 10.1001/jama.2014.13094; Burkholder KC, 2017, SUSTAINABILITY-BASEL, V9, DOI 10.3390/su9060913; Busch K.C., 2017, Teaching and Learning about Climate Change: A Framework for Educators, P120; Chi MTH, 2005, J LEARN SCI, V14, P161, DOI 10.1207/s15327809jls1402_1; Corner A, 2015, WIRES CLIM CHANGE, V6, P523, DOI 10.1002/wcc.353; Cuomo CJ, 2011, HYPATIA, V26, P690, DOI 10.1111/j.1527-2001.2011.01220.x; Dupigny-Giroux LAL, 2010, GEOGR COMPASS, V4, P1203, DOI 10.1111/j.1749-8198.2010.00368.x; Freire P., 1972, PEDAGOGY OPPRESSED; Gifford R, 2011, AM PSYCHOL, V66, P290, DOI 10.1037/a0023566; Gifford R, 2011, GLOBAL ENVIRON CHANG, V21, P1301, DOI 10.1016/j.gloenvcha.2011.06.004; Gilbert J.K., 1983, STUD SCI EDUC, V10, P61, DOI DOI 10.1080/03057268308559905; González-Gaudiano E, 2010, ROUTL RES EDUC, V30, P13; Hand B, 1999, INT J SCI EDUC, V21, P1021, DOI 10.1080/095006999290165; Harlan S.L., 2015, CLIMATE CHANGE SOC S, P127, DOI DOI 10.1093/ACPROF:OSO/9780199356102.003.0005; Hawken P., 2017, Drawdown: The most comprehensive plan ever proposed to reverse global warming; Heath D., 2010, Switch: How to change things when change is hard; Holthuis N., 2014, Journal of Geoscience Education, V62, P374, DOI [10.5408/13-036.1, DOI 10.5408/13-036.1]; Hurd PD, 1998, SCI EDUC, V82, P407, DOI 10.1002/(SICI)1098-237X(199806)82:3&lt;407::AID-SCE6&gt;3.0.CO;2-G; IPCC, 2018, IPCC, DOI [DOI 10.1017/9781009157926.005, DOI 10.1017/CBO9781107415324]; Leiserowitz A., 2009, GLOBAL WARMINGS 6 AM; Leiserowitz A., 2018, Climate Change in the American Mind: March 2018; Leiserowitz Anthony., 2016, Climate Change in the American Mind; Lombardi D, 2012, RES SCI EDUC, V42, P201, DOI 10.1007/s11165-010-9196-z; Lotz-Sisitka H, 2010, ROUTL RES EDUC, V30, P71; Monroe MC, 2019, ENVIRON EDUC RES, V25, P791, DOI 10.1080/13504622.2017.1360842; Norris SP, 2003, SCI EDUC, V87, P224, DOI 10.1002/sce.10066; Ojala M, 2015, J ENVIRON EDUC, V46, P133, DOI 10.1080/00958964.2015.1021662; Ojala M, 2012, ENVIRON EDUC RES, V18, P625, DOI 10.1080/13504622.2011.637157; Pascua L, 2015, EVAL PROGRAM PLANN, V52, P70, DOI 10.1016/j.evalprogplan.2015.04.001; Patz JA, 2014, JAMA-J AM MED ASSOC, V312, P1565, DOI 10.1001/jama.2014.13186; Pfautsch S, 2017, INT J SUST HIGHER ED, V18, P1157, DOI 10.1108/IJSHE-09-2016-0179; Project Drawdown, SOLUTIONS; Rebich S., 2005, Journal of Geoscience Education, V53, P355, DOI DOI 10.5408/1089-9995-53.4.355; Rissler L.J., 2014, EVOL EDUC OUTREACH, V7, P24, DOI [DOI 10.1186/s12052-014-0024-1, 10.1186/s12052-014-0024-1]; Rooney-Varga JN, 2018, PLOS ONE, V13, DOI 10.1371/journal.pone.0202877; Roser-Renouf C, 2015, ROUT INT HANDB, P368; Schlosberg D, 2014, WIRES CLIM CHANGE, V5, P359, DOI 10.1002/wcc.275; Shue Henry., 2014, Climate Justice: Vulnerability and Protection; Shwom R, 2017, FRONT ECOL ENVIRON, V15, P377, DOI 10.1002/fee.1519; Spence A, 2012, RISK ANAL, V32, P957, DOI 10.1111/j.1539-6924.2011.01695.x; Trombley J, 2017, AM J NURS, V117, P44, DOI 10.1097/01.NAJ.0000515232.51795.fa; Versprille A, 2017, J CHEM EDUC, V94, P407, DOI 10.1021/acs.jchemed.6b00759; Wachholz S, 2014, INT J SUST HIGHER ED, V15, P128, DOI 10.1108/IJSHE-03-2012-0025; Whyte KP, 2014, HYPATIA, V29, P599, DOI 10.1111/hypa.12089; Yore LD, 2003, INT J SCI EDUC, V25, P689, DOI 10.1080/09500690305018; Zeidler D.L., 2017, Teaching and Learning about Climate Change, P56, DOI DOI 10.4324/9781315629841-5</t>
  </si>
  <si>
    <t>2045-7758</t>
  </si>
  <si>
    <t>ECOL EVOL</t>
  </si>
  <si>
    <t>Ecol. Evol.</t>
  </si>
  <si>
    <t>10.1002/ece3.5736</t>
  </si>
  <si>
    <t>OCT 2019</t>
  </si>
  <si>
    <t>Ecology; Evolutionary Biology</t>
  </si>
  <si>
    <t>Environmental Sciences &amp; Ecology; Evolutionary Biology</t>
  </si>
  <si>
    <t>JP3YY</t>
  </si>
  <si>
    <t>WOS:000492766200001</t>
  </si>
  <si>
    <t>TISDELL, CA; TACCONI, L; BARKER, JR; LUCAS, JS</t>
  </si>
  <si>
    <t>ECONOMICS OF OCEAN CULTURE OF GIANT CLAMS, TRIDACNA-GIGAS - INTERNAL RATE OF RETURN ANALYSIS</t>
  </si>
  <si>
    <t>AQUACULTURE</t>
  </si>
  <si>
    <t>The paper estimates the internal rate of return of investment in a giant clam farm involved in the ocean phase of mariculture as a function of the period of ocean growout of Tridacna gigas. The ocean farm is assumed each year to place 100 000 seed clams of approximately 1 year of age. The optimal length of time to hold them depends on the farm-gate price of clam meat and is estimated to be 11 years when they are sold at $A5 per kg. This yields an estimated internal rate of return of 18.0% and maximises the net present value or capitalised value of the farm. If 40% drip loss occurs in the meat the internal rate of return is 11.25% and the optimal period to hold batches of clams is 14 years.</t>
  </si>
  <si>
    <t>REEFARM HATCHERIES,CAIRNS,QLD,AUSTRALIA; JAMES COOK UNIV N QUEENSLAND,DEPT ZOOL,TOWNSVILLE,QLD 4811,AUSTRALIA</t>
  </si>
  <si>
    <t>TISDELL, CA (corresponding author), UNIV QUEENSLAND,DEPT ECON,BRISBANE,QLD 4072,AUSTRALIA.</t>
  </si>
  <si>
    <t>Tisdell, Clem A/A-5715-2008</t>
  </si>
  <si>
    <t>Tisdell, Clem A/0000-0003-4370-4692</t>
  </si>
  <si>
    <t>BARKER JR, 1988, GIANT CLAMS ASIA PAC, P225; Bowes M.D., 1985, Handbook of Natural Resource and Energy Economics, V2, P531, DOI DOI 10.1016/S1573-4439(85)80019-1; CRAWFORD CM, 1988, AQUACULTURE, V68, P103, DOI 10.1016/0044-8486(88)90234-7; DESILVA NTM, 1986, J AGR ECON, V38, P243; Firdausy C., 1991, ASIAN FISHERIES SCI, V4, P61; Gittinger J., 1982, EC ANAL AGR PROJECTS, V2nd; HAMBREY J, 1991, ESTIMATION FARM GATE; Hartwick J.M., 1986, The Economics of Natural Resource Use; Hicks John R., 1946, Value and Capital, V2nd; Meade J.W., 1989, Aquaculture Management; Mishan EJ., 1971, COST BENEFIT ANAL; Munro J.L., 1989, P541; MUNRO JL, 1988, GIANT CLAMS ASIA PAC, P218; Shang Y. C., 1991, CTR TROPICAL SUBTROP, V107; SHANG YC, 1981, AQUACULTURE EC BASIC; Tisdell C., 1991, Economics of Environmental Conservation. Economics for Environmental and Ecological Management; TISDELL CA, 1986, 128 U NEWC DEP EC RE; TISDELL CA, 1990, U QUEENSLAND RES REP, V8; TISDELL CA, 1990, U QUEENSLAND RES REP, V11; TISDELL CA, 1991, U QUEENSLAND RES REP, V18; TISDELL CA, 1990, U QUEENSLAND RES REP, V15; WATSON TC, 1988, GIANT CLAMS ASIA PAC, P221; YAMAGUCHI M, 1977, Biological Conservation, V11, P13, DOI 10.1016/0006-3207(77)90022-2</t>
  </si>
  <si>
    <t>0044-8486</t>
  </si>
  <si>
    <t>Aquaculture</t>
  </si>
  <si>
    <t>FEB 15</t>
  </si>
  <si>
    <t>10.1016/0044-8486(93)90430-7</t>
  </si>
  <si>
    <t>KL596</t>
  </si>
  <si>
    <t>WOS:A1993KL59600002</t>
  </si>
  <si>
    <t>Keener-Chavis, P</t>
  </si>
  <si>
    <t>Keener-Chavis, Paula</t>
  </si>
  <si>
    <t>The NOAA Ship Okeanos Explorer: Continuing to Unfold the President's Panel on Ocean Exploration Recommendations for Ocean Literacy</t>
  </si>
  <si>
    <t>NOAA, Ocean Explorat &amp; Res Program, Educ Program, Washington, DC 20230 USA</t>
  </si>
  <si>
    <t>Keener-Chavis, P (corresponding author), NOAA, Ocean Explorat &amp; Res Program, Educ Program, Washington, DC 20230 USA.</t>
  </si>
  <si>
    <t>WOS:000265654501130</t>
  </si>
  <si>
    <t>Guillaume, C; Núñez, C; Durán, C; Carrasco, R; Fuentealba, D</t>
  </si>
  <si>
    <t>Guillaume, Charles; Nunez, Cecilia; Duran, Claudia; Carrasco, Raul; Fuentealba, Diego</t>
  </si>
  <si>
    <t>Detection of key texts from Tweets in port systems</t>
  </si>
  <si>
    <t>2021 IEEE CHILEAN CONFERENCE ON ELECTRICAL, ELECTRONICS ENGINEERING, INFORMATION AND COMMUNICATION TECHNOLOGIES (IEEE CHILECON 2021)</t>
  </si>
  <si>
    <t>IEEE Chilean Conference on Electrical, Electronics Engineering, Information and Communication Technologies (CHILECON)</t>
  </si>
  <si>
    <t>DEC 06-09, 2021</t>
  </si>
  <si>
    <t>Seaports; Twitter; Sentiment Analysis; Natural Language Processing; Social Media</t>
  </si>
  <si>
    <t>Social media data is a rich source of information to analyze and detect potential problems from people. This work extracts Twitter's data related to two complex logistics companies to identify words, which can affect the strategy of ports. These words should enhance the business decision-making process to reduce social risks. The literature review suggested that TF-IDF and Latent Dirichlet Allocation can analyze the case studies. The results show that social networks can be linked to sustainable business aspects such as port planning and operations, information management, city, pandemic, ocean, culture, and people's beliefs.</t>
  </si>
  <si>
    <t>[Guillaume, Charles; Nunez, Cecilia; Duran, Claudia] Univ Tecnol Metropolitana, Dept Ind, Santiago, Chile; [Carrasco, Raul] Univ Las Amer, Fac Ingn &amp; Negocios, Santiago, Chile; [Fuentealba, Diego] Univ Tecnol Metropolitana Santiago, Dept Informat &amp; Computac, Santiago, Chile</t>
  </si>
  <si>
    <t>Universidad Tecnologica Metropolitana; Universidad de Las Americas - Chile</t>
  </si>
  <si>
    <t>Guillaume, C (corresponding author), Univ Tecnol Metropolitana, Dept Ind, Santiago, Chile.</t>
  </si>
  <si>
    <t>charles.guillaumeg@utem.cl; cecilia.nunezp@utem.cl; c.durans@utem.cl; rcarrasco@udla.cl; d.fuentealba@utem.cl</t>
  </si>
  <si>
    <t>Carrasco, Raúl/G-5440-2015; Fuentealba, Diego/AAM-8509-2020; Duran, Claudia/S-1175-2019</t>
  </si>
  <si>
    <t>Carrasco, Raúl/0000-0002-5023-9349; Fuentealba, Diego/0000-0001-5284-0448;</t>
  </si>
  <si>
    <t>Regular Research Project Competition (Concurso de Proyectos Regulares de Investigacion), Universidad Tecnologica Metropolitana [LPR19-19]; Universidad de Las Americas</t>
  </si>
  <si>
    <t>Regular Research Project Competition (Concurso de Proyectos Regulares de Investigacion), Universidad Tecnologica Metropolitana; Universidad de Las Americas</t>
  </si>
  <si>
    <t>Project supported by the Regular Research Project Competition (Concurso de Proyectos Regulares de Investigacion), year 2019, code LPR19-19, Universidad Tecnologica Metropolitana. The authors are grateful for the support of Universidad de Las Americas.</t>
  </si>
  <si>
    <t>Ahuja Ravinder, 2019, Procedia Computer Science, V152, P341, DOI 10.1016/j.procs.2019.05.008; Andrade MJ, 2020, SUSTAINABILITY-BASEL, V12, DOI 10.3390/su12030880; Chen JH, 2018, ADV MECH ENG, V10, DOI 10.1177/1687814018760933; Durán CA, 2016, 2016 6TH INTERNATIONAL CONFERENCE ON COMPUTERS COMMUNICATIONS AND CONTROL (ICCCC), P196, DOI 10.1109/ICCCC.2016.7496760; Durán C, 2021, SUSTAINABILITY-BASEL, V13, DOI 10.3390/su13073959; Durán CA, 2021, IEEE ACCESS, V9, P128055, DOI 10.1109/ACCESS.2021.3112899; Einwiller SA, 2015, PUBLIC RELAT REV, V41, P195, DOI 10.1016/j.pubrev.2014.11.012; El Rahman SA, 2019, 2019 INTERNATIONAL CONFERENCE ON COMPUTER AND INFORMATION SCIENCES (ICCIS), P336, DOI 10.1109/iccisci.2019.8716464; Fuentealba D, 2021, IEEE LAT AM T, V19, P1391, DOI 10.1109/TLA.2021.9475870; Gupta S., 2001, WORKSH DAT MIN KNOWL, P1; Hari K. Er, 2017, INT J ADV ENG SCIENT, V4; Huang J, 2018, SUSTAINABILITY-BASEL, V10, DOI 10.3390/su10072187; Jin JH, 2020, INT J ELEC ENG EDUC, DOI 10.1177/0020720920928467; Jo T., 2019, STUDIES BIG DATA, V45; Karas A, 2020, TRANSNAV, V14, P27, DOI 10.12716/1001.14.01.01; Kazmaier J, 2020, DECIS SUPPORT SYST, V135, DOI 10.1016/j.dss.2020.113304; Lam JCK, 2019, ENVIRON SCI POLICY, V101, P374, DOI 10.1016/j.envsci.2019.07.007; López-Bermúdez B, 2020, TRANS MARIT SCI-TOMS, V9, P82, DOI 10.7225/toms.v09.n01.007; Lucenti K., 2019, COMO LOGRAR PUERTOS; Muruganantham A, 2020, MULTIMED TOOLS APPL, V79, P3913, DOI 10.1007/s11042-019-7470-2; Naseem U, 2020, FUTURE GENER COMP SY, V113, P58, DOI 10.1016/j.future.2020.06.050; OECD.Stat, 2021, GEN STAT KEY SHORT T; Qi B, 2020, TRAVEL BEHAV SOC, V21, P10, DOI 10.1016/j.tbs.2020.05.005; Sanchez R., 2016, B FAL, V352; Stella M, 2020, PEERJ COMPUT SCI, DOI 10.7717/peerj-cs.295; Tajbakhsh MS, 2019, INTELL DATA ANAL, V23, P609, DOI 10.3233/IDA-183998; Vasuki M., 2014, INT J INNOVATIVE RES, V2, P7171; Yang JH, 2017, ACCOUNT BUS RES, V47, P673, DOI 10.1080/00014788.2017.1322936; Yoon B, 2019, SUSTAINABILITY-BASEL, V11, DOI 10.3390/su11164258; Yun JT, 2020, FUTURE GENER COMP SY, V111, P819, DOI 10.1016/j.future.2019.10.029</t>
  </si>
  <si>
    <t>978-1-6654-0873-8</t>
  </si>
  <si>
    <t>10.1109/CHILECON54041.2021.9703075</t>
  </si>
  <si>
    <t>Engineering, Multidisciplinary; Engineering, Biomedical; Engineering, Electrical &amp; Electronic</t>
  </si>
  <si>
    <t>BT0JD</t>
  </si>
  <si>
    <t>WOS:000788072700142</t>
  </si>
  <si>
    <t>Buchtele, R; Cudlínová, E; Lapka, M; Sagapova, N; Krásnická, M; Vávra, J; Lísková, ZD</t>
  </si>
  <si>
    <t>Buchtele, Roman; Cudlinova, Eva; Lapka, Miloslav; Sagapova, Nikola; Krasnicka, Martina; Vavra, Jan; Liskova, Zuzana Dvorakova</t>
  </si>
  <si>
    <t>ENERGY LITERACY IN CZECHIA AND ITS INFLUENCE ON CITIZENS' PERCEPTION OF ENERGY CONSUMPTION BEHAVIOUR</t>
  </si>
  <si>
    <t>Czechia; energy literacy; energy consumption; household survey; human perception</t>
  </si>
  <si>
    <t>CONSERVATION; COUNTRIES; ATTITUDES</t>
  </si>
  <si>
    <t>The analysis is based on a sample of 1015 citizens from Czechia. The cognitive energy liter- acy index (CELI), based on the knowledge of the energy mix in electricity production and the knowledge of the import/export of electricity in Czechia, is constructed in this article. The research aims to answer the following questions: What is the level of CELI within the population of Czechia? To what extent do the selected socio-demographic indicators affect the CELI? To what extent does CELI influence respondents' perceptions? The medium level of CELI is widespread across the population, while high and low levels of CELI are roughly equally shared. People with a high CELI are more likely to be older men with a university education. CELI also significantly affects the perception of behaviour on an individual, collective, and systemic level. Higher CELI is also associated with higher support for innovative solutions and renewable energy resources.</t>
  </si>
  <si>
    <t>[Buchtele, Roman; Cudlinova, Eva; Lapka, Miloslav; Sagapova, Nikola; Krasnicka, Martina; Liskova, Zuzana Dvorakova] Univ South Bohemia, Fac Econ, Ceske Budejovice, Czech Republic; [Vavra, Jan] Czech Acad Sci, Inst Sociol, Prague, Czech Republic</t>
  </si>
  <si>
    <t>University of South Bohemia Ceske Budejovice; Czech Academy of Sciences; Institute of Sociology of the Czech Academy of Sciences</t>
  </si>
  <si>
    <t>Buchtele, R (corresponding author), Studentska St 13, Ceske Budejovice 37005, Czech Republic.</t>
  </si>
  <si>
    <t>buchtr01@ef.jcu.cz</t>
  </si>
  <si>
    <t>Dvořáková Líšková, Zuzana/G-3160-2019; Vávra, Jan/J-4259-2012; Sagapova, Nikola/AAQ-3771-2021; Buchtele, Roman/JHS-8229-2023</t>
  </si>
  <si>
    <t>Vávra, Jan/0000-0002-3171-6023; Sagapova, Nikola/0000-0003-1628-7758; Buchtele, Roman/0000-0003-0851-1318</t>
  </si>
  <si>
    <t>National Agency for Agricultural Research (NAZV) [QK1920391]; Institute of Sociology of the Czech Academy of Sciences [RVO: 68378025]; NPO Systemic Risk Institute - European Union - Next Generation EU (Ministry of Education, Youth and Sports, [LX22NPO5101]</t>
  </si>
  <si>
    <t>National Agency for Agricultural Research (NAZV); Institute of Sociology of the Czech Academy of Sciences(Czech Academy of Sciences); NPO Systemic Risk Institute - European Union - Next Generation EU (Ministry of Education, Youth and Sports,</t>
  </si>
  <si>
    <t>This article was supported by grant of the National Agency for Agricultural Research (NAZV) No. QK1920391 Diversification of the Impact of the Bioeconomy on Strategic Documents of the Forestry-Wood Sector as a Basis for State Administration and the Design of Strategic Goals by 2030. Jan Vavra acknowledges institutional support from the Institute of Sociology of the Czech Academy of Sciences, RVO: 68378025 and support of NPO Systemic Risk Institute number LX22NPO5101, funded by European Union - Next Generation EU (Ministry of Education, Youth and Sports, NPO: EXCELES) . Authors would like to thank Justin Calvin Schaefer (University of South Bohemia) for comments on earlier version of this article and proofreading.</t>
  </si>
  <si>
    <t>[Anonymous], 2008, P 38 ASEEIEEE FRONTI, DOI DOI 10.1109/FIE.2008.4720280; [Anonymous], 2014, Conclusions on 2030 Climate and Energy Policy Framework; Anton SG, 2020, RENEW ENERG, V147, P330, DOI 10.1016/j.renene.2019.09.005; Bastida L, 2019, RENEW SUST ENERG REV, V103, P455, DOI 10.1016/j.rser.2019.01.004; Blasch J, 2021, ECON ENERGY ENV POL, V10, P149, DOI 10.5547/2160-5890.10.2.jbla; Blasch J, 2019, RESOUR ENERGY ECON, V56, P39, DOI 10.1016/j.reseneeco.2017.06.001; Boogen N, 2021, ENERG EFFIC, V14, DOI 10.1007/s12053-021-09945-0; Brounen D, 2013, ENERG ECON, V38, P42, DOI 10.1016/j.eneco.2013.02.008; Cermáková K, 2022, ENERGIES, V15, DOI 10.3390/en15041281; Chevalier JM, 2009, NEW ENERGY CRISIS: CLIMATE, ECONOMICS AND GEOPOLITICS, P6; Chodkowska-Miszczuk J, 2021, ENERGIES, V14, DOI 10.3390/en14092575; Cotton DRE, 2021, J CLEAN PROD, V278, DOI 10.1016/j.jclepro.2020.123876; Czech Statistical Office, 2022, POPULATION; Czech Statistical Office, 2021, STAT YB CZECH REP 20; DeWaters J, 2013, J ENVIRON EDUC, V44, P56, DOI 10.1080/00958964.2012.682615; DeWaters J, 2013, J ENVIRON EDUC, V44, P38, DOI 10.1080/00958964.2012.711378; Dwyer C., 2011, LOW CARBON EC, V2, P123, DOI 10.4236/lce.2011.23016; Energy Regulatory Office, 2019, EN REG OFF ANN REP O; European Investment Bank, 2021, EIB CLIM SURV CLIM C, Vthird; Eurostat, 2022, EN INFL RAT CONT UPW; Golebiowska B, 2020, EKON SROD, V2, P121, DOI 10.34659/2020/2/20; International Energy Agency, 2022, CZECH REP COUNTR REG; Karásek J, 2018, ENERG POLICY, V115, P131, DOI 10.1016/j.enpol.2017.12.045; Liu LY, 2021, APPL MATH MODEL, V89, P1932, DOI 10.1016/j.apm.2020.08.080; Marinas MC, 2018, PLOS ONE, V13, DOI 10.1371/journal.pone.0202951; Martins A, 2020, ENERGY REP, V6, P454, DOI 10.1016/j.egyr.2019.09.007; Martins F, 2018, ENRGY PROCED, V153, P107, DOI 10.1016/j.egypro.2018.10.050; Mills B, 2012, ENERG POLICY, V49, P616, DOI 10.1016/j.enpol.2012.07.008; MPO, 2019, NAT EN CLIM PLAN CZE; Ng KH, 2021, CHEM ENG J, V417, DOI 10.1016/j.cej.2021.128847; Oberthur Sebastian, 2016, Global Affairs, V2, P119, DOI DOI 10.1080/23340460.2016.1166332; Oykun T., 2017, INT J NEW TRENDS ART, V6; Saidi K, 2020, ENVIRON RES, V186, DOI 10.1016/j.envres.2020.109567; Shahbaz M, 2018, ENERG ECON, V71, P282, DOI 10.1016/j.eneco.2018.02.023; Sovacool BK, 2015, ENVIRON SCI POLICY, V54, P304, DOI 10.1016/j.envsci.2015.07.011; United Nations (UN), TRANSF OUR WORLD 203, DOI [DOI 10.1201/B20466-7, DOI 10.1891/9780826190123.AP02]; van den Broek KL, 2019, ENERGY RES SOC SCI, V57, DOI 10.1016/j.erss.2019.101256; Vavra J., 2022, Frontiers of Sustainability, V3; Vavra J., 2014, P 8 INT SCI C INPROF, P16; Veum K, 2019, ENERG POLICY, V127, P299, DOI 10.1016/j.enpol.2018.12.013; Votruba V., 2021, COAL NUCL SOLAR ACCO; World Commission on Environment and Development, 1987, Our Common Future; Yeh SC, 2017, SUSTAINABILITY-BASEL, V9, DOI 10.3390/su9030423</t>
  </si>
  <si>
    <t>10.34659/eis.2023.84.1.576</t>
  </si>
  <si>
    <t>H5GD1</t>
  </si>
  <si>
    <t>WOS:000996236000016</t>
  </si>
  <si>
    <t>Moret, S; Gironès, VC; Maréchal, F; Favrat, D</t>
  </si>
  <si>
    <t>Varbanov, PS; Klemes, JJ; Liew, PY; Yong, JY; Stehlik, P</t>
  </si>
  <si>
    <t>Moret, Stefano; Girones, Victor Codina; Marechal, Francois; Favrat, Daniel</t>
  </si>
  <si>
    <t>Swiss-EnergyScope.ch: a Platform to Widely Spread Energy Literacy and Aid Decision-Making</t>
  </si>
  <si>
    <t>PRES 2014, 17TH CONFERENCE ON PROCESS INTEGRATION, MODELLING AND OPTIMISATION FOR ENERGY SAVING AND POLLUTION REDUCTION, PTS 1-3</t>
  </si>
  <si>
    <t>Chemical Engineering Transactions</t>
  </si>
  <si>
    <t>17th Conference on Process Integration, Modelling and Optimisation for Energy Saving and Pollution Reduction (PRES 2014)</t>
  </si>
  <si>
    <t>AUG 23-27, 2014</t>
  </si>
  <si>
    <t>Prague, CZECH REPUBLIC</t>
  </si>
  <si>
    <t>SOCIETY</t>
  </si>
  <si>
    <t>We develop an energy calculator within an online teaching platform to aid citizens and decision-makers understanding an energy system. The model, designed in order to be easily adapted to any energy system at national or regional scale, is presented and applied to the case of Switzerland. Although autonomous on a yearly balance, Switzerland today already relies on foreign imports to face higher electricity demand in winter months. The decision of the country of phasing out nuclear power by 2034 will have as a consequence to further increase this seasonal electricity deficit. The Swiss-EnergyScope.ch project is a contribution to the public debate escalated concerning Switzerland's future energy strategy, helping citizens to take an active part in it by associating numbers and facts to opinions and choices. The online platform mainly consists of an energy calculator, enabling users to evaluate the effect of a list of possible choices on the energy future of the country. An online wiki and a MOOC will allow users to acquire basic knowledge on energy and to be guided through the learning process and the use of the calculator itself. The robust conceptual design strategy adopted to model the Swiss energy system allows for the contextualization of the key issue of electricity supply within the framework of the overall energy system, conveying a holistic view in which technologies affecting both heat and electricity (such as heat pumping and cogeneration) can be easily integrated. The monthly approach used for the calculation and display of data allows highlighting the central role of seasonal fluctuations in supply and demand. Overall, the designed tool and the associated learning experience allow popularizing energy issues, demystifying the complexity of a national energy system without oversimplifying it.</t>
  </si>
  <si>
    <t>[Moret, Stefano; Girones, Victor Codina; Marechal, Francois] Ecole Polytech Fed Lausanne, EPFL IPESE, ME A2 402,Stn 9, CH-1015 Lausanne, Switzerland; [Favrat, Daniel] Ecole Polytech Fed Lausanne, Energy Ctr, EPFL CEN, CH-1015 Lausanne, Switzerland</t>
  </si>
  <si>
    <t>Swiss Federal Institutes of Technology Domain; Ecole Polytechnique Federale de Lausanne; Swiss Federal Institutes of Technology Domain; Ecole Polytechnique Federale de Lausanne</t>
  </si>
  <si>
    <t>Moret, S (corresponding author), Ecole Polytech Fed Lausanne, EPFL IPESE, ME A2 402,Stn 9, CH-1015 Lausanne, Switzerland.</t>
  </si>
  <si>
    <t>stefano.moret@epfl.ch</t>
  </si>
  <si>
    <t>Moret, Stefano/G-2987-2015; Favrat, Daniel/C-1601-2012; Marechal, Francois M. A./B-5685-2009</t>
  </si>
  <si>
    <t>Moret, Stefano/0000-0001-7716-3084; Marechal, Francois M. A./0000-0003-1752-5690</t>
  </si>
  <si>
    <t>Fink AM, 2012, P I CIVIL ENG-ENG SU, V165, P255, DOI 10.1680/ensu.10.00059; Goldblatt DL, 2005, ENERG POLICY, V33, P257, DOI 10.1016/S0301-4215(03)00239-8; Haldi PA, 2006, ENERGY, V31, P3159, DOI 10.1016/j.energy.2006.02.011; Marechal F, 2005, RESOUR CONSERV RECY, V44, P245, DOI 10.1016/j.resconrec.2005.01.008; Perry SJ, 2012, CHEM ENGINEER TRANS, V29, P1471, DOI 10.3303/CET1229246; UK Department of Energy &amp; Climate Change, 2014, 2050 PATHW</t>
  </si>
  <si>
    <t>AIDIC SERVIZI SRL</t>
  </si>
  <si>
    <t>MILANO</t>
  </si>
  <si>
    <t>VIA GIUSEPPE COLOMBO 81/A, MILANO, MI 20133, ITALY</t>
  </si>
  <si>
    <t>1974-9791</t>
  </si>
  <si>
    <t>978-88-95608-30-3</t>
  </si>
  <si>
    <t>CHEM ENGINEER TRANS</t>
  </si>
  <si>
    <t>10.3303/CET1439147</t>
  </si>
  <si>
    <t>Engineering, Environmental; Engineering, Chemical</t>
  </si>
  <si>
    <t>BB8KC</t>
  </si>
  <si>
    <t>WOS:000346757600147</t>
  </si>
  <si>
    <t>Schaffner, LC; Hartley, TW; Sanders, JG</t>
  </si>
  <si>
    <t>Schaffner, Linda C.; Hartley, Troy W.; Sanders, James G.</t>
  </si>
  <si>
    <t>Moving Forward 21st Century Pathways to Strengthen the Ocean Science Workforce Through Graduate Education and Professional Development</t>
  </si>
  <si>
    <t>The scope of emerging national and international ocean-related issues facing society demands that we develop broad perspectives on graduate education and training in the ocean sciences. A multifaceted ocean workforce and new kinds of intellectual partnerships are needed to address ocean science research priorities, strengthen our understanding of coupled human-natural ocean systems, engage and inform public policy and management decision making, and increase ocean literacy. Alumni from graduate programs in ocean sciences are following diverse career paths in academia, government, nongovernmental organizations, and industry, and thus can inform us about the diverse skills needed to succeed. The ocean science academic community should build on its current strengths (e.g., multidisciplinary and multi-institutional research and education, international partnerships), and capitalize on what some might view as limitations (e.g., remote, yet inviting, coastal campuses, diversity of ocean science programs), to become an incubator of innovation that will advance the field and strengthen graduate education and training. Partnerships within and among institutions with ocean-related programs, and with professional societies, employers, and others, can help us provide cutting-edge, relevant academic options, facilitate professional development, and proactively position graduates for career paths that reflect and address important societal needs.</t>
  </si>
  <si>
    <t>[Schaffner, Linda C.] VIMS, Acad Studies, Hyderabad, Telangana, India; [Schaffner, Linda C.] VIMS, Marine Sci, Hyderabad, Telangana, India; [Schaffner, Linda C.] VIMS, Sch Marine Sci, Hyderabad, Telangana, India; [Schaffner, Linda C.] William &amp; Marys, Undergrad Minor Marine Sci, Williamsburg, VA USA; [Schaffner, Linda C.] Broader Array VIMS Educ Act, Washington, DC USA; [Schaffner, Linda C.] VIMS Summer Intern Program, Hyderabad, Telangana, India; [Hartley, Troy W.] Virginia Sea Grant, Gloucester Point, VA USA; [Hartley, Troy W.] VIMS, Marine Sci &amp; Policy, Hyderabad, Telangana, India; [Hartley, Troy W.] William &amp; Marys, Thomas Jefferson Publ Policy Program, Williamsburg, VA USA; [Hartley, Troy W.] Consortium Ocean Leadership, Educ Planning Working Grp, Washington, DC USA; [Hartley, Troy W.] Amer Fisheries Soc, Bethesda, MD USA; [Hartley, Troy W.] VIMS, Hyderabad, Telangana, India; [Hartley, Troy W.] Sea Grant, Washington, DC USA; [Sanders, James G.] Skidaway Inst Oceanog, Savannah, GA USA; [Sanders, James G.] Univ Georgia, Marine Sci, Athens, GA 30602 USA; [Sanders, James G.] Natl Assoc Marine Labs, Galveston, TX USA; [Sanders, James G.] Consortium Ocean Leadership, Washington, DC USA</t>
  </si>
  <si>
    <t>University System of Georgia; University of Georgia; Skidaway Institute of Oceanography; University System of Georgia; University of Georgia</t>
  </si>
  <si>
    <t>Schaffner, LC (corresponding author), VIMS, Acad Studies, Hyderabad, Telangana, India.;Schaffner, LC (corresponding author), VIMS, Marine Sci, Hyderabad, Telangana, India.;Schaffner, LC (corresponding author), VIMS, Sch Marine Sci, Hyderabad, Telangana, India.;Schaffner, LC (corresponding author), William &amp; Marys, Undergrad Minor Marine Sci, Williamsburg, VA USA.;Schaffner, LC (corresponding author), Broader Array VIMS Educ Act, Washington, DC USA.</t>
  </si>
  <si>
    <t>linda@vims.edu</t>
  </si>
  <si>
    <t>Abbott MR, 2014, OCEANOGRAPHY, V27, P7, DOI 10.5670/oceanog.2014.28; ABBOTT MR, 2014, OCEANOGRAPHY, V27, P6; American Chemical Society (ACS), 2012, ADV GRAD ED CHEM SCI; [Anonymous], 2010, GOOD IDEAS COME NATU; [Anonymous], INCR CAP STEW OC COA; [Anonymous], SCI OC NAT UPD OC RE; Block F, 2009, SOCIO-ECON REV, V7, P459, DOI 10.1093/ser/mwp013; Braxton JM, 2010, J HIGH EDUC-UK, V81, P243, DOI 10.1353/jhe.0.0097; Brill CH, 2016, OCEANOGRAPHY, V29, P68, DOI 10.5670/oceanog.2016.16; Council of Graduate Schools and Educational Testing Service, 2010, PATH FORW FUT GRAD E; Dunbar K., 1999, The MIT Encyclopedia of Cognitive Science, P730; Dunbar K., 1997, Conceptual structures and processes: Emergence, discovery, and change, P461, DOI DOI 10.1037/10227-017; Farrington JohnW., 2001, Oceanography, V14, P34; Gruber Howard., 1974, Darwin on Man: A Psychological Study of Scientific Creativity Together with Darwin's Early and Unpublished Notebooks; HACKETT EJ, 1990, J HIGH EDUC-UK, V61, P241, DOI 10.2307/1982130; Halpern BS, 2015, NAT COMMUN, V6, DOI 10.1038/ncomms8615; Halpin P, 2016, OCEANOGRAPHY, V29, P34, DOI 10.5670/oceanog.2016.08; LOZIER MS, 2015, OCEANOGRAPHY, V28, P7; Marcus NH, 2016, OCEANOGRAPHY, V29, P67, DOI 10.5670/oceanog.2016.15; Marcus NH, 2016, OCEANOGRAPHY, V29, P31, DOI 10.5670/oceanog.2016.06; McMullin S.L., FISHERIES IN PRESS; National Ocean Economics Program, 2014, STAT US OC COAST EC; National Oceanic and Atmospheric Agency R&amp;D Portfolio Review Task Force, 2013, NAT BEST INT MAK MOS; National Research Council, 2015, SEA CHANG 2015 2025; Nowell A.R.M., 2000, 50 YEARS OCEAN DISCO; Perry MJ, 2016, OCEANOGRAPHY, V29, P32, DOI 10.5670/oceanog.2016.07; Roach M, 2010, RES POLICY, V39, P422, DOI 10.1016/j.respol.2010.01.004; Shaikh-Lesko L., 2014, THE SCI MAGANZINE; Sharp J.H., 1995, OCEANOGRAPHY, V8, P106; Stokes D.E., 1997, Pasteur's Quadrant: Basic Science and Technological Innovation; Vincent S., 2015, INTERDISCIPLINARY EN</t>
  </si>
  <si>
    <t>10.5670/oceanog.2016.09</t>
  </si>
  <si>
    <t>DJ3IJ</t>
  </si>
  <si>
    <t>WOS:000374097800009</t>
  </si>
  <si>
    <t>Papageorgiou, M; Bengil, EGT; Snape, R; Hadjioannou, L</t>
  </si>
  <si>
    <t>Papageorgiou, Marios; Bengil, Elizabeth G. T.; Snape, Robin; Hadjioannou, Louis</t>
  </si>
  <si>
    <t>Increased knowledge affects public attitude and perception towards elasmobranchs and support for conservation</t>
  </si>
  <si>
    <t>sharks and rays; public elasmobranch knowledge; public attitude; shark conservation</t>
  </si>
  <si>
    <t>PARTIAL LEAST-SQUARES; MODELING PLS-SEM; MANAGEMENT RESEARCH; CITIZEN SCIENCE; MEDIA PORTRAYAL; SHARKS; FUTURE; PATTERNS; RAYS; TOOL</t>
  </si>
  <si>
    <t>The tendency of world media to villainize of sharks has likely contributed to a disparity in the distribution of research and conservation resources among threatened marine megavertebrates, with elasmobranchs losing out. Increased public knowledge on elasmobranchs can shape public attitude and foster and gain support for elasmobranch conservation. Through an online survey, this study aimed to evaluate the drivers of public knowledge and examine linkages between awareness of elasmobranchs and attitude toward their conservation. To explore the relationships and effects between the different predicting variables and public elasmobranch knowledge and attitude indices, bi-and multi-variate analysis and a partial least squares path model were used. The results indicated that the average public elasmobranch knowledge of the Cypriot population was moderate and the average public attitude towards elasmobranchs was relatively low. Marine-related activities and marine-related education were highly correlated with increased public elasmobranch knowledge and were the strongest predictors of the partial least squares path model which explained a high degree of variation in elasmobranch knowledge. Public elasmobranch knowledge was highly correlated with public attitude towards elasmobranchs. The findings of this study highlighted the importance of ocean literacy and education and provide insights into the mechanisms for developing and designing successful advocacy actions for elasmobranch conservation.</t>
  </si>
  <si>
    <t>[Papageorgiou, Marios; Hadjioannou, Louis] Enalia Physis Environm Res Ctr, Nicosia, Cyprus; [Bengil, Elizabeth G. T.; Snape, Robin] SPOT Soc Protect Turtles, Nicosia, Cyprus; [Snape, Robin] Univ Exeter, Ctr Ecol &amp; Conservat, Penryn, England; [Hadjioannou, Louis] Cyprus Marine &amp; Maritime Inst, Larnax, Cyprus</t>
  </si>
  <si>
    <t>Papageorgiou, M (corresponding author), Enalia Physis Environm Res Ctr, Nicosia, Cyprus.</t>
  </si>
  <si>
    <t>m.papageorgiou@enaliaphysis.org.cy</t>
  </si>
  <si>
    <t>Hadjioannou, Louis/F-3272-2018; BENGIL, ELIZABETH GRACE TUNKA/J-5714-2018</t>
  </si>
  <si>
    <t>Hadjioannou, Louis/0000-0001-5864-5467; BENGIL, ELIZABETH GRACE TUNKA/0000-0002-0071-3786; Papageorgiou, Marios/0000-0002-3695-8435</t>
  </si>
  <si>
    <t>MAVA Foundation via the Regional Activity Centre for Specially Protected Areas (RAC-SPA) [19071]</t>
  </si>
  <si>
    <t>MAVA Foundation via the Regional Activity Centre for Specially Protected Areas (RAC-SPA)</t>
  </si>
  <si>
    <t>This work has been funded by MAVA Foundation via the Regional Activity Centre for Specially Protected Areas (RAC-SPA) under the framework of the project 'Cyprus Elasmobranch Research and Conservation Network' (Project no. 19071). We deeply thank Fenella R Wood (PhD student at the School of Biological Sciences, University of Aberdeen, UK) who kindly helped in the preparation of this manuscript. We would like also to thank all participants who have contributed to this study. The designation of geographical entities, personal addresses, and acknowledged institutions, does not imply the expression of any opinion concerning the legal status of any country, territory, or area, or of its authorities.</t>
  </si>
  <si>
    <t>Afonso AS, 2020, FRONT MAR SCI, V7, DOI 10.3389/fmars.2020.00663; ASCH SE, 1956, PSYCHOL MONOGR, V70, P1, DOI 10.1037/h0093718; Bandura A., 1996, SOCIAL FDN THOUGHT A, DOI DOI 10.5465/AMR.1987.4306538; Bargnesi F, 2020, EUR ZOOL J, V87, P20, DOI 10.1080/24750263.2019.1709574; Barney E.C., 2005, The Journal of Environmental Education, V36, P41; Bartkowicz Joanna, 2020, Rocz Panstw Zakl Hig, V71, P67, DOI 10.32394/rpzh.2020.0107; Berglund E, 2013, PATIENT EDUC COUNS, V91, P105, DOI 10.1016/j.pec.2012.11.001; Bornatowski H, 2014, ICES J MAR SCI, V71, P1586, DOI 10.1093/icesjms/fsu025; Bornatowski H, 2013, SCIENCE, V340, P923, DOI 10.1126/science.340.6135.923-a; Brewer TD, 2012, GLOBAL ENVIRON CHANG, V22, P399, DOI 10.1016/j.gloenvcha.2012.01.006; Britten GL, 2014, ECOL LETT, V17, P1518, DOI 10.1111/ele.12354; Casini M, 2009, P NATL ACAD SCI USA, V106, P197, DOI 10.1073/pnas.0806649105; Cebrian-Piqueras MA, 2020, LANDSCAPE ECOL, V35, P2549, DOI 10.1007/s10980-020-01107-4; Charalambous C, 2021, WORLDW HOSP TOUR THE, V13, P719, DOI 10.1108/WHATT-07-2021-0094; Davidson Lindsay N.K., 2016, Fish and Fisheries, V17, P438; Dent Felix, 2015, FAO Fisheries and Aquaculture Technical Paper, V590, P1; Dulvy N.K., 2016, CONSERVATION STATUS; Ferretti F, 2010, ECOL LETT, V13, P1055, DOI 10.1111/j.1461-0248.2010.01489.x; Fong LHN, 2013, EUR J TOUR RES, V6, P211, DOI 10.1016/j.lrp.2013.01.002; Friedrich LA, 2014, MAR POLICY, V47, P1, DOI 10.1016/j.marpol.2014.02.003; Gadgil M., 2002, NAVIGATING SOCIAL EC, P1; Garla RC, 2015, MAR POLICY, V60, P128, DOI 10.1016/j.marpol.2015.06.012; Giovos I, 2021, MAR POLICY, V134, DOI 10.1016/j.marpol.2021.104811; Hair J.F., 2016, A premier on partial least squares structural equation modeling (PLS-SEM), V2nd, DOI DOI 10.15358/9783800653614; Hair JF, 2014, EUR BUS REV, V26, P106, DOI 10.1108/EBR-10-2013-0128; Hair JF, 2012, LONG RANGE PLANN, V45, P320, DOI 10.1016/j.lrp.2012.09.008; Kollmuss A., 2002, ENVIRON EDUC RES, V8, P239, DOI [10.1080/13504620220145401, DOI 10.1080/13504620220145401]; Le Busque B, 2021, MAR POLICY, V124, DOI 10.1016/j.marpol.2020.104341; Le Busque B, 2019, CONSERV SCI PRACT, V1, DOI 10.1111/csp2.111; de la Lama RL, 2018, PLOS ONE, V13, DOI 10.1371/journal.pone.0202971; Lucrezi S, 2019, MAR POLICY, V109, DOI 10.1016/j.marpol.2019.103687; McCagh C, 2015, MAR POLICY, V62, P271, DOI 10.1016/j.marpol.2015.09.016; Mosler HJ, 2008, J ENVIRON MANAGE, V88, P805, DOI 10.1016/j.jenvman.2007.04.013; Muter BA, 2013, CONSERV BIOL, V27, P187, DOI 10.1111/j.1523-1739.2012.01952.x; NapoleonCat, 2020, FAC US CYPR FEBR 202; Newman G, 2012, FRONT ECOL ENVIRON, V10, P298, DOI 10.1890/110294; Nitzl C, 2017, J MANAG CONTROL, V28, P137, DOI 10.1007/s00187-017-0249-6; Nitzl C, 2016, J ACCOUNT LIT, V37, P19, DOI 10.1016/j.acclit.2016.09.003; O'Bryhim JR, 2015, MAR POLICY, V56, P43, DOI 10.1016/j.marpol.2015.02.007; Otero MM, 2019, Identification guide of vulnerable species incidentally caught in Mediterranean fisheries; Pazartzi T, 2019, FOOD CONTROL, V98, P179, DOI 10.1016/j.foodcont.2018.11.019; Peng DX, 2012, J OPER MANAG, V30, P467, DOI 10.1016/j.jom.2012.06.002; Peppler-Lisbach C, 2015, J VEG SCI, V26, P464, DOI 10.1111/jvs.12249; Rasoolimanesh SM, 2017, J SUSTAIN TOUR, V25, P198, DOI 10.1080/09669582.2016.1195836; Ringle C. M., 2015, SmartPLS 3.0; Ripple WJ, 2014, SCIENCE, V343, P151, DOI 10.1126/science.1241484; Roff G, 2018, COMMUN BIOL, V1, DOI 10.1038/s42003-018-0233-1; Sabatier E, 2018, CONSERV SOC, V16, P338, DOI 10.4103/cs.cs_18_5; Sarstedt M, 2014, J FAM BUS STRATEG, V5, P105, DOI 10.1016/j.jfbs.2014.01.002; Serena F, 2020, EUR ZOOL J, V87, P497, DOI 10.1080/24750263.2020.1805518; Shiffman DS, 2020, ISCIENCE, V23, DOI 10.1016/j.isci.2020.101205; Simpfendorfer CA, 2011, MAR FRESHWATER RES, V62, P518, DOI 10.1071/MF11086; Skubel RA, 2019, FRONT MAR SCI, V6, DOI 10.3389/fmars.2019.00053; Statista Research Department, 2021, NUMB SOC MED US 2025; Stevens JD, 2000, ICES J MAR SCI, V57, P476, DOI 10.1006/jmsc.2000.0724; Tavares DC, 2019, FRONT MAR SCI, V6, DOI 10.3389/fmars.2019.00262; Tsoi KH, 2016, PLOS ONE, V11, DOI 10.1371/journal.pone.0163406; Ward-Paige CA, 2012, J FISH BIOL, V80, P1844, DOI 10.1111/j.1095-8649.2012.03246.x</t>
  </si>
  <si>
    <t>10.12681/mms.28749</t>
  </si>
  <si>
    <t>2T4XI</t>
  </si>
  <si>
    <t>WOS:000822479200005</t>
  </si>
  <si>
    <t>Buchan, PM; Evans, LS; Pieraccini, M; Barr, S</t>
  </si>
  <si>
    <t>Buchan, Pamela M.; Evans, Louisa S.; Pieraccini, Margherita; Barr, Stewart</t>
  </si>
  <si>
    <t>Marine citizenship: The right to participate in the transformation of the human-ocean relationship for sustainability</t>
  </si>
  <si>
    <t>PLOS ONE</t>
  </si>
  <si>
    <t>IMPACTS; ECOSYSTEMS; QUESTIONS; AWARENESS; LITERACY; SEA</t>
  </si>
  <si>
    <t>Marine citizenship is a relatively new field of enquiry and research to date has focused on individual pro-environmental behaviour change as an expression of responsibility towards the ocean. The field is underpinned by knowledge-deficit and technocratic approaches to behaviour change such as awareness raising, ocean literacy, and environmental attitudes research. In this paper we develop an interdisciplinary and inclusive conceptualisation of marine citizenship. We use mixed methods to study the views and experiences of active marine citizens in the United Kingdom to broaden understandings of marine citizens' characterisation of marine citizenship, and their perceptions of its importance in policy- and decision-making. Our study shows that marine citizenship entails more than individual pro-environmental behaviours, and includes public-facing and socially collective political actions. We contextualise the role of knowledge, finding more complexity than normative knowledge-deficit approaches permit. We illustrate the importance of a rights-based framing of marine citizenship which incorporates political and civic rights to participate in the transformation of the human-ocean relationship for sustainability. Recognising this more inclusive approach to marine citizenship, we propose an expanded definition to support further exploration of the multiple dimensions and complexities of marine citizenship and to enhance its benefits for marine policy and management.</t>
  </si>
  <si>
    <t>[Buchan, Pamela M.; Evans, Louisa S.; Barr, Stewart] Univ Exeter, Fac Environm Sci &amp; Econ, Dept Geog, Exeter, England; [Pieraccini, Margherita] Univ Bristol Law Sch, Bristol, England</t>
  </si>
  <si>
    <t>Buchan, PM (corresponding author), Univ Exeter, Fac Environm Sci &amp; Econ, Dept Geog, Exeter, England.</t>
  </si>
  <si>
    <t>pb381@exeter.ac.uk</t>
  </si>
  <si>
    <t>Buchan, Pamela/AAT-7605-2021</t>
  </si>
  <si>
    <t>Buchan, Pamela/0000-0002-3180-877X</t>
  </si>
  <si>
    <t>Economic and Social Research Council [ES/J50015X/1]</t>
  </si>
  <si>
    <t>Economic and Social Research Council(UK Research &amp; Innovation (UKRI)Economic &amp; Social Research Council (ESRC))</t>
  </si>
  <si>
    <t>The authors wish to acknowledge the contribution of the Capturing Our Coasts marine citizen science project which supported the research in the early stages in accessing active marine citizens. Additional recognition is also extended to Coastwise: North Devon and Newquay Marine Group, and the participants who contributed to this study.</t>
  </si>
  <si>
    <t>[Anonymous], 1992, ENVIRON CONSERV, V19, P366; [Anonymous], MARINE COASTAL ACCES; [Anonymous], 2014, CLIMATE CHANGE 2014, P1, DOI DOI 10.1017/CBO9780511976988.002; [Anonymous], CONVENTION ACCESS IN, V25, P1998; [Anonymous], 1999, Local Environment, DOI [DOI 10.1080/13549839908725599, 10.1080/13549839908725599]; ARNSTEIN SR, 1969, J AM I PLANNERS, V35, P216, DOI 10.1080/01944366908977225; Barney E.C., 2005, The Journal of Environmental Education, V36, P41; Barr S, 2003, AREA, V35, P227, DOI 10.1111/1475-4762.00172; Bird Elizabeth., 1987, Environmental Review, V11, P255, DOI DOI 10.2307/3984134; Black J., 2000, Oxford Journal of Legal Studies, V20, P597; Bonter DN, 2012, FRONT ECOL ENVIRON, V10, P305, DOI 10.1890/110273; Buchan P.M, 2021, Investigating Marine Citizenship and its Role in Creating Good Marine Environmental Health; Chawla L., 2007, Environmental Education Research, V13, P437, DOI [10.1080/13504620701581539, DOI 10.1080/13504620701581539]; Chawla L., 1999, Journal of Environmental Education, V31, P15, DOI DOI 10.1080/00958969909598628; Chen CL, 2016, ENVIRON EDUC RES, V22, P958, DOI 10.1080/13504622.2015.1054266; Communication Foxwell-Norton K., 2013, CONTINUUM-J MEDIA CU, V27, P267; Costanza R, 1999, ECOL ECON, V31, P199, DOI 10.1016/S0921-8009(99)00079-8; Costanza R, 2014, GLOBAL ENVIRON CHANG, V26, P152, DOI 10.1016/j.gloenvcha.2014.04.002; Creswell J. W., 2009, RES DESIGN QUALITATI; DIANI M, 1992, SOCIOL REV, V40, P1, DOI 10.1111/j.1467-954X.1992.tb02943.x; Dobson Andrew., 2003, CITIZENSHIP ENV; Estrada M, 2017, J URBAN HEALTH, V94, P170, DOI 10.1007/s11524-017-0139-0; Faulks Keith., 2000, CITIZENSHIP; Field CB, 2014, CLIMATE CHANGE 2014: IMPACTS, ADAPTATION, AND VULNERABILITY, PT A: GLOBAL AND SECTORAL ASPECTS, P1; Fleming LE, 2019, PEOPLE NAT, V1, P276, DOI 10.1002/pan3.10038; Fletcher S, 2007, COAST MANAGE, V35, P511, DOI 10.1080/08920750701525818; Freire P., 1972, PEDAGOGY OPPRESSED; Galgani F, 2014, MAR ENVIRON RES, V100, P3, DOI 10.1016/j.marenvres.2014.02.003; Garcia-Soto C., 2017, POSITION PAPER 23 EU, P112; Gelcich S, 2014, P NATL ACAD SCI USA, V111, P15042, DOI 10.1073/pnas.1417344111; Guest H, 2015, MAR POLICY, V58, P98, DOI 10.1016/j.marpol.2015.04.007; Hamilton LC, 2015, SOC NATUR RESOUR, V28, P57, DOI 10.1080/08941920.2014.933926; Hawthorne M, 1999, GLOBAL ENVIRON CHANG, V9, P25, DOI 10.1016/S0959-3780(98)00022-3; Heck N, 2016, MAR POLICY, V68, P178, DOI 10.1016/j.marpol.2016.03.004; Holder J., 2006, ENV ASSESSMENT REGUL; Hoskins B, 2009, SOC INDIC RES, V90, P459, DOI 10.1007/s11205-008-9271-2; Jabar MA., 2018, APPL ENV ED COMMUN, V17, P67; Jefferson RL, 2014, MAR POLICY, V43, P327, DOI 10.1016/j.marpol.2013.07.004; Jelin E., 2000, CITIZENSHIP STUD, V4, P47; Johnson RB, 2007, J MIX METHOD RES, V1, P112, DOI 10.1177/1558689806298224; Kollmuss A., 2002, ENVIRON EDUC RES, V8, P239, DOI [10.1080/13504620220145401, DOI 10.1080/13504620220145401]; Laist David W., 1997, P99; Lazarus R, 2009, GEORGET LAW FAC PUBL; Lee M, 2012, 2062252 ID SOC SCI R; Lee Maria., 2003, MOD L REV, V66, P80, DOI DOI 10.1111/1468-2230.6601004; Lorenzoni I, 2007, GLOBAL ENVIRON CHANG, V17, P445, DOI 10.1016/j.gloenvcha.2007.01.004; MARCUS GE, 1995, ANNU REV ANTHROPOL, V24, P95, DOI 10.1146/annurev.an.24.100195.000523; Marshall T. H., 1950, CITIZENSHIP SOCIAL C; Martin I., 2003, INT J LIFELONG EDUC, V22, P566; McKinley E., 2010, Ph.D. Thesis; McKinley E, 2012, MAR POLICY, V36, P839, DOI 10.1016/j.marpol.2011.11.001; McKinley E, 2010, OCEAN COAST MANAGE, V53, P379, DOI 10.1016/j.ocecoaman.2010.04.012; Nadal C., 2008, Environmental Law Review, V10, P28, DOI DOI 10.1350/ENLR.2008.10.1.003; Owens S, 2000, ENVIRON PLANN A, V32, P1141, DOI 10.1068/a3330; Parsons ECM, 2014, CONSERV BIOL, V28, P1206, DOI 10.1111/cobi.12303; Pauly D, 2005, PHILOS T R SOC B, V360, P5, DOI 10.1098/rstb.2004.1574; Pearson E, 2014, MAR POLLUT BULL, V89, P136, DOI 10.1016/j.marpolbul.2014.10.014; Peters B, 2015, STUD TERRIT CULT DIV, V5, P311, DOI 10.1163/9789004287945_019; Pieraccini M, 2020, LEGAL PERSPECTIVES ON SUSTAINABILITY, P9; Pieraccini M, 2015, J ENVIRON LAW, V27, P45, DOI 10.1093/jel/equ035; Potts T, 2012, PHILOS T R SOC A, V370, P5682, DOI 10.1098/rsta.2012.0394; Rees S, 2013, MAR POLICY, V38, P531, DOI 10.1016/j.marpol.2012.09.002; Robottom I., 1995, J ENVIRON EDUC, V26, P5; Saldana J., 2009, CODING MANUAL QUALIT; Schild R, 2016, J ENVIRON EDUC, V47, P19, DOI 10.1080/00958964.2015.1092417; Stech R, 2013, COSTS BARRIERS ENV J; Steele J., 2001, OXFORD J LEGAL STUD, V21, P415, DOI [DOI 10.1093/OJLS/21.3.415, DOI 10.1093/ojls/21.3.415]; Stoll-Kleemann S, 2019, FRONT MAR SCI, V6, DOI 10.3389/fmars.2019.00273; Sundeen R.A., 2007, NONPROFIT MANAGEMENT, V17, P279, DOI DOI 10.1002/NML.150; TANABE S, 1994, SCI TOTAL ENVIRON, V154, P163, DOI 10.1016/0048-9697(94)90086-8; Tindall DB, 2002, CAN REV SOC ANTHROP, V39, P413; UK Political Info, 2019, VOT TURN UK GEN EL 1; United Nations Economic Commission for Europe, 1991, CONV ENV IMP ASS TRA; United Nations (UN), TRANSF OUR WORLD 203, DOI [DOI 10.1201/B20466-7, DOI 10.1891/9780826190123.AP02]; Wright KB, 2005, J COMPUT-MEDIAT COMM, V10; Wright SL, 2013, ENVIRON POLLUT, V178, P483, DOI 10.1016/j.envpol.2013.02.031</t>
  </si>
  <si>
    <t>PUBLIC LIBRARY SCIENCE</t>
  </si>
  <si>
    <t>SAN FRANCISCO</t>
  </si>
  <si>
    <t>1160 BATTERY STREET, STE 100, SAN FRANCISCO, CA 94111 USA</t>
  </si>
  <si>
    <t>1932-6203</t>
  </si>
  <si>
    <t>PLoS One</t>
  </si>
  <si>
    <t>e0280518</t>
  </si>
  <si>
    <t>10.1371/journal.pone.0280518</t>
  </si>
  <si>
    <t>9X4RL</t>
  </si>
  <si>
    <t>WOS:000949759100048</t>
  </si>
  <si>
    <t>Gutierrez, A; Thornton, TF</t>
  </si>
  <si>
    <t>Gutierrez, Alexis; Thornton, Thomas F.</t>
  </si>
  <si>
    <t>Can Consumers Understand Sustainability through Seafood Eco-Labels? A U.S. and UK Case Study</t>
  </si>
  <si>
    <t>consumers; eco-label; sustainable seafood; sustainable seafood movement</t>
  </si>
  <si>
    <t>ECOLABELED SEAFOOD; KNOWLEDGE; INFORMATION; PRODUCTS; MARKET</t>
  </si>
  <si>
    <t>In the United States and the United Kingdom, over the last decade major retail chains have increasingly publicized their efforts to supply sustainably sourced and eco-labelled seafood. Debate exists over the extent of consumer demand for this product. Seafood eco-labels purportedly resolve the information asymmetry between producer and consumer, allowing consumers who care about sustainability to easily find and purchase these products. This paper discusses the idealized model of seafood eco-labelling in promoting sustainability and presents results of US and UK case studies based on consumer interviews and surveys, which found that consumers had often seen one or more seafood eco-labels. Two well-established eco-labels, dolphin-safe and organic, drove these rates of sustainable seafood awareness. These rates are interpreted in the context of consumer's understanding of sustainable. The Sustainable Seafood Movement's efforts to increase the supply of eco-labelled seafood and elaborate corporate buying policies for sustainable seafood are influencing consumer's recognition and purchase of certified sustainable seafood products. However, eco-labels are a means to communicate messages about sustainable fisheries to consumers, not an end. Efforts to educate consumers about eco-labels should be a component of ocean literacy efforts, which educate the public about the need for sustainable fisheries.</t>
  </si>
  <si>
    <t>[Gutierrez, Alexis; Thornton, Thomas F.] Oxford Univ Ctr Environm, Environm Change Inst, Oxford OX1 3QY, England</t>
  </si>
  <si>
    <t>University of Oxford</t>
  </si>
  <si>
    <t>Gutierrez, A (corresponding author), Oxford Univ Ctr Environm, Environm Change Inst, S Parks Rd, Oxford OX1 3QY, England.</t>
  </si>
  <si>
    <t>alexistgutierrez@gmail.com; Thomas.thornton@ouce.ox.ac.uk</t>
  </si>
  <si>
    <t>Thornton, Tom/AAJ-5105-2020</t>
  </si>
  <si>
    <t>Agnew D. J., 2012, MAR POLICY, V38, P1; Akenji L., 2013, J CLEAN PROD, V63, P1; [Anonymous], MSC CONS SURV 2012; [Anonymous], 1997, CANNIBALS FORKS; Baird IG, 2011, ANN ASSOC AM GEOGR, V101, P337, DOI 10.1080/00045608.2010.544965; Ben AdelYoussef., 2009, Journal of Agricultural and Food Industrial Organization, V7, DOI DOI 10.2202/1542-0485.1271; Brecard D., 2012, CONSUMER CONFUSION O, P1; Brécard D, 2009, ECOL ECON, V69, P115, DOI 10.1016/j.ecolecon.2009.07.017; Brecard Dorothee., 2012, Journal of Agricultural Food Industrial Organization, V10, P1, DOI DOI 10.1515/1542-0485.1360; Bush SR, 2013, MAR POLICY, V37, P288, DOI 10.1016/j.marpol.2012.05.011; Clark GL, 2005, ENVIRON PLANN A, V37, P2015, DOI 10.1068/a38116; Eden S, 2008, GEOFORUM, V39, P1044, DOI 10.1016/j.geoforum.2007.11.001; Eden S, 2008, J RURAL STUD, V24, P1, DOI 10.1016/j.jrurstud.2007.06.001; Finley C, 2009, ECOL SOC, V14; Fletcher S, 2009, MAR POLICY, V33, P370, DOI 10.1016/j.marpol.2008.08.004; Froese R, 2012, MAR POLICY, V36, P1284, DOI 10.1016/j.marpol.2012.03.017; Grunert K. G., 2014, J FOOD POLICY, V44, P1; Gulbrandsen L. H., 2006, International Journal of Consumer Studies, V30, P477, DOI 10.1111/j.1470-6431.2006.00534.x; Gunderson L.H., 2001, Panarchy: understanding transformations in human and natural systems; Gutiérrez NL, 2012, PLOS ONE, V7, DOI 10.1371/journal.pone.0043765; Hallstein E., 2013, J ENVIRON ECON MANAG, V66, P1; Hanss D, 2012, INT J CONSUM STUD, V36, P678, DOI 10.1111/j.1470-6431.2011.01045.x; Hilborn RayUlrike Hilborn., 2012, Overfishing: What Everyone Needs to Know; Jacquet J, 2010, ORYX, V44, P45, DOI 10.1017/S0030605309990470; Jaffry S, 2004, FOOD POLICY, V29, P215, DOI 10.1016/j.foodpol.2004.04.001; Johnston RJ, 2006, J AGR RESOUR ECON, V31, P283; Karlsen KM, 2012, MAR POLICY, V36, P1123, DOI 10.1016/j.marpol.2012.03.003; Konefal J, 2013, ORGAN ENVIRON, V26, P336, DOI 10.1177/1086026612467982; MSC, 2009, NET BEN 1 10 YEARS M, P1; Olson J., 2013, MAR POLICY, V43, P1; Pieniak Z, 2013, FOOD POLICY, V40, P25, DOI 10.1016/j.foodpol.2013.01.005; Potts T., 2011, PUBLIC PERCEPTIONS E, P1; Potts T., 2011, Sustainable Seafood and Ecolabelling: The Marine Stewardship Council, UK Consumers, and the UK Fishing Industry, P1; Roheim CA, 2011, J AGR ECON, V62, P655, DOI 10.1111/j.1477-9552.2011.00299.x; Roheim CA, 2009, MAR RESOUR ECON, V24, P301, DOI 10.1086/mre.24.3.42629657; Schmitt C. V., 2011, MAINE POLICY REV, V20, P1; Sogn-Grundvag G, 2013, MAR POLICY, V38, P41, DOI 10.1016/j.marpol.2012.05.017; Steel BS, 2005, OCEAN COAST MANAGE, V48, P97, DOI 10.1016/j.ocecoaman.2005.01.002; Trenor C., 2013, CARTING AWAY OCEANS, V7, P1; Uchida H, 2014, FOOD POLICY, V44, P68, DOI 10.1016/j.foodpol.2013.10.002; Ward TrevorJ., 2008, SEAFOOD ECOLABELLING; Wessells C. R., 2002, Marine Resource Economics, V17, P153; WESSELLS CR, 1995, J CONSUM AFF, V29, P85, DOI 10.1111/j.1745-6606.1995.tb00040.x; World Economic Forum (WEF), 2012, MOR LESS SCAL SUST C, P1; Worm B, 2009, SCIENCE, V325, P578, DOI 10.1126/science.1173146; WWF, 2013, FIP HDB, P1</t>
  </si>
  <si>
    <t>10.3390/su6118195</t>
  </si>
  <si>
    <t>AU4FG</t>
  </si>
  <si>
    <t>WOS:000345564700039</t>
  </si>
  <si>
    <t>Dumala, H; Luszczuk, M; Piwowarczyk, J; Zielinski, T</t>
  </si>
  <si>
    <t>Dumala, Hanna; Luszczuk, Michal; Piwowarczyk, Joanna; Zielinski, Tymon</t>
  </si>
  <si>
    <t>Transnational Municipal Networks as a Mechanism for Marine Governance Toward Climate Change Adaptation and Mitigation: Between Potential and Practice</t>
  </si>
  <si>
    <t>climate change; adaptation; mitigation; networking; transnational municipal networks (TMNs); coastal cities</t>
  </si>
  <si>
    <t>SUSTAINABLE DEVELOPMENT GOALS; GLOBAL GOVERNANCE; ENVIRONMENTAL GOVERNANCE; CITIES; LEVEL; FUTURE; ARRANGEMENTS; PROTECTION; INNOVATION; DIFFUSION</t>
  </si>
  <si>
    <t>Many municipalities undertake actions individually and/or collectively, in cooperation with central administrations, regional authorities, the private sector, and other municipalities (both nationally and internationally). This paper aims to examine how they use transnational municipal networks (TMNs) as a tool for cooperation that supports marine governance in the context of climate change adaptation and mitigation. The analysis is carried out at two dimensions: spatial range (global or regional) and spatial identity (coastal or inland). Three case studies of TMNs are examined in detail: the C40 Cities Climate Leadership Group (C40); Connecting Delta Cities (CDC) and the Union of Baltic Cities (UBC). As research has shown, due to their organizational and normative limitations and a lack of maturity in ocean literacy, TMNs are not able to fully engage in all the activities related to climate change adaptation and mitigation as suggested by the UNEP. The TMNs implement both mitigation and adaptation measures, although 'soft' mitigation actions seem to be the most common. While the scale and innovativeness of a networks' operation are determined by their specificity resulting from their spatial identity, the effectiveness of jointly developed strategies and actions depend heavily on the allocation of human resources and the level of commitment of the involved cities toward becoming leaders.</t>
  </si>
  <si>
    <t>[Dumala, Hanna] Marie Curie Sklodowska Univ, Inst Polit Sci &amp; Adm, Dept Int Relat, Lublin, Poland; [Luszczuk, Michal] Marie Curie Sklodowska Univ, Inst Socioecon Geog &amp; Spatial Management, Dept Social &amp; Econ Geog, Lublin, Poland; [Piwowarczyk, Joanna; Zielinski, Tymon] Polish Acad Sci, Inst Oceanol, Sopot, Poland</t>
  </si>
  <si>
    <t>Maria Curie-Sklodowska University; Maria Curie-Sklodowska University; Polish Academy of Sciences; Institute of Oceanology of the Polish Academy of Sciences</t>
  </si>
  <si>
    <t>Dumala, H (corresponding author), Marie Curie Sklodowska Univ, Inst Polit Sci &amp; Adm, Dept Int Relat, Lublin, Poland.</t>
  </si>
  <si>
    <t>hanna.dumala@umcs.eu</t>
  </si>
  <si>
    <t>Luszczuk, Michal/O-8510-2015</t>
  </si>
  <si>
    <t>Luszczuk, Michal/0000-0003-4655-2612; Zielinski, Tymon/0000-0003-4712-8899</t>
  </si>
  <si>
    <t>Acuto M, 2013, REV INT STUD, V39, P835, DOI 10.1017/S0260210512000502; Andonova LB, 2017, INT STUD QUART, V61, P253, DOI 10.1093/isq/sqx014; Andonova LB, 2009, GLOBAL ENVIRON POLIT, V9, P52, DOI 10.1162/glep.2009.9.2.52; [Anonymous], 2012, MEAS MAN CDP CIT 201; [Anonymous], 1994, GLOBAL CITY; [Anonymous], 2017, GOVERNING GOALS SUST; [Anonymous], 2004, CONTENT ANAL INTRO I; [Anonymous], 2020, The effects of climate change; [Anonymous], 2012, The Oxford handbook of governance; [Anonymous], About; [Anonymous], 2018, GOVERNING CLIMATE CH, DOI DOI 10.1145/3284179.3284345; [Anonymous], 2019, Governance for the Sustainable Development Goals: Exploring an Integrative Framework of Theories, Tools, and Competencies, DOI 10.1007/978-981-13-0475-0; [Anonymous], 2012, MAK CAS EC BAS AD BU; Bäckstrand K, 2008, GLOBAL ENVIRON POLIT, V8, P74, DOI 10.1162/glep.2008.8.3.74; Bansard JS, 2017, INT ENVIRON AGREEM-P, V17, P229, DOI 10.1007/s10784-016-9318-9; Barthold S, 2019, ROUT STUD URB CIT, P147; Baycan-Levent T, 2010, EUR PLAN STUD, V18, P1187, DOI 10.1080/09654311003791259; Berkowitz H, 2020, MAR POLICY, V118, DOI 10.1016/j.marpol.2020.104026; Betsill MM, 2004, INT STUD QUART, V48, P471, DOI 10.1111/j.0020-8833.2004.00310.x; Biermann F, 2017, CURR OPIN ENV SUST, V26-27, P26, DOI 10.1016/j.cosust.2017.01.010; Bouteligier S, 2013, INNOVATION-ABINGDON, V26, P251, DOI 10.1080/13511610.2013.771890; Bouteligier Sofie., 2013, Cities, networks, and global environmental governance: spaces of innovation, places of leadership; Bouteligier Sofie., 2014, The Power of Cities in International Relations, P57; Broto VC, 2013, GLOBAL ENVIRON CHANG, V23, P92, DOI 10.1016/j.gloenvcha.2012.07.005; Bulkeley H., 2003, J ENV POLICY PLANNIN, V5, P235, DOI DOI 10.1080/1523908032000154179; Busch H, 2018, URBAN CLIM, V24, P221, DOI 10.1016/j.uclim.2018.03.004; C40, CLIMATE CHANGE ADAPT; C40, 2019, C40 CIT ANN REP; C40, NETWORKS; C40, 2016, 10 YEARS RES; C40, C40 OV; C40, NETW OV; CAMAGNI RP, 1993, URBAN STUD, V30, P1053, DOI 10.1080/00420989320080941; Cannarella C, 2008, TRAMES-J HUMANIT SOC, V12, P215, DOI 10.3176/tr.2008.2.06; Cassi L, 2008, ECON INNOV NEW TECH, V17, P663, DOI 10.1080/10438590701785603; CDC, 2017, C40 CDC; Chee SY, 2017, GLOB ECOL CONSERV, V12, P80, DOI 10.1016/j.gecco.2017.08.005; Collet I., 2013, STAT FOCUS 30 2013; Conti S., 1989, INT SEM EFF CITT SIS; Conti S., 1993, GEOGR ANN B, V75, P115, DOI [10.1080/04353684.1993.11879655, DOI 10.1080/04353684.1993.11879655]; Donatti CI, 2020, CLIMATIC CHANGE, V158, P413, DOI 10.1007/s10584-019-02565-9; DUMALA H., 2012, TRANSNARODOWE SIECI; Dupuis J, 2013, GLOBAL ENVIRON CHANG, V23, P1476, DOI 10.1016/j.gloenvcha.2013.07.022; Ercole E., 1997, European integration and local government, P219; Feldman DL, 2012, FUTURES, V44, P787, DOI 10.1016/j.futures.2012.07.007; [Field C.B. IPCC. IPCC.], 2012, MANAGING RISKS EXTRE, P555; Field CB, 2014, CLIMATE CHANGE 2014: IMPACTS, ADAPTATION, AND VULNERABILITY, PT A: GLOBAL AND SECTORAL ASPECTS, P1; Florini A, 2018, ASIA PAC POLICY STUD, V5, P583, DOI 10.1002/app5.252; Forsman M., 2003, Journal of International Business Studies - Literature Review, V3, P1; Glass LM, 2019, EARTH SYST GOV-NETH, V2, DOI 10.1016/j.esg.2019.100031; Grainger-Brown J, 2019, SUSTAINABILITY-BASEL, V11, DOI 10.3390/su11051381; Gruber N, 2019, SCIENCE, V363, P1193, DOI 10.1126/science.aau5153; Hajer M, 2015, SUSTAINABILITY-BASEL, V7, P1651, DOI 10.3390/su7021651; Halkier H., 1997, NETWORKS DEV AGENCIE; Hallegatte S, 2013, NAT CLIM CHANGE, V3, P802, DOI [10.1038/NCLIMATE1979, 10.1038/nclimate1979]; Hay CC, 2015, NATURE, V517, P481, DOI 10.1038/nature14093; Heikkinen M, 2020, J CLEAN PROD, V257, DOI 10.1016/j.jclepro.2020.120474; Juhola S, 2011, ENVIRON SCI POLICY, V14, P239, DOI 10.1016/j.envsci.2010.12.006; Kenis Patrick., 1991, POLICY NETWORKS EMPI, P25; Kern K, 2009, JCMS-J COMMON MARK S, V47, P309, DOI 10.1111/j.1468-5965.2009.00806.x; Kern K, 2011, J BALTIC STUD, V42, P21, DOI 10.1080/01629778.2011.538517; Kopp RE, 2017, EARTHS FUTURE, V5, P1217, DOI 10.1002/2017EF000663; Kotynska-Zielinska I, 2020, OCEANOLOGIA, V62, P576, DOI 10.1016/j.oceano.2020.03.006; Kulp SA, 2019, NAT COMMUN, V10, DOI 10.1038/s41467-019-12808-z; Lee T, 2013, GLOBAL ENVIRON POLIT, V13, P108, DOI 10.1162/GLEP_a_00156; Lincke D, 2018, GLOBAL ENVIRON CHANG, V51, P67, DOI 10.1016/j.gloenvcha.2018.05.003; Marsden P.V., 2000, Encyclopedia of sociology, V4th, P2727; Meredith M., 2019, IPCC special report on the ocean and cryosphere in a changing climate; Mingus M., 2007, Encyclopedia of governance, P601; Molenaar Arnoud, 2013, CONNECTING DELTA CIT; Nash KL, 2020, ONE EARTH, V2, P160, DOI 10.1016/j.oneear.2020.01.008; Nauels A, 2017, ENVIRON RES LETT, V12, DOI 10.1088/1748-9326/aa92b6; Niederhafner S, 2013, ASIA EUR J, V11, P377, DOI 10.1007/s10308-013-0365-3; Pakszys P, 2020, OCEANOLOGIA, V62, P593, DOI 10.1016/j.oceano.2020.03.004; Papin M, 2020, EARTH SYST GOV-NETH, V4, DOI 10.1016/j.esg.2020.100064; Papin M, 2019, INT ENVIRON AGREEM-P, V19, P467, DOI 10.1007/s10784-019-09446-7; Risse-Kappen T, 2009, BRINGING TRANSNATION; Rossignolo C, 2009, EUROPA XXI, V19, P11, DOI [10.7163/Eu21.2008.19.1, DOI 10.7163/EU21.2008.19.1]; Salomon M., 2009, GAWC RES B, V305; Salvia AL, 2019, J CLEAN PROD, V208, P841, DOI 10.1016/j.jclepro.2018.09.242; Sassen Saskia., 2002, GLOBAL NETWORKS LINK; Shi LD, 2016, NAT CLIM CHANGE, V6, P131, DOI 10.1038/NCLIMATE2841; Singh GG, 2018, MAR POLICY, V93, P223, DOI 10.1016/j.marpol.2017.05.030; Skea J., 2018, GLOBAL WARMING 1 5 F; Smeds E, 2018, GLOB POLICY, V9, P549, DOI 10.1111/1758-5899.12587; Strange Michael, 2012, Governance: Is It for Everyone?, P49; Taylor Peter., 2016, World City Network. A Global Urban Analysis; Tessler ZD, 2015, SCIENCE, V349, P638, DOI 10.1126/science.aab3574; Toly NJ, 2008, GLOBALIZATIONS, V5, P341, DOI 10.1080/14747730802252479; UBC, 2019, RES CLIM CHANG AD CI; UBC, 2015, UBC STRAT FRAM 2016; UBC, INT REG; UBC, COMM; Un Atlas of the Oceans, 2020, FACTS; UNEP, 2020, CLIM AD; UNEP, 2015, ADD RES 1 8 EC BAS A; UNEP, 2019, UNEP PROGR PERF REP; UNEP, PUTT EN HEART PEOPL; UNESCO, 2020, OC LIT PORT; van der Heijden J, 2018, GOVERNING CLIMATE CHANGE: POLYCENTRICITY IN ACTION?, P81; van Leeuwen J, 2010, MAR POLICY, V34, P590, DOI 10.1016/j.marpol.2009.11.006; van Tatenhove JPM, 2013, OCEAN COAST MANAGE, V71, P296, DOI 10.1016/j.ocecoaman.2012.11.004; Varitiainen P, 2000, METHOD DESCRIPTION U; Vierros M, 2017, UN CHRON, V54, P66, DOI [10.18356/ec606c8a-en, DOI 10.18356/EC606C8A-EN]; Visseren-Hamakers IJ, 2015, CURR OPIN ENV SUST, V14, P136, DOI 10.1016/j.cosust.2015.05.008; Ward S, 1997, J COMMON MARK STUD, V35, P439, DOI 10.1111/1468-5965.00069; Wong PP, 2014, CLIMATE CHANGE 2014: IMPACTS, ADAPTATION, AND VULNERABILITY, PT A: GLOBAL AND SECTORAL ASPECTS, P361; Woodruff Sierra C., 2016, Nature Climate Change, V6, P796, DOI 10.1038/nclimate3012; Xue L, 2018, SUSTAIN DEV, V26, P150, DOI 10.1002/sd.1726; Zaucha J., 2014, The key to governing the fragile Baltic Sea. Maritime spatial planning in the Baltic Sea</t>
  </si>
  <si>
    <t>JUN 4</t>
  </si>
  <si>
    <t>10.3389/fmars.2021.626119</t>
  </si>
  <si>
    <t>SU1YT</t>
  </si>
  <si>
    <t>WOS:000662938700001</t>
  </si>
  <si>
    <t>Penca, J</t>
  </si>
  <si>
    <t>Penca, Jerneja</t>
  </si>
  <si>
    <t>Mainstreaming Sustainable Consumption of Seafood Through Enhanced Mandatory Food Labeling</t>
  </si>
  <si>
    <t>responsible consumption; sustainable seafood; shared responsibility; mandatory labeling; seafood supply chain; food traceability; transparency; ocean literacy</t>
  </si>
  <si>
    <t>IMPROVEMENT PROJECTS; WILD FISH; FISHERIES; CERTIFICATION; TRACEABILITY; INFORMATION; SCALE; KNOWLEDGE; EU; RESPONSIBILITY</t>
  </si>
  <si>
    <t>To contribute to the debate about sustainable seafood consumption, this article considers the role of mandatory food labeling. The article first flags the rise of a policy paradigm of shared responsibility and policy imperatives at various levels calling for increased integration of the citizen/consumer into public regimes, including in fisheries governance. It then explores the options available to citizen/consumers to engage in the fisheries regime in different stages of the value chain and evaluates their readiness to respond to the expectations. Mandatory food labeling of seafood is introduced as an under-unexplored governance tool, alongside the key enabling technological and policy trends. The rise of transparency and traceability, both as norms and a set of technological capabilities, is highlighted as an opportunity for implementation of mandatory seafood labeling. While recognizing equity challenges and various supplementary actions needed to ensure an effective behavioral and attitudinal shift toward more engaged governance (better education and enforcement and an enabling social setting), the article suggests to further explore mandatory labeling within the governance toolbox. It should be particularly relevant in the context of developed markets with global trade and political influence, and as means of fostering ocean literacy and transparent, participative and deliberative kind of governance.</t>
  </si>
  <si>
    <t>[Penca, Jerneja] Euro Mediterranean Univ, Piran, Slovenia</t>
  </si>
  <si>
    <t>Penca, J (corresponding author), Euro Mediterranean Univ, Piran, Slovenia.</t>
  </si>
  <si>
    <t>Jerneja.penca@emuni.si</t>
  </si>
  <si>
    <t>Slovenian Research Agency [Z5-8239]</t>
  </si>
  <si>
    <t>Slovenian Research Agency(Slovenian Research Agency - Slovenia)</t>
  </si>
  <si>
    <t>This research was financially supported by the Slovenian Research Agency (Project code: ID Z5-8239).</t>
  </si>
  <si>
    <t>Abalobi, 2019, MANIFESTO; Accenture, 2020, COVID 19 WILL PERM C; Agnew DJ, 2014, ICES J MAR SCI, V71, P216, DOI 10.1093/icesjms/fst091; Akenji L, 2014, J CLEAN PROD, V63, P13, DOI 10.1016/j.jclepro.2013.05.022; Aksnes D. L., 2017, FOOD OCEANS CAN MORE; Alemanno A, 2012, EUR J RISK REGUL, V3, P32, DOI 10.1017/S1867299X00001781; [Anonymous], 2001, INT PLAN ACTION PREV; [Anonymous], 2015, Trade for All-Towards a More Responsible Trade and Investment Policy; Arditi S., 2013, REVISING EU ENERGY L; Badia-Melis R, 2015, FOOD CONTROL, V57, P393, DOI 10.1016/j.foodcont.2015.05.005; Bailey M, 2018, FISH FISH, V19, P782, DOI 10.1111/faf.12289; Bailey M, 2016, CURR OPIN ENV SUST, V18, P25, DOI 10.1016/j.cosust.2015.06.004; Bailey M, 2016, J ENVIRON POL PLAN, V18, P141, DOI 10.1080/1523908X.2015.1063042; Barclay K, 2018, SUSTAINABILITY-BASEL, V10, DOI 10.3390/su10010180; Barr R, 2019, MAR POLICY, V105, P109, DOI 10.1016/j.marpol.2019.02.053; Berkes F, 2006, ECOL SOC, V11; Berkes F, 2009, J ENVIRON MANAGE, V90, P1692, DOI 10.1016/j.jenvman.2008.12.001; BEUC The European Consumer Organisation, 2020, ON BIT TIM CONS TRAN; Blaha F., 2020, FAO Fisheries and Aquaculture Circular, DOI 10.4060/ca8751en; Bonney R, 2009, BIOSCIENCE, V59, P977, DOI 10.1525/bio.2009.59.11.9; Boonstra WJ, 2018, MAR POLICY, V87, P340, DOI 10.1016/j.marpol.2017.09.007; Borit M., 2020, 1197 FAO; Brunnee J., 2008, The Oxford Handbook of International Environmental Law; Bush S.R., 2019, Governing sustainable seafood; Bush SR, 2017, MAR POLICY, V77, P130, DOI 10.1016/j.marpol.2016.12.019; Bush SR, 2013, MAR POLICY, V37, P288, DOI 10.1016/j.marpol.2012.05.011; Cannon J, 2018, MAR POLICY, V97, P179, DOI 10.1016/j.marpol.2018.06.007; Charlebois S, 2014, COMPR REV FOOD SCI F, V13, P1104, DOI 10.1111/1541-4337.12101; Christian C, 2013, BIOL CONSERV, V161, P10, DOI 10.1016/j.biocon.2013.01.002; Cowburn G, 2005, PUBLIC HEALTH NUTR, V8, P21, DOI [10.1079/PHN2005666, 10.1079/PHN2004666]; Crona BI, 2016, FISH FISH, V17, P1175, DOI 10.1111/faf.12109; Cude B.J., 1993, Journal of Consumer Studies and Home Economics, V17, P207; D.-G. f. C. European Commission, 2017, SPEC EUR; D.-G. f. C. European Commission, 2018, SPEC EUR; D'Amico P, 2016, MAR POLICY, V71, P147, DOI 10.1016/j.marpol.2016.05.026; D'Amico P, 2014, FOOD CONTROL, V35, P7, DOI 10.1016/j.foodcont.2013.06.029; Deere C.L, 1999, ECOLABELLING SUSTAIN; Deloitte, 2017, US BLOCKCH INT OF TH; Dowling NA, 2019, FISH FISH, V20, P174, DOI 10.1111/faf.12329; Duggan DE, 2016, MAR POLICY, V67, P30, DOI 10.1016/j.marpol.2016.01.008; Duggan GL, 2020, MARIT STUD, V19, P193, DOI 10.1007/s40152-020-00175-1; Eden S, 2008, GEOFORUM, V39, P1044, DOI 10.1016/j.geoforum.2007.11.001; Esposito G, 2017, REG STUD MAR SCI, V9, P56, DOI 10.1016/j.rsma.2016.11.007; European Commission, 2006, LAB COMP CONS INF BE; European Commission, 2018, CONS INF; European Commission, 2018, INS EAT BUY SELL SUS; European Commission, 2018, INS MEDFISH4EVER; European Commission, 2016, INT OC GOV; FAO, 2022, STATE WORLD FISHERIE, DOI [10.4060/ca9229en, 10.4060/cc0461en, DOI 10.4060/CA9229EN]; FAO, 2017, FOOD TRAC GUID; FAO, 2017, VOL GUID CATCH DOC S; Farmery AK, 2020, FISH FISH, V21, P844, DOI 10.1111/faf.12467; Fiorino GM, 2018, J FOOD QUALITY, DOI 10.1155/2018/1581746; Foley P, 2016, GEOFORUM, V69, P24, DOI 10.1016/j.geoforum.2015.11.015; Food and Agriculture Organization (FAO), 2015, VOL GUID SEC SUST SM; Gale F, 2011, INT POLIT ECON SER, P1, DOI 10.1057/9780230304697; Gardiner P.R., 2004, WorldFish Center Studies and Reviews, V27, P44; Global Economic Forum, 2015, SHAR RESP NEW PAR SU; Goyert W, 2010, MAR POLICY, V34, P1103, DOI 10.1016/j.marpol.2010.03.010; Gulbrandsen LH, 2009, MAR POLICY, V33, P654, DOI 10.1016/j.marpol.2009.01.002; Gutierrez A, 2014, SUSTAINABILITY-BASEL, V6, P8195, DOI 10.3390/su6118195; Gutiérrez AT, 2017, OCEAN COAST MANAGE, V135, P79, DOI 10.1016/j.ocecoaman.2016.10.016; Hadjimichael M, 2016, FISH RES, V174, P129, DOI 10.1016/j.fishres.2015.09.012; Hallstein E, 2013, J ENVIRON ECON MANAG, V66, P52, DOI 10.1016/j.jeem.2013.01.003; Hallström E, 2019, J CLEAN PROD, V230, P402, DOI 10.1016/j.jclepro.2019.04.229; Heiskanen E., 2019, RES AGENDA SUSTAINAB; Helyar SJ, 2014, PLOS ONE, V9, DOI 10.1371/journal.pone.0098691; Hilger J, 2019, ENVIRON RESOUR ECON, V73, P307, DOI 10.1007/s10640-018-0264-6; Hosch G., 2017, 619 FAO; Iles A, 2007, J CLEAN PROD, V15, P577, DOI 10.1016/j.jclepro.2006.06.001; Irwin A., 2002, Citizen Science: A Study of People, Expertise and Sustainable Development, DOI DOI 10.4324/9780203202395; ISEAL Alliance, 2018, SYST IMP VOL SUST ST; Jacobs BW, 2012, PROD OPER MANAG, V21, P85, DOI 10.1111/j.1937-5956.2011.01246.x; Jacquet J, 2010, ORYX, V44, P45, DOI 10.1017/S0030605309990470; Jacquet JL, 2007, MAR POLICY, V31, P308, DOI 10.1016/j.marpol.2006.09.003; Jonell M, 2016, SUSTAINABILITY-BASEL, V8, DOI 10.3390/su8090884; Kittinger JN, 2017, SCIENCE, V356, P912, DOI 10.1126/science.aam9969; Kooiman J., 2013, Mare publication Series, V7; Kurzer P, 2013, J EUR PUBLIC POLICY, V20, P722, DOI 10.1080/13501763.2012.751703; Leal MC, 2015, TRENDS BIOTECHNOL, V33, P331, DOI 10.1016/j.tibtech.2015.03.003; Lehner M, 2016, J CLEAN PROD, V134, P166, DOI 10.1016/j.jclepro.2015.11.086; Lenzen M, 2007, ECOL ECON, V61, P27, DOI 10.1016/j.ecolecon.2006.05.018; Madin EMP, 2015, MAR POLICY, V57, P178, DOI 10.1016/j.marpol.2015.03.009; Marine Stewardship Council, 2011, HARN MARK FORC POS E; Marine Stewardship Council, 2018, TRACK FISH; Marine Stewardship Council, 2018, GOOD FISH GUID YOUR; Mayes C, 2014, SOC THEOR HEALTH, V12, P376, DOI 10.1057/sth.2014.12; McClenachan L, 2016, FISH FISH, V17, P825, DOI 10.1111/faf.12148; Miller D, 2012, FISH FISH, V13, P345, DOI 10.1111/j.1467-2979.2011.00426.x; Miller DD, 2010, FRONT ECOL ENVIRON, V8, P517, DOI 10.1890/090212; Mitchell VW, 2005, ADV CONSUM RES, V32, P143; Mol APJ, 2015, J CLEAN PROD, V107, P154, DOI 10.1016/j.jclepro.2013.11.012; Mont O., 2019, RES AGENDA SUSTAINAB, DOI DOI 10.4337/9781788117814; Nollkaemper Andre., 2013, MICH. J. INT'L L, V34, P359; O'Brien K, 2013, PROG HUM GEOG, V37, P587, DOI 10.1177/0309132512469589; Oceana, 2016, DEC DISH SEAF SWAPS; Oken E, 2012, ENVIRON HEALTH PERSP, V120, P790, DOI 10.1289/ehp.1104500; Ostrom E, 2010, GLOBAL ENVIRON CHANG, V20, P550, DOI 10.1016/j.gloenvcha.2010.07.004; Ostrom Elinor., 1990, GOVERNING COMMONS EV, DOI DOI 10.1017/CBO9780511807763; Owens S, 2000, ENVIRON PLANN A, V32, P1141, DOI 10.1068/a3330; Parkes G, 2010, REV FISH SCI, V18, P344, DOI 10.1080/10641262.2010.516374; Penca J, 2019, TRANSNATL ENVIRON LA, V8, P143, DOI 10.1017/S2047102518000328; Pérez-Ramírez M, 2012, MAR POLICY, V36, P297, DOI 10.1016/j.marpol.2011.06.013; Ploeger A., 2014, THESIS; Ponte S, 2012, J AGRAR CHANGE, V12, P300, DOI 10.1111/j.1471-0366.2011.00345.x; Probst WN, 2020, ICES J MAR SCI, V77, P1286, DOI 10.1093/icesjms/fsz036; Purnhagen K, 2014, ST EUR ECON LAW REGU, V3, P315, DOI 10.1007/978-3-319-04903-8_15; Richter I, 2017, SUSTAINABILITY-BASEL, V9, DOI 10.3390/su9122313; Richter IGM, 2017, FOODS, V6, DOI 10.3390/foods6100086; Roheim C.A., 2008, SEAFOOD ECOLABELLING, P38; Salladarre F., 2010, Journal of Agricultural Food Industrial Organization, V8, DOI [DOI 10.2202/1542-0485.1308, 10.2202/1542-0485.1308]; Sampson GS, 2015, SCIENCE, V348, P504, DOI 10.1126/science.aaa4639; Schebesta H, 2016, EUR J RISK REGUL, V7, P784, DOI 10.1017/S1867299X00010205; Science Advice for Policy by European Academies, 2020, SUST FOOD SYST EUR U; SeaBOS and GDST, 2019, JOINT STAT SEABOS GD; SeafoodSource, 2020, SEAFOODSOURCE 0410; Secretaria I. C., 2012, ENV LABELS DECLARATI; Silvertown J, 2009, TRENDS ECOL EVOL, V24, P467, DOI 10.1016/j.tree.2009.03.017; Slowfood, 2018, SLOWFOOD; Sustainable Development Goals [SDG], 2019, SUST DEV GOALS; Thrane M, 2009, J CLEAN PROD, V17, P416, DOI 10.1016/j.jclepro.2008.08.007; Tlusty M, 2012, SUSTAINABILITY-BASEL, V4, P2038, DOI 10.3390/su4092038; Tlusty MF, 2017, FISH FISH, V18, P340, DOI 10.1111/faf.12170; Uchida H, 2014, AUST J AGR RESOUR EC, V58, P263, DOI 10.1111/1467-8489.12036; Van der Marel E., 2019, STRENGTHENING INT FI; Wakamatsu M, 2017, MAR POLICY, V77, P97, DOI 10.1016/j.marpol.2016.12.016; Ward T., 2008, SEAFOOD ECOLABELLING, P1, DOI [DOI 10.1002/9781444301380.CH1, 10.1002/9781444301380.ch1]; Wartella A., 2010, Examination of front-of-package nutrition rating systems and symbols: Phase I report, DOI DOI 10.17226/12957; Wessells Cathy., 2001, PRODUCT CERTIFICATIO, V422; Witter A, 2017, MAR POLICY, V80, P130, DOI 10.1016/j.marpol.2016.09.023; World Wide Fund for Nature, 2018, GET KNOW YOUR SEAF; Zander K, 2018, J INT FOOD AGRIBUS M, V30, P251, DOI 10.1080/08974438.2017.1413611; Zelasney J., 2020, 652 FAO; 2018, LEGACY STOCK ASSESSM</t>
  </si>
  <si>
    <t>DEC 17</t>
  </si>
  <si>
    <t>10.3389/fmars.2020.598682</t>
  </si>
  <si>
    <t>PH9DH</t>
  </si>
  <si>
    <t>WOS:000600703300001</t>
  </si>
  <si>
    <t>Lucrezi, S; Milanese, M; Danovaro, R; Cerrano, C</t>
  </si>
  <si>
    <t>Lucrezi, Serena; Milanese, Martina; Danovaro, Roberto; Cerrano, Carlo</t>
  </si>
  <si>
    <t>Generation Nemo': motivations, satisfaction and career goals of marine biology students</t>
  </si>
  <si>
    <t>Students; marine biology; career; informal learning; scuba diving</t>
  </si>
  <si>
    <t>HIGHER-EDUCATION; SCIENCE; CONSERVATION; ASPIRATIONS; PERCEPTIONS; ATTITUDES; CHOICES; PARTICIPATION; EXPERIENCES; CURRICULUM</t>
  </si>
  <si>
    <t>Marine biology is an increasingly preferred study major and career among youth. This is particularly the case of countries with extensive coastlines, such as Italy. In order to understand what exactly is fuelling this trend, and whether it culminates in the successful absorption of marine biologists as valued workforce by society, this study investigated the motivations, satisfaction and career goals of marine biology undergraduate students in Italy. Although it was expected that scientific literacy in formal education plays an important role in motivating marine biology students, the results showed that intrinsic motivations and informal education play a more crucial role. The students consider realistic career options, although these imply having to leave the country. The results of this study were used to make recommendations on the importance of marine and ocean literacy in the formal educational system in Italy, and the general improvement of scientific literacy in formal school education. Recommendations were also made on the potential improvements that can be made by higher education institutions, to better equip marine biologists with the skills required by emerging sectors in society. Finally, considerations were made regarding the dimensioning of supply, offer and marketing of employment opportunities for marine biologists in Italy.</t>
  </si>
  <si>
    <t>[Lucrezi, Serena] North West Univ, TREES, Potchefstroom, South Africa; [Milanese, Martina] Studio Associato GAZA Snc, Genoa, Italy; [Danovaro, Roberto; Cerrano, Carlo] Polytech Univ Marche, UO CoNISMa, Dept Life &amp; Environm Sci DiSVA, Ancona, Italy; [Danovaro, Roberto] Staz Zool Anton Dohrn, Naples, Italy</t>
  </si>
  <si>
    <t>North West University - South Africa; Stazione Zoologica Anton Dohrn di Napoli</t>
  </si>
  <si>
    <t>Lucrezi, S (corresponding author), North West Univ, TREES, Potchefstroom, South Africa.</t>
  </si>
  <si>
    <t>Cerrano, Carlo/AAF-3557-2019</t>
  </si>
  <si>
    <t>Cerrano, Carlo/0000-0001-9580-5546</t>
  </si>
  <si>
    <t>Green Bubbles RISE project [H2020-MSCA-RISE-2014]; European Union Horizon 2020 research and innovation programme under the Marie Sklodowska-Curie [643712]</t>
  </si>
  <si>
    <t>Green Bubbles RISE project [H2020-MSCA-RISE-2014]; European Union Horizon 2020 research and innovation programme under the Marie Sklodowska-Curie</t>
  </si>
  <si>
    <t>This study was funded by the Green Bubbles RISE project, [H2020-MSCA-RISE-2014]. The project has received funding from the European Union Horizon 2020 research and innovation programme under the Marie Sklodowska-Curie [grant agreement number 643712].</t>
  </si>
  <si>
    <t>Amato A., 2001, REV JURIDIQUE ENV, V26, P277, DOI [10.3406/rjenv.2001.3860, DOI 10.3406/RJENV.2001.3860]; Angell C, 2004, SCI EDUC, V88, P683, DOI 10.1002/sce.10141; [Anonymous], 2012, FATTO QUOTIDIAN 1011; Archer L, 2014, J EDUC POLICY, V29, P58, DOI 10.1080/02680939.2013.790079; Aschbacher PR, 2010, J RES SCI TEACH, V47, P564, DOI 10.1002/tea.20353; Baumgartner E, 2008, ENVIRON EDUC RES, V14, P97, DOI 10.1080/13504620801951640; Beggs J.M., 2008, College Student Journal, V42, P381; Bertonelli E., 2003, SCHEDE; Bianco M, 2016, AQUAT CONSERV, V26, P225, DOI 10.1002/aqc.2650; Boe MV, 2011, STUD SCI EDUC, V47, P37, DOI 10.1080/03057267.2011.549621; Bojuwoye O.y., 2006, Journal of Psychology in Africa, V16, P3, DOI 10.1080/14330237.2006.10820099; Braund M, 2006, INT J SCI EDUC, V28, P1373, DOI 10.1080/09500690500498419; Brito C., 2016, PERSPECTIVES OCEANS, P175, DOI DOI 10.1007/978-94-017-7496-3_10; Brylske A., 2013, P 2013 AAUS ESDP CUR, P17; Carr K., 2016, Management in Education, V30, P126, DOI [10.1177/0892020616653177, DOI 10.1177/0892020616653177]; Castle Z, 2010, OCEAN YEARB, V24, P425, DOI 10.1163/22116001-90000066; Centro Studi Orientamento, 2017, LM06 CLASS LAUR MAG; Cerrano C, 2017, AQUAT CONSERV, V27, P303, DOI 10.1002/aqc.2663; Colleton N, 2016, AQUAT CONSERV, V26, P213, DOI 10.1002/aqc.2697; Cooke R., 2006, INT J LEARNING, V13, P9; Creswell J.W., 2009, Research design: Qualitative, quantitative and mixed methods design, P203; Daniels LM, 2011, SOC PSYCHOL EDUC, V14, P409, DOI 10.1007/s11218-010-9151-x; DeWitt J, 2013, INT J SCI EDUC, V35, P1037, DOI 10.1080/09500693.2011.608197; DiSVA ( Department of Life and Environmental Sciences), 2017, DAT ALMALAUREA COND; DiSVA (Department of Life and Environmental Sciences), 2017, TEACHING; Eidimtas A, 2014, PROCD SOC BEHV, V116, P3983, DOI 10.1016/j.sbspro.2014.01.877; Elliott K., 2010, Teaching Science, V56, P13; European Commission, 2015, CAR BLUE EC CLOS SKI; FAO, 2017, NURT YOUNG SCI DEV C; Fauville G, 2013, MAR BIOL, V160, P1863, DOI 10.1007/s00227-012-1943-4; Fogg G. E., 1976, J BIOL EDUC, V10, P233, DOI [10.1080/00219266.1976.10668962, DOI 10.1080/00219266.1976.10668962]; Gavosto A., 2014, 1 CAPITALE SOCIALE U, P53; Gill ME, 2001, J BIOL EDUC, V35, P130, DOI 10.1080/00219266.2001.9655761; Goulder R, 2013, INT J SCI EDUC, V35, P1385, DOI 10.1080/09500693.2012.708796; Guest H, 2015, MAR POLICY, V58, P98, DOI 10.1016/j.marpol.2015.04.007; Hamilton LC, 2015, SOC NATUR RESOUR, V28, P57, DOI 10.1080/08941920.2014.933926; Häussler P, 2000, SCI EDUC, V84, P689, DOI 10.1002/1098-237X(200011)84:6&lt;689::AID-SCE1&gt;3.0.CO;2-L; Hawkins JP, 2016, MAR POLLUT BULL, V111, P231, DOI 10.1016/j.marpolbul.2016.07.003; Henderson D, 2007, J BIOL EDUC, V41, P156, DOI 10.1080/00219266.2007.9656091; Holmegaard HT, 2014, SCAND J EDUC RES, V58, P21, DOI 10.1080/00313831.2012.696212; Jefferson RL, 2014, MAR POLICY, V43, P327, DOI 10.1016/j.marpol.2013.07.004; Jefferson R, 2015, OCEAN COAST MANAGE, V115, P61, DOI 10.1016/j.ocecoaman.2015.06.014; Jenkins E, 2016, J BIOL EDUC, V50, P229, DOI 10.1080/00219266.2016.1202484; Kappel E. S., 2014, OCEANOGRAPHY, V27, P264; Kochung E., 2011, Journal of Emerging Trends in Educational Research and Policy Studies, V2, P81; Koutrakis ET, 2010, COAST MANAGE, V38, P354, DOI 10.1080/08920753.2010.487148; Kreiken W., 2008, STATE ART PUBLIC PAR; Lambert J, 2006, INT J SCI EDUC, V28, P633, DOI 10.1080/09500690500339795; Lang M. A., 2013, SMITHSONIAN CONTRIBU, V39, P267; Liuni L., 2016, FATTO QUOTIDIAN 1119; Longhi S., 2017, CORRIERE ADRIAT 0302; Lopatto David, 2007, CBE Life Sci Educ, V6, P297, DOI 10.1187/cbe.07-06-0039; Lucrezi S, 2017, TOURISM MANAGE, V59, P385, DOI 10.1016/j.tourman.2016.09.004; Lyons T, 2006, INT J SCI EDUC, V28, P591, DOI 10.1080/09500690500339621; Lyons T., 2010, CHOOSING SCI UNDERST; Malgwi CA, 2005, J EDUC BUS, V80, P275, DOI 10.3200/JOEB.80.5.275-282; Maltese AV, 2011, SCI EDUC, V95, P877, DOI 10.1002/sce.20441; McKinley E, 2012, MAR POLICY, V36, P839, DOI 10.1016/j.marpol.2011.11.001; Miglietta AM, 2008, VISIT STUD, V11, P213, DOI 10.1080/10645570802355984; Militerno A., 2004, LINEE ESSENZIALI SCU; Nicoll R, 2016, AQUAT CONSERV, V26, P142, DOI 10.1002/aqc.2678; Owen R., 2014, MARINE BIOL; Pearse John S., 2013, Smithsonian Contributions to the Marine Sciences, P133; Piante C, 2015, BLUE GROWTH MEDITERR; Plankis B.J., 2010, INT ELECT J ENV ED, V1, P21; Powell C.B., 2012, Texas Science Teacher, V41, P17; Prévot AC, 2018, ENVIRON EDUC RES, V24, P263, DOI 10.1080/13504622.2016.1249456; Prokop P, 2007, J BIOL EDUC, V42, P36, DOI 10.1080/00219266.2007.9656105; Ritchie J., 2003, QUALITATIVE RES PRAC, P24; Robertson IJ, 2000, INT J SCI EDUC, V22, P1201, DOI 10.1080/09500690050166751; Rochette Julien, 2009, Journal of Coastal Conservation, V13, P131, DOI 10.1007/s11852-009-0051-1; Sacchelli O., 2015, IL GIORNALE; Salehjee S, 2015, INT J SCI EDUC, V37, P727, DOI 10.1080/09500693.2015.1013075; Sauermann H, 2012, PLOS ONE, V7, DOI 10.1371/journal.pone.0036307; Shapiro HG, 2016, BIODIVERS CONSERV, V25, P539, DOI 10.1007/s10531-016-1067-0; SMAIL JR, 1988, AM BIOL TEACH, V50, P484, DOI 10.2307/4448807; Stanford University, 2017, CAR; Stepath C. M., 2006, THESIS; Stuckey M, 2013, STUD SCI EDUC, V49, P1, DOI 10.1080/03057267.2013.802463; Sullivan D, 2005, MAR TECHNOL SOC J, V39, P99, DOI 10.4031/002533205787465995; Talib M.A., 2009, European Journal of Social Sciences, V8, P215; Thiel M, 2014, OCEANOGR MAR BIOL, V52, P257; Thomas W. D., 2009, MARINE BIOL; Uitto A, 2014, INT J SCI MATH EDUC, V12, P1425, DOI 10.1007/s10763-014-9516-2; UNIVPM (Polytechnic University of Marche), 2016, CORS LAUR MAG BIOL M; Viteri F, 2014, ENVIRON EDUC RES, V20, P228, DOI 10.1080/13504622.2013.771734; Wang JJ, 2001, J EDUC RES, V94, P312, DOI 10.1080/00220670109598767; Woolston Chris, 2014, Nature, V516, P277; Wyss V.L., 2012, International Journal Of Environmental and Science Education, V7, P501</t>
  </si>
  <si>
    <t>10.1080/00219266.2017.1385509</t>
  </si>
  <si>
    <t>GW0VO</t>
  </si>
  <si>
    <t>WOS:000446587800005</t>
  </si>
  <si>
    <t>Lombardi, D; Sinatra, GM</t>
  </si>
  <si>
    <t>Lombardi, Doug; Sinatra, Gale M.</t>
  </si>
  <si>
    <t>Emotions about Teaching about Human-Induced Climate Change</t>
  </si>
  <si>
    <t>Teacher beliefs; Plausibility judgments and reasoning; Earth science education; Teacher emotions; Climate change</t>
  </si>
  <si>
    <t>CONCEPTUAL CHANGE; STUDENTS; PRESERVICE; ISSUES; EARTH; NEED</t>
  </si>
  <si>
    <t>Global climate change is receiving increasing attention as a classroom topic. At the same time, research has shown that individuals have strong emotions about the topic. Emotions about controversial topics and individuals' dispositions toward knowledge have been shown to influence judgments about these topics. This study examined the relationships among preservice elementary and in-service secondary science teachers' emotions about and plausibility perceptions of climate change, background knowledge of weather and climate distinctions (a principle related to understanding climate change), and dispositions toward knowledge. Teachers' topic emotions (anger and hopelessness) were significant predictors of plausibility perceptions, with more anger associated with lesser plausibility and greater hopelessness associated with higher plausibility. Decisivenessan urgent desire to reach closurewas also significantly related to plausibility perceptions with greater decisiveness associated with reduced plausibility perceptions. In-service secondary teachers who do not currently teach about climate change exhibited greater anger and decisiveness than preservice elementary teachers and in-service secondary teachers who do teach about climate change. Implications for climate literacy education are discussed.</t>
  </si>
  <si>
    <t>[Lombardi, Doug] Temple Univ, Dept Teaching &amp; Learning, Philadelphia, PA 19122 USA; [Sinatra, Gale M.] Univ So Calif, Rossier Sch Educ, Los Angeles, CA USA</t>
  </si>
  <si>
    <t>Pennsylvania Commonwealth System of Higher Education (PCSHE); Temple University; University of Southern California</t>
  </si>
  <si>
    <t>Lombardi, D (corresponding author), Temple Univ, Dept Teaching &amp; Learning, Philadelphia, PA 19122 USA.</t>
  </si>
  <si>
    <t>doug.lombardi@temple.edu</t>
  </si>
  <si>
    <t>Lombardi, Doug/D-6348-2013; Sinatra, Gale M./ABG-7853-2020</t>
  </si>
  <si>
    <t>Sinatra, Gale M./0000-0002-6545-587X; Lombardi, Doug/0000-0002-4172-318X</t>
  </si>
  <si>
    <t>[Anonymous], 2012, FRAM K 12 SCI ED PRA; [Anonymous], 2016, BECOMING QUALITATIVE; [Anonymous], CLIM CHANG 2007 SYNT; [Anonymous], HDB EMOTIONS ED; [Anonymous], WEATH CLIM EV; [Anonymous], PLAUSIBILITY J UNPUB; [Anonymous], INFLUENCE CRIT UNPUB; [Anonymous], 1989, LAY EPISTEMICS HUMAN; [Anonymous], EMOTION ED; [Anonymous], P AM ED RES ASS C AP; BARBA RH, 1992, J RES SCI TEACH, V29, P1021, DOI 10.1002/tea.3660291003; BOYES E, 1994, GLOBAL ENVIRON CHANG, V4, P311, DOI 10.1016/0959-3780(94)90031-0; BOYES E, 1993, INT J SCI EDUC, V15, P531, DOI 10.1080/0950069930150507; Broughton SH, 2013, RES SCI EDUC, V43, P529, DOI 10.1007/s11165-011-9274-x; Cacioppo JT, 1996, PSYCHOL BULL, V119, P197, DOI 10.1037/0033-2909.119.2.197; Chalmers A. F., 1999, WHAT IS THIS THING C; Chi MTH, 2005, J LEARN SCI, V14, P161, DOI 10.1207/s15327809jls1402_1; Choi S, 2010, B AM METEOROL SOC, V91, P889, DOI 10.1175/2009BAMS2625.1; DeVellis R.F., 2016, Scale development: Theory and applications, DOI DOI 10.1037/CCP0000482; Dole JA, 1998, EDUC PSYCHOL-US, V33, P109, DOI 10.1207/s15326985ep3302&amp;3_5; Eynde PO, 2006, EDUC PSYCHOL REV, V18, P361, DOI 10.1007/s10648-006-9031-2; George D., 2016, SPSS for Windows step by step: A simple guide and reference, V14th; Gowda MVR, 1997, B AM METEOROL SOC, V78, P2232; Gregoire M, 2003, EDUC PSYCHOL REV, V15, P147, DOI 10.1023/A:1023477131081; Griffith JA, 2004, J RES SCI TEACH, V41, P791, DOI 10.1002/tea.20027; Kim C, 2012, INSTR SCI, V40, P173, DOI 10.1007/s11251-011-9165-6; Kuhn D, 2000, J COGN DEV, V1, P113, DOI 10.1207/S15327647JCD0101N_11; Linnenbrink E. A., 2007, Emotion in Education, P107, DOI DOI 10.1016/B978-012372545-5/50008-3; Linnenbrink-Garcia L, 2011, CONTEMP EDUC PSYCHOL, V36, P13, DOI 10.1016/j.cedpsych.2010.09.001; Lombardi D, 2012, RES SCI EDUC, V42, P201, DOI 10.1007/s11165-010-9196-z; Moser SC, 2007, CREATING A CLIMATE FOR CHANGE: COMMUNICATING CLIMATE CHANGE AND FACILITATING SOCIAL CHANGE, P64, DOI 10.1017/CBO9780511535871.006; Moxnes E, 2009, CLIMATIC CHANGE, V93, P15, DOI 10.1007/s10584-008-9465-2; Overpeck J, 2010, SCIENCE, V328, P1642, DOI 10.1126/science.1186591; Papadimitriou V., 2004, J SCI EDUC TECHNOL, V13, P299, DOI [10.1023/B:JOST.0000031268.72848.6d, https://doi.org/10.1023/B:JOST.0000031268.72848.6d, DOI 10.1023/B:JOST.0000031268.72848.6D]; Pekrun R, 2006, EDUC PSYCHOL REV, V18, P315, DOI 10.1007/s10648-006-9029-9; PINTRICH PR, 1993, REV EDUC RES, V63, P167, DOI 10.2307/1170472; Posner G.J., 1982, Sci. Educ, V66, P211; Reeve J, 2009, EDUC PSYCHOL-US, V44, P159, DOI 10.1080/00461520903028990; Rescher N., 1976, Plausible reasoning: An introduction to the theory and practice of plausible inference, van gorcum; Sadler TD, 2009, STUD SCI EDUC, V45, P1, DOI 10.1080/03057260802681839; Schutz P.A., 2007, EMOTION ED, P223, DOI [DOI 10.1016/B978-012372545-5/50014-9, 10.1016/B978-012372545-5/50014-9]; Sinatra GM, 2012, INSTR SCI, V40, P1, DOI 10.1007/s11251-011-9166-5; Spradley J.P., 2016, PARTICIPANT OBSERVAT; Stevens J.P., 1992, APPL MULTIVARIATE ST; Tabachnick, 2007, USING MULTIVARIATE S, V5th; Trundle KC, 2007, J RES SCI TEACH, V44, P303, DOI 10.1002/tea.20121; U.S. Global change Research Program, 2009, Climate literacy: the essential principles of climate science; WEBSTER DM, 1994, J PERS SOC PSYCHOL, V67, P1049, DOI 10.1037/0022-3514.67.6.1049</t>
  </si>
  <si>
    <t>10.1080/09500693.2012.738372</t>
  </si>
  <si>
    <t>067UN</t>
  </si>
  <si>
    <t>WOS:000313320700007</t>
  </si>
  <si>
    <t>Siegner, A; Stapert, N</t>
  </si>
  <si>
    <t>Siegner, Alana; Stapert, Natalie</t>
  </si>
  <si>
    <t>Climate change education in the humanities classroom: a case study of the Lowell school curriculum pilot</t>
  </si>
  <si>
    <t>Climate change education; climate literacy; humanities framework</t>
  </si>
  <si>
    <t>CHANGE COMMUNICATION</t>
  </si>
  <si>
    <t>Climate change as an instructional topic in K-12 schools is most frequently taught in the science classroom. However, it is a human issue requiring social as well as technological and scientific solutions. This study analyzes and evaluates a climate change curriculum implemented via an integrated social studies and language arts framework in a middle school classroom. The curriculum reflects collaboration between a private school, a climate education non-profit, and a government agency (NOAA). Following the first year of implementation, student surveys, teacher interviews, and classroom observations comprise the primary tools of data collection and evaluation. Based off these data, students demonstrate high levels of climate literacy, improvements in reading comprehension, and overall engagement with the topic. Teachers report successes and challenges of teaching the curriculum, and administrators offer opportunities for scaling and implementing the curriculum in other schools and contexts (including public schools). Findings from this study are relevant to climate change curriculum developers, researchers, and educators seeking to incorporate an interdisciplinary, socio-scientific approach to climate change education in their work.</t>
  </si>
  <si>
    <t>[Siegner, Alana] Univ Calif Berkeley, Energy &amp; Resources Grp, Berkeley, CA 94720 USA; [Stapert, Natalie] Lowell Sch, Washington, DC USA</t>
  </si>
  <si>
    <t>Siegner, A (corresponding author), Univ Calif Berkeley, Energy &amp; Resources Grp, Berkeley, CA 94720 USA.</t>
  </si>
  <si>
    <t>National Science Foundation [DGE-1633740]</t>
  </si>
  <si>
    <t>This material is based upon work supported by the National Science Foundation under Grant No. DGE-1633740.</t>
  </si>
  <si>
    <t>[Anonymous], GUID K12 GLOB CLIM C; [Anonymous], 2010, CLIMATE CHANGE GENER; Ball S.J., 2012, SCH POLICY POLICY EN; Bigelow Bill., 2014, PEOPLES CURRICULUM E; Bogan B. L., 2012, US CHINA ED REV A, V12, P1053; Branch G., 2018, CLIMATE ED FUNDING W; Busch KC, 2019, ENVIRON EDUC RES, V25, P955, DOI 10.1080/13504622.2018.1514588; Busch K C., 2017, Oxford Research Encyclopedia of Climate Science, DOI DOI 10.1093/ACREFORE/9780190228620.013.572; Chiu A., 2018, More than 250 people worldwide have died taking selfies, study finds; Chryst B., 2018, 6 AM SUPER SHORT SUR; Drewes A, 2018, INT J SCI EDUC, V40, P67, DOI 10.1080/09500693.2017.1397798; Harris C.A., 2016, Social Studies and the Young Learner, V28, P17; Kumler L.M., 2014, Social Education, V78, P225; Kuppa S., 2018, DO MILLENNIALS SEE C; Leiserowitz A., 2018, Climate Change in the American Mind: March 2018; Luft JA, 2014, HANDBOOK OF RESEARCH ON SCIENCE EDUCATION, VOL II, P889; Marlon J., 2018, YALE CLIMATE OPINION; Monroe MC, 2019, ENVIRON EDUC RES, V25, P791, DOI 10.1080/13504622.2017.1360842; Moser SC, 2007, CREATING A CLIMATE FOR CHANGE: COMMUNICATING CLIMATE CHANGE AND FACILITATING SOCIAL CHANGE, P1, DOI 10.1017/CBO9780511535871; Moser SC, 2016, WIRES CLIM CHANGE, V7, P345, DOI 10.1002/wcc.403; National Council for the Social Studies (NCSS) C3 Framework for Social Studies State Standards, 2017, C3 FRAM SOC STUD STA; Niepold F., 2017, CLIMATE CHANGE ED OP; Nisbet MC, 2009, ENVIRONMENT, V51, P12, DOI 10.3200/ENVT.51.2.12-23; NOAA, 2006, ESS PRINC CLIM LIT; Ojala M, 2012, ENVIRON EDUC RES, V18, P625, DOI 10.1080/13504622.2011.637157; Plutzer E., 2016, MIXED MESSAGES CLIMA; Ragin C., 1994, Conducting Social Research: The Unity and Diversity of Method; Rooney-Varga JN, 2018, PLOS ONE, V13, DOI 10.1371/journal.pone.0202877; Saad L., 2017, Gallup; Schreiner C., 2005, Studies in Science Education, V41, P3, DOI [DOI 10.1080/03057260508560213, 10.1080/03057260508560213, https://doi.org/10.1080/03057260508560213]; Siegner AB, 2018, ENERGY RES SOC SCI, V45, P374, DOI 10.1016/j.erss.2018.06.023; Simmons B, 2011, NAT AC BOARD SCI ED; Somerville RCJ, 2011, PHYS TODAY, V64, P48, DOI 10.1063/PT.3.1296; Stevenson K.T., 2016, Environmental Education Research, V22, P448, DOI [DOI 10.1080/13504622.2015.1118749, 10.1080/13504622.2015, DOI 10.1080/13504622.2015]; Stevenson KT, 2018, ENVIRON EDUC RES, V24, P365, DOI 10.1080/13504622.2017.1318114; UNESCO, 2019, ED SUST DEV; Valdez RX, 2018, ENVIRON CONSERV, V45, P183, DOI 10.1017/S0376892917000443; Westerhoff L., 2013, WIRES WORKING PAPER; Wolf J, 2011, WIRES CLIM CHANGE, V2, P547, DOI 10.1002/wcc.120; Wynes S, 2017, ENVIRON RES LETT, V12, DOI 10.1088/1748-9326/aa7541</t>
  </si>
  <si>
    <t>10.1080/13504622.2019.1607258</t>
  </si>
  <si>
    <t>MAY 2019</t>
  </si>
  <si>
    <t>KZ1FT</t>
  </si>
  <si>
    <t>WOS:000469149800001</t>
  </si>
  <si>
    <t>Leal, W; Balasubramanian, M; Zuñiga, RAA; Sierra, J</t>
  </si>
  <si>
    <t>Leal Filho, Walter; Balasubramanian, Muniyandi; Zuniga, Roberto Ariel Abeldano; Sierra, Javier</t>
  </si>
  <si>
    <t>The Effects of Climate Change on Children's Education Attainment</t>
  </si>
  <si>
    <t>climate change; effects; children; education; sustainability</t>
  </si>
  <si>
    <t>CHANGE ADAPTATION; CONSEQUENCES; IMPACTS</t>
  </si>
  <si>
    <t>It is proven that the consequences of climate change have grater impacts for the most vulnerable populations, and children are one of these social groups in risk of poverty and social exclusion. In this regard, education plays a pivotal role to guarantee the children's personal and professional development. In this context, there is a need for scientific research on how climate change impacts children's education attainment. This paper provides an analysis of the extent to which climate change influences education attainment among children and suggests some measures to address the problem. It reports on a literature review complemented by a set of case studies, with the purpose of exploring how child-centred responses to climate change can contribute to building the resilience of households and communities. Based on the findings from the study and bearing in mind the international literature on the topic, the paper outlines some possible areas of intervention in respect to climate literacy and climate education, which may be helpful in raising awareness among children about climate change and its many ramifications.</t>
  </si>
  <si>
    <t>[Leal Filho, Walter; Sierra, Javier] Hamburg Univ Appl Sci, Fac Life Sci, Res &amp; Transfer Ctr Sustainable Dev &amp; Climate Chan, European Sch Sustainabil Sci &amp; Res, D-21033 Hamburg, Germany; [Leal Filho, Walter] Manchester Metropolitan Univ, Dept Nat Sci, Manchester M1 5GD, Lancs, England; [Balasubramanian, Muniyandi] Inst Social &amp; Econ Change Bangalore, Ctr Ecol Econ &amp; Nat Resources, Bangalore 560072, Karnataka, India; [Zuniga, Roberto Ariel Abeldano] Univ Sierra Sur, Postgrad Dept, Oaxaca 70800, Oaxaca, Mexico; [Zuniga, Roberto Ariel Abeldano] Univ Helsinki, Fac Social Sci, Helsinki 00100, Finland; [Sierra, Javier] Univ Salamanca, Educ Univ Res Inst IUCE, Fac Law, Res Ctr Global Governance CIGG,Dept Appl Econ, Salamanca 37007, Spain</t>
  </si>
  <si>
    <t>Hochschule Angewandte Wissenschaft Hamburg; Manchester Metropolitan University; University of Helsinki; University of Salamanca</t>
  </si>
  <si>
    <t>Sierra, J (corresponding author), Hamburg Univ Appl Sci, Fac Life Sci, Res &amp; Transfer Ctr Sustainable Dev &amp; Climate Chan, European Sch Sustainabil Sci &amp; Res, D-21033 Hamburg, Germany.;Sierra, J (corresponding author), Univ Salamanca, Educ Univ Res Inst IUCE, Fac Law, Res Ctr Global Governance CIGG,Dept Appl Econ, Salamanca 37007, Spain.</t>
  </si>
  <si>
    <t>walter.leal2@haw-hamburg.de; balasubramanian@isec.ac.in; ariabeldanho@gmail.com; jsierra@usal.es</t>
  </si>
  <si>
    <t>Leal, Walter/ACX-9082-2022; Abeldano, Ariel/N-6887-2018</t>
  </si>
  <si>
    <t>Leal, Walter/0000-0002-1241-5225; Abeldano, Ariel/0000-0002-2627-278X; Sierra, Javier/0000-0003-2427-9619</t>
  </si>
  <si>
    <t>Amponsem J., 2019, ADAPT OUR FUTURE YOU; [Anonymous], 1992, United Nations Framework Convention on Climate Change; Baez J., 2021, DO NATURAL DISASTERS; Banerjee B.K., 2005, INT SCHULBUCHFORSCH, V27, P407; Berse K, 2017, DISASTER PREV MANAG, V26, P217, DOI 10.1108/DPM-10-2016-0214; Bicego G, 2003, SOC SCI MED, V56, P1235, DOI 10.1016/S0277-9536(02)00125-9; Bidassey-Manilal S, 2020, INT J ENV RES PUB HE, V17, DOI 10.3390/ijerph17155531; Blasko Z., 2020, EUROPEAN COMMISSION; Boyko M., 2020, Environ. Health Rev, V63, P114, DOI [10.5864/d2020-029, DOI 10.5864/D2020-029]; Bright Generation, GHAN BAMB BIK HIGH D; Catrambone R, 2012, ENCY SCI LEARNING, P3230; Chapman S, 2022, ENVIRON RES LETT, V17, DOI 10.1088/1748-9326/ac7ac5; Chatterjee S., 2015, CLIMATE CHANGE RISKS; Cissé G, 2019, ACTA TROP, V194, P181, DOI 10.1016/j.actatropica.2019.03.012; Climate-ADAPT, SOCIAL VULNERABILITY; Cordero EC, 2020, PLOS ONE, V15, DOI 10.1371/journal.pone.0206266; Cusick SE, 2016, J PEDIATR-US, V175, P16, DOI 10.1016/j.jpeds.2016.05.013; Dewi LPRK, 2019, VULNERABLE CHILD YOU, V14, P24, DOI 10.1080/17450128.2018.1546025; Earth Child Institute, ABOUT US; Guillén ME, 2022, J CLEAN PROD, V380, DOI 10.1016/j.jclepro.2022.135057; FAO YUNGA for Youth (Youth and United Nations Global Alliance), US; Forests Trees and Agroforestry Wildlife Clubs, TEACH CHILDR GUYAN R; Gibbs L, 2019, CHILD DEV, V90, P1402, DOI 10.1111/cdev.13200; Grewenig E, 2021, EUR ECON REV, V140, DOI 10.1016/j.euroecorev.2021.103920; Hari V, 2021, NAT CLIM CHANGE, V11, P636, DOI 10.1038/s41558-021-01105-7; Hu YB, 2022, SCI TOTAL ENVIRON, V839, DOI 10.1016/j.scitotenv.2022.156291; Internal Displacements Monitoring Centre, ABOUT US; International Institute for Population Sciences, 2022, National Family Health Survey (NFHS-5) India 2019-21; Kabir MI, 2015, PLOS ONE, V10, DOI 10.1371/journal.pone.0134993; Lawler J, 2012, ENVIRON DEV, V3, P123, DOI 10.1016/j.envdev.2012.04.001; Lawson DF, 2019, NAT CLIM CHANGE, V9, P458, DOI 10.1038/s41558-019-0463-3; Li YH, 2022, INT J ENV RES PUB HE, V19, DOI 10.3390/ijerph19052532; Lowell School, CLIM LIT PROT PREP O; Luetz J.M., 2020, QUALITY ED ENCY SUST, P1, DOI [DOI 10.1007/978-3-319, 10.1007/978-3-319]; Mann ME, 2017, SCI REP-UK, V7, DOI 10.1038/srep45242; Markkanen S, 2019, CLIM POLICY, V19, P827, DOI 10.1080/14693062.2019.1596873; Mitchell P, 2014, CLIM DEV, V6, P372, DOI 10.1080/17565529.2014.934775; National Oceanic and Atmospheric Administration (NOAA), WHAT IS CLIM SCI LIT; Ohio State University, CLIM LIT EL CLASSR; Organizacion de Estados Americanos, 2019, MAN OP PROT INT NIN; Philipsborn RP, 2018, PEDIATRICS, V141, DOI 10.1542/peds.2017-3774; Plan Internacional, 2011, BEN CHILD CTR APPR C; Plan International, 2015, WE STAND ON CHILDR Y; Nguyen QA, 2018, SUSTAINABILITY-BASEL, V10, DOI 10.3390/su10062019; Randell H, 2019, P NATL ACAD SCI USA, V116, P8840, DOI 10.1073/pnas.1817480116; Rao N, 2021, INT J CHILD CARE EDU, V15, DOI 10.1186/s40723-021-00086-6; Ratnayake Mudiyanselage Supipi, 2022, Women Birth, V35, P524, DOI 10.1016/j.wombi.2021.12.006; ReliefWeb, GREEN CYCL RES SCH M; Rodriguez-Llanes JM, 2016, PEERJ, V4, DOI 10.7717/peerj.1741; Save the Children International Save the Children, SIGNS DEAL LEAD CLIM; Schoch C., 2015, CHILD CTR CLIMATE RE; Secretaria de Medio Ambiente y Recursos Naturales UNICEF, 2019, CAMB CLIM MIS DER MA; Senanayake M.P., 2014, SRI LANKA J CHILD HL, V43, P23, DOI 10.4038/sljch.v43i1.6657; Sheffield PE, 2017, INT J ENV RES PUB HE, V14, DOI 10.3390/ijerph14111397; statista, STAT NUMB EXTR WEATH; Steele F, 2009, DEMOGRAPHY, V46, P553; Treichel P, 2020, AUST J EMERG MANAG, V35, P26; Tsiligkiris V, 2022, HIGH EDUC Q, V76, P343, DOI 10.1111/hequ.12390; un, United Nations act now; UNESCO, 2011, ED CAMB CLIM DES SOS; unesco, UNESCO SANDW; UNFCCC, COMM BAS REC PROGR P; UNFCCC, BUILD CROSS CUTT SKI; UNICEF, 2016, The Impact of Climate Change on Children in Bangladesh; UNICEF, VOIC CLIM FRONTL; unicef, 1 000 MILL NIN EXP L; Victora CG, 2008, LANCET, V371, P340, DOI 10.1016/S0140-6736(07)61692-4; Wildlife and Environmental Conservation Society Of Zambia (WECSZ), UN 4 CLIM CONS; World Association of Girl Guides and Girl Scouts, GIRL LED ACT CLIM CH</t>
  </si>
  <si>
    <t>10.3390/su15076320</t>
  </si>
  <si>
    <t>D7IG0</t>
  </si>
  <si>
    <t>Green Accepted, gold</t>
  </si>
  <si>
    <t>WOS:000970419600001</t>
  </si>
  <si>
    <t>Vargas-Burgos, JC; Heredia-R, M; Torres, Y; Puhl, L; Heredia, BN; Cayambe, J; Hernán-González, J; Torres, A; Luna, M; Toulkeridis, T; Torres, B</t>
  </si>
  <si>
    <t>Vargas-Burgos, Julio C.; Heredia-R, Marco; Torres, Yenny; Puhl, Laura; Heredia, Biviana N.; Cayambe, Jhenny; Hernan-Gonzalez, Julio; Torres, Alexandra; Luna, Marcelo; Toulkeridis, Theofilos; Torres, Bolier</t>
  </si>
  <si>
    <t>Livelihoods and Perceptions of Climate Change among Dairy Farmers in the Andes: Implications for Climate Education</t>
  </si>
  <si>
    <t>climate change; livestock farmers; rural livelihoods; climate education</t>
  </si>
  <si>
    <t>IMPACT ASSESSMENT; LIVESTOCK; ADAPTATION; DETERMINANTS; SYSTEMS</t>
  </si>
  <si>
    <t>Climate change mainly affects the production and consumption systems associated with food, livelihoods, production (e.g., reduced milk production), water, and land use. The role of local knowledge is recognized as important for decision-making under changing circumstances. This study was conducted in the northern part of the Ecuadorian Andes using a sample of 170 dairy-cattle-farming households. The objectives were to: (i) characterize the rural livelihoods of dairy cattle farmers; (ii) evaluate access to climate information and perceptions of climate change; and (iii) determine the relationship between livelihoods and perceptions of climate change. Significant differences were identified between the groups evaluated in relation to the dairy farmers' livelihoods. In addition, 85.29% of the respondents indicated that climate information is important, but 67.83% did not trust the sources of information. It was found that there is a significant relationship between the level of education and age with the variables of climate change perceptions. This combined knowledge will allow people to promote agri-environmental and educational policies to achieve climate literacy at a rural level.</t>
  </si>
  <si>
    <t>[Vargas-Burgos, Julio C.; Heredia-R, Marco; Torres, Yenny] Univ Tecn Estatal Quevedo UTEQ, Fac Ciencias Pecuarias &amp; Biol, Quevedo Av Quito km,1 1-2 Via Santo Domingo De Los, Quevedo 120550, Ecuador; [Puhl, Laura] Univ Buenos Aires, Fac Agron, Dept Metodos Cuantitat &amp; Sistemas Informac, RA-1417 Buenos Aires, Argentina; [Heredia, Biviana N.] Univ Fuerzas Armadas ESPE Sede Latacunga, Fac Ciencias Exactas, Latacunga 050102, Ecuador; [Cayambe, Jhenny] Pontificia Univ Catolica Ecuador Ibarra PUCESI, Sch Agr &amp; Environm Sci, Imbabura 100112, Ecuador; [Hernan-Gonzalez, Julio] Univ Buenos Aires, Fac Agron, Dept Prod Anim, Catedra Prod Lechera, RA-1417 Buenos Aires, Argentina; [Torres, Alexandra] Univ Tecn Babahoyo, Fac Ciencias Jurid Sociales &amp; Educ, Extens Quevedo UTB, Km 3 1-2 Via Valencia, Los Rios 120550, Ecuador; [Luna, Marcelo] Amazon State Univ UEA, Fac Earth Sci, Pastaza 160101, Ecuador; [Toulkeridis, Theofilos] Univ Armed Forces ESPE, Dept Earth Sci &amp; Construct, Av Gen Ruminahui S-N, Sangolqui 171103, Ecuador; [Torres, Bolier] Univ Estatal Amazon UEA, Fac Ciencias Vida, Pastaza 160101, Ecuador; [Torres, Bolier] Univ Cordoba, Fac Ciencias Vet, Dept Prod Anim, E-14071 Cordoba, Spain</t>
  </si>
  <si>
    <t>University of Buenos Aires; University of Buenos Aires; Universidad de Cordoba</t>
  </si>
  <si>
    <t>Heredia-R, M (corresponding author), Univ Tecn Estatal Quevedo UTEQ, Fac Ciencias Pecuarias &amp; Biol, Quevedo Av Quito km,1 1-2 Via Santo Domingo De Los, Quevedo 120550, Ecuador.</t>
  </si>
  <si>
    <t>mherediar@uteq.edu.ec</t>
  </si>
  <si>
    <t>PUHL, LAURA ELENA/0000-0002-0172-9974; Heredia-R, Marco/0000-0002-6039-3411; Luna, Marcelo/0000-0002-9521-353X; Torres, Bolier/0000-0002-9182-419X; Toulkeridis, Theofilos/0000-0003-1903-7914</t>
  </si>
  <si>
    <t>Abay KA, 2020, AGR ECON-BLACKWELL, V51, P577, DOI 10.1111/agec.12573; Amamou H, 2018, CLIM RISK MANAG, V20, P38, DOI 10.1016/j.crm.2018.03.004; [Anonymous], 1992, United Nations Framework Convention on Climate Change; Babu SC, 2014, FOOD SECURITY, POVERTY, AND NUTRITION POLICY ANALYSIS: STATISTICAL METHODS AND APPLICATIONS, 2ND EDITION, P63, DOI 10.1016/B978-0-12-405864-4.00003-X; Behrman JR, 2005, ECON DEV CULT CHANGE, V54, P237, DOI 10.1086/431263; Bernet T, 2002, MT RES DEV, V22, P375, DOI 10.1659/0276-4741(2002)022[0375:ILUBSF]2.0.CO;2; Biglari T, 2019, LAND USE POLICY, V87, DOI 10.1016/j.landusepol.2019.104043; Browning-Aiken A, 2007, CLIMATIC CHANGE, V85, P323, DOI 10.1007/s10584-007-9302-z; Cavendish W., 2003, How do forests support, insure and improve the livelihoods of the rural poor? Research Note; Cayambe J, 2020, SPAN J AGRIC RES, V18, DOI 10.5424/sjar/2020181-13807; Chakraborty S, 2011, PLANT PATHOL, V60, P2, DOI 10.1111/j.1365-3059.2010.02411.x; Chambers R., 1992, SUSTAINABLE RURAL LI; Chevallier P, 2011, REG ENVIRON CHANGE, V11, pS179, DOI 10.1007/s10113-010-0177-6; DFID, 1999, SUST LIV GUID SHEETS, DOI DOI 14097690/114438878/SUSTAINABLE1LIVELIHOODS1GUIDANCE1SHEETS.PDF/594-5EA6-99A9-2A4E-F288-CBB4AE4BEA8B?T51569512091877; Di Rienzo J.A., 2015, InfoStat Version; Duryea S., 2004, EFFECT CONDITIONAL T; Elad Y, 2014, J CROP IMPROV, V28, P99, DOI 10.1080/15427528.2014.865412; Ellis F, 2000, J AGR ECON, V51, P289, DOI 10.1111/j.1477-9552.2000.tb01229.x; Escarcha JF, 2018, CLIMATE, V6, DOI 10.3390/cli6030054; Fierros-González I, 2021, FRONT ENV SCI-SWITZ, V9, DOI 10.3389/fenvs.2021.672399; GADPC Creacion del Area de Conservacion y Uso Sustentable de la Cordillera Oriental del Carchi, 2016, Gobierno Autonomo Descentralizado de la Provincia del Carchi/CONDESAN Proyecto EcoAndes; Galloway C, 2018, AGR SYST, V166, P1, DOI 10.1016/j.agsy.2018.07.008; Ghahramani A, 2018, AGR SYST, V164, P236, DOI 10.1016/j.agsy.2018.04.011; Giraldo L.A., 2003, P 9 WORLD C AN PROD; González Gaudiano Edgar J., 2020, Perfiles educativos, V42, P157, DOI 10.22201/iisue.24486167e.2020.168.59464; Greenacre M.J., 2010, Correspondence Analysis in Practice, V2nd, pxiii; Hammami H, 2013, J DAIRY SCI, V96, P1844, DOI 10.3168/jds.2012-5947; Hannah L, 2013, PLOS ONE, V8, DOI 10.1371/journal.pone.0072590; Harvey CA, 2017, AGR ECOSYST ENVIRON, V246, P279, DOI 10.1016/j.agee.2017.04.018; Heredia-R M, 2022, FRONT SUSTAIN FOOD S, V5, DOI 10.3389/fsufs.2021.782633; Herrero M, 2015, ANNU REV ENV RESOUR, V40, P177, DOI 10.1146/annurev-environ-031113-093503; Jones N, 2014, CLIMATIC CHANGE, V123, P133, DOI 10.1007/s10584-013-1049-0; Karimi V, 2018, RANGELAND ECOL MANAG, V71, P175, DOI [10.1016/j, 10.1016/j.rama.2017.09.006]; Kassie M, 2015, FOOD SECUR, V7, P1299, DOI 10.1007/s12571-015-0517-y; Kim SY, 2014, GLOBAL ENVIRON POLIT, V14, P79, DOI 10.1162/GLEP_a_00215; Laessoe J., 2015, Journal of Education for Sustainable Development, V9, P27, DOI 10.1177/0973408215569112; León M, 2007, J DEV STUD, V43, P1126, DOI 10.1080/00220380701466708; Leon-Alvear V., 2020, Livest. Res. Rural Dev, V32, P165; MAE Sistema de Clasificacion de los Ecosistemas del Ecuador Continental, 2013, Subsecretaria de Patrimonio Natural; Magrin GO, 2014, CLIMATE CHANGE 2014: IMPACTS, ADAPTATION, AND VULNERABILITY, PT B: REGIONAL ASPECTS, P1499; Maluccio JohnA., 2005, IMPACT EVALUATION CO; Marengo J.A., 2014, CCAFS Working Paper no. 73; Martinez D., 2017, Como funciona el Bono de Desarrollo Humano?; Masson-Delmotte VP, 2021, CLIMATE CHANGE 2021, P3, DOI [10.1017/9781009157896.001, DOI 10.1017/9781009157896.001, 10.1017/9781009157896, DOI 10.1017/9781009157896]; Mochizuki Y., 2015, Journal of Education for Sustainable Development, V9, P4, DOI [DOI 10.1177/0973408215569109, 10.1177/0973408215569109]; Pica-Ciamarra U., 2011, Livestock assets, livestock income and rural households: Crosscountry evidence from household surveys; Ponce J, 2010, ECON EDUC REV, V29, P116, DOI 10.1016/j.econedurev.2009.07.005; Pournelle G. H., 1953, Journal of Mammalogy, V34, P133, DOI 10.1890/0012-9658(2002)083[1421:SDEOLC]2.0.CO;2; Radolf M, 2022, SMALL RUMINANT RES, V215, DOI 10.1016/j.smallrumres.2022.106763; Roco L, 2015, REG ENVIRON CHANGE, V15, P867, DOI 10.1007/s10113-014-0669-x; Samaniego J., 2019, Panorama de las Contribuciones Determinadas a Nivel Nacional en America Latina y el Caribe; Sanker C, 2013, ANIMAL, V7, P316, DOI 10.1017/S1751731112001668; Schady N., 2006, CASH TRANSFERS CONDI; Schultz TP, 2002, WORLD DEV, V30, P207; Scoones I., 1998, Working Paper - Institute of Development Studies, University of Sussex; Seager R, 2018, EARTH INTERACT, V22, P1, DOI 10.1175/EI-D-17-0011.1; Sejian V, 2017, J VET BEHAV, V17, P6, DOI 10.1016/j.jveb.2016.10.009; Smith N, 2012, RISK ANAL, V32, P1021, DOI 10.1111/j.1539-6924.2012.01801.x; Szczepankiewicz EI, 2021, SUSTAINABILITY-BASEL, V13, DOI 10.3390/su13031241; Thomson GR, 2013, TRANSBOUND EMERG DIS, V60, P492, DOI 10.1111/tbed.12175; Thornton PK, 2009, AGR SYST, V101, P113, DOI 10.1016/j.agsy.2009.05.002; Torres B, 2022, ESTUDIOS MEDIOS VIDA; Torres B, 2022, SUSTAINABILITY-BASEL, V14, DOI 10.3390/su141710738; Torres B, 2022, SUSTAINABILITY-BASEL, V14, DOI 10.3390/su14095028; Toulkeridis T, 2020, GRANJA, V31, P21; UNESCO Climate Change Education for Sustainable Development, 2010, UNESCO Climate Change Initiative; UNESCO United Nations Educational Scientific and Cultural Organization (UNESCO), 2010, UNESCO Strategy for the Second Half of the United Nations Decade of Education for Sustainable Development; Vanclay F, 2013, IMPACT ASSESS PROJ A, V31, P243, DOI 10.1080/14615517.2013.850307; Vasseur L, 2022, SUSTAINABILITY-BASEL, V14, DOI 10.3390/su14095250; Vos R., 2001, Are Cash Transfer Programs Effective to Reduce Poverty?; Vuille M, 2008, EARTH-SCI REV, V89, P79, DOI 10.1016/j.earscirev.2008.04.002; Weindl I, 2015, ENVIRON RES LETT, V10, DOI 10.1088/1748-9326/10/9/094021; Whitmarsh L, 2011, GLOBAL ENVIRON CHANG, V21, P690, DOI 10.1016/j.gloenvcha.2011.01.016; Zambrano E, 2021, ECOSISTEMAS, V30, DOI 10.7818/ECOS.2216; Zuur Alain F., 2009, P1</t>
  </si>
  <si>
    <t>10.3390/su151713157</t>
  </si>
  <si>
    <t>AN6C8</t>
  </si>
  <si>
    <t>WOS:001119174900001</t>
  </si>
  <si>
    <t>Clement, A; Kirtman, B; Pirani, A</t>
  </si>
  <si>
    <t>Clement, Amy; Kirtman, Ben; Pirani, Anna</t>
  </si>
  <si>
    <t>CLIMATE LITERACY AS A FOUNDATION FOR PROGRESS IN PREDICTING AND ADAPTING TO THE CLIMATE OF THE COMING DECADES</t>
  </si>
  <si>
    <t>[Clement, Amy] Univ Miami, Rosenstiel Sch Marine &amp; Atmospher Sci, Miami, FL 33149 USA; [Pirani, Anna] CLIVAR, Southampton, Hants, England; [Pirani, Anna] Int Ctr Theoret Phys, Trieste, Italy</t>
  </si>
  <si>
    <t>University of Miami; NERC National Oceanography Centre; Abdus Salam International Centre for Theoretical Physics (ICTP)</t>
  </si>
  <si>
    <t>Clement, A (corresponding author), Univ Miami, Rosenstiel Sch Marine &amp; Atmospher Sci, 4600 Rickenbacker Causeway, Miami, FL 33149 USA.</t>
  </si>
  <si>
    <t>aclement@rsmas.miami.edu</t>
  </si>
  <si>
    <t>Pirani, Anna/GSO-0172-2022</t>
  </si>
  <si>
    <t>NERC [noc010007] Funding Source: UKRI</t>
  </si>
  <si>
    <t>NERC(UK Research &amp; Innovation (UKRI)Natural Environment Research Council (NERC))</t>
  </si>
  <si>
    <t>10.1175/2010BAMS3161.1</t>
  </si>
  <si>
    <t>781YA</t>
  </si>
  <si>
    <t>WOS:000291972700007</t>
  </si>
  <si>
    <t>Johns, R; Raines, S; Moore, A; Hill, M; Lansky, P; Pathak, A</t>
  </si>
  <si>
    <t>Johns, Rebecca; Raines, Sierra; Moore, Amanda; Hill, Melissa; Lansky, Paige; Pathak, Arsum</t>
  </si>
  <si>
    <t>Dear Tampa Bay: Creating and Leveraging a Climate Resilience Documentary Film Using Story-Telling for Citizen Engagement</t>
  </si>
  <si>
    <t>ENVIRONMENTAL COMMUNICATION-A JOURNAL OF NATURE AND CULTURE</t>
  </si>
  <si>
    <t>Climate resilience; ecoliteracy; storytelling; film; communication</t>
  </si>
  <si>
    <t>SCIENCE; NARRATIVES; IDENTIFICATION; KNOWLEDGE; EDUCATION; MESSAGES; MEDIA</t>
  </si>
  <si>
    <t>Increasing the climate literacy of local leaders in the Tampa Bay region is critical if the area is to successfully face the rising challenges of the climate crisis. One of the most vulnerable areas in the world, the Tampa Bay region is often considered ill-prepared to cope with rising sea levels, threats of extreme rainfall, flooding and intense hurricanes, and the potentially deadly impact of recording breaking heat. This project produced a documentary film to increase awareness and understanding of the area's coastal climate related risks and solutions, and boost confidence and motivation to act among regional community members. We assess the impact of the film, which uses a storytelling format and strong visual messaging, on over 250 local community members' understanding of risk, knowledge of appropriate resilience strategies, and empowerment to act. Qualitative analysis of pre-film and post-film surveys reveals the strong impact of the storytelling portions of the film on fact retention, feelings of urgency and the willingness to work with others to promote local resilience.</t>
  </si>
  <si>
    <t>[Johns, Rebecca; Raines, Sierra] Univ S Florida, Sch Geosci, St Petersburg, FL USA; [Moore, Amanda; Hill, Melissa; Lansky, Paige; Pathak, Arsum] Gulf Programs Off, Natl Wildlife Federat, St Petersburg, FL USA; [Johns, Rebecca] Univ South Florida St Petersburg, 140 Seventh Ave South, St Petersburg, FL 33701 USA</t>
  </si>
  <si>
    <t>State University System of Florida; University of South Florida; State University System of Florida; University of South Florida</t>
  </si>
  <si>
    <t>Johns, R (corresponding author), Univ South Florida St Petersburg, 140 Seventh Ave South, St Petersburg, FL 33701 USA.</t>
  </si>
  <si>
    <t>rjohns@usf.edu</t>
  </si>
  <si>
    <t>National Academies of Sciences, Engineering, and Medicine [200013200]</t>
  </si>
  <si>
    <t>National Academies of Sciences, Engineering, and Medicine</t>
  </si>
  <si>
    <t>This work was supported by National Academies of Sciences, Engineering, and Medicine [grant number 200013200].</t>
  </si>
  <si>
    <t>[Anonymous], 2015, Most vulnerable us cities to storm surge flooding; [Anonymous], 2017, The Washington Post; Beamish C., 2016, Evaluating the Effectiveness of Advocacy Documentary (Thesis; Bloomfield EF, 2021, CLIMATIC CHANGE, V167, DOI 10.1007/s10584-021-03199-6; Carlin S, 2010, CLIM CHANG MANAG, P89, DOI 10.1007/978-3-642-10751-1_7; Cisco V., 2018, Cisco visual networking index: Forecast and trends, 2017-2022; Cooper KE, 2016, SCI COMMUN, V38, P626, DOI 10.1177/1075547016666843; Dahlstrom MF, 2014, P NATL ACAD SCI USA, V111, P13614, DOI 10.1073/pnas.1320645111; de Graaf A, 2012, COMMUN RES, V39, P802, DOI 10.1177/0093650211408594; Degeling D, 2022, ENVIRON COMMUN, V16, P243, DOI 10.1080/17524032.2021.1998177; Diamond E, 2022, ENVIRON COMMUN, V16, P1046, DOI 10.1080/17524032.2022.2151486; Doc Society, 2023, Impact Field Guide &amp; Toolkit: from art to impact; Erviti MC, 2016, JCOM-J SCI COMMUN, V15; Feldman L., 2010, Survey Analysis of the Perceptions and Beliefs of Young Americans, P20; Finkler W, 2019, JCOM-J SCI COMMUN, V18, DOI 10.22323/2.18050202; Gustafson A, 2020, COMMUN REP, V33, P121, DOI 10.1080/08934215.2020.1799049; Hallegatte S, 2013, NAT CLIM CHANGE, V3, P802, DOI [10.1038/NCLIMATE1979, 10.1038/nclimate1979]; Harris DM, 2020, PROF GEOGR, V72, P309, DOI 10.1080/00330124.2019.1686996; Hoeken H, 2014, J COMMUN, V64, P935, DOI 10.1111/jcom.12114; Howe P., 2021, Yale Climate Opinion Maps; Huang TL, 2020, FRONT COMMUN, V5, DOI 10.3389/fcomm.2020.581349; Jones M. D., 2017, Narrative persuasion and storytelling as climate communication strategies; Joubert M, 2019, JCOM-J SCI COMMUN, V18, DOI 10.22323/2.18050501; Kim EJA, 2017, CAN J SCI MATH TECHN, V17, P258, DOI 10.1080/14926156.2017.1380866; Kinch R. A., 2022, Indigenous storytelling, cherokee traditional ecological knowledge, and place-based education; Kirby DA, 2003, SOC STUD SCI, V33, P231, DOI 10.1177/03063127030332015; Lambert J., 2003, Center for digital storytelling at the university of CA Berkeley, P9; Leiserowitz A., 2018, Climate Change in the American Mind: March 2018; León B, 2018, ROU FOCUS COMMUNICAT, P1; Lidskog R, 2020, MEDIA COMMUN-LISBON, V8, P118, DOI 10.17645/mac.v8i1.2432; Lockwood A, 2016, ENVIRON COMMUN, V10, P734, DOI 10.1080/17524032.2016.1205642; Males J, 2021, ENVIRON COMMUN, V15, P40, DOI 10.1080/17524032.2020.1780458; Marsooli R, 2019, NAT COMMUN, V10, DOI 10.1038/s41467-019-11755-z; Martinez-Conde S, 2017, P NATL ACAD SCI USA, V114, P8127, DOI 10.1073/pnas.1711790114; Monroe MC, 2019, ENVIRON EDUC RES, V25, P791, DOI 10.1080/13504622.2017.1360842; Morris BS, 2019, CLIMATIC CHANGE, V154, P19, DOI 10.1007/s10584-019-02425-6; Moser SC, 2016, WIRES CLIM CHANGE, V7, P345, DOI 10.1002/wcc.403; Muindi FJ, 2020, TRENDS MOL MED, V26, P249, DOI 10.1016/j.molmed.2019.12.001; National Science Board, 2018, Science and engineering indicators 2018, P29; Nesterova Y, 2020, J PHILOS EDUC, V54, P1047, DOI 10.1111/1467-9752.12471; Olson Randy., 2009, Don't Be Such a Scientist: Talking Substance in an Age of Style; Pearson E, 2011, ENVIRON EDUC RES, V17, P751, DOI 10.1080/13504622.2011.624586; PRNewswire, 2023, Sandvines 2023 Global Internet Phenomena Report Shows 24% Jump in Video Traffic; Runkle J., 2022, NOAA Technical Report NESDIS 150-VA; Scannell L, 2013, ENVIRON BEHAV, V45, P60, DOI 10.1177/0013916511421196; Sinatra GM, 2012, INSTR SCI, V40, P1, DOI 10.1007/s11251-011-9166-5; Smith NW, 2009, J RISK RES, V12, P647, DOI 10.1080/13669870802586512; Sweet W. V., 2021, Noaa high tide flooding report; Sweet W. V., 2018, Patterns and Projections of High Tide Flooding Along the U.S. Coastline Using a Common Impact Threshold; Swim JK, 2022, GLOBAL ENVIRON CHANG, V73, DOI 10.1016/j.gloenvcha.2022.102479; Tampa Bay Climate Science Advisory Panel, 2019, RECOMMENDED PROJECTI; Walker E., 2018, VIDEO J ED PEDAGOGY, V3, P1, DOI [DOI 10.1186/S40990-018-0020-4, https://doi.org/10.1186/s40990-018-0020-4]; Whiteman D, 2009, MASS COMMUN SOC, V12, P457, DOI 10.1080/15205430903237816; Wong-Parodi G, 2021, ENVIRON COMMUN, V15, P571, DOI 10.1080/17524032.2020.1871051; Wright JH, 2010, AM J PRIMATOL, V72, P462, DOI 10.1002/ajp.20749; WTSP, 2023, Tampa Bay Heat Advisory Issued</t>
  </si>
  <si>
    <t>1752-4032</t>
  </si>
  <si>
    <t>1752-4040</t>
  </si>
  <si>
    <t>ENVIRON COMMUN</t>
  </si>
  <si>
    <t>Environ. Commun.</t>
  </si>
  <si>
    <t>2024 FEB 15</t>
  </si>
  <si>
    <t>10.1080/17524032.2024.2315181</t>
  </si>
  <si>
    <t>Communication; Environmental Studies</t>
  </si>
  <si>
    <t>Communication; Environmental Sciences &amp; Ecology</t>
  </si>
  <si>
    <t>HX0M6</t>
  </si>
  <si>
    <t>WOS:001162691400001</t>
  </si>
  <si>
    <t>Xu, CX; Song, M</t>
  </si>
  <si>
    <t>Zanke, U; Roland, A; Saenger, N; Wiesemann, JU; Dahlem, G</t>
  </si>
  <si>
    <t>Xu, Changxin; Song, Min</t>
  </si>
  <si>
    <t>STUDY ON THE PORT CULTURE OF JIANGSU PROVINCE BASED ON THE SUSTAINABLE DEVELOPMENT</t>
  </si>
  <si>
    <t>PROCEEDINGS OF THE CHINESE-GERMAN JOINT SYMPOSIUM ON HYDRAULIC AND OCEAN ENGINEERING</t>
  </si>
  <si>
    <t>Chinese-German Joint Symposium on Hydraulic and Ocean Engineering</t>
  </si>
  <si>
    <t>AUG 24-30, 2008</t>
  </si>
  <si>
    <t>Tech Univ Darmstadt, Darmstadt, GERMANY</t>
  </si>
  <si>
    <t>Tech Univ Darmstadt</t>
  </si>
  <si>
    <t>On the basis of concept identification about blue culture, loess culture, ocean culture, river culture and so on, the concept of port culture and its main function are defined. Through researches on the major ports in Jiangsu province and deep digs to the essence of the traditional port culture which are cultures of Zhenghe, Jianzhen, Zhangqian, Xufu etc., the thesis sums up the sustainable development course for the port culture of Jiangsu province and its four important features of times, which are openness, convergence, inclusion and innovation. Finally the strategic requirements, orientations and objectives for the sustainable development of Jiangsu port culture are formulated and the strategic selections are designed.</t>
  </si>
  <si>
    <t>[Xu, Changxin; Song, Min] Hohai Univ, Sch Business, Nanjing, Peoples R China</t>
  </si>
  <si>
    <t>Hohai University</t>
  </si>
  <si>
    <t>Xu, CX (corresponding author), Hohai Univ, Sch Business, Nanjing, Peoples R China.</t>
  </si>
  <si>
    <t>song, min/KPA-7030-2024</t>
  </si>
  <si>
    <t>LIU GM, 2002, ENTREPRENEURIAL CULT; WANG HP, 1998, RES DEV PORTS; XU CX, 2004, THEORY EC SYSTEM POR</t>
  </si>
  <si>
    <t>INST WASSERBAU &amp; WASSERWIRTSCHAFT</t>
  </si>
  <si>
    <t>DARMSTADT</t>
  </si>
  <si>
    <t>TECH UNIV DARMSTADT, RUNDETURMSTRASSE 1, DARMSTADT, 64283, GERMANY</t>
  </si>
  <si>
    <t>978-3-936146-23-3</t>
  </si>
  <si>
    <t>Engineering, Ocean; Water Resources</t>
  </si>
  <si>
    <t>Engineering; Water Resources</t>
  </si>
  <si>
    <t>BKG68</t>
  </si>
  <si>
    <t>WOS:000268030700057</t>
  </si>
  <si>
    <t>Spiteri, J</t>
  </si>
  <si>
    <t>Spiteri, Jane</t>
  </si>
  <si>
    <t>Approaches to Foster Young Children's Engagement with Climate Action: A Scoping Review</t>
  </si>
  <si>
    <t>young children; climate action; early childhood education; pedagogical approaches; climate change education</t>
  </si>
  <si>
    <t>Climate change poses a significant risk to young children (birth to eight years). Early childhood education and care is believed to play a pivotal role in guaranteeing young children's understanding of sustainability issues and climate change. Yet how education translates into climate action in early childhood is still unknown, and there is a need for research to explore the approaches that may be deployed to foster young children's engagement with climate action. This scoping review aims to identify and describe the existing literature highlighting the approaches used in early childhood education to foster climate action amongst young children; map the gaps in this emerging field of inquiry; and make recommendations for areas of future research to address this problem. These findings offer potential priorities for educators, researchers and policymakers to develop climate change education programmes that are meaningful to young children in the early years. Based on the findings, areas for interventions related to climate literacy and climate change education, which may be helpful in raising awareness of climate change among young children, will be outlined.</t>
  </si>
  <si>
    <t>[Spiteri, Jane] Univ Malta, Fac Educ, Dept Early Childhood &amp; Primary Educ, MSD-2080 Msida, Malta</t>
  </si>
  <si>
    <t>University of Malta</t>
  </si>
  <si>
    <t>Spiteri, J (corresponding author), Univ Malta, Fac Educ, Dept Early Childhood &amp; Primary Educ, MSD-2080 Msida, Malta.</t>
  </si>
  <si>
    <t>jane.spiteri@um.edu.mt</t>
  </si>
  <si>
    <t>Spiteri, Jane/0000-0001-6625-2372</t>
  </si>
  <si>
    <t>Ampartzaki M, 2021, EDUC SCI, V11, DOI 10.3390/educsci11060251; [Anonymous], 2023, Synthesis Report of the IPCC Sixth Assessment Report, Summary for Policymakers; Arksey H., 2005, INT J SOC RES METHOD, V8, P19, DOI [10.1080/1364557032000119616, DOI 10.1080/1364557032000119616]; Behrer P, 2023, Education and Climate Change: The Critical Role of Adaptation Investments; Bernard van Leer Foundation, 2021, Early Childhood Matters: The CLIMATE issue. Caring for Children and the Planet; Conradi E, 2015, ETHICS SOC WELF, V9, P113, DOI 10.1080/17496535.2015.1005553; Constantino SM, 2022, PSYCHOL SCI PUBL INT, V23, P50, DOI 10.1177/15291006221105279; Culen A.L., 2016, P IHCI 2016 C; de Rosnay M., 2022, Most Vulnerable to Most Valuable: A Scoping Study to Put Young Children at the Hearth of Climate Actions and Environmental Protection; Deloitte, 2022, Deloitte Research Reveals Inaction on Climate Change Could Cost the World's Economy US$178 Trillion by 2070; European Commission, Climate Action: Consequences of Climate Change; Finlayson A., 2021, Education for Environmental Sustainability: Policies and Approaches in European Union Member States; Fragkiadaki G, 2023, RES SCI EDUC, V53, P275, DOI 10.1007/s11165-022-10053-x; Gallegos-Cázares L, 2021, EDUC SCI, V11, DOI 10.3390/educsci11040180; Gutierrez-Bucheli L, 2022, ENVIRON EDUC RES, V28, P645, DOI 10.1080/13504622.2022.2047896; Jelinek JA, 2021, EDUC SCI, V11, DOI 10.3390/educsci11020075; Kadir S., 2017, Climate, Adaptation and Resilience, P49; Lotz-Sisitka H., 2022, Education in Times of Climate Change NORRAG Special Issue; Martin G, 2020, JBI EVID SYNTH, V18, P516, DOI 10.11124/JBISRIR-D-19-00253; Murphy Cliona, 2020, A Snapshot of Climate Change Education Initiatives in Europe: Some Initial Findings and Implications for Future Climate Change Education Research, DOI [10.26356/climateeducation, DOI 10.26356/CLIMATEEDUCATION]; O'Neill BC, 2020, NAT CLIM CHANGE, V10, P1074, DOI 10.1038/s41558-020-00952-0; OECD, 2023, TEACH FUT GLOB ENG S; OECD, 2021, Trends in Shaping Education Spotlights, No. 24, DOI [10.1787/2a9a1cdd-en, DOI 10.1787/2A9A1CDD-EN]; Office for Climate Change Education, 2022, Strategic Plan 2022-2026: Learning Today for a Better Tomorrow; Page MJ, 2021, BMJ-BRIT MED J, V372, DOI [10.1136/bmj.n71, 10.1016/j.ijsu.2021.105906, 10.1136/bmj.n160]; Pahl A, 2022, EDUC SCI, V12, DOI 10.3390/educsci12040263; Peters MDJ., 2020, JBI Manual for Evidence Synthesis, DOI [DOI 10.46658/JBIMES-20-01, 10.46658/JBIMES-20-12, DOI 10.46658/JBIMES-20-12]; Peters MDJ, 2020, JBI EVID SYNTH, V18, P2119, DOI 10.11124/JBIES-20-00167; Popay J., 2006, Guidance on the conduct of narrative synthesis in systematic reviews: a product from the ESRC Methods Programme, V10, P1018, DOI [DOI 10.13140/2.1.1018, DOI 10.13140/2.1.1018.4643]; Postila TE, 2022, CULT STUD SCI EDUCAT, V17, P277, DOI 10.1007/s11422-021-10075-3; Ranta M, 2023, EUR EARLY CHILD EDUC, V31, P914, DOI 10.1080/1350293X.2023.2214716; Ravanis K, 2021, EDUC SCI, V11, DOI 10.3390/educsci11050242; Reid A, 2019, ENVIRON EDUC RES, V25, P767, DOI 10.1080/13504622.2019.1664075; Rieckmann M., 2017, ED SUSTAINABLE DEV G; Rooney T, 2019, CHILD GEOGR, V17, P177, DOI 10.1080/14733285.2018.1474172; Salvatierra L, 2022, EDUC SCI, V12, DOI 10.3390/educsci12030218; Schill M, 2022, J MARKET MANAG-UK, V38, P866, DOI 10.1080/0267257X.2022.2046626; Sesto V, 2021, EDUC SCI, V11, DOI 10.3390/educsci11050213; Spiteri J., J. Educ. Sustain. Dev; Spiteri J., 2022, Handbook of Human and Planetary Health. Climate Change Management, P297, DOI [10.1007/978-3-031-09879-6_17, DOI 10.1007/978-3-031-09879-6_17]; Teixeira J.E, 2022, Climate Change Education and Curriculum Revision; Tricco AC, 2018, ANN INTERN MED, V169, P467, DOI 10.7326/M18-0850; Tsevreni I., 2022, Educ. Times Clim. Chang, V7, P100; UN United Nations Framework Convention on Climate Change (UNFCCC), 1992, About us; UNCRC, 2023, General Comment No. 26 on Children's Rights and the Environment with a Special Focus on Climate Change; UNEP, 2022, UNEA/EA.5/Res.5. Resolutions Adopted by the United Nations Environment Assembly. Adopted 7 March 2022. Nairobi (Hybrid); UNESCO, 2022, Climate change communication and education (CCE) country profiles; UNESCO, 2019, COUNTRY PROGR CLIMAT; UNESCO, 2022, Youth demands for quality climate change education; UNESCO, 2008, The Gothenburg Recommendations on Education for Sustainable Development; UNESCO, 2019, Framework for the implementation of education for sustainable development (ESD) beyond 2019; UNESCO Education, 2015, Incheon Declaration and Framework for Action. Towards Inclusive and Equitable Quality Education and Lifelong Learning for All; UNICEF, 2021, Fact sheet: COP26-Children and climate change; UNICEF, UN CONV RIGHTS CHILD; United Nations Children's Fund (UNICEF), 2021, CLIM CRIS IS CHILD R; Vygotsky L. S., 1978, MIND SOC DEV HIGHER, DOI 10.2307/j.ctvjf9vz4; Warden C., 2022, Green Teaching: Nature Pedagogies for Climate Change and Sustainability; World Bank, 2023, Education and Climate Change; World Bank, 2023, CLIMATE CHANGE; World Bank, 2021, Climate change action plan 2021-2025: South Asia roadmap; Zoupidis A, 2022, EDUC SCI, V12, DOI 10.3390/educsci12030198</t>
  </si>
  <si>
    <t>10.3390/su151914604</t>
  </si>
  <si>
    <t>U3XX8</t>
  </si>
  <si>
    <t>WOS:001084170300001</t>
  </si>
  <si>
    <t>Schwartz, S; Murphy, S; Rome, N; Desai, K</t>
  </si>
  <si>
    <t>Schwartz, Sheri; Murphy, Stephanie; Rome, Nicholas; Desai, Kruti</t>
  </si>
  <si>
    <t>Sustaining Ocean Observations: Strategic Messaging and Communications</t>
  </si>
  <si>
    <t>Arguably the most important outcome of the Sustaining Ocean Observations 2.0 Workshop hosted by the Ocean Studies Board was Strengthening the Collective Voice: Communicating the Importance of Sustained Ocean Observations. One of the most significant challenges the ocean observing community faces is articulating the value of ocean information and improving ocean literacy. The Ocean Decade presents a pivotal moment to catalyze new effort and funding that will support strategic and unified messages regarding the role that observations play in society. Led by the Consortium for Ocean Leadership (COL), the proposed strategic messaging and communications initiative will develop consistent, layered, and clear messaging regarding the value of ocean observations. COL will leverage existing interagency programs and trusted partners, along with external academic, policy, and industry collaborators, to obtain funding and other resources to support the initiative. This Ocean-Shot will build on ideas put forth by Ocean Obs'19, the Ocean Best Practices System, and other UN Ocean Decade initiatives. Primary activities will include hiring communications experts, surveying the community and relevant partners to collect input on the role of observations, and identifying messaging gaps. This effort would strengthen the community's collective voice to demonstrate the value of observations to potential funders, philanthropic or private partners, and governments, and would address the needs of the technology sector.</t>
  </si>
  <si>
    <t>[Schwartz, Sheri; Murphy, Stephanie; Rome, Nicholas; Desai, Kruti] Consortium Ocean Leadership, Washington, DC 20005 USA</t>
  </si>
  <si>
    <t>Schwartz, S (corresponding author), Consortium Ocean Leadership, Washington, DC 20005 USA.</t>
  </si>
  <si>
    <t>sschwartz@oceanleadership.org</t>
  </si>
  <si>
    <t>Schwartz, Sheri/0000-0002-6251-2541</t>
  </si>
  <si>
    <t>WOS:000707639700032</t>
  </si>
  <si>
    <t>Ahmad-Kamil, EI; Zakaria, SZS; Othman, M</t>
  </si>
  <si>
    <t>Ahmad-Kamil, E., I; Zakaria, Sharifah Zarina Syed; Othman, Murnira</t>
  </si>
  <si>
    <t>What Teachers Should Know for Effective Marine Litter Education: A Scoping Review</t>
  </si>
  <si>
    <t>marine litter; marine debris; teachers; educators; marine litter education; education for sustainable development</t>
  </si>
  <si>
    <t>CITIZEN SCIENCE; ENVIRONMENTAL-EDUCATION; TOURISM REVENUE; SCHOOL STUDENTS; PLASTIC WASTE; DEBRIS; BEACHES; AWARENESS; IMPACT; KNOWLEDGE</t>
  </si>
  <si>
    <t>Marine litter has had a huge impact on the marine environment and the socio-economic activities that depend on healthy oceans. All members of the community must play their part to address marine litter. Teachers are agents of change that are capable of encouraging pro-environmental practices among the community that will reduce environmental issues, including marine litter. However, teachers were found to have limited knowledge regarding ocean literacy and marine pollution. A scoping review was conducted to identify various aspects of content knowledge related to marine litter education that has been recently conducted for school teachers and students. Web of Science, Scopus and ERIC databases were searched for articles published in English between 2015 and 8 July 2021. Fourteen peer-reviewed articles were selected for this study and were subjected to content analysis. Topics related to marine litter were frequently addressed. Meanwhile, topics related to teaching Environmental Education/Education for Sustainable Development (EE/ESD) were the least addressed. Benthic marine litter, solutions to marine litter and the introduction of new types of marine litter were identified as topics that need to be addressed in future marine litter education. This study lists content knowledge based on previous literature and identified the gaps, which will be useful for teachers to improve their knowledge and implement effective marine litter education in school.</t>
  </si>
  <si>
    <t>[Ahmad-Kamil, E., I; Zakaria, Sharifah Zarina Syed; Othman, Murnira] Univ Kebangsaan Malaysia, Inst Environm &amp; Dev LESTARI, Bangi 43600, Selangor, Malaysia</t>
  </si>
  <si>
    <t>Zakaria, SZS (corresponding author), Univ Kebangsaan Malaysia, Inst Environm &amp; Dev LESTARI, Bangi 43600, Selangor, Malaysia.</t>
  </si>
  <si>
    <t>ei.ahmadkamil@gmail.com; szarina@ukm.edu.my; murnira@ukm.edu.my</t>
  </si>
  <si>
    <t>Othman, Murnira/V-6426-2019</t>
  </si>
  <si>
    <t>Othman, Murnira/0000-0001-5015-7901</t>
  </si>
  <si>
    <t>Universiti Kebangsaan Malaysia [XX-2020-010, GP-2021-K012939, TAP K012939]</t>
  </si>
  <si>
    <t>We would like to acknowledge Universiti Kebangsaan Malaysia Grant Number XX-2020-010, GP-2021-K012939 and TAP K012939 for supporting the article processing charge for this paper.</t>
  </si>
  <si>
    <t>Abreo N.A.S., 2016, Int. J. Ecol. Cons, V19, P16; Alves TM, 2021, SCI REP-UK, V11, DOI 10.1038/s41598-021-82421-y; Aminrad Z., 2013, WORLD APPL SCI J, V22, P1326, DOI [DOI 10.5829/idosi.wasj.2013.22.09.275, 10.5829/idosi.wasj.2013.22.09.275]; Ammendolia J, 2021, ENVIRON POLLUT, V269, DOI 10.1016/j.envpol.2020.116160; [Anonymous], 2012, IMP MAR DEBR BIOD CU; [Anonymous], 2016, MAR DEBR UND PREV MI; Ashley M, 2019, FRONT MAR SCI, V6, DOI 10.3389/fmars.2019.00288; Bakar R. N. A. R. A., 2021, Ecology, Environment and Conservation, V27, P209; Bakar R.N.A.R.A., 2021, ECOL ENVIRON CONSERV, V27, P194; Bettencourt S, 2021, MAR POLLUT BULL, V168, DOI 10.1016/j.marpolbul.2021.112446; Boubonari T, 2013, J ENVIRON EDUC, V44, P232, DOI 10.1080/00958964.2013.785381; Campbell ML, 2019, SCI TOTAL ENVIRON, V651, P2400, DOI 10.1016/j.scitotenv.2018.10.137; Campbell ML, 2016, OCEAN COAST MANAGE, V126, P22, DOI 10.1016/j.ocecoaman.2016.04.002; Cheung YTY, 2018, INT RES GEOGR ENVIRO, V27, P24, DOI 10.1080/10382046.2017.1285138; Chua MAH, 2019, PEERJ, V7, DOI 10.7717/peerj.6705; Chukwuma E.C., 2019, P ASABE ANN INT M BO, P1; Clukey KE, 2017, MAR POLLUT BULL, V120, P117, DOI 10.1016/j.marpolbul.2017.04.064; Consoli P, 2020, MAR POLLUT BULL, V152, DOI 10.1016/j.marpolbul.2020.110928; Cordova MR, 2021, CHEMOSPHERE, V268, DOI 10.1016/j.chemosphere.2020.129360; Costa RA, 2020, MAR POLLUT BULL, V161, DOI 10.1016/j.marpolbul.2020.111746; de Carvalho-Souza GF, 2018, MAR POLLUT BULL, V133, P464, DOI 10.1016/j.marpolbul.2018.05.049; De-la-Torre GE, 2021, SCI TOTAL ENVIRON, V774, DOI 10.1016/j.scitotenv.2021.145774; De-la-Torre GE, 2021, MAR POLLUT BULL, V163, DOI 10.1016/j.marpolbul.2020.111879; Olmos-Góez MD, 2019, SUSTAINABILITY-BASEL, V11, DOI 10.3390/su11247222; Duckett PE, 2015, MAR FRESHWATER RES, V66, P665, DOI 10.1071/MF14087; Esa N, 2010, INT RES GEOGR ENVIRO, V19, P39, DOI 10.1080/10382040903545534; European Commission, EU MAR STRAT FRAM DI; Fauziah S.H., 2019, TECHNICAL REPORT BUN; Frame JR, 2021, OCEAN COAST MANAGE, V211, DOI 10.1016/j.ocecoanian.2021.105752; Golumbeanu M, 2017, J ENVIRON PROT ECOL, V18, P348; Gracia A, 2020, MAR POLLUT BULL, V152, DOI 10.1016/j.marpolbul.2020.110926; Hartley BL, 2018, MAR POLICY, V96, P227, DOI 10.1016/j.marpol.2018.02.002; Hartley BL, 2018, MAR POLLUT BULL, V133, P945, DOI 10.1016/j.marpolbul.2018.05.061; Hawa NN, 2021, SUSTAINABILITY-BASEL, V13, DOI 10.3390/su13084340; Hidalgo-Ruz V, 2018, MAR POLLUT BULL, V126, P516, DOI 10.1016/j.marpolbul.2017.11.014; Honorato-Zimmer D, 2019, MAR POLLUT BULL, V138, P464, DOI 10.1016/j.marpolbul.2018.11.048; Ioakeimidis C, 2015, SPRINGERPLUS, V4, DOI 10.1186/s40064-015-1248-4; Jambeck JR, 2015, SCIENCE, V347, P768, DOI 10.1126/science.1260352; Jang YC, 2014, MAR POLLUT BULL, V81, P49, DOI 10.1016/j.marpolbul.2014.02.021; Kanapathy S., 2017, P 2017 7 WORLD ENG E; Khairunnisa AK, 2012, AQUAT ECOSYST HEALTH, V15, P279, DOI 10.1080/14634988.2012.703096; Kiessling T, 2017, OCEAN COAST MANAGE, V137, P82, DOI 10.1016/j.ocecoaman.2016.11.029; Krelling AP, 2017, MAR POLICY, V85, P87, DOI 10.1016/j.marpol.2017.08.021; Kumar AA, 2016, REG STUD MAR SCI, V5, P35, DOI 10.1016/j.rsma.2016.01.002; Kusumawati I, 2018, IOP C SER EARTH ENV, V139, DOI 10.1088/1755-1315/139/1/012031; Kusumawati I, 2020, E3S WEB CONF, V151, DOI 10.1051/e3sconf/202015101014; Leggett CG, 2018, MAR RESOUR ECON, V33, P133, DOI 10.1086/697152; Locritani M, 2019, MAR POLLUT BULL, V140, P320, DOI 10.1016/j.marpolbul.2019.01.023; Löhr A, 2017, CURR OPIN ENV SUST, V28, P90, DOI 10.1016/j.cosust.2017.08.009; Loulad S, 2019, MAR POLLUT BULL, V139, P163, DOI 10.1016/j.marpolbul.2018.12.036; Lucrezi S, 2020, MAR POLLUT BULL, V155, DOI 10.1016/j.marpolbul.2020.111167; Lukas KE, 2019, ORYX, V53, P497, DOI 10.1017/S0030605317000965; Masompour Y, 2018, MAR POLLUT BULL, V135, P534, DOI 10.1016/j.marpolbul.2018.07.065; Mcdonald S., 2019, THESIS FLORIDA ATLAN; McIlgorm A., 2020, Update of 2009 APEC report on Economic Costs of Marine Debris to APEC Economies; Mcllgorm A, 2011, OCEAN COAST MANAGE, V54, P643, DOI 10.1016/j.ocecoaman.2011.05.007; Mcpherson K., 2018, THESIS DALHOUSIE U H; Merlin S, 2015, MAR TECHNOL SOC J, V49, P99, DOI 10.4031/MTSJ.49.4.3; Mobilik J. M., 2014, Journal of Sustainability Science and Management, V9, P43; Mobilik Melvin, 2016, Sci. World J, DOI [10.1155/2016/5126951, DOI 10.1155/2016/5126951]; Nelms SE, 2017, SCI TOTAL ENVIRON, V579, P1399, DOI 10.1016/j.scitotenv.2016.11.137; Newman S, 2015, MARINE ANTHROPOGENIC LITTER, P367, DOI 10.1007/978-3-319-16510-3_14; Nousheen A, 2020, J CLEAN PROD, V250, DOI 10.1016/j.jclepro.2019.119537; Pasternak G, 2019, OCEAN COAST MANAGE, V175, P17, DOI 10.1016/j.ocecoaman.2019.03.016; PEMSEA, STAT OC COASTS MAL; Phelan A, 2020, PLOS ONE, V15, DOI 10.1371/journal.pone.0236149; Provencher JF, 2014, MAR POLLUT BULL, V84, P411, DOI 10.1016/j.marpolbul.2014.04.044; Razak N.H.B.A., 2017, J TECHNO SOC, V9, P44; Roman L, 2019, SCI REP-UK, V9, DOI 10.1038/s41598-018-36585-9; Santín A, 2020, MAR POLLUT BULL, V159, DOI 10.1016/j.marpolbul.2020.111501; Simms W, 2019, ENVIRON EDUC RES, V25, P1454, DOI 10.1080/13504622.2019.1574717; Stefanelli-Silva G, 2019, FRONT MAR SCI, V6, DOI 10.3389/fmars.2019.00389; Syed Zakaria S.Z., 2020, Jurnal Arkeologi Malaysia, V33, P27; Torres HR, 2019, ENVIRON EDUC RES, V25, P1400, DOI 10.1080/13504622.2019.1633274; Tricco AC, 2018, ANN INTERN MED, V169, P467, DOI 10.7326/M18-0850; Uehara T, 2020, SUSTAINABILITY-BASEL, V12, DOI 10.3390/su12072586; Unger B, 2017, MAR ENVIRON RES, V130, P77, DOI 10.1016/j.marenvres.2017.07.009; United Nations, SUSTAINABLE DEV GOAL, DOI [DOI 10.1017/9781009106559, 10.1017/9781009106559]; van der Velde T, 2017, BIOL CONSERV, V208, P127, DOI 10.1016/j.biocon.2016.05.025; Van Dyck I. P., 2016, J. Geosci. Environ. Protect, V04, P21, DOI DOI 10.4236/GEP.2016.45003; Wilcox C, 2015, CONSERV BIOL, V29, P198, DOI 10.1111/cobi.12355; Williams AT, 2019, J COASTAL RES, V35, P648, DOI 10.2112/JCOASTRES-D-18-00096.1; Yin Chee Su, 2020, Journal of Sustainability Science and Management, V15, P36, DOI 10.46754/jssm.2020.08.004; Zakaria S.Z.S., 2021, ECOL ENVIRON CONSERV, V27, P178</t>
  </si>
  <si>
    <t>10.3390/su14074308</t>
  </si>
  <si>
    <t>0L5PI</t>
  </si>
  <si>
    <t>WOS:000781524800001</t>
  </si>
  <si>
    <t>Torralba-Burrial, A; Dopico, E</t>
  </si>
  <si>
    <t>Torralba-Burrial, Antonio; Dopico, Eduardo</t>
  </si>
  <si>
    <t>Promoting the Sustainability of Artisanal Fishing through Environmental Education with Game-Based Learning</t>
  </si>
  <si>
    <t>game-based learning; environmental education; education for sustainable consumption; sustainable fisheries; ocean literacy; ecolabels; ecosocial transition; primary education</t>
  </si>
  <si>
    <t>TRANSITION; FISHERIES; TRENDS</t>
  </si>
  <si>
    <t>Oceans provide a wide range of ecosystem services, including food and cultural ecosystem services derived from fisheries. The sustainability of fisheries is addressed by United Nations Sustainable Development Goal 14 on ocean conservation, and education strategies should include ways to achieve it. In this paper, we describe a game-based learning environmental education experience for the promotion of artisanal fishing developed in northwest Spain, in which more than a thousand primary education students (aged 6-12) participated. Following a qualitative methodology, we analyze our own generated games, their formative assessment, and the results of their implementation in schools and informal education events. Moreover, we compare the educational games generated with other game-based learning experiences on ocean literacy and the sustainability of fisheries. These educational experiences provide play-based learning opportunities in which students show great motivation and increase their knowledge about marine biodiversity, the socio-environmental effects of fisheries, and ocean conservation. Some differences were identifiable in the choice and design of the games, including their type and duration, the dimensions of sustainability analyzed, the specific learning objectives sought, the historical and cultural references used, cooperative peer learning, and the generation of shared knowledge. In this experience, the inclusion of education for responsible consumption (SDG 12) within the sustainability of fisheries represents a remarkable innovation, empowering students in their role as fish consumers.</t>
  </si>
  <si>
    <t>[Torralba-Burrial, Antonio; Dopico, Eduardo] Univ Oviedo, Dept Educ Sci, Oviedo 33003, Spain; [Torralba-Burrial, Antonio] Univ Oviedo, Inst Nat Resources &amp; Terr Planning INDUROT, Mieres 33600, Spain</t>
  </si>
  <si>
    <t>University of Oviedo; University of Oviedo</t>
  </si>
  <si>
    <t>Torralba-Burrial, A (corresponding author), Univ Oviedo, Dept Educ Sci, Oviedo 33003, Spain.;Torralba-Burrial, A (corresponding author), Univ Oviedo, Inst Nat Resources &amp; Terr Planning INDUROT, Mieres 33600, Spain.</t>
  </si>
  <si>
    <t>torralbaantonio@uniovi.es; dopicoeduardo@uniovi.es</t>
  </si>
  <si>
    <t>Torralba-Burrial, Antonio/C-3141-2008</t>
  </si>
  <si>
    <t>Torralba-Burrial, Antonio/0000-0002-4957-2080; Dopico, Eduardo/0000-0001-6777-5407</t>
  </si>
  <si>
    <t>We express our gratitude to the teachers and students of primary education for providing the facilities to carry out the educational experience.</t>
  </si>
  <si>
    <t>Abdulrahman N. C., 2019, Journal of Advances in Linguistics, V10, P1600, DOI DOI 10.24297/JAL.V10I0.8530; Abramczyk A, 2020, J EDUC TEACHING, V46, P296, DOI 10.1080/02607476.2020.1733402; Aguión A, 2022, AMBIO, V51, P652, DOI 10.1007/s13280-021-01606-x; [Anonymous], 2016, NATURAL RESOURCES, DOI [DOI 10.4236/NR.2016.76026, 10.4236/nr.2016.76026]; Arboleya-Garcia E, 2022, EDUC SCI, V12, DOI 10.3390/educsci12010057; Asche F, 2018, P NATL ACAD SCI USA, V115, P11221, DOI 10.1073/pnas.1807677115; Asturias Government, 2021, ESTR SECT PESQ AST; Barab S., 2007, ED DESIGN USE SIMULA, P159, DOI DOI 10.1163/9789087903121_011; Baran Sule, 2007, Journal of the Acarological Society of Japan, V16, P1, DOI 10.2300/acari.16.1; Barracosa H, 2019, FRONT MAR SCI, V6, DOI 10.3389/fmars.2019.00626; Bender MG, 2014, PLOS ONE, V9, DOI 10.1371/journal.pone.0110332; Böhnke-Henrichs A, 2013, J ENVIRON MANAGE, V130, P135, DOI 10.1016/j.jenvman.2013.08.027; Burgh G, 2019, CHILD PHILOS, V15, DOI 10.12957/childphilo.2019.42794; Byun W. J, 2018, ISSUES TRENDS ED SUS; Campbell LM, 2016, ANNU REV ENV RESOUR, V41, P517, DOI 10.1146/annurev-environ-102014-021121; Cánovas-Molina A, 2021, OCEAN COAST MANAGE, V213, DOI 10.1016/j.ocecoaman.2021.105911; Casares L., 2014, INT J EDUC RES, V1, P70; Chen SY, 2020, SUSTAINABILITY-BASEL, V12, DOI 10.3390/su12041374; Clerc J., 2022, COGNITIVE FLEXIBILIT, P143; Colleton N, 2016, AQUAT CONSERV, V26, P213, DOI 10.1002/aqc.2697; D'Angelo Sarah., 2015, Proceedings_of_the_14th_International_Conference on_Interaction_Design_and_Children, IDC '15, P29, DOI [10.1145/2771839.2771843, DOI 10.1145/2771839.2771843]; Dwiyanti W., 2017, INT J EDUC RES, V5, P81; Fauville G., 2019, Exemplary Practices in Marine Science Education; Fauville G, 2019, ENVIRON EDUC RES, V25, P238, DOI 10.1080/13504622.2018.1440381; Ferreira JC, 2021, EDUC SCI, V11, DOI 10.3390/educsci11020062; Fox J, 2020, TELEMAT INFORM, V46, DOI 10.1016/j.tele.2019.101320; Galati A, 2022, BRIT FOOD J, V124, P2993, DOI 10.1108/BFJ-05-2021-0498; Galparsoro I, 2014, FRONT MAR SCI, V1, DOI 10.3389/fmars.2014.00023; García-de-la-Fuente L, 2016, MAR POLICY, V74, P165, DOI 10.1016/j.marpol.2016.09.002; García-de-la-Fuente L, 2013, OCEAN COAST MANAGE, V86, P61, DOI 10.1016/j.ocecoaman.2013.05.007; Gardner MK., 2017, Handbook of research on serious games for educational applications; Zheng R, P1; GHILARDI-LOPES Natalia Pirani, 2019, Coastal and marine environmental education; Ghilardi-Lopes NP, 2019, Coastal and marine environmental education, P119; Giacomarra M, 2021, MAR POLICY, V123, DOI 10.1016/j.marpol.2020.104292; Gil-Quintana Javier, 2020, Perfiles educativos, V42, P107, DOI 10.22201/iisue.24486167e.2020.168.59173; Gkargkavouzi A, 2020, MAR POLICY, V111, DOI 10.1016/j.marpol.2019.103727; Halpern BS, 2015, NAT COMMUN, V6, DOI 10.1038/ncomms8615; Hammer J, 2018, ROLE-PLAYING GAME STUDIES: TRANSMEDIA FOUNDATIONS, P283; Herrero M, 2020, ENSEN CIENC, V38, P103, DOI 10.5565/rev/ensciencias.2806; Huang SY, 2020, THINK SKILLS CREAT, V37, DOI 10.1016/j.tsc.2020.100681; Jackson JBC, 2001, SCIENCE, V293, P629, DOI 10.1126/science.1059199; Kangas M, 2017, TEACH TEACH, V23, P451, DOI 10.1080/13540602.2016.1206523; Kelly R, 2022, REV FISH BIOL FISHER, V32, P123, DOI 10.1007/s11160-020-09625-9; Koenigstein S, 2020, ICES J MAR SCI, V77, P1629, DOI 10.1093/icesjms/fsaa035; Korda A, 2020, PAEDAGOG HIST, V56, P269, DOI 10.1080/00309230.2018.1550520; Maesano G, 2020, SUSTAINABILITY-BASEL, V12, DOI 10.3390/su122310008; Makri A, 2021, SUSTAINABILITY-BASEL, V13, DOI 10.3390/su13084587; Manzano-León A, 2021, SUSTAINABILITY-BASEL, V13, DOI 10.3390/su13042247; Moreira T., 2020, EDUCACAO DESENVOLVIM; Mulazzani L, 2017, MAR POLICY, V85, P17, DOI 10.1016/j.marpol.2017.08.006; Nubia-Arias B., 2016, AIBI REV INVESTIG AD, V4, P29, DOI [10.15649/2346030X.385, DOI 10.15649/2346030X.385]; Ouariachi T, 2017, ENSEN CIENC, V35, P193, DOI 10.5565/rev/ensciencias.2088; Paredes-Rodriguez AC., 2023, Global challenges for a sustainable society; Benitez-Andrades JA, P468, DOI [10.1007/978-3-031-25840-4_54, DOI 10.1007/978-3-031-25840-4_54]; Parrondo M., 2021, Appl Environ Educ Commun, V20, P406, DOI [10.1080/1533015x.2021.1930608, DOI 10.1080/1533015X.2021.1930608]; Parrondo M, 2022, AQUAT CONSERV, V32, P309, DOI 10.1002/aqc.3766; Partovi T, 2019, LEARN MOTIV, V68, DOI 10.1016/j.lmot.2019.101592; Pauly D, 2005, PHILOS T R SOC B, V360, P5, DOI 10.1098/rstb.2004.1574; Pauly D, 2002, NATURE, V418, P689, DOI 10.1038/nature01017; Pauzuoliene J, 2022, SUSTAINABILITY-BASEL, V14, DOI 10.3390/su14148509; Plass JL, 2019, HANDBOOK OF GAME-BASED LEARNING, P3; Qian MH, 2016, COMPUT HUM BEHAV, V63, P50, DOI 10.1016/j.chb.2016.05.023; Rieckmann M., 2017, ED SUSTAINABLE DEV G; Ripple W.J., 2017, BioScience, V67, P1026, DOI [DOI 10.1093/BIOSCI/BIX125, DOI 10.1093/BI0SCI/BIX125]; Said A, 2019, MAR POLICY, V107, DOI 10.1016/j.marpol.2019.103599; Santoro F., 2017, OCEAN LIT ALL TOOLKI; Schildkamp K, 2020, INT J EDUC RES, V103, DOI 10.1016/j.ijer.2020.101602; Schmäing T, 2023, INT J ENV RES PUB HE, V20, DOI 10.3390/ijerph20010403; Stanitsas M, 2019, J CLEAN PROD, V208, P924, DOI 10.1016/j.jclepro.2018.10.157; Steffen W, 2015, ANTHROPOCENE REV, V2, P81, DOI 10.1177/2053019614564785; Temple AJ, 2022, MAR POLICY, V139, DOI 10.1016/j.marpol.2022.105033; Torralba-Burrial A., 2021, C P CIVINEDU 2021, P269; Townsend M, 2018, FRONT MAR SCI, V5, DOI 10.3389/fmars.2018.00359; Uehara T, 2020, SUSTAINABILITY-BASEL, V12, DOI 10.3390/su12072586; UNESCO-IOC, 2022, OC SCI BIOD CONS SUS; Vilches A, 2016, REV EUREKA ENSEN DIV, V13, P395, DOI 10.25267/Rev_Eureka_ensen_divulg_cienc.2016.v13.i2.12; Weines J, 2022, RETHINK HIST, V26, P1, DOI 10.1080/13642529.2021.2001208; Wilson CD, 2018, J SCI EDUC TECHNOL, V27, P285, DOI 10.1007/s10956-017-9724-y; Yamada F.M., 2019, REV BRASIL INF ED, V27, P1, DOI [10.5753/rbie.2019.27.03.01, DOI 10.5753/RBIE.2019.27.03.01]; Yan Z, 2021, ASSESS EDUC, V28, P228, DOI 10.1080/0969594X.2021.1884042; Young MF, 2012, REV EDUC RES, V82, P61, DOI 10.3102/0034654312436980; Zeller D, 2018, FISH FISH, V19, P30, DOI 10.1111/faf.12233</t>
  </si>
  <si>
    <t>10.3390/su151712905</t>
  </si>
  <si>
    <t>Q9LO2</t>
  </si>
  <si>
    <t>WOS:001060661100001</t>
  </si>
  <si>
    <t>Onah, EO; Ujunwa, AI; Ujunwa, A; Ogundele, OS</t>
  </si>
  <si>
    <t>Onah, Emmanuel Onyebuchi; Ujunwa, Angela Ifeanyi; Ujunwa, Augustine; Ogundele, Oloruntoba Samuel</t>
  </si>
  <si>
    <t>Effect of financial technology on cash holding in Nigeria</t>
  </si>
  <si>
    <t>AFRICAN JOURNAL OF ECONOMIC AND MANAGEMENT STUDIES</t>
  </si>
  <si>
    <t>Financial technology; Cash holding; Nigeria; ARDL; Income; Opportunity cost</t>
  </si>
  <si>
    <t>LONG-RUN STABILITY; MONEY DEMAND</t>
  </si>
  <si>
    <t>Purpose This paper aims to examine the effect of financial technology on cash holding in Nigeria. Design/methodology/approach The authors use Pesaran et al.'s (2001) autoregressive distributed lag (ARDL) bounds test approach to cointegration to estimate the long-run relationship between four direct measures of financial technology (automated teller machine [ATM], Internet banking [IB], point of sale [POS] and mobile banking [MB]) and cash holding. Findings The authors find the presence of long-run negative relationship between cash holding and the four direct measures of financial technology. Practical implications Despite the negative effect of financial technology on cash holding, the descriptive results highlight increasing trajectory in cash holding. This suggests that structural factors such as ethical climate, literacy level, household characteristics, currency denomination structures, economic uncertainty and infrastructure deficit may account for the pervasive cash transactions in Nigeria and not necessarily the unwillingness of economic agents to use digital platform for financial transactions. Originality/value This study contributes to existing literature by augmenting the money demand function to accommodate direct measures of financial technology in examining the effectiveness of the policy on cash holding in Nigeria.</t>
  </si>
  <si>
    <t>[Onah, Emmanuel Onyebuchi; Ujunwa, Angela Ifeanyi] Univ Nigeria, Dept Banking &amp; Finance, Enugu Campus, Nsukka, Nigeria; [Ujunwa, Augustine; Ogundele, Oloruntoba Samuel] West African Monetary Inst, Accra, Ghana</t>
  </si>
  <si>
    <t>University of Nigeria</t>
  </si>
  <si>
    <t>Ujunwa, AI (corresponding author), Univ Nigeria, Dept Banking &amp; Finance, Enugu Campus, Nsukka, Nigeria.</t>
  </si>
  <si>
    <t>angela.ujunwa@unn.edu.ng</t>
  </si>
  <si>
    <t>Ujunwa, Angela/0000-0002-2139-0306</t>
  </si>
  <si>
    <t>Abor JY, 2018, J AFR BUS, V19, P430, DOI 10.1080/15228916.2017.1419332; Adao B, 2020, EUR ECON REV, V128, DOI 10.1016/j.euroecorev.2020.103508; AJAYI SI, 1977, AM ECON, V21, P51, DOI 10.1177/056943457702100108; Akinlo AE, 2006, J POLICY MODEL, V28, P445, DOI 10.1016/j.jpolmod.2005.09.001; Albulescu CT, 2019, J MACROECON, V60, P33, DOI 10.1016/j.jmacro.2019.01.002; Anwar S., 2012, Pakistan Economic and Social Review, V50, P1; Ardizzi G, 2018, INT REV LAW ECON, V56, P105, DOI 10.1016/j.irle.2018.08.001; Asongu SA, 2019, RES INT BUS FINANC, V48, P483, DOI 10.1016/j.ribaf.2018.11.001; Bahmani-Oskooee M, 2009, J ECON STUD, V36, P216, DOI 10.1108/01443580910983825; Belongia MT, 2019, J MACROECON, V61, DOI 10.1016/j.jmacro.2019.103128; Ben-Salha O., 2014, The Journal of Economic Asymmetries, V11, P30; Boel P, 2018, J ECON DYN CONTROL, V90, P208, DOI 10.1016/j.jedc.2018.02.011; Brunnermeier MK, 2019, J MONETARY ECON, V106, P27, DOI 10.1016/j.jmoneco.2019.07.004; CBN, 2018, GUID LIC REG PAYM SE; CBN, 2019, GUID CHARG BANKS OTH; CBN, 2016, GUID OP EL PAYM CHAN; CBN, 2011, FURTH CLAR CASHL LAG; CBN, 2019, RE IMPL CASHL POL; Chaisrisawatsuk S., 2004, APPL FINANCIAL EC, V14, P19; Chen H, 2019, J BANK FINANC, V99, P192, DOI 10.1016/j.jbankfin.2018.12.009; Chen YR, 2020, J CORP FINANC, V62, DOI 10.1016/j.jcorpfin.2020.101577; Crockett A, 2002, J BANK FINANC, V26, P977, DOI 10.1016/S0378-4266(01)00265-5; Dalis D.T., 2010, JOS J EC, V4, P93; Dandago K.I., 2014, ASIAN EC FINANCIAL R, V4, P655; de Almeida P, 2018, FUTURES, V104, P47, DOI 10.1016/j.futures.2018.07.004; Ferraris L, 2014, J ECON THEORY, V151, P196, DOI 10.1016/j.jet.2013.12.008; Folarin OE, 2019, J POLICY MODEL, V41, P963, DOI 10.1016/j.jpolmod.2019.04.005; Fujiki H, 2020, JPN WORLD ECON, V54, DOI 10.1016/j.japwor.2020.100998; Fujiki H, 2018, J JPN INT ECON, V49, P85, DOI 10.1016/j.jjie.2018.05.001; Fujiki H, 2014, ECON LETT, V125, P5, DOI 10.1016/j.econlet.2014.07.032; Gil-Alana L.A., 2016, J EC FINANCE, V41, P408; Grüschow RM, 2016, ELECTRON COMMER R A, V18, P27, DOI 10.1016/j.elerap.2016.06.001; Gupta CP, 2020, EMERG MARK REV, V44, DOI 10.1016/j.ememar.2020.100718; Humphrey D., 2004, J ECON BUS, V56, P211, DOI DOI 10.1016/J.JEC0NBUS.2003.09.001; Jiang JH, 2020, REV ECON DYNAM, V36, P177, DOI 10.1016/j.red.2019.09.003; Joseph A, 2013, PROCEDIA COMPUT SCI, V20, P478, DOI 10.1016/j.procs.2013.09.306; Jung A, 2016, Q REV ECON FINANC, V60, P29, DOI 10.1016/j.qref.2016.01.002; Keynes J. M., 1936, The General Theory of Employment, Interest and Money; Kumar S, 2013, J POLICY MODEL, V35, P978, DOI 10.1016/j.jpolmod.2013.03.012; Li XQ, 2020, INT REV ECON FINANC, V66, P244, DOI 10.1016/j.iref.2019.12.002; Loncan T, 2020, INT REV FINANC ANAL, V71, DOI 10.1016/j.irfa.2018.12.003; Lucas RE, 2015, J MONETARY ECON, V73, P48, DOI 10.1016/j.jmoneco.2015.03.005; Nachega J.C., 2001, 01118 IMP; Nchor D, 2016, PROCD SOC BEHV, V220, P288, DOI 10.1016/j.sbspro.2016.05.501; Ndirangu L., 2015, J AFRICAN EC, V24, P148; Nnaeme CC, 2020, WORLD DEV, V131, DOI 10.1016/j.worlddev.2020.104956; Pesaran MH, 2001, J APPL ECONOMET, V16, P289, DOI 10.1002/jae.616; POOLE W, 1970, Q J ECON, V84, P197, DOI 10.2307/1883009; Tran QT, 2020, FINANC RES LETT, V36, DOI 10.1016/j.frl.2019.101312; Rahmawati D, 2017, 2017 3RD INTERNATIONAL CONFERENCE ON SCIENCE IN INFORMATION TECHNOLOGY (ICSITECH), P35, DOI 10.1109/ICSITech.2017.8257082; Salami I, 2018, STUD CONFL TERROR, V41, P968, DOI 10.1080/1057610X.2017.1365464; Singh R., 2012, J DEV AREAS, V46, P43; Thakur BPS, 2019, EMERG MARK REV, V38, P1, DOI 10.1016/j.ememar.2018.11.008; Tjotta S, 2019, J BEHAV EXP ECON, V80, P67, DOI 10.1016/j.socec.2019.03.007; Uche C.U., 2001, Journal of Financial Services Marketing, V6, P133, DOI [10.1057/palgrave.fsm.4770047, DOI 10.1057/PALGRAVE.FSM.4770047]; Xu XB, 2020, J RETAILING, V96, P178, DOI 10.1016/j.jretai.2019.08.002; Zhang YY, 2019, J FINANC STABIL, V44, DOI 10.1016/j.jfs.2019.100690; Zhao LY, 2015, CHINA ECON REV, V34, P169, DOI 10.1016/j.chieco.2015.05.002; Ziramba E, 2007, S AFR J ECON, V75, P412, DOI 10.1111/j.1813-6982.2007.00133.x</t>
  </si>
  <si>
    <t>2040-0705</t>
  </si>
  <si>
    <t>2040-0713</t>
  </si>
  <si>
    <t>AFR J ECON MANAG STU</t>
  </si>
  <si>
    <t>Afr. J. Econ. Manag. Stud.</t>
  </si>
  <si>
    <t>MAY 25</t>
  </si>
  <si>
    <t>10.1108/AJEMS-04-2020-0190</t>
  </si>
  <si>
    <t>SI9CV</t>
  </si>
  <si>
    <t>WOS:000655127800003</t>
  </si>
  <si>
    <t>Cook, J; Ecker, UKH; Trecek-King, M; Schade, G; Jeffers-Tracy, K; Fessmann, J; Kim, SC; Kinkead, D; Orr, M; Vraga, E; Roberts, K; McDowell, J</t>
  </si>
  <si>
    <t>Cook, John; Ecker, Ullrich K. H.; Trecek-King, Melanie; Schade, Gunnar; Jeffers-Tracy, Karen; Fessmann, Jasper; Kim, Sojung Claire; Kinkead, David; Orr, Margaret; Vraga, Emily; Roberts, Kurt; McDowell, Jay</t>
  </si>
  <si>
    <t>The cranky uncle game-combining humor and gamification to build student resilience against climate misinformation</t>
  </si>
  <si>
    <t>serious game; climate change; misinformation; inoculation; humor</t>
  </si>
  <si>
    <t>SOCIAL-CHANGE; COMEDY; KNOWLEDGE; SCIENCE; SATIRE; NEWS; INFORMATION; PERSUASION; ENGAGEMENT; FACE</t>
  </si>
  <si>
    <t>Misinformation about climate change is a consequential societal issue, causing polarization and reduced support for climate action. However, the seriousness of the problem does not preclude non-serious solutions. There are numerous potential benefits to humor as a strategy to counter misinformation, such as attracting attention and engaging disengaged audiences. This paper describes a humorous serious game-Cranky Uncle-developed in the U.S. to inoculate players against climate misinformation. The game combines psychological research into active inoculation, critical-thinking work on misleading rhetorical techniques, communication research into cartoon debunking, and gamification. The game's cartoon humor and the creative potential of active inoculation lends it to classroom applications; educators have thus used classroom activities to complement the game in order to improve students' climate literacy and critical-thinking abilities. We present several qualitative U.S.-based case studies, in formal English-speaking tertiary classrooms and informal public education settings, to illustrate the utility of a humorous, game-based approach to building resilience against climate misinformation. The approaches adopted in our case studies are offered as a model for other educators looking to use interactive games to teach critical thinking.</t>
  </si>
  <si>
    <t>[Cook, John] Monash Univ, Climate Change Commun Res Hub, Melbourne, Vic, Australia; [Ecker, Ullrich K. H.] Univ Western Australia, Sch Psychol Sci, Perth, WA, Australia; [Trecek-King, Melanie] Massasoit Community Coll, Biol Dept, Brockton, MA USA; [Schade, Gunnar] Texas A&amp;M Univ, Dept Atmospher Sci, College Stn, TX USA; [Jeffers-Tracy, Karen] Sustainable Fairborn, Fairborn, OH USA; [Fessmann, Jasper] West Virginia Univ, Reed Coll Media, Morgantown, WV 26506 USA; [Kim, Sojung Claire] George Mason Univ, Dept Commun, Fairfax, VA 22030 USA; [Kinkead, David] Univ Queensland, Crit Thinking Project, St Lucia, Qld, Australia; [Orr, Margaret] George Mason Univ, Ctr Climate Change Commun, Fairfax, VA 22030 USA; [Vraga, Emily] Univ Minnesota, Hubbard Sch Journalism &amp; Mass Commun, Minneapolis, MN USA; [Roberts, Kurt; McDowell, Jay] Goodbeast, Washington, DC USA</t>
  </si>
  <si>
    <t>Monash University; University of Western Australia; Texas A&amp;M University System; Texas A&amp;M University College Station; West Virginia University; George Mason University; University of Queensland; George Mason University; University of Minnesota System; University of Minnesota Twin Cities</t>
  </si>
  <si>
    <t>Cook, J (corresponding author), Monash Univ, Climate Change Commun Res Hub, Melbourne, Vic, Australia.</t>
  </si>
  <si>
    <t>john.cook@monash.edu</t>
  </si>
  <si>
    <t>Ecker, Ullrich K H/A-2043-2010; Schade, Gunnar/G-9000-2012; Vraga, Emily/K-9325-2019</t>
  </si>
  <si>
    <t>Vraga, Emily/0000-0002-3016-3869; Orr, Margaret/0000-0002-9843-9964; Kinkead, David/0000-0001-5396-8099; Cook, John/0000-0001-8488-6766; Ecker, Ullrich/0000-0003-4743-313X; Fessmann, Jasper/0000-0001-8012-3753</t>
  </si>
  <si>
    <t>[Anonymous], 2015, ONION; [Anonymous], 2014, Last Week Tonight with John Oliver; Baek YM, 2009, COMMUN RES, V36, P783, DOI 10.1177/0093650209346805; Banas JA, 2013, HUM COMMUN RES, V39, P184, DOI 10.1111/hcre.12000; Baxter P, 2008, QUAL REP, V13, P544; Becker AB, 2018, INFORM COMMUN SOC, V21, P612, DOI 10.1080/1369118X.2017.1301517; Blair L, 2016, INT J SERIOUS GAMES, V3, P47, DOI 10.17083/ijsg.v3i4.114; Bore ILK, 2014, SCI COMMUN, V36, P454, DOI 10.1177/1075547014534076; Boykoff M, 2019, POLIT GEOGR, V68, P154, DOI 10.1016/j.polgeo.2018.09.006; Brewer PR, 2015, SCI COMMUN, V37, P635, DOI 10.1177/1075547015597911; Cao XX, 2008, MASS COMMUN SOC, V11, P43, DOI 10.1080/15205430701585028; Chan MPS, 2017, PSYCHOL SCI, V28, P1531, DOI 10.1177/0956797617714579; Chattoo CB, 2017, J COMMUN, V67, P678, DOI 10.1111/jcom.12318; Compton J., 2013, SAGE HDB PERSUASION, V2nd, P220, DOI DOI 10.4135/9781452218410; Compton J., 2018, Political humor in a changing media landscape: A new generation of research, P95; Cook J., 2021, EDWARD ELGAR RES HDB; Cook J., 2020, Skeptical Inquirer, V44, P38; Cook J., 2014, J Geosci Educ, V62, P296, DOI DOI 10.5408/13-071.1; Cook Jason., 2020, CRANKY UNCLE VS CLIM; Cook John, 2017, Journal and Proceedings of the Royal Society of New South Wales, V150, P207; Cook J, 2018, ENVIRON RES LETT, V13, DOI 10.1088/1748-9326/aaa49f; Cook J, 2017, PLOS ONE, V12, DOI 10.1371/journal.pone.0175799; Cook J, 2016, ENVIRON RES LETT, V11, DOI 10.1088/1748-9326/11/4/048002; Cook N.J., 1985, The Designer's Guide to Wind Loading of Building Structures; Domonoske Camila, 2021, NPR; Dormann C., 2013, DIGRA C; Dormann C, 2014, L N INST COMP SCI SO, V136, P81; Dormann C, 2009, SIMULAT GAMING, V40, P802, DOI 10.1177/1046878109341390; Ecker U.K., 2017, MEDIA ASIA, V44, P79; Ecker UKH, 2022, NAT REV PSYCHOL, V1, P13, DOI 10.1038/s44159-021-00006-y; Eisenhardt K.M., 2002, The qualitative researcher's companion, P4, DOI DOI 10.4135/9781412986274; Feldman L, 2019, MASS COMMUN SOC, V22, P277, DOI 10.1080/15205436.2018.1545035; Fessmann J., 2019, STRATEGIC CLIMATE SC; Fessmann J., 2017, The Journal of Public Interest Communications, V1, P16, DOI [10.32473/jpic.v1.i1.p16, DOI 10.32473/JPIC.V1.I1.P16]; Fessmann J., 2016, Strategic Communication for Non-Profit Organisations - Challenges and Alternative Approaches, V1A, P13; Geiger N, 2016, J ENVIRON PSYCHOL, V47, P79, DOI 10.1016/j.jenvp.2016.05.002; Girard C, 2013, J COMPUT ASSIST LEAR, V29, P207, DOI 10.1111/j.1365-2729.2012.00489.x; Goodwell, 2013, ROLLING STONE; Hoad C, 2013, J EXP EDUC, V36, P37, DOI 10.1177/1053825913481583; Hoofnagle M., 2007, Denialism Blog; Hornsey MJ, 2017, AM PSYCHOL, V72, P459, DOI 10.1037/a0040437; Imbellone A, 2015, INT J SERIOUS GAMES, V2, DOI 10.17083/ijsg.v2i1.41; IPCC, 2021, CLIMATE CHANGE 2021, DOI [10.1017/9781009157896, DOI 10.1017/9781009157896]; Ivanov B., 2020, HDB APPL COMMUNICATI, V1, P13, DOI [10.1002/9781119399926.ch1, DOI 10.1002/9781119399926.CH1]; Juthe A, 2009, ARGUMENTATION, V23, P133, DOI 10.1007/s10503-008-9109-8; Kelsey E, 2012, LEARNING FOR SUSTAINABILITY IN TIMES OF ACCELERATING CHANGE, P187; Kim SC, 2021, HEALTH COMMUN, V36, P1687, DOI 10.1080/10410236.2020.1787933; Lawrence E.K., 2017, Applied Environmental Education Communication, V16, P117, DOI [DOI 10.1080/1533015X.2017, 10.1080/1533015X.2017.1305920, DOI 10.1080/1533015X.2017.1305920]; Lazer DMJ, 2018, SCIENCE, V359, P1094, DOI 10.1126/science.aao2998; Lazzaro N., 2004, GAME DEVELOPERS C, DOI DOI 10.1111/J.1464-410X.2004.04896.X; Lewandowsky S, 2021, COGN RES, V6, DOI 10.1186/s41235-021-00323-z; Lewandowsky S, 2021, EUR REV SOC PSYCHOL, V32, P348, DOI 10.1080/10463283.2021.1876983; Lewandowsky S, 2021, ANNU REV PUBL HEALTH, V42, P1, DOI 10.1146/annurev-publhealth-090419-102409; Lewandowsky S, 2017, J APPL RES MEM COGN, V6, P353, DOI 10.1016/j.jarmac.2017.07.008; Lewandowsky S, 2012, PSYCHOL SCI PUBL INT, V13, P106, DOI 10.1177/1529100612451018; McCright AM, 2016, TOP COGN SCI, V8, P76, DOI 10.1111/tops.12171; McKasy M.M.A.Cacciatore., 2021, ANN C ASS ED JOURNAL; Nabi RL, 2007, COMMUN MONOGR, V74, P29, DOI 10.1080/03637750701196896; Osnes B., 2019, Comedy Studies, V10. 1-13, DOI DOI 10.1080/2040610X.2019.1623513; Patz JA, 2014, JAMA-J AM MED ASSOC, V312, P1565, DOI 10.1001/jama.2014.13186; Paynter J, 2019, PLOS ONE, V14, DOI 10.1371/journal.pone.0210746; Ranney MA, 2016, TOP COGN SCI, V8, P49, DOI 10.1111/tops.12187; Richardson L.M., 2020, Research Handbook on Communicating Climate Change, P62, DOI [DOI 10.4337/9781789900408.00014, 10.4337/9781789900408, DOI 10.4337/9781789900408]; Roozenbeek J., 2020, HARVARD KENNEDY SCH, DOI DOI 10.37016/MR-2020-47; Roozenbeek J, 2019, PALGR COMMUN, V5, DOI 10.1057/s41599-019-0279-9; Roozenbeek J, 2019, J RISK RES, V22, P570, DOI 10.1080/13669877.2018.1443491; Russell Connie., 2016, Canadian Journal of Environmental Education (CJEE), V21, P13; Schmid P, 2019, NAT HUM BEHAV, V3, P931, DOI 10.1038/s41562-019-0632-4; Skurka C, 2019, SCI COMMUN, V41, P394, DOI 10.1177/1075547019853837; Skurka C, 2018, J COMMUN, V68, P169, DOI 10.1093/joc/jqx008; Suldovsky B., 2017, OXFORD RES ENCY CLIM, DOI [10.1093/acrefore/9780190228620.001.0001/acrefore-9780190228620-e-301, DOI 10.1093/ACREFORE/9780190228620.001.0001/ACREFORE-9780190228620-E-301]; Swim JK., 2014, Journal of Land Use Environmnetal Law, V30, P91; Tay LQ, 2021, COMP PREBUNKING DEBU, DOI [10.31234/osf.io/48zqn, DOI 10.31234/OSF.IO/48ZQN]; Treen KMD, 2020, WIRES CLIM CHANGE, V11, DOI 10.1002/wcc.665; van der Linden S, 2021, ASIAN J SOC PSYCHOL, V24, P37, DOI 10.1111/ajsp.12463; van der Linden S, 2017, GLOB CHALL, V1, DOI 10.1002/gch2.201600008; Vraga EK, 2020, INT J PRESS/POLIT, V25, P632, DOI 10.1177/1940161220919082; Vraga EK, 2019, J BROADCAST ELECTRON, V63, P393, DOI 10.1080/08838151.2019.1653102; Xenos MA, 2009, POLIT COMMUN, V26, P317, DOI 10.1080/10584600903053569; Yeo SK, 2021, P NATL ACAD SCI USA, V118, DOI 10.1073/pnas.2002484118</t>
  </si>
  <si>
    <t>APR 3</t>
  </si>
  <si>
    <t>10.1080/13504622.2022.2085671</t>
  </si>
  <si>
    <t>JUN 2022</t>
  </si>
  <si>
    <t>9X1ZS</t>
  </si>
  <si>
    <t>WOS:000811649900001</t>
  </si>
  <si>
    <t>Rasulo, M</t>
  </si>
  <si>
    <t>Rasulo, Margaret</t>
  </si>
  <si>
    <t>Dialogic patterns of the oppressor-oppressed dynamic in climate change denial</t>
  </si>
  <si>
    <t>JOURNAL OF PRAGMATICS</t>
  </si>
  <si>
    <t>Oppressor-oppressed dynamic; Climate change; Denial claims; Key quotes; Dialogic engagement</t>
  </si>
  <si>
    <t>The oppressor-oppressed dynamic is one of the driving forces that lie behind power, motivating those who possess it to control access to life resources, essential information, and other options and choices that are necessary to adapt to a world in continuous transformation. By referring primarily to the context of corporate America, the aim of this study is to expose the ongoing confrontation between power structures that are responsible for spreading climate denial theories, and climate science that is involved in promoting not only global climate cooperation and regulation but also climate literacy among the general public. The concerted effort of climate denialists to discredit scientific consensus regarding anthropogenic causes of climate change is analyzed through an action-reaction dialogic construct embedded in a series of key quotes collected from the counter-denial website DeSmogBlog. By drawing on the cognitive and communicative principles of Relevance theory in pragmatics and on neo-Gricean approaches, and by adopting a combination of qualitative and quantitative analysis, the study attempts to shed light on denialist communicative intentions that initiate and give impetus to the global climate change debate.</t>
  </si>
  <si>
    <t>[Rasulo, Margaret] Univ Campania Luigi Vanvitelli, Dept Humanities &amp; Cultural Heritage, Via Raffaele Perla 21, I-81055 S Maria Capua Vetere, CE, Italy</t>
  </si>
  <si>
    <t>Universita della Campania Vanvitelli</t>
  </si>
  <si>
    <t>Rasulo, M (corresponding author), Via Raffaele Perla 21, I-81055 Santa Maria Capua Vetere, CE, Italy.</t>
  </si>
  <si>
    <t>margherita.rasulo@unicampania.it</t>
  </si>
  <si>
    <t>Rasulo, Margherita/0000-0001-7924-4064</t>
  </si>
  <si>
    <t>[Anonymous], 1995, DISCOURSE SOCIAL CHA; [Anonymous], 1973, PROBLEMS DOSTOEVSKYS; [Anonymous], 2016, CENGAGE LEARNING; [Anonymous], 2008, Discourse and Practice: New Tools for Critical Discourse Analysis; [Anonymous], 2003, OUR MIND SALIENCE CO, DOI 10.1093/acprof:oso/9780195136166.001.0001; Baker P., 2006, USING CORPORA DISCOU, DOI DOI 10.5040/9781350933996; Baker P, 2008, DISCOURSE SOC, V19, P273, DOI 10.1177/0957926508088962; Burnett H, 2014, LINGUIST PHILOS, V37, P1, DOI 10.1007/s10988-014-9145-9; Carmichael JT, 2017, ENVIRON POLIT, V26, P232, DOI 10.1080/09644016.2016.1263433; Coffin C., 2006, FUNCT LANG, V13, P77; Cook J., 2019, HDB RES DECEPTION FA, P281, DOI DOI 10.4018/978-1-5225-8535-0.CH016; Cook John, 2010, 5 CHARACTERISTICS SC; Dan Sperbery Deirdre Wilson., 1995, RELEVANCE COMMUNICAT; Diethelm P, 2009, EUR J PUBLIC HEALTH, V19, P2, DOI 10.1093/eurpub/ckn139; Du Bois J. W., 2007, Stancetaking in discourse: Subjectivity, evaluation, interaction, V164, P139, DOI DOI 10.1075/PBNS.164.07DU; Du Bois JW, 2014, COGN LINGUIST, V25, P351, DOI 10.1515/cog-2014-0023; Dunlap RE, 2013, AM BEHAV SCI, V57, P691, DOI 10.1177/0002764213477097; Egbert J., 2020, Using corpus methods to triangulate linguistic analysis; Fairclough Norman., 1997, DISCOURSE SOCIAL INT, V2, P258, DOI DOI 10.4135/9781446289068.N17; Freire P., 1972, PEDAGOGY OPPRESSED; Halliday M.A.K., 1978, LANGUAGE SOCIAL SEMI, V42; Halliday Michael, 1994, INTRO FUNCTIONAL GRA; Jacques PJ, 2008, ENVIRON POLIT, V17, P349, DOI 10.1080/09644010802055576; Kecskes I, 2016, VESTN ROSS UNIV DRUZ, V20, P26, DOI 10.22363/2312-9182-2016-20-4-26-42; Kecskes I, 2012, LANG DIALOGUE, V2, P283, DOI 10.1075/ld.2.2.06kec; Kecskes I, 2010, PRAGMAT SOC, V1, P50, DOI 10.1075/ps.1.1.04kec; Knutsen D, 2012, J MEM LANG, V67, P326, DOI 10.1016/j.jml.2012.06.001; Markova Ivana., 2003, DIALOGICALITY SOCIAL; Martin JR, 2007, LANGUAGE OF EVALUATION: APPRAISAL IN ENGLISH, P1, DOI 10.1057/9780230511910; McCright AM, 2010, THEOR CULT SOC, V27, P100, DOI 10.1177/0263276409356001; Mearns R, 2010, NEW FRONT SOC POLICY, P1; Neuendorf K., 2016, CONTENT ANAL GUIDEBO, DOI 10.4135/9781071802878; Oteíza T, 2017, ROUT HANDB LINGUIST, P457; Paradis Carita, 2017, CORPUS LINGUIST LING; Poortinga W, 2011, GLOBAL ENVIRON CHANG, V21, P1015, DOI 10.1016/j.gloenvcha.2011.03.001; Powell J.L., 2015, B SCI TECHNOL SOC, V35, P121, DOI [10.1177/0270467616634958, DOI 10.1177/0270467616634958]; Puig Margarida Bassols, 2003, NOVES SL REV SOCIOLI; Saul JM, 2002, NOUS, V36, P228, DOI 10.1111/1468-0068.00369; Schäfer MS, 2014, INT COMMUN GAZ, V76, P152, DOI 10.1177/1748048513504169; Schmidt A, 2013, GLOBAL ENVIRON CHANG, V23, P1233, DOI 10.1016/j.gloenvcha.2013.07.020; Simaki V, 2020, CORPUS LINGUIST LING, V16, P215, DOI 10.1515/cllt-2016-0060; Sperber D., 1995, Postface. Relevance: Communication and Cognition, P255; van Dijk TA, 2011, DIS APPL POL SOC CUL, V43, P27; Weigand E, 2010, INTERCULT PRAGMAT, V7, P505, DOI 10.1515/IPRG.2010.022; White P., 2002, HDB PRAGMATICS, P1; White P.R. R., 2003, Text, V23, P259, DOI DOI 10.1515/TEXT.2003.011; Wiebe J, 2005, LANG RESOUR EVAL, V39, P165, DOI 10.1007/s10579-005-7880-9; Wilson D., 2004, HDB PRAGMATICS, P607, DOI [DOI 10.1016/J.PRAGMA.2009.09.021, DOI 10.1002/9780470756959.CH27, 10.1002/9780470756959.ch27]; Wilson Deidre, 2016, OXFORD HDB PRAGMATIC, P343; Wodak R., 2009, METHODS CRITICAL DIS, V2, P1; Wodak R., 2007, PRAGMATICS COGNITION, V15, P203, DOI DOI 10.1075/PC.15.1.13WOD</t>
  </si>
  <si>
    <t>0378-2166</t>
  </si>
  <si>
    <t>1879-1387</t>
  </si>
  <si>
    <t>J PRAGMATICS</t>
  </si>
  <si>
    <t>J. Pragmat.</t>
  </si>
  <si>
    <t>10.1016/j.pragma.2021.12.007</t>
  </si>
  <si>
    <t>Linguistics; Language &amp; Linguistics</t>
  </si>
  <si>
    <t>Social Science Citation Index (SSCI); Arts &amp; Humanities Citation Index (A&amp;HCI)</t>
  </si>
  <si>
    <t>Linguistics</t>
  </si>
  <si>
    <t>ZJ6HS</t>
  </si>
  <si>
    <t>WOS:000762405600011</t>
  </si>
  <si>
    <t>Mahaffy, PG; Martin, BE; Kirchhoff, M; McKenzie, L; Holme, T; Versprile, A; Towns, M</t>
  </si>
  <si>
    <t>Mahaffy, Peter G.; Martin, Brian E.; Kirchhoff, Mary; McKenzie, Lallie; Holme, Thomas; Versprile, Ashley; Towns, Marcy</t>
  </si>
  <si>
    <t>Infusing Sustainability Science Literacy through Chemistry Education: Climate Science as a Rich Context for Learning Chemistry</t>
  </si>
  <si>
    <t>ACS SUSTAINABLE CHEMISTRY &amp; ENGINEERING</t>
  </si>
  <si>
    <t>Climate change; Sustainability; Education; Rich context; General chemistry; Climate literacy; Sustainability science literacy</t>
  </si>
  <si>
    <t>ANTHROPOCENE; TIME; FUTURE; EPOCH</t>
  </si>
  <si>
    <t>Global science is paying increasingly urgent attention to sustainability challenges, as evidenced by initiatives such as the working group determining whether Earth has moved from the Holocene to the Anthropocene Epoch on the geologic time scale and the interdisciplinary efforts to define and quantify our planetary boundaries. Despite the fact that much of the scientific work underlying these initiatives is based on measurements of fundamental chemistry parameters, sustainability literacy has not been incorporated in any systematic way into the undergraduate chemistry curriculum. We report here on the philosophy and implementation of a NSF-funded initiative, Visualizing the Chemistry of Climate Change (VC3), which provides an exemplar for developing strategies to fill that gap, focusing on climate change, one of the defining sustainability challenges of the 21st century. VC3 targets the strategic first year university and college chemistry courses that are common to the program requirements of many science and engineering majors. The overall goals of the VC3 project are to infuse climate literacy principles into the learning of representative core topics in North American general chemistry courses for science majors, while demonstrating that learning core chemistry topics by starting with an important rich context is a viable approach.</t>
  </si>
  <si>
    <t>[Mahaffy, Peter G.] Kings Univ, Dept Chem, Edmonton, AB T6B 2H3, Canada; [Martin, Brian E.] Kings Univ, Dept Phys, Edmonton, AB T6B 2H3, Canada; [Kirchhoff, Mary] Amer Chem Soc, Div Chem Educ, Washington, DC 20036 USA; [McKenzie, Lallie] Chem11 LLC, Eugene, OR 97403 USA; [Holme, Thomas] Iowa State Univ, Dept Chem, Ames, IA 50011 USA; [Versprile, Ashley; Towns, Marcy] Purdue Univ, Dept Chem, W Lafayette, IN 47907 USA</t>
  </si>
  <si>
    <t>American Chemical Society; Iowa State University; Purdue University System; Purdue University</t>
  </si>
  <si>
    <t>Mahaffy, PG (corresponding author), Kings Univ, Dept Chem, 9125 50 St NW, Edmonton, AB T6B 2H3, Canada.</t>
  </si>
  <si>
    <t>The undergraduate student research team at the King's Centre for Visualization in Science, including Darrell Vandenbrink, Joseph Zondervan, Darren Eymundson, Theo Keeler, Miriam Mahaffy, Anna Schwalfenberg, and Kristen Tjostheim, played an important role in drafting the interactive VC3 visualizations. This work is supported by the National Science Foundation under Grant 1022992. Any opinions, findings, and conclusions or recommendations expressed in this material are those of the authors and do not necessarily reflect the views of the National Science Foundation.</t>
  </si>
  <si>
    <t>Anderson L., 2009, TAXONOMY LEARNING TE; [Anonymous], 2013, Next generation science standards : for states, by states; [Anonymous], 2009, CLIM LIT ESS PRINC C; Bain K, 2014, CHEM EDUC RES PRACT, V15, P320, DOI 10.1039/c4rp00011k; Committee on Challenges for the Chemical Sciences in the 21st Century, 2003, MOL FRONT CHALL CHEM; Cooper M, 2010, J CHEM EDUC, V87, P231, DOI 10.1021/ed800096m; Freeman S, 2014, P NATL ACAD SCI USA, V111, P8410, DOI 10.1073/pnas.1319030111; Gilbert JK, 2006, INT J SCI EDUC, V28, P957, DOI 10.1080/09500690600702470; Grassian VH, 2007, ENVIRON SCI TECHNOL, V41, P4840, DOI 10.1021/es0725798; Hodson D, 2003, INT J SCI EDUC, V25, P645, DOI 10.1080/09500690305021; Johnstone AH, 2010, J CHEM EDUC, V87, P22, DOI 10.1021/ed800026d; Mahaffy P. G., 2014, CHEM ED BEST PRACTIC; Mahaffy PG, 2014, J CHEM EDUC, V91, P463, DOI 10.1021/ed5001922; Martin BE, 2013, ACS SYM SER, V1142, P411; Mbajiorgu N., 2006, Factors Influencing Curriculum Development in Chemistry; McCaffrey MS, 2008, PHYS GEOGR, V29, P512, DOI 10.2747/0272-3646.29.6.512; Middlecamp C., 2015, CHEM CONTEXT APPL CH; National Research Council, 2006, SUST CHEM IND GRAND; Orr D.W., 1992, ECOLOGICAL LITERACY; Rockström J, 2009, ECOL SOC, V14; Rockström J, 2009, NATURE, V461, P472, DOI 10.1038/461472a; Steffen W, 2011, PHILOS T R SOC A, V369, P842, DOI 10.1098/rsta.2010.0327; Wysession M. E., 2013, SCI TEACH, V31; Yaron D, 2010, INSTRUCTIONAL EXPLANATIONS IN THE DISCIPLINES, P41, DOI 10.1007/978-1-4419-0594-9_4; Zalasiewicz J, 2011, PHILOS T R SOC A, V369, P835, DOI 10.1098/rsta.2010.0339</t>
  </si>
  <si>
    <t>2168-0485</t>
  </si>
  <si>
    <t>ACS SUSTAIN CHEM ENG</t>
  </si>
  <si>
    <t>ACS Sustain. Chem. Eng.</t>
  </si>
  <si>
    <t>10.1021/sc500415k</t>
  </si>
  <si>
    <t>Chemistry, Multidisciplinary; Green &amp; Sustainable Science &amp; Technology; Engineering, Chemical</t>
  </si>
  <si>
    <t>Chemistry; Science &amp; Technology - Other Topics; Engineering</t>
  </si>
  <si>
    <t>AS5LE</t>
  </si>
  <si>
    <t>WOS:000344311600001</t>
  </si>
  <si>
    <t>Duffy, MA</t>
  </si>
  <si>
    <t>Duffy, Meghan A.</t>
  </si>
  <si>
    <t>Why We Should Preach to the Climate Change Choir: The Importance of Science Communication That Engages People Who Already Accept Climate Change*</t>
  </si>
  <si>
    <t>AMERICAN NATURALIST</t>
  </si>
  <si>
    <t>science communication; climate change; pedagogy; student understandings; climate action</t>
  </si>
  <si>
    <t>EMOTIONS</t>
  </si>
  <si>
    <t>Climate change is one of the most urgent issues facing society today, and scientists have an important opportunity to teach students and other audiences about climate change. With climate communication, it can be tempting to think that the primary goal should be to get more people to accept climate change, but true climate literacy requires not just an understanding of the reality of climate change but also acting on that understanding. Here, I argue that there is an important role for communicating about climate change with people who already accept that it is occurring. Such communication can help people improve their understanding, increasing their certainty regarding climate change and its drivers, and spur them to take action. Social science research has important insights regarding how to communicate in a way that encourages people to change behaviors, including aiming to increase personal and collective efficacy and helping people figure out how to meet key needs while reducing greenhouse gas emissions. Climate change communicators should seek out audiences that already accept climate change, helping those individuals deepen their understanding and energizing and empowering these people to act.</t>
  </si>
  <si>
    <t>[Duffy, Meghan A.] Univ Michigan, Dept Ecol &amp; Evolutionary Biol, Ann Arbor, MI 48109 USA</t>
  </si>
  <si>
    <t>University of Michigan System; University of Michigan</t>
  </si>
  <si>
    <t>Duffy, MA (corresponding author), Univ Michigan, Dept Ecol &amp; Evolutionary Biol, Ann Arbor, MI 48109 USA.</t>
  </si>
  <si>
    <t>Duffy, Meghan/0000-0002-8142-0802</t>
  </si>
  <si>
    <t>Bandura A, 2000, CURR DIR PSYCHOL SCI, V9, P75, DOI 10.1111/1467-8721.00064; Bilandzic H, 2017, SCI COMMUN, V39, P466, DOI 10.1177/1075547017718553; Bostrom A., 2018, Psychol Perspect Risk Risk Anal Theory Models Appl, P251, DOI DOI 10.1007/978-3-319-92478-6_11; Busch KC, 2019, INT J SCI EDUC, V41, P2389, DOI 10.1080/09500693.2019.1680903; de Vries G, 2020, SOC ISS POLICY REV, V14, P244, DOI 10.1111/sipr.12061; Duffy MA, 2019, ECOL EVOL, V9, P12360, DOI 10.1002/ece3.5736; Friere Paulo., 1970, PEDAGOGY OPPRESSED; Godsmark CN, 2020, LANCET PLANET HEALTH, V4, pE169, DOI 10.1016/S2542-5196(20)30102-9; Heath C., 2010, Switch: How to change things when change is hard; IPCC, 2018, IPCC, DOI [DOI 10.1017/9781009157926.005, DOI 10.1017/CBO9781107415324]; Kusmanoff AM, 2020, CONSERV BIOL, V34, P1131, DOI 10.1111/cobi.13482; Leiserowitz A., 2019, PsyArXiv; Lubell M, 2002, ENVIRON BEHAV, V34, P431, DOI 10.1177/00116502034004002; Manning C, 2018, WORLD SUSTAIN SER, P143, DOI 10.1007/978-3-319-67122-2_8; Myers TA, 2012, CLIMATIC CHANGE, V113, P1105, DOI 10.1007/s10584-012-0513-6; Nisbet MC, 2009, AM J BOT, V96, P1767, DOI 10.3732/ajb.0900041; Nolan JM, 2019, CLIMATIC CHANGE, V154, P493, DOI 10.1007/s10584-019-02438-1; Olson R., 2015, HOUSTON WE HAVE NARR; Peeters W, 2019, ETHICAL THEORY MORAL, V22, P425, DOI 10.1007/s10677-019-09995-5; Roser-Renouf C, 2015, ROUT INT HANDB, P368; Shwom R, 2017, FRONT ECOL ENVIRON, V15, P377, DOI 10.1002/fee.1519; Simis MJ, 2016, PUBLIC UNDERST SCI, V25, P400, DOI 10.1177/0963662516629749; Sloane JD, 2020, ECOL EVOL, V10, P594, DOI 10.1002/ece3.5960; Solnit, 2017, HARPER S MAGAZIN NOV; Spence A, 2012, RISK ANAL, V32, P957, DOI 10.1111/j.1539-6924.2011.01695.x; Tufekci Z., 2021, In: The Atlantic [Internet]; U.S. Global change Research Program, 2009, Climate literacy: the essential principles of climate science; van der Linden S, 2015, PERSPECT PSYCHOL SCI, V10, P758, DOI 10.1177/1745691615598516; Zhang BB, 2018, NAT CLIM CHANGE, V8, P370, DOI 10.1038/s41558-018-0122-0; Zummo L, 2021, J RES SCI TEACH, V58, P95, DOI 10.1002/tea.21648</t>
  </si>
  <si>
    <t>UNIV CHICAGO PRESS</t>
  </si>
  <si>
    <t>CHICAGO</t>
  </si>
  <si>
    <t>1427 E 60TH ST, CHICAGO, IL 60637-2954 USA</t>
  </si>
  <si>
    <t>0003-0147</t>
  </si>
  <si>
    <t>1537-5323</t>
  </si>
  <si>
    <t>AM NAT</t>
  </si>
  <si>
    <t>Am. Nat.</t>
  </si>
  <si>
    <t>10.1086/715153</t>
  </si>
  <si>
    <t>ZB2KC</t>
  </si>
  <si>
    <t>WOS:000661978400001</t>
  </si>
  <si>
    <t>Balouktsis, I; Kekkeris, G</t>
  </si>
  <si>
    <t>Papadourakis, GM</t>
  </si>
  <si>
    <t>Balouktsis, Ioannis; Kekkeris, Gerassimos</t>
  </si>
  <si>
    <t>Energy Education in Greece: Learning about Renewable Electrical Energy Perspectives</t>
  </si>
  <si>
    <t>2013 PROCEEDINGS OF THE 24TH ANNUAL CONFERENCE ON EUROPEAN ASSOCIATION FOR EDUCATION IN ELECTRICAL AND INFORMATION ENGINEERING (EAEEIE)</t>
  </si>
  <si>
    <t>24th Annual Conference on European-Association-for-Education-in-Electrical-and-Information-Engineering (EAEEIE)</t>
  </si>
  <si>
    <t>MAY 30-31, 2013</t>
  </si>
  <si>
    <t>Technol Educ Inst Crete, Chania, GREECE</t>
  </si>
  <si>
    <t>Technol Educ Inst Crete</t>
  </si>
  <si>
    <t>Energy education; Renewable Energy Education; teaching sustainable development; Greece; curriculum development; energy literacy</t>
  </si>
  <si>
    <t>DEVELOPING-COUNTRIES; UNIVERSITY-LEVEL; EXPERIENCE; POLICIES; TURKEY</t>
  </si>
  <si>
    <t>This paper presents briefly some important aspects of energy education in link with renewable energy education in Greece and worldwide. How teaching of energy issues is carried out at different education levels and the development of educational strategies in learning arrangements for students have also been made. A brief history of Greek curricula development shows the efforts have been made for the evolvement of an effective approach for energy education. The goals of this emerging discipline are to cultivate energy literacy and particularly awareness and attitudes towards sustainability and to create formal energy education in a country which has considerable potential for renewable energy and its development should alleviate the risk from energy related environmental problems.</t>
  </si>
  <si>
    <t>[Balouktsis, Ioannis; Kekkeris, Gerassimos] Democritus Univ Thrace, Primary Educ Dept, Alexandroupolis 68100, Greece</t>
  </si>
  <si>
    <t>Balouktsis, I (corresponding author), Democritus Univ Thrace, Primary Educ Dept, Alexandroupolis 68100, Greece.</t>
  </si>
  <si>
    <t>balouktsis1982@yahoo.co.uk; kekkeris@eled.duth.gr</t>
  </si>
  <si>
    <t>Alder M, 1999, RENEW ENERG, V16, P863, DOI 10.1016/S0960-1481(98)00289-4; [Anonymous], 2002, Education for sustainability: from Rio to Johannesburg, lessons learnt from a decade of commitment; Attari SZ, 2010, P NATL ACAD SCI USA, V107, P16054, DOI 10.1073/pnas.1001509107; Barrett M, 2008, ENERG POLICY, V36, P4592, DOI 10.1016/j.enpol.2008.09.065; Bhattacharya SC, 2001, RENEW ENERG, V22, P91, DOI 10.1016/S0960-1481(00)00011-2; Bittle S., 2009, The energy learning curve. Public Agenda; BP (British Petroleum), 2011, EN OUTL 2030; BROMAN L, 1994, RENEW ENERG, V5, P1398, DOI 10.1016/0960-1481(94)90179-1; Combes B.P.Y., 2005, Applied Environmental Education and Communication, V4, P215; DeWaters JE, 2011, ENERG POLICY, V39, P1699, DOI 10.1016/j.enpol.2010.12.049; Dias RA, 2004, ENERG POLICY, V32, P1339, DOI 10.1016/S0301-4215(03)00100-9; Effendi P, 2012, RENEW ENERG, V38, P245, DOI 10.1016/j.renene.2011.07.039; ELLIS P, 1978, APPL ENERG, V40, P119; EU (European Union), 2006, EN TRANSP 2006 FIG 2; Eurobarometer, 2006, EN ATT EN; European Commissiom, 2005, ED EN; Garg HP, 1996, RENEW ENERG, V9, P1188, DOI 10.1016/0960-1481(96)88490-4; Hancher L., 2004, Energy Security Managing Risk in A Dynamic Legal and Regulatory Environment; Jennings P, 2001, RENEW ENERG, V22, P113, DOI 10.1016/S0960-1481(00)00028-8; Jennings P, 2009, RENEW ENERG, V34, P435, DOI 10.1016/j.renene.2008.05.005; Kandpal TC, 1999, APPL ENERG, V64, P71, DOI 10.1016/S0306-2619(99)00076-8; Karatepe Y, 2012, RENEW ENERG, V44, P174, DOI 10.1016/j.renene.2012.01.099; Keser ÖF, 2003, ENERG SOURCE, V25, P123, DOI 10.1080/00908310390142181; Kok G, 2011, ENERG POLICY, V39, P5280, DOI 10.1016/j.enpol.2011.05.036; Liarakou G., 2008, J SCI EDUC TECHNOL, V18, P121; Marker G.W., 1991, SOC STUD, V82, P183; Marques AC, 2012, RENEW ENERG, V44, P109, DOI 10.1016/j.renene.2012.01.007; NEWBOROUGH M, 1994, APPL ENERG, V48, P243, DOI 10.1016/0306-2619(94)90013-2; Panwar NL, 2011, RENEW SUST ENERG REV, V15, P1513, DOI 10.1016/j.rser.2010.11.037; Romero SR, 2012, RENEW ENERG, V43, P322, DOI 10.1016/j.renene.2011.11.033; Sovacool BK, 2009, TECHNOL SOC, V31, P365, DOI 10.1016/j.techsoc.2009.10.009; Sovacool BK, 2009, ENERG POLICY, V37, P4500, DOI 10.1016/j.enpol.2009.05.073; TRUMPER R, 1993, INT J SCI EDUC, V15, P139, DOI 10.1080/0950069930150203; UN (United Nations), CHALL OPP ACT WORLD; UNECE, STRAT ED SUST DEV; UNEP (United Nations Environment Programme), 2007, 4 INT C ENV ED AHM I; UNESCO, ED SUST DEV ESD; United Nations Commission on Environment Development (UNCED), 1992, GLOB PARTN ENV DEV G; Yumurtaci M, 2011, ENER EDUC SCI TECH-B, V3, P143; Zografakis N, 2008, ENERG POLICY, V36, P3226, DOI 10.1016/j.enpol.2008.04.021</t>
  </si>
  <si>
    <t>978-1-4799-0042-8; 978-1-4799-0043-5</t>
  </si>
  <si>
    <t>BA1PS</t>
  </si>
  <si>
    <t>WOS:000332827800025</t>
  </si>
  <si>
    <t>Bettencourt, S; Costa, S; Caeiro, S</t>
  </si>
  <si>
    <t>Bettencourt, Sara; Costa, Sonia; Caeiro, Sandra</t>
  </si>
  <si>
    <t>Marine litter: A review of educative interventions</t>
  </si>
  <si>
    <t>Marine litter; Education; Behavior change; Sustainable development; Bibliometric analysis; Content analysis</t>
  </si>
  <si>
    <t>BEHAVIOR-CHANGE; OCEAN LITERACY; BIBLIOMETRIC ANALYSIS; CITIZEN SCIENCE; CLIMATE-CHANGE; ONLINE; DEBRIS; KNOWLEDGE; BEACH; MICROPLASTICS</t>
  </si>
  <si>
    <t>Marine litter is claimed to be one of the most meaningful environmental crises of the century. Education that supports behavior change is a tool to tackle this problem. However, there is a lack of research linking educational initiatives and marine litter issues. A literature review was conducted through a bibliometric and content analysis to explore the state of knowledge regarding educational actions. The results revealed that 2019 was the year with the highest number of publications and that 83.4% of the documents were collaborative efforts. Concerning educational approaches, hands-on and technological activities are being explored to raise awareness and stimulate behavior change. Students and questionnaires represent, respectively, the most common audience and evaluating method. More integrative actions and respective long-term methodological triangulation evaluation were identified as necessary in future studies. This paper is expected to contribute to innovative knowledge in the area by identifying the main gaps in the literature.</t>
  </si>
  <si>
    <t>[Bettencourt, Sara; Caeiro, Sandra] Portuguese Distance Learning Univ, Dept Sci &amp; Technol, Lisbon, Portugal; [Bettencourt, Sara; Caeiro, Sandra] NOVA Univ Lisbon, Sch Sci &amp; Technol, CENSE Ctr Environm &amp; Sustainabil Res, Lisbon, Portugal; [Bettencourt, Sara; Costa, Sonia] Agencia Reg Desenvolvimento Invest Tecnol &amp; Inova, MARE Marine &amp; Environm Sci Ctr, Madeira, Portugal; [Bettencourt, Sara; Costa, Sonia] Agencia Reg Desenvolvimento Invest Tecnol &amp; Inova, OOM Ocean Observ Madeira, Madeira, Portugal</t>
  </si>
  <si>
    <t>Bettencourt, S (corresponding author), OOM Ocean Observ Madeira, Edificio Madeira Tecnopolo,Piso 0, P-9020105 Funchal, Madeira, Portugal.</t>
  </si>
  <si>
    <t>bettencourtsmp@gmail.com</t>
  </si>
  <si>
    <t>; Caeiro, Sandra/K-3886-2014; Costa, Sonia/E-6958-2015</t>
  </si>
  <si>
    <t>Bettencourt, Sara/0000-0001-7632-4800; Caeiro, Sandra/0000-0002-6079-3554; Costa, Sonia/0000-0001-7629-1877</t>
  </si>
  <si>
    <t>Fundacao para a Ciencia e Tecnologia I.P. (FCT) [SFRH/BD/147085/2019]; FCT [UID/AMB/04085/2019]; European Regional Development Fund (FEDER) [Observatorio Oceanico da Madeira-OOM] [M1420-01-0145-FEDER000001]; MARE [UID/MAR/04292/2020]; Fundação para a Ciência e a Tecnologia [SFRH/BD/147085/2019, UID/AMB/04085/2019] Funding Source: FCT</t>
  </si>
  <si>
    <t>Fundacao para a Ciencia e Tecnologia I.P. (FCT)(Fundacao para a Ciencia e a Tecnologia (FCT)); FCT(Fundacao para a Ciencia e a Tecnologia (FCT)); European Regional Development Fund (FEDER) [Observatorio Oceanico da Madeira-OOM](Marie Curie ActionsEuropean Union (EU)); MARE; Fundação para a Ciência e a Tecnologia(Fundacao para a Ciencia e a Tecnologia (FCT))</t>
  </si>
  <si>
    <t>This work was supported by the Fundacao para a Ciencia e Tecnologia I.P. (FCT) [grant SFRH/BD/147085/2019 to Sara Bettencourt]. CENSE is financed by FCT [UID/AMB/04085/2019] as well as MARE [UID/MAR/04292/2020]. OOM and Sonia Costa are financed by European Regional Development Fund (FEDER) [M1420-01-0145-FEDER000001-Observatorio Oceanico da Madeira-OOM].</t>
  </si>
  <si>
    <t>AJZEN I, 1991, ORGAN BEHAV HUM DEC, V50, P179, DOI 10.1016/0749-5978(91)90020-T; Alvarez S, 2020, WATER AIR SOIL POLL, V231, DOI 10.1007/s11270-020-04517-x; Ammendolia J, 2021, ENVIRON POLLUT, V269, DOI 10.1016/j.envpol.2020.116160; Anderson AG, 2016, MAR POLLUT BULL, V113, P454, DOI 10.1016/j.marpolbul.2016.10.048; [Anonymous], 2006, REV EU SUST DEV STRA; [Anonymous], 2010, Background Paper on Education for Sustainable Development; [Anonymous], 2017, Education for Sustainable Development Goals: Learning Objectives, DOI [10.0978/-92-3-100209-0, DOI 10.31142/IJTSRD5889]; [Anonymous], 2009, Environmental education materials: Guidelines for excellence; [Anonymous], 1978, INT C ENV ED FIN REP; [Anonymous], 2014, Roadmap for Implementing the Global Action Programme on Education for Sustainable Development; [Anonymous], NEWS, DOI DOI 10.1080/08940886.2021.1968268; Barboza LGA, 2015, MAR POLLUT BULL, V97, P5, DOI 10.1016/j.marpolbul.2015.06.008; Ardusso M, 2021, SCI TOTAL ENVIRON, V763, DOI 10.1016/j.scitotenv.2020.144365; Arlinghaus KR, 2018, AM J LIFESTYLE MED, V12, P113, DOI 10.1177/1559827617745479; Ashley M, 2019, FRONT MAR SCI, V6, DOI 10.3389/fmars.2019.00288; Ballance A, 2000, S AFR J SCI, V96, P210; Baranowski T, 2019, GAMES HEALTH J, V8, P153, DOI 10.1089/g4h.2018.0070; Bryman A., 2012, Social Research Methods, V4th, P18; Campbell ML, 2019, SCI TOTAL ENVIRON, V651, P2400, DOI 10.1016/j.scitotenv.2018.10.137; Canning-Clode J, 2020, FRONT MAR SCI, V7, DOI 10.3389/fmars.2020.00691; Chen CL, 2015, MARINE ANTHROPOGENIC LITTER, P395, DOI 10.1007/978-3-319-16510-3_15; Claros I, 2014, IEEE GLOB ENG EDUC C, P905, DOI 10.1109/EDUCON.2014.6826204; Coelho J, 2015, INT REV RES OPEN DIS, V16, P152; Cohen L., 2007, Research Methods in Education, P133; Coimbra M, 2021, PHYS EDUC SPORT PEDA, V26, P16, DOI 10.1080/17408989.2020.1799966; Corace K, 2014, HUM VACC IMMUNOTHER, V10, P2623, DOI 10.4161/21645515.2014.970076; Costa S, 2018, MAR POLICY, V87, P149, DOI 10.1016/j.marpol.2017.10.022; Cotton D., 2010, SUSTAINABILITY ED PE, P39, DOI DOI 10.4324/9781849776516; Dahlstrom MF, 2014, P NATL ACAD SCI USA, V111, P13614, DOI 10.1073/pnas.1320645111; Damerell P, 2013, ENVIRON RES LETT, V8, DOI 10.1088/1748-9326/8/1/015016; Davies SJ, 2016, WORLD SUSTAIN SER, P93, DOI 10.1007/978-3-319-32318-3_7; Davis R, 2015, HEALTH PSYCHOL REV, V9, P323, DOI 10.1080/17437199.2014.941722; Dimitrios B., 2013, European Scientific Journal, V9, P73; Downe-Wamboldt B, 1992, Health Care Women Int, V13, P313; Duffy B, 2005, INT J MARKET RES, V47, P615, DOI 10.1177/147078530504700602; Emery S, 2020, WORLD SUSTAIN SER, P435, DOI 10.1007/978-3-030-15604-6_27; Fossi Maria Cristina, 2018, P147; Gainforth H.L., 2016, Applied Environmental Education Communication, V15, P325, DOI DOI 10.1080/1533015X.2016.1241166; Galgani F, 2013, ICES J MAR SCI, V70, P1055, DOI 10.1093/icesjms/fst122; Galgani F, 2015, MARINE ANTHROPOGENIC LITTER, P29, DOI 10.1007/978-3-319-16510-3_2; Garamendi P., 1996, At Home, pv; Gómez-Zermeño MG, 2020, J SUSTAIN DEV ENERGY, V8, P577, DOI 10.13044/j.sdewes.d7.0311; Gough A, 2017, MAR POLLUT BULL, V124, P633, DOI 10.1016/j.marpolbul.2017.06.069; Gravina T, 2019, REND ONLINE SOC GEOL, V49, P33, DOI 10.3301/ROL.2019.49; Haddaway NR, 2015, PLOS ONE, V10, DOI 10.1371/journal.pone.0138237; Hajdukiewicz A, 2020, SUSTAINABILITY-BASEL, V12, DOI 10.3390/su12208542; Hartley BL, 2018, MAR POLICY, V96, P227, DOI 10.1016/j.marpol.2018.02.002; Hartley BL, 2015, MAR POLLUT BULL, V90, P209, DOI 10.1016/j.marpolbul.2014.10.049; Heaysman O, 2019, EDUC STUD-UK, V45, P342, DOI 10.1080/03055698.2018.1446334; Heimlich JE, 2008, ENVIRON EDUC RES, V14, P215, DOI 10.1080/13504620802148881; Hume T., 2015, International Encyclopedia of the Social and Behavioral Sciences, V2, P733, DOI DOI 10.1016/B978-0-08-097086-8.91081-X; Ioakeimidis C, 2015, SPRINGERPLUS, V4, DOI 10.1186/s40064-015-1248-4; Jenson B.B., 2002, ENVIRON EDUC RES, V8, P325, DOI [DOI 10.1080/13504620220145474, 10.1080/13504620220145474]; Johnson T.P., 2002, P 57 ANN M AM ASS PU, P1661; Jose de Oliveira O., 2019, SCIENTOMETRICS RECEN, DOI [10.5772/intechopen.85856, DOI 10.5772/INTECHOPEN.85856]; King MF, 2000, PSYCHOL MARKET, V17, P79, DOI 10.1002/(SICI)1520-6793(200002)17:2&lt;79::AID-MAR2&gt;3.0.CO;2-0; Koenigstein S, 2020, ICES J MAR SCI, V77, P1629, DOI 10.1093/icesjms/fsaa035; Kohlbacher Florian., 2006, Forum: Qualitative Social Research, V7, DOI 10.17169/fqs-7.1.75; Kramer A., 2018, ON THE LINE BUSINESS, P189; Kühn S, 2015, MARINE ANTHROPOGENIC LITTER, P75, DOI 10.1007/978-3-319-16510-3_4; Kusumawati I, 2020, E3S WEB CONF, V147, DOI 10.1051/e3sconf/202014702019; Leicht A., 2018, Issues and trends in education for sustainable development, P25; Locritani M, 2019, MAR POLLUT BULL, V140, P320, DOI 10.1016/j.marpolbul.2019.01.023; Lyons A.C., 2006, Financial Counseling and Planning, V17, P27; Maes T, 2019, MAR POLLUT BULL, V146, P274, DOI 10.1016/j.marpolbul.2019.06.019; Mahat H, 2019, IOP C SER EARTH ENV, V286, DOI 10.1088/1755-1315/286/1/012003; Matsuda H., 2018, Kuroshio Science, V12, P8; McIntosh N., 2000, INT MARINE DEBRIS C; Mcllgorm A, 2011, OCEAN COAST MANAGE, V54, P643, DOI 10.1016/j.ocecoaman.2011.05.007; Merlin S, 2015, MAR TECHNOL SOC J, V49, P99, DOI 10.4031/MTSJ.49.4.3; Michie S, 2011, IMPLEMENT SCI, V6, DOI 10.1186/1748-5908-6-42; Mifsud A., 2017, Sustainable Development Research at Universities in the United Kingdom, P63, DOI [10.1007/978-3-319-47883-8_5, DOI 10.1007/978-3-319-47883-8_5]; Miranda DD, 2016, MAR POLLUT BULL, V103, P109, DOI 10.1016/j.marpolbul.2015.12.035; Mokos M, 2020, SUSTAINABILITY-BASEL, V12, DOI 10.3390/su122410647; Monroe M., 2008, APPL ENV ED COMMUNIC, V6, P205, DOI DOI 10.1080/15330150801944416; Monus F., 2019, Journal of Applied Technical and Educational Sciences, V9, P17, DOI [DOI 10.24368/JATES.V9I1.68, 10.24368/jates.v9i1.68]; Newman S, 2015, MARINE ANTHROPOGENIC LITTER, P367, DOI 10.1007/978-3-319-16510-3_14; O'Connor H., 2017, SAGE HDB ONLINE RES, P416, DOI DOI 10.4135/9781473957992.N24; Okamoto K, 2002, J CLIN EPIDEMIOL, V55, P505, DOI 10.1016/S0895-4356(01)00515-7; Otto D, 2019, J CLEAN PROD, V222, P12, DOI 10.1016/j.jclepro.2019.02.190; Oztekin A, 2020, TURK J FISH AQUAT SC, V20, P197, DOI 10.4194/1303-2712-v20_3_04; Pahl S, 2017, NAT HUM BEHAV, V1, P697, DOI 10.1038/s41562-017-0204-4; Pasupa S., 2017, SUIC's 15th Anniversary Conference and Exhibition, P263; Silva ALP, 2020, SCI TOTAL ENVIRON, V742, DOI 10.1016/j.scitotenv.2020.140565; Pothitou M, 2016, APPL ENERG, V184, P1217, DOI 10.1016/j.apenergy.2016.06.017; Prata JC, 2020, ENVIRON SCI TECHNOL, V54, P7760, DOI 10.1021/acs.est.0c02178; Ragusa A, 2021, ENVIRON INT, V146, DOI 10.1016/j.envint.2020.106274; Rangel-Buitrago N, 2020, OCEAN COAST MANAGE, V188, DOI 10.1016/j.ocecoaman.2020.105133; Rangel-Buitrago N, 2020, MAR POLLUT BULL, V152, DOI 10.1016/j.marpolbul.2020.110909; Reunamo J., 2012, Research, V62, P313, DOI DOI 10.1177/0973408212475268; Rossano V., 2018, International Conference on Smart Education and Smart E-Learning. Smart Education and e-Learning 2017, P48, DOI [DOI 10.1007/978-3-319-59451-4_5, 10.1007/978-3-319-59451-4_5]; Rossano V, 2017, IEEE INT CONF ADV LE, P128, DOI 10.1109/ICALT.2017.76; Ryan PG, 2015, MARINE ANTHROPOGENIC LITTER, P1, DOI 10.1007/978-3-319-16510-3_1; Saei Ghare Naz Marzieh, 2018, Asian Pac J Cancer Prev, V19, P875; Saunders M., 2009, RES METHODS BUSINESS, V5th, P106; Schlining K, 2013, DEEP-SEA RES PT I, V79, P96, DOI 10.1016/j.dsr.2013.05.006; Schneider F, 2018, MAR POLLUT BULL, V128, P162, DOI 10.1016/j.marpolbul.2018.01.011; Sheavly SB, 2007, J POLYM ENVIRON, V15, P301, DOI 10.1007/s10924-007-0074-3; Sipaviciute B., 2020, Baltic Journal of Sport and Health Sciences, V2, P39, DOI DOI 10.33607/BJSHS.V2I117.916; Slavin C, 2012, MAR POLLUT BULL, V64, P1580, DOI 10.1016/j.marpolbul.2012.05.018; Snyder H, 2019, J BUS RES, V104, P333, DOI 10.1016/j.jbusres.2019.07.039; Somerville M., 2016, The Sage Handbook of Curriculum, V1, P506; Spiteri J, 2021, ENVIRON EDUC RES, V27, P175, DOI 10.1080/13504622.2020.1829560; Spiteri J, 2018, WORLD SUSTAIN SER, P109, DOI 10.1007/978-3-319-63534-7_8; Sulistiawati D., 2020, IOP Conference Series: Earth and Environmental Science, V441, DOI 10.1088/1755-1315/441/1/012128; Sun JS, 2012, MAR POLLUT BULL, V64, P13, DOI 10.1016/j.marpolbul.2011.10.034; Sutherland WJ, 2010, TRENDS ECOL EVOL, V25, P1, DOI 10.1016/j.tree.2009.10.003; Tabuenca B, 2019, SUSTAINABILITY-BASEL, V11, DOI 10.3390/su11102860; Tallon J., 2019, SCAND J EDUC RES, V65, P1, DOI [10.1080/00313831, DOI 10.1080/00313831]; Tambovceva T, 2018, INT J ENVIRON TECHNO, V21, P238, DOI 10.1504/IJETM.2018.100578; Terzi Y, 2020, WASTE MANAGE, V105, P139, DOI 10.1016/j.wasman.2020.01.032; Thenkumari T., 2019, International Journal of Research in Engineering, IT and Social Sciences, V9, P415; Tilbury D., 2011, ED SUSTAINABLE DEV E; Titscher S., 2000, METHODS TEXT DISCOUR, P55, DOI DOI 10.4135/9780857024480.N5; Torres HR, 2019, ENVIRON EDUC RES, V25, P1400, DOI 10.1080/13504622.2019.1633274; Trabulsi R.U., 2018, Academy of Accounting and Financial Studies Journal, V22, P1; Tranfield D, 2003, BRIT J MANAGE, V14, P207, DOI 10.1111/1467-8551.00375; Ullah O., 2020, Global Regional Review, VV, P386, DOI [DOI 10.31703/GRR.2020(V-I).42, 10.31703/grr.2020, DOI 10.31703/GRR.2020]; UNEP, 2009, Marine Litter: a Global Challenge; UNEP IOC, 2009, UNEP IOC GUID SURV M; UNESCO, 2019, UN DEC ESD; UNESCO, 2019, OC DEC; United Nations, 1972, REP UN C HUM ENV; United Nations, 2002, Report of the World Summit on Sustainable Development, Johannesburg, South Africa, 26 August-4 September 2002; UNITED NATIONS, 2012, RIO 20 UN C SUST DEV; United Nations, 1993, REP UN C ENV DEV, VI; United Nations, 2018, TRANSF OUR WORLD 203; United Nations Environment Programme, 1975, The Belgrade Charter: A framework for environmental education; van de Mortel TF, 2008, AUST J ADV NURS, V25, P40; Vasiliki S., 2020, International Journal of Education Innovation, V2, P19; Venkataraman B, 2009, ENVIRONMENT, V51, P8, DOI 10.3200/ENVT.51.2.08-10; Verlis KM, 2020, WASTE MANAGE, V103, P128, DOI 10.1016/j.wasman.2019.12.020; Walker TR, 2006, WATER QUAL RES J CAN, V41, P256, DOI 10.2166/wqrj.2006.029; Werner S., 2016, MSFD GES TG MARINE L; Westwood P., 2008, What teachers need to know about Teaching methods, P16; WHO, 2021, COR DIS COVID 19 NEW; Williams AT, 2019, J COASTAL RES, V35, P648, DOI 10.2112/JCOASTRES-D-18-00096.1; Willis K, 2018, MAR POLICY, V96, P243, DOI 10.1016/j.marpol.2017.11.037; Wilson SP, 2017, MAR POLLUT BULL, V117, P239, DOI 10.1016/j.marpolbul.2017.01.036; World Economic Forum Ellen MacArthur Foundation and McKinsey &amp; Company, 2016, NEW PLAST EC RETH FU; Wulf J, 2014, BUS INFORM SYST ENG+, V6, P111, DOI 10.1007/s12599-014-0313-9</t>
  </si>
  <si>
    <t>10.1016/j.marpolbul.2021.112446</t>
  </si>
  <si>
    <t>SS6GS</t>
  </si>
  <si>
    <t>WOS:000661853300002</t>
  </si>
  <si>
    <t>Perry, EE; Needham, MD; Cramer, LA; Rosenberger, RS</t>
  </si>
  <si>
    <t>Perry, Elizabeth E.; Needham, Mark D.; Cramer, Lori A.; Rosenberger, Randall S.</t>
  </si>
  <si>
    <t>Coastal resident knowledge of new marine reserves in Oregon: The impact of proximity and attachment</t>
  </si>
  <si>
    <t>PROTECTED AREA MANAGEMENT; OCEAN LITERACY; PLACE ATTACHMENT; NATIONAL-PARK; PERCEPTIONS; ATTITUDES; CONSERVATION; RESPONSES; STAKEHOLDERS; ANGLERS</t>
  </si>
  <si>
    <t>This article examines resident proximity and attachment to a new system of marine reserves in Oregon (USA), and the extent that these factors are related to both self-assessed and factual knowledge about these reserves. Data were from a survey of residents along the Oregon coast (n = 596). Residents reported higher self-assessed than factual knowledge about these reserves, which was low with 65% answering half or fewer of 16 factual questions correctly. Self-assessed and factual knowledge did not differ between communities proximate to (i.e., communities of place within 10 miles of these reserves) and more distant from these reserves (i.e., rest of coast). Factual knowledge also did not differ based on attachment to these areas, but place attachment was slightly related to aspects of self-assessed knowledge where those with higher attachment believed they were somewhat more knowledgeable about these reserves. Implications of these results for management and research are discussed. (C) 2014 Elsevier Ltd. All rights reserved.</t>
  </si>
  <si>
    <t>[Perry, Elizabeth E.] Univ Vermont, Rubenstein Sch Environm &amp; Nat Resources, Burlington, VT USA; [Needham, Mark D.; Rosenberger, Randall S.] Oregon State Univ, Dept Forest Ecosyst &amp; Soc, Corvallis, OR 97331 USA; [Cramer, Lori A.] Oregon State Univ, Sociol Program, Sch Publ Policy, Corvallis, OR 97331 USA</t>
  </si>
  <si>
    <t>University of Vermont; Oregon State University; Oregon State University</t>
  </si>
  <si>
    <t>Needham, MD (corresponding author), Oregon State Univ, Dept Forest Ecosyst &amp; Soc, Corvallis, OR 97331 USA.</t>
  </si>
  <si>
    <t>mark.needham@oregonstate.edu</t>
  </si>
  <si>
    <t>Needham, Mark/JQW-3668-2023</t>
  </si>
  <si>
    <t>Perry, Elizabeth/0000-0002-7992-6345</t>
  </si>
  <si>
    <t>Oregon Department of Fish and Wildlife</t>
  </si>
  <si>
    <t>The authors acknowledge funding from the Oregon Department of Fish and Wildlife, and other support from Oregon State University. Two anonymous reviewers are thanked for their valuable comments on earlier versions of this article. The authors also thank the coastal residents for their cooperation and support by completing questionnaires. The lead author was at Oregon State University when this research was conducted.</t>
  </si>
  <si>
    <t>Alam K, 2011, URBAN ECOSYST, V14, P635, DOI 10.1007/s11252-011-0176-5; Alessa L, 2003, J ENVIRON MANAGE, V68, P207, DOI 10.1016/S0301-4797(03)00068-9; Belden R., 1999, COMMUNICATING OCEANS; Booth JE, 2009, BIOL CONSERV, V142, P3196, DOI 10.1016/j.biocon.2009.07.024; Cocklin C, 1998, COAST MANAGE, V26, P213, DOI 10.1080/08920759809362353; Cohen J., 2013, STAT POWER ANAL BEHA; Compas E, 2007, MAR POLICY, V31, P691, DOI 10.1016/j.marpol.2007.03.001; Connor D., 2007, P COAST ZON 2007 POR; Cudaback C, 2008, OCEANOGRAPHY, V21, P10, DOI 10.5670/oceanog.2008.21; Dimitrakopoulos PG, 2010, J ENVIRON MANAGE, V91, P1847, DOI 10.1016/j.jenvman.2010.04.010; Duda M., 2007, CALIFORNIA RESIDENTS; Evans LS, 2011, ECOL SOC, V16; Fiallo EA, 1995, ENVIRON CONSERV, V22, P241, DOI 10.1017/S037689290001064X; Gee K, 2010, ECOL COMPLEX, V7, P349, DOI 10.1016/j.ecocom.2010.02.008; Gray DL, 2010, COAST MANAGE, V38, P575, DOI 10.1080/08920753.2010.523413; Gray DL, 2010, ENVIRON MANAGE, V46, P167, DOI 10.1007/s00267-010-9479-1; Guzman G, 2009, J KNOWL MANAG, V13, P86, DOI 10.1108/13673270910971851; Heck N, 2011, OCEAN COAST MANAGE, V54, P687, DOI 10.1016/j.ocecoaman.2011.07.003; Himes AH, 2007, OCEAN COAST MANAGE, V50, P329, DOI 10.1016/j.ocecoaman.2006.09.005; Jim CY, 2002, ENVIRON MANAGE, V30, P327, DOI 10.1007/s00267-002-2623-9; Jones N, 2011, OCEAN COAST MANAGE, V54, P577, DOI 10.1016/j.ocecoaman.2011.05.001; Kafyri A, 2012, ENVIRON MANAGE, V50, P64, DOI 10.1007/s00267-012-9856-z; Knowlton N, 2001, MARINE COMMUNITY ECOLOGY, P395; Lédée EJI, 2012, MAR POLICY, V36, P226, DOI 10.1016/j.marpol.2011.05.009; Lubchenco J, 2003, ECOL APPL, V13, pS3; Mangun JC, 2009, SOC NATUR RESOUR, V22, P295, DOI 10.1080/08941920801981931; Manning R.E., 2011, STUDIES OUTDOOR RECR, V3rd; Marshall N, 2009, J ENVIRON PLANN MAN, V52, P901, DOI 10.1080/09640560903180982; Mason C, 2010, MAR POLICY, V34, P1374, DOI 10.1016/j.marpol.2010.06.012; McLeod K., 2009, Ecosystem-based management for the oceans, P33; Murphy M., 2010, THESIS OREGON STATE; Needham MD, 2013, TOURISM MANAGE, V35, P70, DOI 10.1016/j.tourman.2012.06.001; Norman K. C., 2007, COMMUNITY PROFILES W; Olomí-Solà M, 2012, SOC NATUR RESOUR, V25, P410, DOI 10.1080/08941920.2011.591034; Oregon Ocean Policy Advisory Council (Opac), 2008, OR MAR RES POL REC; Package C., 2010, Long-Form Fishing Community Profile: Newport, Oregon; Parnell PE, 2005, MAR ECOL PROG SER, V296, P39, DOI 10.3354/meps296039; Petrosillo I, 2007, LANDSCAPE URBAN PLAN, V79, P29, DOI 10.1016/j.landurbplan.2006.02.017; Pita C, 2011, HYDROBIOLOGIA, V670, P289, DOI 10.1007/s10750-011-0665-9; Pollnac RB, 2001, OCEAN COAST MANAGE, V44, P683, DOI 10.1016/S0964-5691(01)00075-8; Ressurreiçao A, 2012, OCEAN COAST MANAGE, V69, P243, DOI 10.1016/j.ocecoaman.2012.09.002; Rosendo S, 2011, OCEAN COAST MANAGE, V54, P55, DOI 10.1016/j.ocecoaman.2010.10.009; Ryan RL, 2005, ENVIRON BEHAV, V37, P3, DOI 10.1177/0013916504264147; Salz RJ, 2004, FISHERIES, V29, P10, DOI 10.1577/1548-8446(2004)29[10:SAATMP]2.0.CO;2; Sladonja B, 2012, ENVIRON MANAGE, V49, P1115, DOI 10.1007/s00267-012-9851-4; Smaldone D., 2007, Proceedings of the 2007 Northeastern Recreation Research Symposium, GTR-NRS-P-23, P60; Snider A, 2011, OCEAN COAST MANAGE, V54, P612, DOI 10.1016/j.ocecoaman.2011.06.002; Snider A, 2010, COAST MANAGE, V38, P540, DOI 10.1080/08920753.2010.511696; Stedman RC, 2002, ENVIRON BEHAV, V34, P561, DOI 10.1177/0013916502034005001; Steel BS, 2005, OCEAN COAST MANAGE, V48, P97, DOI 10.1016/j.ocecoaman.2005.01.002; Stevenson C, 2012, MAR POLICY, V36, P559, DOI 10.1016/j.marpol.2011.08.001; Tallis H, 2012, MAR POLICY, V36, P303, DOI 10.1016/j.marpol.2011.03.013; Teh LCL, 2011, ENVIRON MANAGE, V47, P536, DOI 10.1007/s00267-011-9645-0; Thomassin A, 2010, OCEAN COAST MANAGE, V53, P169, DOI 10.1016/j.ocecoaman.2010.01.008; Togridou A, 2006, ENVIRON CONSERV, V33, P233, DOI 10.1017/S0376892906003171; Tuan Y.F., 1980, LANDSCAPE, V24, P3; United Nations, 2005, AN REP, VIII; Vaske J., 2008, SURVEY RES ANAL APPL; Vaske J. J., 2006, Human Dimensions of Wildlife, V11, P191, DOI 10.1080/10871200600669981; Wann DL, 1995, INT J SPORT PSYCHOL, V26, P551; Warzecha C. A., 2001, Journal of Park and Recreation Administration, V19, P59; West RD, 2004, MAR TECHNOL SOC J, V38, P68; Williams DR, 2003, FOREST SCI, V49, P830; Winter PL, 1999, J LEISURE RES, V31, P207, DOI 10.1080/00222216.1999.11949864; Wynveen CJ, 2011, J LEISURE RES, V43, P290, DOI 10.1080/00222216.2011.11950237; Xu JY, 2006, J ENVIRON MANAGE, V78, P362, DOI 10.1016/j.jenvman.2005.05.003</t>
  </si>
  <si>
    <t>10.1016/j.ocecoaman.2014.04.011</t>
  </si>
  <si>
    <t>AJ7CO</t>
  </si>
  <si>
    <t>WOS:000337855000011</t>
  </si>
  <si>
    <t>Ankamah-Yeboah, I; Xuan, BB; Hynes, S; Armstrong, CW</t>
  </si>
  <si>
    <t>Ankamah-Yeboah, Isaac; Xuan, Bui Bich; Hynes, Stephen; Armstrong, Claire W.</t>
  </si>
  <si>
    <t>Public Perceptions of Deep-Sea Environment: Evidence From Scotland and Norway</t>
  </si>
  <si>
    <t>perception; deep-sea; marine environment; cold-water coral; Norway; Scotland</t>
  </si>
  <si>
    <t>COLD-WATER CORAL; MARINE PROTECTED AREA; OCEAN LITERACY; ATTITUDES; COAST; BIODIVERSITY; MANAGEMENT; AWARENESS; BENEFITS; MOUNDS</t>
  </si>
  <si>
    <t>Knowledge of people's understanding of environmental problems is vital for the effective implementation of the ecosystem approach to marine management. This is especially relevant when conservation goals are aimed at ecosystems in the deep-sea that are remote to the consciousness of most people. This study explores public perceptions of the deep-sea environment among the Scottish and Norwegian public. It further analyses the relationships between respondents' pro-environmental concerns toward the marine environment and personal characteristics using a multiple indicators multiple causes model. The results show that public knowledge of the deep-sea environment is low for Scottish and moderate for Norwegians. Awareness of cold-water corals was high for the Lofoten case study area amongst the Norwegian public and low for the Mingulay reef complex in the Scottish case. These differences might arise because Norway is known to host the world's largest cold-water corals in the Lofoten area; a fact that has been well-publicized. We find that most people think changes in the deep-sea have at least some effect on them. On average, the public perceive the deep-sea condition to be at most fairly good but are dissatisfied with the management of it with approximately only one third or less thinking it is well-managed. Generally, the public perception from both countries show ecocentric attitudes toward the marine environment implying that they recognize the value of ecosystem services, the current ecological crisis and the need for sustainable management.</t>
  </si>
  <si>
    <t>[Ankamah-Yeboah, Isaac; Hynes, Stephen] Natl Univ Ireland, Whitaker Inst, SEMRU, Galway, Ireland; [Xuan, Bui Bich; Armstrong, Claire W.] UiT Art Univ Norway, Norwegian Coll Fishery Sci, Tromso, Norway</t>
  </si>
  <si>
    <t>Ollscoil na Gaillimhe-University of Galway; UiT The Arctic University of Tromso</t>
  </si>
  <si>
    <t>Armstrong, CW (corresponding author), UiT Art Univ Norway, Norwegian Coll Fishery Sci, Tromso, Norway.</t>
  </si>
  <si>
    <t>Brophy, Deirdre/JQW-0281-2023; bui, xuan/KIA-2002-2024</t>
  </si>
  <si>
    <t>bui, xuan/0000-0001-8639-1337</t>
  </si>
  <si>
    <t>European Union [678760]</t>
  </si>
  <si>
    <t>European Union(European Union (EU))</t>
  </si>
  <si>
    <t>This work has received funding from the European Union's Horizon 2020 research and innovation programme under grant agreement No 678760 (ATLAS). This output reflects only the author's view and the European Union cannot be held responsible for any use that may be made of the information contained therein.</t>
  </si>
  <si>
    <t>[Anonymous], REPORT EUROPEAN PUBL; Armstrong CW, 2008, MAR POLICY, V32, P66, DOI 10.1016/j.marpol.2007.04.007; Armstrong CW, 2019, FRONT MAR SCI, V6, DOI 10.3389/fmars.2019.00158; Armstrong CW, 2014, MAR POLICY, V50, P126, DOI 10.1016/j.marpol.2014.05.016; Armstrong CW, 2012, ECOSYST SERV, V2, P2, DOI 10.1016/j.ecoser.2012.07.001; Arnaud-Haond S, 2017, DEEP-SEA RES PT II, V145, P110, DOI 10.1016/j.dsr2.2015.07.013; Barbier EB, 2014, NATURE, V505, P475, DOI 10.1038/505475a; Blanchard A, 2014, MAR POLICY, V43, P313, DOI 10.1016/j.marpol.2013.07.001; Cole M, 2011, MAR POLLUT BULL, V62, P2588, DOI 10.1016/j.marpolbul.2011.09.025; Cronbach LJ, 1951, PSYCHOMETRIKA, V16, P297; Daigle RM, 2016, MAR POLICY, V74, P77, DOI 10.1016/j.marpol.2016.09.012; De Santo EM, 2013, MAR POLICY, V41, P25, DOI 10.1016/j.marpol.2013.01.007; Douarin M, 2014, DEEP-SEA RES PT II, V99, P286, DOI 10.1016/j.dsr2.2013.07.022; Dunlap RE, 2000, J SOC ISSUES, V56, P425, DOI 10.1111/0022-4537.00176; Fletcher S, 2009, MAR POLICY, V33, P370, DOI 10.1016/j.marpol.2008.08.004; Freiwald A., 2004, ENVIRONMENT; Gray DL, 2010, ENVIRON MANAGE, V46, P167, DOI 10.1007/s00267-010-9479-1; Hair JF, 2011, J MARKET THEORY PRAC, V19, P139, DOI 10.2753/MTP1069-6679190202; Hall-Spencer J, 2002, P ROY SOC B-BIOL SCI, V269, P507, DOI 10.1098/rspb.2001.1910; Hamilton LC, 2015, SOC NATUR RESOUR, V28, P57, DOI 10.1080/08941920.2014.933926; Hattam CE, 2014, MAR POLICY, V45, P269, DOI 10.1016/j.marpol.2013.09.005; Hawkins JP, 2016, MAR POLLUT BULL, V111, P231, DOI 10.1016/j.marpolbul.2016.07.003; Henry LA, 2007, DEEP-SEA RES PT I, V54, P654, DOI 10.1016/j.dsr.2007.01.005; Henry LA, 2013, BIOL CONSERV, V161, P67, DOI 10.1016/j.biocon.2013.03.002; Huvenne VAI, 2016, BIOL CONSERV, V200, P60, DOI 10.1016/j.biocon.2016.05.030; Hynes S, 2018, ECOSYST SERV, V31, P410, DOI 10.1016/j.ecoser.2018.02.001; Hynes S, 2014, MAR POLICY, V47, P57, DOI 10.1016/j.marpol.2014.02.002; Jefferson RL, 2014, MAR POLICY, V43, P327, DOI 10.1016/j.marpol.2013.07.004; Jefferson R, 2015, OCEAN COAST MANAGE, V115, P61, DOI 10.1016/j.ocecoaman.2015.06.014; JORESKOG KG, 1975, J AM STAT ASSOC, V70, P631, DOI 10.2307/2285946; KAISER HF, 1974, PSYCHOMETRIKA, V39, P31, DOI 10.1007/BF02291575; La Beur L, 2019, FRONT MAR SCI, V6, DOI 10.3389/fmars.2019.00080; Lotze HK, 2018, OCEAN COAST MANAGE, V152, P14, DOI 10.1016/j.ocecoaman.2017.11.004; McKinley E, 2012, MAR POLICY, V36, P839, DOI 10.1016/j.marpol.2011.11.001; Mengerink KJ, 2014, SCIENCE, V344, P696, DOI 10.1126/science.1251458; Newman S, 2015, MARINE ANTHROPOGENIC LITTER, P367, DOI 10.1007/978-3-319-16510-3_14; Norton D, 2018, ECOL ECON, V151, P82, DOI 10.1016/j.ecolecon.2018.04.024; Pham CK, 2014, PLOS ONE, V9, DOI 10.1371/journal.pone.0095839; Potts T, 2016, MAR POLICY, V72, P59, DOI 10.1016/j.marpol.2016.06.012; Puig P, 2012, NATURE, V489, P286, DOI 10.1038/nature11410; Pusceddu A, 2014, P NATL ACAD SCI USA, V111, P8861, DOI 10.1073/pnas.1405454111; Rabe-Hesketh S, 2004, PSYCHOMETRIKA, V69, P167, DOI 10.1007/BF02295939; Ramirez-Llodra E, 2011, PLOS ONE, V6, DOI 10.1371/journal.pone.0022588; Rogers A. D., 2014, The HighSeas and Us: Understanding the Value of High-Seas Ecosystems; Rose C., 2008, NERR019; Ryland JS, 2000, J MAR BIOL ASSOC UK, V80, P943, DOI 10.1017/S0025315400002940; Spence E, 2018, MAR POLICY, V97, P287, DOI 10.1016/j.marpol.2018.04.006; Steel BS, 2005, OCEAN COAST MANAGE, V48, P97, DOI 10.1016/j.ocecoaman.2005.01.002; Trenouth AL, 2012, OCEAN COAST MANAGE, V67, P19, DOI 10.1016/j.ocecoaman.2012.04.007; Uyarra MC, 2016, MAR POLLUT BULL, V104, P1, DOI 10.1016/j.marpolbul.2016.02.060; Voyer M, 2012, MAR POLICY, V36, P432, DOI 10.1016/j.marpol.2011.08.002</t>
  </si>
  <si>
    <t>MAR 10</t>
  </si>
  <si>
    <t>10.3389/fmars.2020.00137</t>
  </si>
  <si>
    <t>KT2LB</t>
  </si>
  <si>
    <t>WOS:000518845700001</t>
  </si>
  <si>
    <t>Pestana, C; Barros, L; Scuri, S; Barreto, M</t>
  </si>
  <si>
    <t>Pestana, Carla; Barros, Luisa; Scuri, Sabrina; Barreto, Mary</t>
  </si>
  <si>
    <t>Can HCI Help Increase People's Engagement in Sustainable Development? A Case Study on Energy Literacy</t>
  </si>
  <si>
    <t>human computer interaction; sustainable HCI; user-centered design; energy literacy; energy consumption; energy production</t>
  </si>
  <si>
    <t>The adoption of energy efficiency practices and increased penetration of renewable energy sources in the power system are estimated to play a key role in the decarbonization of the energy sector, helping reduce greenhouse gas emissions and ultimately fight climate change. To foster energy transition, energy education initiatives should primarily target the citizens and be designed adopting a User-Centered Design (UCD) approach and HCI methodologies. This paper describes how UCD/HCI can inform the design of citizens' energy education initiatives by presenting a case study-the development of an information platform targeting Madeiran citizens. The article describes the design process, from ideation to prototype and validation. Methods used in each phase (card sorting, semi-structured interviews, brainstorming sessions, think-aloud protocol and surveys) are described. Results of each phase and how they have informed the following steps are presented, together with a detailed description of the resulting information platform and initial results in terms of acceptance and interaction with the system. Our initial results support the hypothesis that adopting an HCI perspective can nurture the development of energy education initiatives targeting citizens, bringing a user-centered approach to the design of such initiatives.</t>
  </si>
  <si>
    <t>[Pestana, Carla] Nova Univ Lisbon, Associacao Comercial &amp; Ind Funchal, P-1099085 Lisbon, Portugal; [Barros, Luisa; Barreto, Mary] Univ Madeira, Fac Exact Sci &amp; Engn, P-9000072 Funchal, Portugal; [Barros, Luisa; Scuri, Sabrina; Barreto, Mary] LARSyS, Interact Technol Inst, P-9020105 Funchal, Portugal</t>
  </si>
  <si>
    <t>Universidade Nova de Lisboa; Universidade da Madeira</t>
  </si>
  <si>
    <t>Barros, L (corresponding author), Univ Madeira, Fac Exact Sci &amp; Engn, P-9000072 Funchal, Portugal.;Barros, L (corresponding author), LARSyS, Interact Technol Inst, P-9020105 Funchal, Portugal.</t>
  </si>
  <si>
    <t>carla.silva@acif-ccim.pt; luisa.barros@iti.larsys.pt; sabrina.scuri@iti.larsys.pt; mary.barreto@staff.uma.pt</t>
  </si>
  <si>
    <t>Scuri, Sabrina/GLR-6044-2022; Barreto, Mary/C-9134-2018; Barros, Luisa/D-3225-2018</t>
  </si>
  <si>
    <t>Scuri, Sabrina/0000-0001-8805-3083; Pestana, Carla/0000-0001-5631-9246; Barreto, Mary/0000-0002-9619-4254; Barros, Luisa/0000-0003-0087-785X</t>
  </si>
  <si>
    <t>European Union [731249]</t>
  </si>
  <si>
    <t>This project has received funding from the European Union's Horizon 2020 research and innovation program under grant agreement No 731249.</t>
  </si>
  <si>
    <t>ACIF-CCIM ITI PRSMA EEM, ENERGIASMADEIRA; Agencia para a Energia, EN NUM ED 2020; Bangor A, 2008, INT J HUM-COMPUT INT, V24, P574, DOI 10.1080/10447310802205776; Baxter K, 2015, UNDERSTANDING YOUR USERS: A PRACTICAL GUIDE TO USER RESEARCH METHODS, 2ND EDITION, P1; Blevis E, 2007, CONFERENCE ON HUMAN FACTORS IN COMPUTING SYSTEMS, VOLS 1 AND 2, P503; Caramizaru A., 2020, Energy Communities: An Overview of Energy and Social Innovation; Chodkowska-Miszczuk J, 2021, ENERGIES, V14, DOI 10.3390/en14092575; Data Europa, SPECIAL EUROBAROMETE; DeWaters JE, 2011, ENERG POLICY, V39, P1699, DOI 10.1016/j.enpol.2010.12.049; Dourish P., 2010, P 8 ACM C DES INT SY, P1, DOI [DOI 10.1145/1858171.1858173, 10.1145/1858171.1858173, 10.1637/8406-071008-Reg.1]; Entidade Reguladora dos Servicos Energeticos, EST LIT CONS AR EN R; Euroepan Commission, European Green Deal; Filippini M., 2018, Final report; Hackos J., 1998, USER TASK ANAL INTER; Holtzblatt K., 2004, RAPID CONTEXTUAL DES, Vfirst; Instituto Nacional de Estatistica, CONS EN EL HAB KWH H; Kang JN, 2020, APPL ENERG, V263, DOI 10.1016/j.apenergy.2020.114602; Lopes JAP, 2020, WIRES ENERGY ENVIRON, V9, DOI 10.1002/wene.368; Martins A, 2020, ENERGY REP, V6, P243, DOI 10.1016/j.egyr.2020.11.117; Martins A, 2020, ENERGY REP, V6, P454, DOI 10.1016/j.egyr.2019.09.007; Meeuw A, 2018, CHI 2018: EXTENDED ABSTRACTS OF THE 2018 CHI CONFERENCE ON HUMAN FACTORS IN COMPUTING SYSTEMS, DOI 10.1145/3170427.3188610; Nielsen J., 2002, P 2 NORD C HUM COMP, P101, DOI DOI 10.1145/572020.572033; Norman DA, 2013, Basic Books; Notton G, 2018, RENEW SUST ENERG REV, V87, P96, DOI 10.1016/j.rser.2018.02.007; Park C, 2017, ENRGY PROCED, V128, P3, DOI 10.1016/j.egypro.2017.09.003; Perri C, 2020, TECHNOL FORECAST SOC, V155, DOI 10.1016/j.techfore.2020.119991; Pierce J., 2010, Proceedings of the 8th ACM Conference on Designing Interactive Systems, P113, DOI DOI 10.1145/1858171; Scuri S, 2019, LECT NOTES COMPUT SC, V11748, P91, DOI 10.1007/978-3-030-29387-1_6; Shinde P., 2017, PhD thesis; Sovacool BK, 2015, ENVIRON SCI POLICY, V54, P304, DOI 10.1016/j.envsci.2015.07.011; Spencer D., 2009, CARD SORTING DESIGNI; Spencer D., 2004, BOXES ARROWS, P1; Swain J, 2018, HYBRID APPROACH THEM; Thomas B., 1996, Usability Evaluation in Industry, Vfirst, P189; Thomas DR, 2006, AM J EVAL, V27, P237, DOI 10.1177/1098214005283748; UN, Goal 12: Ensure sustainable consumption and production patterns; United Nations (UN), TRANSF OUR WORLD 203, DOI [DOI 10.1201/B20466-7, DOI 10.1891/9780826190123.AP02]; US Department of Energy, 2017, Energy literacy: Essential principles and fundamental concepts for energy education; Wilkins DJ, 2020, PROCEEDINGS OF THE 2020 CHI CONFERENCE ON HUMAN FACTORS IN COMPUTING SYSTEMS (CHI'20), DOI [10.1145/3313831.3376135, 10.1145/3334480.3375037]; Wood JR, 2008, J USABILITY STUD, V4, P1</t>
  </si>
  <si>
    <t>10.3390/su13147543</t>
  </si>
  <si>
    <t>TO6LP</t>
  </si>
  <si>
    <t>WOS:000677020800001</t>
  </si>
  <si>
    <t>Martinez, C; Keener-Chavis, P</t>
  </si>
  <si>
    <t>Martinez, Catalina; Keener-Chavis, Paula</t>
  </si>
  <si>
    <t>NOAA ship okeanos explorer: Telepresence in a the service of science, education and outreach</t>
  </si>
  <si>
    <t>OCEANS 2006, VOLS 1-4</t>
  </si>
  <si>
    <t>Oceans 2006 Conference</t>
  </si>
  <si>
    <t>SEP 18-22, 2006</t>
  </si>
  <si>
    <t>Boston, MA</t>
  </si>
  <si>
    <t>The National Oceanic and Atmospheric Administration's (NOAA's) Ocean Exploration (OE) Program dedicates 10% of its annual budget to education and public outreach. As exciting expeditions are the core of the OE program, education and outreach efforts are typically focused around these missions. Since the program's inception five years ago, education and outreach activities have been implemented mainly through NOAA's award-winning Web site (oceanexplorer noaa.gov) and through a variety of direct and indirect efforts. Through these various initiatives, as well as others more specifically tailored to individual needs, OE works with traditional and non-traditional educational institutions to provide exciting programs and products to enhance ocean literacy across the U.S. The OE program is now poised to initiate a major ongoing satellite-based education and public outreach program from its new dedicated research vessel, the Okeanos Explorer that will become operational in 2008. Through telepresence technology designed by the Institute for Exploration (IFE) in Mystic, CT, expeditions can be managed 'virtually' by scientists working from Science Command Centers on land, and live education broadcasts can be produced in real-time through collaborations with groups such as IFE, the JASON Foundation for Education, and Immersion Presents. Three pilot programs were successfully completed in the past three years demonstrating the potential for this new technology to allow for unlimited access to data, including video, from expeditions in real-time, sharing the excitement of discovery through multiple virtual pathways at once.</t>
  </si>
  <si>
    <t>NOAA Off Ocean Explorat, Narragansett, RI 02882 USA; NOAA Off Ocean Explorat, Charleston, SC USA</t>
  </si>
  <si>
    <t>National Oceanic Atmospheric Admin (NOAA) - USA; National Oceanic Atmospheric Admin (NOAA) - USA</t>
  </si>
  <si>
    <t>Martinez, C (corresponding author), NOAA Off Ocean Explorat, Narragansett, RI 02882 USA.</t>
  </si>
  <si>
    <t>[Anonymous], 2004, OC BLUEPR 21 CENT; CALSYN C, 2004, HIGHLIGHTS TIMSS TRE; *NAT GEOGR SOC OC, 2005, OC LIT ESS PRINC FUN; *NAT RES COUNC NAT, 2003, EXPL SEAS VOYAG UNKN; *PEW OC COMM, 2003, AM LIV OC CHART COUR; *US DEP COMM, 2000, DISC EARTHS FIN FRON; *US OC ACT PLAN, 2004, BUSH ADM RESP US COM</t>
  </si>
  <si>
    <t>978-1-4244-0114-7</t>
  </si>
  <si>
    <t>Engineering, Ocean</t>
  </si>
  <si>
    <t>BGC33</t>
  </si>
  <si>
    <t>WOS:000246002100306</t>
  </si>
  <si>
    <t>Kelly, R; Fleming, A; Pecl, GT; Richter, A; Bonn, A</t>
  </si>
  <si>
    <t>Kelly, Rachel; Fleming, Aysha; Pecl, Gretta T.; Richter, Anett; Bonn, Aletta</t>
  </si>
  <si>
    <t>Social license through citizen science: a tool for marine conservation</t>
  </si>
  <si>
    <t>ECOLOGY AND SOCIETY</t>
  </si>
  <si>
    <t>citizen science; marine conservation; ocean literacy; social license</t>
  </si>
  <si>
    <t>OPERATE; PERCEPTIONS; SCIENTISTS; GOVERNANCE; ACCEPTANCE; LEGITIMACY; MANAGEMENT; MATTER; POLICY; SCALE</t>
  </si>
  <si>
    <t>Active and meaningful public engagement is necessary to foster informed and publicly accepted natural resource management. Citizen science presents an important avenue by which to achieve such engagement. Citizen science is the active involvement of the public in science to address scientific questions, often of common interest or concern, by collecting and analyzing data, and publishing and communicating science via diverse outlets. Here, we explore whether and how citizen science can also play a role in generating social license for marine conservation, using European marine citizen science as a case study. Social license is a concept that reflects community views and expectations on the use and management of natural resources. To date, social license in the marine space has largely focused on public perceptions of industrial and extractive uses of the marine environment, and limited research has explored social license for conservation. We highlight important linkages between social license and citizen science that can work synergistically to support conservation. We use in-depth qualitative interviews and a semiquantitative online survey of marine citizen science coordinators to investigate how citizen science can play a role in enhancing social license and the mechanisms through which it can occur. Our findings indicate that citizen science can enhance social license by improving ocean literacy and marine citizenship. We demonstrate that marine citizen science has considerable potential to generate and develop social license for marine conservation in Europe and elsewhere.</t>
  </si>
  <si>
    <t>[Kelly, Rachel; Richter, Anett; Bonn, Aletta] UFZ Helmholtz Ctr Environm Res, Permoserstr 15, D-04318 Leipzig, Germany; [Kelly, Rachel; Richter, Anett; Bonn, Aletta] German Ctr Integrat Biodivers Res iDiv, Deutsch Pl 5e, D-04103 Halle, Germany; [Kelly, Rachel; Fleming, Aysha; Pecl, Gretta T.] Univ Tasmania, Ctr Marine Socioecol, Hobart, Tas 7001, Australia; [Kelly, Rachel; Pecl, Gretta T.] Inst Marine &amp; Antarctic Studies, Hobart, Tas 7001, Australia; [Fleming, Aysha] CSIRO Land &amp; Water, Hobart, Tas 7004, Australia; [Bonn, Aletta] Friedrich Schiller Univ Jena, Inst Biodivers, Dornburger Str 159, D-07743 Jena, Germany</t>
  </si>
  <si>
    <t>Helmholtz Association; Helmholtz Center for Environmental Research (UFZ); University of Tasmania; University of Tasmania; Commonwealth Scientific &amp; Industrial Research Organisation (CSIRO); Friedrich Schiller University of Jena</t>
  </si>
  <si>
    <t>Kelly, R (corresponding author), UFZ Helmholtz Ctr Environm Res, Permoserstr 15, D-04318 Leipzig, Germany.;Kelly, R (corresponding author), German Ctr Integrat Biodivers Res iDiv, Deutsch Pl 5e, D-04103 Halle, Germany.;Kelly, R (corresponding author), Univ Tasmania, Ctr Marine Socioecol, Hobart, Tas 7001, Australia.;Kelly, R (corresponding author), Inst Marine &amp; Antarctic Studies, Hobart, Tas 7001, Australia.</t>
  </si>
  <si>
    <t>Pecl, Gretta/D-7267-2011; Bonn, Aletta/A-2164-2013; Fleming, Aysha/E-8753-2011</t>
  </si>
  <si>
    <t>Pecl, Gretta/0000-0003-0192-4339; Bonn, Aletta/0000-0002-8345-4600; Fleming, Aysha/0000-0001-9895-1928; Kelly, Rachel/0000-0002-8364-1836</t>
  </si>
  <si>
    <t>Green Talents Awards Programme for High Potentials in Sustainable Development by the German Ministry of Education and Research (BMBF); European Union's Horizon 2020 research and innovation programme (ECOPOTENTIAL) [6417]; Australian Research Council Future Fellowship</t>
  </si>
  <si>
    <t>Green Talents Awards Programme for High Potentials in Sustainable Development by the German Ministry of Education and Research (BMBF)(Federal Ministry of Education &amp; Research (BMBF)); European Union's Horizon 2020 research and innovation programme (ECOPOTENTIAL); Australian Research Council Future Fellowship(Australian Research Council)</t>
  </si>
  <si>
    <t>We are grateful to all citizen science managers who offered their knowledge and expertise for our study. This research was approved by UFZ Datenschutz (Data Protection), Leipzig, Germany (23/06/2017). RK was supported by the Green Talents Awards Programme for High Potentials in Sustainable Development by the German Ministry of Education and Research (BMBF). The study also received funding from the European Union's Horizon 2020 research and innovation programme (grant agreement 6417, ECOPOTENTIAL). GP was supported by an Australian Research Council Future Fellowship. The authors thank the members of the Ecosystem Services research team at UFZ/iDiv for their advice in developing this manuscript. We also thank two anonymous reviewers for their constructive comments for improving this manuscript.</t>
  </si>
  <si>
    <t>Aceves-Bueno E, 2015, ECOSYSTEMS, V18, P493, DOI 10.1007/s10021-015-9842-4; [Anonymous], 2016, Stakeholder Analysis: International Citizen Science Stakeholder Analysis on Data Interoperability Final Report; Ballard HL, 2018, CITIZEN SCIENCE, P254; Bela G, 2016, CONSERV BIOL, V30, P990, DOI 10.1111/cobi.12762; Bergseth BJ, 2018, MAR POLICY, V89, P132, DOI 10.1016/j.marpol.2017.12.022; Boutilier R., 2012, International mine management 2012 proceedings, P227; Boutilier RG, 2014, IMPACT ASSESS PROJ A, V32, P263, DOI 10.1080/14615517.2014.941141; Brennan RE, 2018, AREA, V50, P159, DOI 10.1111/area.12420; Brown G, 2016, APPL GEOGR, V67, P77, DOI 10.1016/j.apgeog.2015.12.004; Bursey D., 2015, Environmental and Energy Bulletin, V7; Chen G, 2015, CONSERV BIOL, V29, P1527, DOI 10.1111/cobi.12583; Christie P, 2017, MAR POLICY, V84, P273, DOI 10.1016/j.marpol.2017.08.002; Cigliano JA, 2015, OCEAN COAST MANAGE, V115, P77, DOI 10.1016/j.ocecoaman.2015.06.012; Cooney J, 2017, J ENERGY NAT RESO LA, V35, P197, DOI 10.1080/02646811.2016.1269472; Crall AW, 2013, PUBLIC UNDERST SCI, V22, P745, DOI 10.1177/0963662511434894; Cullen-Knox C, 2017, MAR POLICY, V79, P70, DOI 10.1016/j.marpol.2017.02.013; Danielsen F, 2010, J APPL ECOL, V47, P1166, DOI 10.1111/j.1365-2664.2010.01874.x; Dare M, 2014, IMPACT ASSESS PROJ A, V32, P188, DOI 10.1080/14615517.2014.927108; Dick M, 2016, FACETS, V1, DOI 10.1139/facets-2016-0003; Dickinson JL, 2012, FRONT ECOL ENVIRON, V10, P291, DOI 10.1890/110236; Edwards P, 2016, J ROY SOC NEW ZEAL, V46, P165, DOI 10.1080/03036758.2016.1186702; Edwards P, 2014, SOC EPISTEMOL, V28, P239, DOI 10.1080/02691728.2014.922637; Eitzel M.V., 2017, Citizen Science: Theory and Practice, V2, P1, DOI [DOI 10.5334/CSTP.96, 10.5334/cstp.96]; Elliott KC, 2017, PLOS ONE, V12, DOI 10.1371/journal.pone.0186049; Forrester TD, 2017, BIOL CONSERV, V208, P98, DOI 10.1016/j.biocon.2016.06.025; Gall SC, 2016, MAR POLICY, V65, P30, DOI 10.1016/j.marpol.2015.12.004; Gallois C, 2017, J LANG SOC PSYCHOL, V36, P45, DOI 10.1177/0261927X16663254; Garcia-Soto C., 2017, Advancing Citizen Science for Coastal and Ocean Research; Garnett ST, 2018, CONSERV BIOL, V32, P734, DOI 10.1111/cobi.13113; Groulx M, 2017, SCI COMMUN, V39, P45, DOI 10.1177/1075547016688324; Hall N, 2015, J CLEAN PROD, V86, P301, DOI 10.1016/j.jclepro.2014.08.020; Hecker S., 2018, Citizen Science: Theory and Practice, V3, P1, DOI [10.5334/cstp.114, DOI 10.5334/CSTP.114]; Hecker S, 2018, CITIZEN SCIENCE, P445; Hind-Ozan E. J, 2018, CITIZEN SCI COASTAL, P261, DOI [10.4324/9781315638966-13, DOI 10.4324/9781315638966-13]; IPBES, 2018, PLEN INT SCI POL PLA; Jefferson R, 2015, OCEAN COAST MANAGE, V115, P61, DOI 10.1016/j.ocecoaman.2015.06.014; Jijelava D, 2017, J CLEAN PROD, V140, P1077, DOI 10.1016/j.jclepro.2016.10.070; Johansen TS, 2011, CORP COMMUN, V16, P204, DOI 10.1108/13563281111156871; Johnson MF, 2014, GLOBAL ENVIRON CHANG, V29, P235, DOI 10.1016/j.gloenvcha.2014.10.006; Jordan R.C., 2012, FRONT ECOL ENVIRON, V10, P307, DOI DOI 10.1890/110280; Kelly R, 2018, FRONT MAR SCI, V5, DOI 10.3389/fmars.2018.00414; Kelly R, 2017, MAR POLICY, V81, P21, DOI 10.1016/j.marpol.2017.03.005; Kendal D, 2018, CONSERV BIOL, V32, P737, DOI 10.1111/cobi.13114; Kendal D, 2018, CONSERV BIOL, V32, P493, DOI 10.1111/cobi.12994; Lacey J, 2017, RESOUR POLICY, V52, P245, DOI 10.1016/j.resourpol.2017.03.001; Lavender S, 2017, PLOS ONE, V12, DOI 10.1371/journal.pone.0186092; Martin V, 2016, SCI COMMUN, V38, P495, DOI 10.1177/1075547016656191; Martin VY, 2016, JCOM-J SCI COMMUN, V15; Martin VY, 2016, BIOSCIENCE, V66, P683, DOI 10.1093/biosci/biw070; McKinley DC, 2017, BIOL CONSERV, V208, P15, DOI 10.1016/j.biocon.2016.05.015; McKinley E, 2012, MAR POLICY, V36, P839, DOI 10.1016/j.marpol.2011.11.001; Merenlender AM, 2016, CONSERV BIOL, V30, P1255, DOI 10.1111/cobi.12737; Moffat K, 2016, FORESTRY, V89, P477, DOI 10.1093/forestry/cpv044; Moffat K, 2014, RESOUR POLICY, V39, P61, DOI 10.1016/j.resourpol.2013.11.003; Morrison J, 2014, SOCIAL LICENSE: HOW TO KEEP YOUR ORGANIZATION LEGITIMATE, P1, DOI 10.1057/9781137370723; Newman G, 2017, BIOL CONSERV, V208, P55, DOI 10.1016/j.biocon.2016.07.019; Overdevest C., 2004, HUM ECOL REV, V11, P177; Owen RP, 2018, CITIZEN SCIENCE, P284; Parsons R, 2014, SOC EPISTEMOL, V28, P340, DOI 10.1080/02691728.2014.922645; Pimm SL, 2015, TRENDS ECOL EVOL, V30, P685, DOI 10.1016/j.tree.2015.08.008; Prno J, 2013, RESOUR POLICY, V38, P577, DOI 10.1016/j.resourpol.2013.09.010; Roetman P., 2015, 11 AUSTR GOV OFF CHI; Rooney D, 2014, SOC EPISTEMOL, V28, P209, DOI 10.1080/02691728.2014.922644; Schläppy ML, 2017, FRONT MAR SCI, V4, DOI 10.3389/fmars.2017.00146; Shirk J.L., 2015, Citizen Science Framework Review: Informing a Framework for Citizen Science within the US Fish and Wildlife Service; Shirk JL, 2012, ECOL SOC, V17, DOI 10.5751/ES-04705-170229; Smits CCA, 2017, RESOUR POLICY, V53, P109, DOI 10.1016/j.resourpol.2017.06.004; Soma K, 2015, OCEAN COAST MANAGE, V117, P61, DOI 10.1016/j.ocecoaman.2015.11.001; Steel BS, 2005, OCEAN COAST MANAGE, V48, P97, DOI 10.1016/j.ocecoaman.2005.01.002; Storksdieck Martin, 2016, CITIZEN SCI THEORY P, V1, P10, DOI [10.5334/cstp.55, DOI 10.5334/CSTP.55]; Thiel M, 2014, OCEANOGR MAR BIOL, V52, P257; Turrini T, 2018, BIOL CONSERV, V225, P176, DOI 10.1016/j.biocon.2018.03.024; van Putten IE, 2018, ECOL SOC, V23, DOI 10.5751/ES-10504-230404; van Putten IE, 2018, ECOL SOC, V23, DOI 10.5751/ES-10397-230324; Vann-Sander S, 2016, MAR POLICY, V72, P82, DOI 10.1016/j.marpol.2016.06.026; Voyer M, 2015, MAR POLICY, V51, P260, DOI 10.1016/j.marpol.2014.09.004; Voyer M, 2012, MAR POLICY, V36, P432, DOI 10.1016/j.marpol.2011.08.002; Zhang AR, 2018, J CLEAN PROD, V172, P1559, DOI 10.1016/j.jclepro.2017.10.323</t>
  </si>
  <si>
    <t>Resilience Alliance</t>
  </si>
  <si>
    <t>Dedham</t>
  </si>
  <si>
    <t>231 Bussey St., Beckwith and Brown, Dedham, Massachusetts, UNITED STATES</t>
  </si>
  <si>
    <t>1708-3087</t>
  </si>
  <si>
    <t>ECOL SOC</t>
  </si>
  <si>
    <t>Ecol. Soc.</t>
  </si>
  <si>
    <t>10.5751/ES-10704-240116</t>
  </si>
  <si>
    <t>Ecology; Environmental Studies</t>
  </si>
  <si>
    <t>HS8XU</t>
  </si>
  <si>
    <t>Green Submitted, Green Published, Green Accepted, gold</t>
  </si>
  <si>
    <t>WOS:000464153200022</t>
  </si>
  <si>
    <t>Chambers, R; Hart, N; Ranger, S; Birney, A; Angheloiu, C; Loring, J; Williams, S; Hooper, L</t>
  </si>
  <si>
    <t>Chambers, Rosanna; Hart, Natalie; Ranger, Sue; Birney, Anna; Angheloiu, Corina; Loring, Jessica; Williams, Sian; Hooper, Louisa</t>
  </si>
  <si>
    <t>The Marine CoLAB: Taking a CoLABorative, Values Based Approach to Connect People to the Ocean</t>
  </si>
  <si>
    <t>marine conservation; values based approach; collaboration; systems change; ocean literacy</t>
  </si>
  <si>
    <t>CLIMATE-CHANGE; LITERACY; MATTER</t>
  </si>
  <si>
    <t>With growing complex and systemic challenges facing the ocean, there is an urgent need to increase the scale and effectiveness of approaches to marine conservation, including protecting and recognizing the value of all of its services. Stronger multi-sector networks of organizations are needed, sharing knowledge and working in unison to create a common narrative for the ocean and the solutions to its protection. In an innovative experiment, the Marine CoLABoration (CoLAB) brings together nine non-governmental organizations (NGOs) to explore collaboratively how to communicate more effectively. The CoLAB hypothesizes that communicating the full value of the ocean in all its rich diversity connects with people's deeply held, personal values and leads to more impactful ocean conservation. Through horizon scanning with the wider sector, the CoLAB determines experiment themes to test this hypothesis. These are based predominantly in the United Kingdom and include #OneLess, Agents of Change and We are Ocean. The CoLAB's work demonstrates that by effectively building and promoting an understanding of the full value of the ocean, it is possible to trigger a wider range of human values to catalyze engagement with marine conservation issues. A joined up, interdisciplinary approach to communicating why the ocean matters, engaging a wide range of actors will be crucial in effecting long term, systemic change for the ocean. The need for greater United Kingdom ocean literacy has also been highlighted across the CoLAB and its experiments and presents an opportunity for further work.</t>
  </si>
  <si>
    <t>[Chambers, Rosanna; Ranger, Sue] Marine Conservat Soc, Ross On Wye, England; [Hart, Natalie] Commun Inc, London, England; [Birney, Anna; Angheloiu, Corina] Forum Future, London, England; [Loring, Jessica; Williams, Sian; Hooper, Louisa] Calouste Gulbenkian Fdn, London, England</t>
  </si>
  <si>
    <t>Chambers, R (corresponding author), Marine Conservat Soc, Ross On Wye, England.</t>
  </si>
  <si>
    <t>Rosie.chambers@mcsuk.org</t>
  </si>
  <si>
    <t>Angheloiu, Corina/0000-0002-2644-9469</t>
  </si>
  <si>
    <t>Calouste Gulbenkian Foundation</t>
  </si>
  <si>
    <t>This research was funded and supported by the Calouste Gulbenkian Foundation as part of their Valuing the Ocean programme of work.</t>
  </si>
  <si>
    <t>Agents of Change, 2018, KINGMERE CONSERVATIO; Agents of Change, 2018, BEACHY HEAD E MARINE; Baird J, 2019, ENVIRON MANAGE, V63, P200, DOI 10.1007/s00267-018-1123-5; Baker L., 2018, VALUING OCEAN SHARIN; Bene C, 2015, FOOD SECUR, V7, P261, DOI 10.1007/s12571-015-0427-z; Birney, 2013, SYSTEMS PROGRAMME LE; Birney A., 2010, INTRO FORUMS 6 STEPS; Brennan RE, 2018, OCEAN COAST MANAGE, V162, P110, DOI 10.1016/j.ocecoaman.2018.01.036; Bryce R, 2016, ECOSYST SERV, V21, P258, DOI 10.1016/j.ecoser.2016.07.015; Calouste Gulbenkian Foundation, 2019, BEC BLUE PLAN CHAMP; Cava F., 2005, Science Content and Standards for Ocean Literacy: A Report on Ocean Literacy, P1; Chambers R., 2018, MARINE COLAB LEARNIN; Christie P, 2017, MAR POLICY, V84, P273, DOI 10.1016/j.marpol.2017.08.002; Church JA, 2013, SCIENCE, V342, P1445, DOI 10.1126/science.342.6165.1445-a; Clarke A, 2018, J BUS ETHICS, V150, P303, DOI 10.1007/s10551-018-3922-2; Cumming G, 2012, LANDSCAPE URBAN PLAN, V105, P434, DOI 10.1016/j.landurbplan.2012.01.018; Domingues CM, 2008, NATURE, V453, P1090, DOI 10.1038/nature07080; Esmee Fairbairn Foundation and Foundation, 2018, OC VAL PRIOR APPR FU; Evaluation D. P., 2017, VALUING OCEAN CALOUS; Falkowski P.G., 2011, EOS T AM GEOPHYS UN, V92, P409, DOI [10.1029/2011eo460001, DOI 10.1029/2011EO460001]; Gattuso JP, 2015, SCIENCE, V349, DOI 10.1126/science.aac4722; Gelcich S, 2014, P NATL ACAD SCI USA, V111, P15042, DOI 10.1073/pnas.1417344111; Guerrero AM, 2015, CONSERV LETT, V8, P107, DOI 10.1111/conl.12112; Guest H, 2015, MAR POLICY, V58, P98, DOI 10.1016/j.marpol.2015.04.007; Halpern BS, 2017, PLOS ONE, V12, DOI 10.1371/journal.pone.0178267; High Seas Alliance, 2019, MEET YOUR WINN; Hoegh-Guldberg O, 2007, SCIENCE, V318, P1737, DOI 10.1126/science.1152509; Jefferson RL, 2014, MAR POLICY, V43, P327, DOI 10.1016/j.marpol.2013.07.004; Jefferson R, 2015, OCEAN COAST MANAGE, V115, P61, DOI 10.1016/j.ocecoaman.2015.06.014; Leslie HM, 2007, FRONT ECOL ENVIRON, V5, P540, DOI 10.1890/060093; Lindland E., 2017, Getting Below the Surface: Mapping the Gaps Between Expert and Public Understandings of the Ocean and Marine Conservation in the United Kingdom; McGoran AR, 2017, ENVIRON POLLUT, V220, P744, DOI 10.1016/j.envpol.2016.09.078; McKinley E, 2010, OCEAN COAST MANAGE, V53, P379, DOI 10.1016/j.ocecoaman.2010.04.012; Nolan G, 2019, THESIS; Potts T, 2016, MAR POLICY, V72, P59, DOI 10.1016/j.marpol.2016.06.012; Rilov G, 2019, GLOB ECOL CONSERV, V17, DOI 10.1016/j.gecco.2019.e00566; Schaffers H, 2012, TECHNOL INNOV MANAG, P25; Schoedinger S., 2010, NMEA Special Report, V3, P3; Sheppard S.R.J., 2006, INTEGRATED ASSESSMEN, V6, P79; Steel BS, 2005, OCEAN COAST MANAGE, V48, P97, DOI 10.1016/j.ocecoaman.2005.01.002; Tebb A., 2019, AGENTS CHANGE PROJEC; Trathan PN, 2015, CONSERV BIOL, V29, P31, DOI 10.1111/cobi.12349; Vince J, 2018, FRONT MAR SCI, V5, DOI 10.3389/fmars.2018.00214; Vince J, 2017, RESTOR ECOL, V25, P123, DOI 10.1111/rec.12388; Völker S, 2011, INT J HYG ENVIR HEAL, V214, P449, DOI 10.1016/j.ijheh.2011.05.001; Wild Labs, 2018, CEL OUR CONN OC; Worthing Borough Council, 2019, WORTH SUP DADS SEA 2; Wyborn C., 2018, DOING SCI DIFFERENTL</t>
  </si>
  <si>
    <t>OCT 9</t>
  </si>
  <si>
    <t>10.3389/fmars.2019.00619</t>
  </si>
  <si>
    <t>JC4XO</t>
  </si>
  <si>
    <t>WOS:000489281600001</t>
  </si>
  <si>
    <t>Papageorgiou, M</t>
  </si>
  <si>
    <t>Papageorgiou, Marilena</t>
  </si>
  <si>
    <t>Transboundary marine governance and stakeholder engagement in complex environments and local seas: experiences from the Eastern Mediterranean</t>
  </si>
  <si>
    <t>EURO-MEDITERRANEAN JOURNAL FOR ENVIRONMENTAL INTEGRATION</t>
  </si>
  <si>
    <t>Marine governance; Stakeholder engagement; Transboundary MSP; SUPREME; MSP Med-Greece; Eastern Mediterranean</t>
  </si>
  <si>
    <t>TERRITORIAL GOVERNANCE; MANAGEMENT; ISLAND</t>
  </si>
  <si>
    <t>This paper discusses marine governance experiences from the Eastern Mediterranean, an area characterized by great complexities in spatial and governance terms. In particular, the paper examines experiences drawn from two research projects where multi-level and cross-sectoral governance schemes were tested as a side procedure to maritime spatial planning (MSP). The case studies represent highly complex marine environments (with great insularity, extended coastlines, formation of gulfs, etc.), where an unusually high number of national and local stakeholders are involved. Following the lessons learnt, the paper argues that (1) local governments (regions and municipalities) should have a more meaningful involvement in the MSP process that is currently a task mainly addressed by central government, and (2) certain competencies and licensing of marine activities and infrastructure can be transferred to the local governments. This paper also argues that MSP should also be performed at the local scale, where planning has a more regulatory nature and land-sea interactions can be addressed. Useful steps to achieve the above are as follows: (a) establishment of (regional) networks engaging coastal and insular regions and municipalities sharing the same (local) sea in the MSP process, and (b) establishment of local stakeholder networks having the same agendas and priorities at sea. Engaging regional and municipal authorities, as well as local stakeholders in a more fundamental way, is of paramount importance because at this (local) level, citizen science and ocean literacy prevail and can be of great use to the MSP process.</t>
  </si>
  <si>
    <t>[Papageorgiou, Marilena] Aristotle Univ Thessaloniki, Dept Planning &amp; Dev, Thessaloniki 38334, Greece</t>
  </si>
  <si>
    <t>Papageorgiou, M (corresponding author), Aristotle Univ Thessaloniki, Dept Planning &amp; Dev, Thessaloniki 38334, Greece.</t>
  </si>
  <si>
    <t>marpapageo@plandevel.auth.gr</t>
  </si>
  <si>
    <t>Papageorgiou, Marilena/0000-0001-9849-7219</t>
  </si>
  <si>
    <t>HEAL-Link Greece; E.U. EMFAF; PAP/RAC-UNEP/MAP</t>
  </si>
  <si>
    <t>Open access funding provided by HEAL-Link Greece. The author did not receive support from any organization for the submitted work. The SUPREME project was funded by E.U. EMFAF. The MSP Med-Greece project was funded by PAP/RAC-UNEP/MAP.</t>
  </si>
  <si>
    <t>[Anonymous], 2013, CENTENARY SPATIAL PL; Argyropoulos V, 2019, HERITAGE-BASEL, V2, P1588, DOI 10.3390/heritage2020098; Asprogerakas E, 2020, EURO-MEDITERR J ENVI, V5, DOI 10.1007/s41207-020-00154-2; Beriatos E, 2019, 16 INT C ENV SCI TEC; Faludi A, 2012, PLAN THEORY PRACT, V13, P197, DOI 10.1080/14649357.2012.677578; Flannery W, 2015, MAR POLICY, V51, P86, DOI 10.1016/j.marpol.2014.07.021; Gopnik M, 2012, MAR POLICY, V36, P1139, DOI 10.1016/j.marpol.2012.02.012; Hahn T, 2006, HUM ECOL, V34, P573, DOI 10.1007/s10745-006-9035-z; Hammer M, 2015, CORB CENTRE MARIT, P75; Jay S, 2016, MAR POLICY, V65, P85, DOI 10.1016/j.marpol.2015.12.025; Keijser X, 2018, WATER-SUI, V10, DOI 10.3390/w10060724; Kelly C, 2019, FRONT MAR SCI, V6, DOI 10.3389/fmars.2019.00213; Kidd S, 2012, J ENVIRON POL PLAN, V14, P49, DOI 10.1080/1523908X.2012.662382; Koutsi D, 2022, LECT NOTES COMPUT SC, V13379, P686, DOI 10.1007/978-3-031-10545-6_46; Kraan M, 2014, MAR POLICY, V50, P347, DOI 10.1016/j.marpol.2014.05.010; Kyvelou SSI, 2019, WMU J MARIT AFF, V18, P249, DOI 10.1007/s13437-019-00171-1; Lalenis K, 2015, HDB TERRITORIAL DEMO, P128; Lalenis K, 1993, THESIS U WESTMINSTER; Latinopoulos D, 2013, INT J INNOV SUSTAIN, V7, P233, DOI 10.1504/IJISD.2013.056942; Lidström A, 2007, REG FED STUD, V17, P499, DOI 10.1080/13597560701691896; Loughlin J, 2007, REG FED STUD, V17, P385, DOI 10.1080/13597560701691912; Mazaris AD, 2019, SCI TOTAL ENVIRON, V677, P418, DOI 10.1016/j.scitotenv.2019.04.333; Nutters HM, 2012, OCEAN COAST MANAGE, V67, P9, DOI 10.1016/j.ocecoaman.2012.05.020; Papageorgiou M, 2020, EURO-MEDITERR J ENVI, V5, DOI 10.1007/s41207-020-00172-0; Papageorgiou M, 2021, 17 INT C ENV SCI TEC; Papageorgiou M, 2018, EUR J ENVIRON SCI, V8, P31, DOI 10.14712/23361964.2018.5; Papageorgiou M, 2016, MAR POLICY, V74, P18, DOI 10.1016/j.marpol.2016.09.003; Paramana T, 2021, WATER-SUI, V13, DOI 10.3390/w13152084; Rhodes R.A., 2000, Transforming British Government: Changing roles and relationship; Ritchie H, 2010, J ENVIRON PLANN MAN, V53, P701, DOI 10.1080/09640568.2010.488100; Schlüter A, 2020, MAR POLICY, V112, DOI 10.1016/j.marpol.2019.103801; Soma K, 2015, OCEAN COAST MANAGE, V117, P4, DOI 10.1016/j.ocecoaman.2015.03.010; Stavros S., 2016, NAT ENVIRON POLLUT T, V15, P1009; Tsilimigkas G, 2019, MARIT SAF SECUR LAW, P103; Tulone A, 2020, FISH RES, V221, DOI 10.1016/j.fishres.2019.105374; UNEP/MAP-PAP/RAC and University of Thessaly, 2015, PAV ROAD MAR SPAT PL; Van Assche K., 2015, EVOLUTIONAL GOVERNAN, P3; van Tatenhove J., 2011, Maritime Studies, V10, P87, DOI DOI 10.1080/1523908X.2017.1292120; van Tatenhove JPM, 2017, J ENVIRON POL PLAN, V19, P783, DOI 10.1080/1523908X.2017.1292120; Verbong G., 2012, GOVERNING ENERGY TRA, DOI [10.1080/1523908x.2017.1292120, DOI 10.1080/1523908X.2017.1292120]; Yates KL, 2018, EARTHSCAN OCEAN, P169; Yet M, 2022, PLAN PRACT RES, V37, P189, DOI 10.1080/02697459.2021.2017101; Zaucha J, 2021, MAR POLICY, V132, DOI 10.1016/j.marpol.2018.12.013</t>
  </si>
  <si>
    <t>2365-6433</t>
  </si>
  <si>
    <t>2365-7448</t>
  </si>
  <si>
    <t>EURO-MEDITERR J ENVI</t>
  </si>
  <si>
    <t>Euro-Mediterr. J. Environ. Integrat.</t>
  </si>
  <si>
    <t>10.1007/s41207-022-00326-2</t>
  </si>
  <si>
    <t>5W4RD</t>
  </si>
  <si>
    <t>WOS:000865906100001</t>
  </si>
  <si>
    <t>Bhattacharya, D; Steward, KC; Forbes, CT</t>
  </si>
  <si>
    <t>Bhattacharya, Devarati; Steward, Kim Carroll; Forbes, Cory T.</t>
  </si>
  <si>
    <t>Climate education in secondary science: comparison of model-based and non-model-based investigations of Earth's climate</t>
  </si>
  <si>
    <t>Global increase in average surface temperatures; global climate models; student reasoning using models</t>
  </si>
  <si>
    <t>In this mixed method study, we analyse the effectiveness of two pedagogical approaches - one model-based and another non-model-based - for developing secondary students' understanding of the phenomenon of increase in Earth's average surface temperatures, a core dimension of global climate change (GCC). Building on past research on teaching and learning about Earth's climate, we use an Evidence-Based Reasoning framework to assess student tasks and interviews from a 3-week, project-developed, model-based curriculum. We observed that the use of a climate model allowed students to reason more effectively about the Earth's increasing temperatures. They were able to establish the premise and interpret evidence for the phenomenon more effectively with the climate model. Using temperature and carbon dioxide data sets, students observed and quantified the behaviour of climate variables, establishing correlation and causation through data-integrated claims. In doing so, students were able to develop scientific knowledge about climate science as well as understand the processes undertaken by climate scientists in analysing climate data. Given the importance of fostering climate literacy in K-12 students, study findings have implications for both teaching and learning about GCC using climate models, as well as in shifting students' focus from acquiring knowledge to constructing their own knowledge.</t>
  </si>
  <si>
    <t>[Bhattacharya, Devarati] Cent Washington Univ, Dept Sci &amp; Math Educ, Ellensburg, WA USA; [Steward, Kim Carroll] Univ Nebraska, Sch Nat Resources, Lincoln, NE USA; [Forbes, Cory T.] Univ Texas Arlington, Dept Curriculum &amp; Instruct, Arlington, TX 76019 USA</t>
  </si>
  <si>
    <t>Central Washington University; University of Nebraska System; University of Nebraska Lincoln; University of Texas System; University of Texas Arlington</t>
  </si>
  <si>
    <t>Forbes, CT (corresponding author), Hammond Hall,701 Planetarium Pl, Arlington, TX 76019 USA.</t>
  </si>
  <si>
    <t>cory.forbes@uta.edu</t>
  </si>
  <si>
    <t>Carroll Steward, Kimberly/0000-0001-5535-2124; Forbes, Cory/0000-0003-2230-4251</t>
  </si>
  <si>
    <t>National Science Foundation, Division of Research on Learning in Formal and Informal Settings [1720838]; Division Of Research On Learning; Direct For Education and Human Resources [1720838] Funding Source: National Science Foundation</t>
  </si>
  <si>
    <t>National Science Foundation, Division of Research on Learning in Formal and Informal Settings(National Science Foundation (NSF)); Division Of Research On Learning; Direct For Education and Human Resources(National Science Foundation (NSF)NSF - Directorate for STEM Education (EDU))</t>
  </si>
  <si>
    <t>This work was supported by the National Science Foundation, Division of Research on Learning in Formal and Informal Settings [grant number 1720838].</t>
  </si>
  <si>
    <t>Andersson B, 2000, J RES SCI TEACH, V37, P1096, DOI 10.1002/1098-2736(200012)37:10&lt;1096::AID-TEA4&gt;3.0.CO;2-8; [Anonymous], 2004, COMPANION QUALITATIV; [Anonymous], 2013, NEXT GENERATION SCIE; Arya D, 2016, INT J SCI EDUC, V38, P885, DOI 10.1080/09500693.2016.1170227; Baumfalk B, 2019, J RES SCI TEACH, V56, P570, DOI 10.1002/tea.21514; Bennett S, 2020, INT J SCI EDUC, V42, P1697, DOI 10.1080/09500693.2020.1777343; Bhattacharya D., 2020, The Science Teacher, V88, P58; Boyes E., 1998, J ENVIRON EDUC, V29, P31, DOI DOI 10.1080/00958969809599110; Brown NJS, 2010, EDUC ASSESS, V15, P123, DOI 10.1080/10627197.2010.530551; Butler D.M., 2003, J GEOSCIENCE ED, V51, P9; Chambers LH, 2008, B AM METEOROL SOC, V89, P437, DOI 10.1175/BAMS-89-4-437; Cox H., 2014, J GEOSCIENCE ED, V62, P609, DOI DOI 10.5408/13-040.1; Creswell J. W., 2018, QUAL INQ; Forbes C.T., J GEOSCIENCE ED, DOI [10.1080/10899995.2020.1838848, DOI 10.1080/10899995.2020.1838848]; Forbes C.T., J GEOSCIENCE ED; Forbes C T., 2020, Teaching climate change in the United States, P29, DOI [10.4324/9780367179496-3, DOI 10.4324/9780367179496-3]; Forbes CT, 2015, J RES SCI TEACH, V52, P895, DOI 10.1002/tea.21226; Gouvea J, 2017, SCI EDUC-NETHERLANDS, V26, P49, DOI 10.1007/s11191-017-9884-4; Ivankova N.V., 2019, MIXED METHODS RES GU; Lombardi D, 2012, RES SCI EDUC, V42, P201, DOI 10.1007/s11165-010-9196-z; Louca LT, 2012, EDUC REV, V64, P471, DOI 10.1080/00131911.2011.628748; Magana AJ, 2019, J ENG EDUC, V108, P276, DOI 10.1002/jee.20264; McNeal K.S., 2014, J GEOSCIENCE ED, V62, P655, DOI DOI 10.5408/13-111.1; Miller AR, 2018, J RES SCI TEACH, V55, P641, DOI 10.1002/tea.21434; Monroe MC, 2019, ENVIRON EDUC RES, V25, P791, DOI 10.1080/13504622.2017.1360842; National Institute of Standards and Technology, 2015, BIG DAT INT FRAM, DOI [10.6028/NIST.SP.1500-1, DOI 10.6028/NIST.SP.1500-1]; Pallant A, 2015, J SCI EDUC TECHNOL, V24, P378, DOI 10.1007/s10956-014-9499-3; Patton MQ., 2002, Qualitative research evaluation methods, P40; Pruneau D., 2003, Environmental Education Research, V9, P429, DOI DOI 10.1080/1350462032000126096; Psycharis S, 2013, COMPUT EDUC, V68, P253, DOI 10.1016/j.compedu.2013.05.015; Reinfried S, 2014, INT J SCI EDUC, V36, P304, DOI 10.1080/09500693.2013.773598; Schwarz CV, 2009, J RES SCI TEACH, V46, P632, DOI 10.1002/tea.20311; Shepardson DP, 2009, ENVIRON EDUC RES, V15, P549, DOI 10.1080/13504620903114592; Shin N., 2010, Using analytical frameworks for classroom research: Collecting data and analyzing narrative, P38; Svihla V, 2012, INT J SCI EDUC, V34, P651, DOI 10.1080/09500693.2011.597453; Tasquier G, 2016, INT J SCI EDUC, V38, P539, DOI 10.1080/09500693.2016.1148828; United Nations Framework Convention on Climate Change (UNFCCC), 2016, ACT CLIM EMP GUID AC; Varma K, 2012, J SCI EDUC TECHNOL, V21, P453, DOI 10.1007/s10956-011-9337-9; Visintainer T, 2015, J SCI EDUC TECHNOL, V24, P287, DOI 10.1007/s10956-014-9538-0; Watson R, 2001, CLIMATE CHANGE 2001: THE SCIENTIFIC BASIS, pIX; Zangori L, 2017, J RES SCI TEACH, V54, P1249, DOI 10.1002/tea.21404</t>
  </si>
  <si>
    <t>SEP 2</t>
  </si>
  <si>
    <t>10.1080/09500693.2021.1958022</t>
  </si>
  <si>
    <t>WB6YF</t>
  </si>
  <si>
    <t>WOS:000682841500001</t>
  </si>
  <si>
    <t>Franco, D; Macke, J; Cotton, D; Paço, A; Segers, JP; Franco, L</t>
  </si>
  <si>
    <t>Franco, Dirk; Macke, Janaina; Cotton, Debby; Paco, Arminda; Segers, Jean-Pierre; Franco, Laura</t>
  </si>
  <si>
    <t>Student energy-saving in higher education tackling the challenge of decarbonisation</t>
  </si>
  <si>
    <t>Energy saving; SDGs; Energy literacy; Decarbonisation; HEI campus</t>
  </si>
  <si>
    <t>SUSTAINABLE DEVELOPMENT GOALS; CLIMATE-CHANGE; TEACHING SUSTAINABILITY; UNIVERSITIES; INSTITUTIONS; EFFICIENCY; BUILDINGS; REDUCTION; SPILLOVER; BARRIERS</t>
  </si>
  <si>
    <t>Purpose This study aims to explore students' sustainability attitudes and behavioural intentions and their relation to energy use, to promote energy saving and decarbonisation in higher education settings. Design/methodology/approach The authors used a validated energy literacy survey to assess undergraduate students' attitudes and behavioural intentions towards energy saving in two countries (Brazil and Belgium). The questionnaire, administered online, comprised 23 Likert scale questions and three questions eliciting socio-demographic information. Results were analysed using a linear regression model and compared with previous research using the same energy literacy instrument. Findings The research identified three dimensions of sustainable attitudes: citizens' role, scientists' role and government's role, explaining 65.5% of respondents' energy-related attitudes. Three dimensions of sustainable behaviours were identified, explaining 64.5% of energy-related behavioural intentions: consumption of eco-friendly products, financially driven behaviours and household energy saving. The linear regression model identified scientists' role, consumption of eco-friendly products and financially driven behaviour as the key predictors of student energy use. Differences between the two contexts also emerged. Research limitations/implications Individual action to improve energy saving is necessary, but not sufficient for decarbonisation. However, student attitudes and behavioural intentions towards energy are an important element of campus decarbonisation: these micro experiments can become a network searching for synergies at the campus level (in collaboration with the neighbourhood) and act as a catalyst towards a more profound carbon-free society. Limitations of the research include the use of a survey to ascertain estimates of energy use; however, the study offers a model for further research and a mode of analysis that would be useful to other researchers. Practical implications This research enables universities to better understand the drivers and barriers to student energy-saving activities and thereby promote decarbonisation on campus. This is a crucial underpinning in the creation of sustainable universities, linking education and campus developments. This survey was one of the catalysts to set up a total new maintenance energy performance contract (MEPC) at one of the authors' institutions, where energy efficiency was realised alongside other sustainability aspects, such as water saving, circular renovation and waste reduction. Social implications This research illustrates the challenges and opportunities of working with key stakeholders in university settings for university-based decarbonisation efforts. Intensive involvement of students and teachers in the new MEPC offers an example of co-creation with building users - which may have implications for other university building developments. Increasingly, universities need to consider the need for a new business model in which shared and multiple value creation is a key feature. Treating societal challenges as business opportunities is an important new dimension of corporate strategy and a powerful path to social progress, which higher education institutions should not overlook. Originality/value Student attitudes and behavioural intentions towards energy are an important element of campus decarbonisation and can act as a catalyst towards a carbon-free society. Although energy literacy research has been undertaken in the USA and UK, this research is the first of its kind for Belgium and Brazil, and the mode of analysis - using a linear regression model - differs from the earlier work, offering a novel methodological approach.</t>
  </si>
  <si>
    <t>[Franco, Dirk] UHasselt, Ctr Environm Sci CMK, Hasselt, Belgium; [Franco, Dirk; Segers, Jean-Pierre] Cent Adm Hogesch PXL, Hasselt, Belgium; [Macke, Janaina] Univ Caxias do Sul, Grad Program Business Adm, Caxias Do Sul, RS, Brazil; [Macke, Janaina] Fac Meridional, Grad Program Business Adm, Passo Fundo, RS, Brazil; [Cotton, Debby] Plymouth Marjon Univ, Plymouth, Devon, England; [Paco, Arminda] Univ Beira Interior, Res Unit NECE, Dept Business &amp; Econ, Covilha, Portugal; [Segers, Jean-Pierre] UHasselt, Fac Business Econ, Hasselt, Belgium; [Segers, Jean-Pierre] Riga Tech Univ, Fac Engn Econ &amp; Management Sakums Rtu Lv, Riga, Latvia; [Franco, Laura] Evyta, Halen, Belgium</t>
  </si>
  <si>
    <t>Hasselt University; Universidade de Caxias do Sul; Universidade da Beira Interior; Hasselt University; Riga Technical University</t>
  </si>
  <si>
    <t>Franco, D (corresponding author), UHasselt, Ctr Environm Sci CMK, Hasselt, Belgium.;Franco, D (corresponding author), Cent Adm Hogesch PXL, Hasselt, Belgium.</t>
  </si>
  <si>
    <t>dirk.franco@uhasselt.be</t>
  </si>
  <si>
    <t>Macke, Janaina/AAD-5244-2020; Paço, Arminda/W-8285-2019; Segers, Jean Pierre/JMQ-7794-2023; Macke, Janaina/GRF-0860-2022</t>
  </si>
  <si>
    <t>Macke, Janaina/0000-0002-7781-7161; Segers, Jean Pierre/0000-0002-2252-5479; Paco, Arminda/0000-0002-2806-4247</t>
  </si>
  <si>
    <t>PXL University of Applied Sciences; Hasselt University; University of Caxias do Sul (Universidade de Caxias do Sul - UCS); National Council for Scientific and Technological Development (Conselho Nacional de Desenvolvimento Cientifico e Tecnologico CNPq) [PQ 303915/2019-6, MCTIC 429195/2018-4]; IMED Business School; Coordination for the Improvement of Higher Education Personnel (Coordenacao de Aperfeicoamento do Pessoal de Nivel Superior - Capes); Foundation for Science and Technology (FCT) [UIDB/04630/2020]</t>
  </si>
  <si>
    <t>PXL University of Applied Sciences; Hasselt University; University of Caxias do Sul (Universidade de Caxias do Sul - UCS); National Council for Scientific and Technological Development (Conselho Nacional de Desenvolvimento Cientifico e Tecnologico CNPq)(Conselho Nacional de Desenvolvimento Cientifico e Tecnologico (CNPQ)); IMED Business School; Coordination for the Improvement of Higher Education Personnel (Coordenacao de Aperfeicoamento do Pessoal de Nivel Superior - Capes); Foundation for Science and Technology (FCT)(Fundacao para a Ciencia e a Tecnologia (FCT))</t>
  </si>
  <si>
    <t>This work is being supported by PXL University of Applied Sciences and Hasselt University, the University of Caxias do Sul (Universidade de Caxias do Sul -UCS), the National Council for Scientific and Technological Development (Conselho Nacional de Desenvolvimento Cientifico e Tecnol~ogico CNPq, scholarship PQ 303915/2019-6 and MCTIC 429195/2018-4), IMED Business School, the Coordination for the Improvement of Higher Education Personnel (Coordenacao de Aperfeicoamento do Pessoal de Nivel Superior -Capes) and the Foundation for Science and Technology (FCT) Project UIDB/04630/2020.</t>
  </si>
  <si>
    <t>AJZEN I, 1991, ORGAN BEHAV HUM DEC, V50, P179, DOI 10.1016/0749-5978(91)90020-T; Allan RP, 2021, IPCC; [Anonymous], 2014, J. Res. Gender Stud; [Anonymous], 2021, HEALTH; [Anonymous], 2013, SUSTAINABLE U PROGR; [Anonymous], 1999, Local Environment, DOI [DOI 10.1080/13549839908725599, 10.1080/13549839908725599]; Blazquez J, 2020, ENERG POLICY, V147, DOI 10.1016/j.enpol.2020.111807; Bleyl JW, 2019, ENERG EFFIC, V12, P261, DOI 10.1007/s12053-018-9707-8; Callou D, 2009, THESIS, V1; Coleman J. T., 1990, FDN SOCIAL THEORY; Cotton DRE, 2021, J CLEAN PROD, V278, DOI 10.1016/j.jclepro.2020.123876; Cotton D, 2016, LOCAL ENVIRON, V21, P883, DOI 10.1080/13549839.2015.1038986; Cotton D, 2016, J CLEAN PROD, V129, P586, DOI 10.1016/j.jclepro.2016.03.136; DeWaters JE, 2011, ENERG POLICY, V39, P1699, DOI 10.1016/j.enpol.2010.12.049; EU, 2019, CONSULTED DECEMBER 2; Fetscherin M, 2008, J ELECTRON COMMER RE, V9, P231; Findler F, 2019, INT J SUST HIGHER ED, V20, P23, DOI 10.1108/IJSHE-07-2017-0114; Franco D., 2018, POSTER PRESENTATION; Franco D.V.H.K., 2021, Smart Innov. Syst. Technol, V203, P89, DOI [10.1007/978-981-15-8783-2_7, DOI 10.1007/978-981-15-8783-2_7]; French J., 2019, Strategic Social Marketing: For Behaviour and Social Change, V2nd; Hafner RJ, 2020, J CLEAN PROD, V251, DOI 10.1016/j.jclepro.2019.119643; Hair J., 2020, Essentials of Business Research Methods. Essentials of Business Research Methods, DOI [DOI 10.4324/9781315716862, 10.4324/9780429203374, DOI 10.4324/9780429203374]; Hair J. F., 2003, Essentials of Business Research Methods; Halpern David., 2005, SOCIAL CAPITAL; Hargreaves T, 2011, J CONSUM CULT, V11, P79, DOI 10.1177/1469540510390500; Hofstede G., 2011, ONLINE READINGS PSYC, V2, P8, DOI DOI 10.9707/2307-0919.1014; IEA, 2019, WORLD EN OUTL; Inglehart R., 2018, WORLD VALUES SURVEY, DOI 10.14281/18241.1; JACKSON T., 2005, A report to the Sustainable Development Research Network; Jacobs MH, 2014, TOURISM MANAGE, V42, P123, DOI 10.1016/j.tourman.2013.11.009; Kappelle M., 2020, WMO Statement on the State of the Global Climate in 2019, V2019, DOI [10.13140/RG.2.2.13705.19046, DOI 10.13140/RG.2.2.13705.19046]; Kim AA, 2019, ENERG BUILDINGS, V199, P197, DOI 10.1016/j.enbuild.2019.06.044; Klofsten M, 2019, TECHNOL FORECAST SOC, V141, P149, DOI 10.1016/j.techfore.2018.12.004; Kollmuss A., 2002, ENVIRON EDUC RES, V8, P239, DOI [10.1080/13504620220145401, DOI 10.1080/13504620220145401]; La Fleur L, 2019, ENERGIES, V12, DOI 10.3390/en12112218; Lanzini P, 2014, J ENVIRON PSYCHOL, V40, P381, DOI 10.1016/j.jenvp.2014.09.006; Leal W, 2019, J CLEAN PROD, V232, P285, DOI 10.1016/j.jclepro.2019.05.309; Leal W, 2015, J INTEGR ENVIRON SCI, V12, P1, DOI 10.1080/1943815X.2014.988273; Lozano R, 2019, SUSTAINABILITY-BASEL, V11, DOI 10.3390/su11061602; Magrini A, 2020, DEV BUILT ENVIRON, V3, DOI 10.1016/j.dibe.2020.100019; Mazutti J, 2020, INT J SUST HIGHER ED, V21, P1311, DOI 10.1108/IJSHE-01-2020-0016; Morris BS, 2019, CLIMATIC CHANGE, V154, P19, DOI 10.1007/s10584-019-02425-6; Mulder KF, 2010, THERM SCI, V14, P625, DOI 10.2298/TSCI1003625M; Munniksma A., 2017, Burgerschap in het voortgezet onderwijs: Nederland in vergelijkend perspectief; Nejati M, 2013, J CLEAN PROD, V48, P101, DOI 10.1016/j.jclepro.2012.09.006; Palma-Ruiz J. M, 2020, U ENTREPRENEURIAL SU; Perez A.P., 2019, URBAN PLANNING LAND; Pestana M.H., 2005, Analise de dados para ciencias sociais: A complementaridade do SPPS, V5; Pontelli G.C., 2019, 8 FORUM INT ECOINOVA; Putnam R., 1993, MAKING DEMOCRACY WOR; Ritchie H., ENERGY CONSUMPTION P; Ritchie Hannah, 2021, RENEW ENERG; Roeser S, 2012, RISK ANAL, V32, P1033, DOI 10.1111/j.1539-6924.2012.01812.x; Rotmans Jan., 2001, FORESIGHT, V3, DOI [10.1108/14636680110803003, DOI 10.1108/14636680110803003]; Sanguinetti A, 2017, ENERGY RES SOC SCI, V32, P44, DOI 10.1016/j.erss.2017.05.026; Shove E, 2010, ENVIRON PLANN A, V42, P1273, DOI 10.1068/a42282; Spence A, 2014, J ENVIRON PSYCHOL, V38, P17, DOI 10.1016/j.jenvp.2013.12.006; Stern PC, 2000, J SOC ISSUES, V56, P407, DOI 10.1111/0022-4537.00175; Tantau Adrian, 2020, International Journal of Smart Grid and Clean Energy, V9, P795, DOI 10.12720/sgce.9.4.795-804; Thogersen J, 1999, J ECON PSYCHOL, V20, P53, DOI 10.1016/S0167-4870(98)00043-9; UCS, 2021, US; United Nations, 2015, SUSTAINABLE DEV GOAL; Upper Solar, 2020, EDIFICIOS SUSTENTAVE; Verbong GeertP.J., 2012, Governing the Energy Transition: Reality, Illusion or Necessity?, Routledge Studies on Sustainability Transitions; Verplanken B, 2016, J ENVIRON PSYCHOL, V45, P127, DOI 10.1016/j.jenvp.2015.11.008; Weber JM, 2021, INT J SUST HIGHER ED, V22, P25, DOI 10.1108/IJSHE-06-2020-0209; Whitney S, 2020, ENERGY RES SOC SCI, V70, DOI 10.1016/j.erss.2020.101687</t>
  </si>
  <si>
    <t>NOV 24</t>
  </si>
  <si>
    <t>10.1108/IJSHE-10-2021-0432</t>
  </si>
  <si>
    <t>6O9FV</t>
  </si>
  <si>
    <t>WOS:000828945900001</t>
  </si>
  <si>
    <t>Sampaio, LA; Tesser, MB; Wasielesky, W</t>
  </si>
  <si>
    <t>Sampaio, Luis Andre; Tesser, Marcelo Borges; Wasielesky Junior, Wilson</t>
  </si>
  <si>
    <t>Advances in mariculture on the first decade of the XXI century: marine fish and shrimp culture</t>
  </si>
  <si>
    <t>REVISTA BRASILEIRA DE ZOOTECNIA-BRAZILIAN JOURNAL OF ANIMAL SCIENCE</t>
  </si>
  <si>
    <t>cobia; fish culture; shrimp</t>
  </si>
  <si>
    <t>Marine fish culture is still in its infancy in Brazil. For several years the snook Centropomus parallelus and the flounder Paralicithys orbignyanus were considered for aquaculture, but their commercial application has not yet been achieved. However, once technology for culture of cobia Rachycentron canadum became available, several private companies showed interest for marine fish culture. Besides traditional rearing technologes, cobia is suitable for open ocean culture in cages. This species shows fast growth rates, fish can achieve 4 or 8 kg within one year of age and its flesh is highly appreciated. Shrimp farming has been questioned for environmental issues, use of fish oil and fish meal, and spreading diseases. Rearing shrimp in systems without water exchange, know as ZEAH (Zero Exchange Aerobic Heterotrophic Culture systems) or bioflocs applies methods that minimize these problems, contributing for the development of sustainable shrimp farming.</t>
  </si>
  <si>
    <t>[Sampaio, Luis Andre] Univ Fed Rio Grande, Inst Oceanog, Lab Piscicultura Estuarina &amp; Marinha, Rio Grande, Brazil; [Tesser, Marcelo Borges] Univ Fed Rio Grande, Inst Oceanog, Lab Nutr Organismos Aquat, Rio Grande, Brazil; [Wasielesky Junior, Wilson] Univ Fed Rio Grande, Inst Oceanog, Lab Carcinocultura, Rio Grande, Brazil</t>
  </si>
  <si>
    <t>Universidade Federal do Rio Grande; Universidade Federal do Rio Grande; Universidade Federal do Rio Grande</t>
  </si>
  <si>
    <t>Sampaio, LA (corresponding author), Univ Fed Rio Grande, Inst Oceanog, Lab Piscicultura Estuarina &amp; Marinha, Rio Grande, Brazil.</t>
  </si>
  <si>
    <t>sampaio@mikrus.com.br</t>
  </si>
  <si>
    <t>Tesser, Marcelo B./G-4403-2013</t>
  </si>
  <si>
    <t>Sampaio, Luis Andre/0000-0001-6533-1837</t>
  </si>
  <si>
    <t>Arnold CR, 2002, J WORLD AQUACULT SOC, V33, P205, DOI 10.1111/j.1749-7345.2002.tb00496.x; Atwood H. L., 2004, Journal of Applied Aquaculture, V15, P191, DOI 10.1300/J028v15n03_16; Ballester ELC, 2010, AQUACULT NUTR, V16, P163, DOI 10.1111/j.1365-2095.2009.00648.x; Benetti D D., 2007, Cobia aquaculture: research, development, and commercial production, P57; Benetti DD, 2008, AQUACULTURE, V281, P22, DOI 10.1016/j.aquaculture.2008.03.030; Benetti DD, 2008, AQUAC RES, V39, P701, DOI 10.1111/j.1365-2109.2008.01922.x; Browdy CL, 2001, NEW WAVE PROCEEDINGS OF THE SPECIAL SESSION ON SUSTAINABLE SHRIMP FARMING, P20; Brown-Peterson NJ, 2001, FISH B-NOAA, V99, P15; Burford MA, 2003, AQUACULTURE, V219, P393, DOI 10.1016/S0044-8486(02)00575-6; CARVALHO C. V.A., 2006, TEMPERATURA LETAL SU; CAYLOR RE, 1994, AQUACULTURE, V125, P81, DOI 10.1016/0044-8486(94)90285-2; CHANG S. L., 2007, COBIA AQUACULTURE RE, P79; Coelho Ernerenciano Mauricio Gustavo, 2007, Acta Scientiarum Biological Sciences, V29, P1; Colburn HR, 2008, J WORLD AQUACULT SOC, V39, P678, DOI 10.1111/j.1749-7345.2008.00205.x; Denson MR, 2003, J WORLD AQUACULT SOC, V34, P496, DOI 10.1111/j.1749-7345.2003.tb00088.x; Faulk CK, 2007, AQUACULTURE, V270, P149, DOI 10.1016/j.aquaculture.2007.03.029; Figueiredo J.L., 1980, MANUAL PEIXES MARINH; Franks James S., 2001, Proceedings of the Gulf and Caribbean Fisheries Institute, V52, P598; Franks JS, 2002, PROCEEDINGS OF THE FIFTY-THIRD ANNUAL GULF AND CARIBBEAN FISHERIES INSTITUTE, P553; FROES C.N., 2007, DISSERTACAO MESTRADO; Hitzfelder GM, 2006, J WORLD AQUACULT SOC, V37, P204, DOI 10.1111/j.1749-7345.2006.00028.x; Holt GJ, 2007, AQUACULTURE, V268, P181, DOI 10.1016/j.aquaculture.2007.04.039; HOPKINS J. S., 1995, SWIMMING TROUBLED WA; KAISER J. B., 2005, SO REGIONAL AQUACULT, V7202; KRUMMENAUER D., 2008, DISSERTACAO MESTRADO; Liao IC, 2004, AQUACULTURE, V237, P155, DOI 10.1016/j.aquaculture.2004.03.007; Liao IC, 2001, AQUACULTURE, V200, P1, DOI 10.1016/S0044-8486(01)00692-5; McABEE B.J., 2003, GLOBAL AQUACULTURE A, V6; Miao S, 2009, AQUACULT INT, V17, P125, DOI 10.1007/s10499-008-9185-7; Moss SM, 2001, NEW WAVE PROCEEDINGS OF THE SPECIAL SESSION ON SUSTAINABLE SHRIMP FARMING, P1; OTOSHI C.A., 2008, COMERCIAL SCALE PROD; OTOSHI C.A., 2006, INT C RECIRCULATING, V6; Resley MJ, 2006, AQUACULTURE, V253, P398, DOI 10.1016/j.aquaculture.2005.08.023; Rodrigues RV, 2007, AQUACULTURE, V271, P553, DOI 10.1016/j.aquaculture.2007.06.009; ROMBENSO A.N., 2009, CONFERENCIA LATINOAM, V3; Samocha T. M., 2004, Journal of Applied Aquaculture, V15, P1, DOI 10.1300/J028v15n03_01; SAMPAIO L.A., 2009, CONFERENCIA LATINOAM, V3; SAMPAIO L. A., 2008, GROWTH SURVIVAL JUVE; Schwarz M. H., 2007, Journal of Applied Aquaculture, V19, P71, DOI 10.1300/J028v19n04_04; SCHWARZ M. H., 2007, GLOBAL AQUACULTURE A, P56; SCHWARZ M. H., 2008, J APPL AQUACULT, V17, P285; Shaffer R. V., 1989, NOAA Technical Report NMFS 82, FAO Fisheries synopsis 153; SILVA A. F., 2009, DISSERTACAO MESTRADO; Sun LH, 2006, AQUACULTURE, V261, P872, DOI 10.1016/j.aquaculture.2006.07.028; Wasielesky W, 2006, AQUACULTURE, V258, P396, DOI 10.1016/j.aquaculture.2006.04.030; Webb KA, 2007, AQUACULTURE, V264, P223, DOI 10.1016/j.aquaculture.2006.12.029; Weirich C. R., 2004, Journal of Applied Aquaculture, V16, P27, DOI 10.1300/J028v16n01_02; Weirich C. R., 2006, Journal of Applied Aquaculture, V18, P1, DOI 10.1300/J028v18n03_01</t>
  </si>
  <si>
    <t>REVISTA BRASILEIRA ZOOTECNIA BRAZILIAN JOURNAL ANIMAL SCI</t>
  </si>
  <si>
    <t>VICOSA-MG</t>
  </si>
  <si>
    <t>UNIVERSIDADE FEDERAL VICOSA,, 36571-000 VICOSA-MG, BRAZIL</t>
  </si>
  <si>
    <t>1516-3598</t>
  </si>
  <si>
    <t>1806-9290</t>
  </si>
  <si>
    <t>REV BRAS ZOOTECN</t>
  </si>
  <si>
    <t>Rev. Bras. Zootecn.</t>
  </si>
  <si>
    <t>10.1590/S1516-35982010001300012</t>
  </si>
  <si>
    <t>Agriculture, Dairy &amp; Animal Science; Veterinary Sciences</t>
  </si>
  <si>
    <t>Agriculture; Veterinary Sciences</t>
  </si>
  <si>
    <t>VM1XG</t>
  </si>
  <si>
    <t>WOS:000969694700012</t>
  </si>
  <si>
    <t>Sovacool, BK</t>
  </si>
  <si>
    <t>Sovacool, Benjamin K.</t>
  </si>
  <si>
    <t>Differing cultures of energy security: An international comparison of public perceptions</t>
  </si>
  <si>
    <t>RENEWABLE &amp; SUSTAINABLE ENERGY REVIEWS</t>
  </si>
  <si>
    <t>Energy and environmental attitudes; Public values; Security of supply</t>
  </si>
  <si>
    <t>DENMARK IMPLICATIONS; ATTITUDES; CONSUMERS; POLICY; ELECTRICITY; KNOWLEDGE; SCIENCE; CHOICE; TRUST; POWER</t>
  </si>
  <si>
    <t>This study reviews how energy-users perceive the importance of energy security dimensions. It asks: how does the sense of energy security vary with culture? Its primary source of data is a summary of survey distributed in eight languages to almost 2500 respondents in Brazil, China, Denmark, Germany, India, Kazakhstan, Japan, Papua New Guinea, Saudi Arabia, Singapore, and the United States. It utilizes an energy literacy test in Denmark as a secondary data tool. The survey results are used to test nine hypotheses about national, economic, political, professional, and epistemic cultures. The study concludes by affirming the complexity of energy security as a cultural topic; by emphasizing how answers among respondents tended to converge more than diverge; and by calling for further research. (C) 2015 Elsevier Ltd. All rights reserved.</t>
  </si>
  <si>
    <t>[Sovacool, Benjamin K.] Aarhus Univ, Dept Business &amp; Technol Dev, Ctr Energy Technol, Birk Ctr Pk 15, DK-7400 Herning, Denmark; [Sovacool, Benjamin K.] Univ Sussex, Sch Business Management &amp; Econ, SPRU, Brighton BN1 9RH, E Sussex, England</t>
  </si>
  <si>
    <t>Aarhus University; University of Sussex</t>
  </si>
  <si>
    <t>Sovacool, BK (corresponding author), Aarhus Univ, Dept Business &amp; Technol Dev, Ctr Energy Technol, Birk Ctr Pk 15, DK-7400 Herning, Denmark.</t>
  </si>
  <si>
    <t>Sovacool, Benjamin/0000-0002-4794-9403</t>
  </si>
  <si>
    <t>The author is grateful to the MacArthur Foundation's Asia Security Initiative for Grant 08-92777-000-GSS, which has supported elements of the work reported here. The study also draws from an earlier study entitled Exploring Propositions about Perceptions of Energy Security: An International Survey, published in Environmental Science &amp; Policy 16(1) (January, 2012), pp. 44-64. Ms. Pascale Blyth from Aarhus University provided helpful comments on earlier drafts of the manuscript. Any opinions, findings, and conclusions or recommendations expressed in this material are those of the authors and do not necessarily reflect the views of the MacArthur Foundation, or the survey respondents and participants.</t>
  </si>
  <si>
    <t>Ailawadi VS, 2006, NAT RESOUR FORUM, V30, P2, DOI 10.1111/j.1477-8947.2006.00153.x; Allum N, 2008, PUBLIC UNDERST SCI, V17, P35, DOI 10.1177/0963662506070159; Andrew Abbott, 1988, SYSTEM PROFESSIONS E; [Anonymous], 2007, RIS GATH STORM EN EM; [Anonymous], 2012, NATL POLITICS NUCL P; [Anonymous], POLITICAL EC WORLD E; Bambawale MJ, 2011, ENERG POLICY, V39, P1254, DOI 10.1016/j.enpol.2010.11.053; Bambawale MJ, 2011, APPL ENERG, V88, P1949, DOI 10.1016/j.apenergy.2010.12.016; Barnett J, 2012, PUBLIC UNDERST SCI, V21, P36, DOI 10.1177/0963662510365663; Carlisle JE, 2014, ENERGY RES SOC SCI, V3, P113, DOI 10.1016/j.erss.2014.07.006; Carlisle JE, 2010, PUBLIC UNDERST SCI, V19, P514, DOI 10.1177/0963662510375663; Ciuta F, 2010, SECUR DIALOGUE, V41, P123, DOI 10.1177/0967010610361596; Cooper C, 2013, J WORLD ENERGY LAW B, V6, P67, DOI 10.1093/jwelb/jws032; David Nye, 1999, CONSUMING POWER SOCI; DiMaggio PJ, 2000, ADV STRATEG MANAGE, V 17, P143, DOI 10.2307/2095101; Drexel Kleber, 2009, J ENERGY SECUR JUN, P1; DUNLAP RE, 1984, POLICY STUD J, V13, P413, DOI 10.1111/j.1541-0072.1984.tb00352.x; Feral Josette, 2002, SUBSTANCE, V31, P12; Flanagan SC, 2003, COMP POLIT STUD, V36, P235, DOI 10.1177/0010414002250664; Freeman III Charles W, 2010, ASIAS RESPONSE CLIMA, P3; Gauchat G, 2011, PUBLIC UNDERST SCI, V20, P751, DOI 10.1177/0963662510365246; Geller H, 2006, ENERG POLICY, V34, P556, DOI 10.1016/j.enpol.2005.11.010; Guo Y, 2015, ENERGY, V82, P722, DOI 10.1016/j.energy.2015.01.082; Hirsh RF, 2013, TECHNOL CULT, V54, P705, DOI 10.1353/tech.2013.0131; International Energy Agency United Nations Development Program United Nations Industrial Development Organization, 2010, EN POV MAK MOD EN AC; Jacobson A, 2005, ENERG POLICY, V33, P1825, DOI 10.1016/j.enpol.2004.02.017; Jacobson MZ, 2009, ENERG ENVIRON SCI, V2, P148, DOI 10.1039/b809990c; Jansen JC, 2010, ENERG POLICY, V38, P1654, DOI 10.1016/j.enpol.2009.02.047; John Deutch, 2004, 115 MIT DEP CHEM; Karin K.-C., 1999, Epistemic cultures: How the sciences make knowledge; Kevin Coyle, 2005, ENV LITERACY AM WHAT; Kishore Mahbubani, 2008, NEW ASIAN HEMISPHERE; Knox-Hayes J, 2013, GLOBAL ENVIRON CHANG, V23, P609, DOI 10.1016/j.gloenvcha.2013.02.003; Kruyt B, 2009, ENERG POLICY, V37, P2166, DOI 10.1016/j.enpol.2009.02.006; Ladenburg J, 2015, ENERGY RES SOC SCI, V10, P26, DOI 10.1016/j.erss.2015.06.005; Likert R., 1932, ARCH PSYCHOL, V22, P1; Löfstedt RE, 2001, RISK ANAL, V21, P399, DOI 10.1111/0272-4332.213121; Lozano R, 2015, J CLEAN PROD, V108, P1, DOI 10.1016/j.jclepro.2014.09.048; Melosi Martin V, 1985, COPING ABUNDANCE ENE; Mills B, 2012, ENERG POLICY, V49, P616, DOI 10.1016/j.enpol.2012.07.008; Myers N, 2003, P NATL ACAD SCI USA, V100, P4963, DOI 10.1073/pnas.0438061100; [NEETF National Environmental Education Training Foundation and Roper ASW], 2002, 10 ANN NAT REP CARD; Nye D., 1999, J. Int. Aff., V53, P129; Pacala S, 2004, SCIENCE, V305, P968, DOI 10.1126/science.1100103; Pasqualetti MJ, 2000, GEOGR REV, V90, P381, DOI 10.2307/3250859; Richard Munch, 2001, DEMOCRACY WORK COMP; Richard Rudolph, 2010, THE ENERGY READER, P287; Sagebiel J, 2014, ENERGY RES SOC SCI, V2, P90, DOI 10.1016/j.erss.2014.04.003; Schein EH, 1996, ADMIN SCI QUART, V41, P229, DOI 10.2307/2393715; Schreurs Miranda A., 2002, ENV POLITICS JAPAN G; Schreurs Miranda A., 2003, ENVIRONMENT, V45, P9; Sovacool B.K., 2011, CONT ARAB AFF, V4, P208; Sovacool BK, 2016, ENERGY RES SOC SCI, V11, P79, DOI 10.1016/j.erss.2015.08.010; Sovacool BK, 2015, ENVIRON SCI POLICY, V54, P304, DOI 10.1016/j.envsci.2015.07.011; Sovacool BK, 2013, ENERG POLICY, V61, P829, DOI 10.1016/j.enpol.2013.06.106; Sovacool BK, 2013, ECOL ECON, V88, P148, DOI 10.1016/j.ecolecon.2013.01.019; Sovacool BK, 2012, ASIAN SURV, V52, P949, DOI 10.1525/as.2012.52.5.949; Sovacool BK, 2012, ENERG POLICY, V48, P835, DOI 10.1016/j.enpol.2012.02.017; Sovacool BK, 2012, ENVIRON SCI POLICY, V16, P44, DOI 10.1016/j.envsci.2011.10.009; Sovacool BK, 2011, ENERG POLICY, V39, P7472, DOI 10.1016/j.enpol.2010.10.008; Sovacool BK, 2011, ENERGY, V36, P5343, DOI 10.1016/j.energy.2011.06.043; Sovacool BK, 2011, J CLEAN PROD, V19, P1147, DOI 10.1016/j.jclepro.2011.03.014; Sovacool BK, 2010, ANNU REV ENV RESOUR, V35, P77, DOI 10.1146/annurev-environ-042509-143035; Sovacool BK, 2010, ASIAN STUD REV, V34, P489, DOI 10.1080/10357823.2010.527918; Sovacool BK, 2011, ROUT INT HANDB, P1; Steen Christensen, 2009, ENG CONTEXT; Steen Christensen, 2012, ENG DEV PHILOS AM CH; Steen Christensen, 2012, INT PERSPECTIVES ENG; Strauss S, 2013, CULTURES OF ENERGY: POWER, PRACTICES, TECHNOLOGIES, P10; Tampakis S, 2013, RENEW SUST ENERG REV, V20, P473, DOI 10.1016/j.rser.2012.12.027; Tanaka Yuki., 2011, The Asia-Pacific Journal, V9, P1; Thomas D., 1979, QUASIEXPERIMENTATION; Valentine S, 2011, ENERG POLICY, V39, P1865, DOI 10.1016/j.enpol.2011.01.029; Valentine SV, 2011, ROUT INT HANDB, P56; Vivoda V, 2010, ENERG POLICY, V38, P5258, DOI 10.1016/j.enpol.2010.05.028; Vivoda V, 2009, ENERG POLICY, V37, P4615, DOI 10.1016/j.enpol.2009.06.007; Yin JF, 2014, J CLEAN PROD, V65, P517, DOI 10.1016/j.jclepro.2013.10.006; Yuan XL, 2015, J CLEAN PROD, V92, P168, DOI 10.1016/j.jclepro.2014.12.097</t>
  </si>
  <si>
    <t>1364-0321</t>
  </si>
  <si>
    <t>RENEW SUST ENERG REV</t>
  </si>
  <si>
    <t>Renew. Sust. Energ. Rev.</t>
  </si>
  <si>
    <t>10.1016/j.rser.2015.10.144</t>
  </si>
  <si>
    <t>DC1EI</t>
  </si>
  <si>
    <t>WOS:000368959200058</t>
  </si>
  <si>
    <t>Dickey-Collas, M; Link, JS; Snelgrove, P; Roberts, JM; Anderson, MR; Kenchington, E; Bundy, A; Brady, MM; Shuford, RL; Townsend, H; Rindorf, A; Rudd, MA; Johnson, D; Johannesen, E</t>
  </si>
  <si>
    <t>Dickey-Collas, Mark; Link, Jason S.; Snelgrove, Paul; Roberts, J. Murray; Anderson, M. Robin; Kenchington, Ellen; Bundy, Alida; Brady, Margaret M. (Peg); Shuford, Rebecca L.; Townsend, Howard; Rindorf, Anna; Rudd, Murray A.; Johnson, David; Johannesen, Ellen</t>
  </si>
  <si>
    <t>Exploring ecosystem-based management in the North Atlantic</t>
  </si>
  <si>
    <t>JOURNAL OF FISH BIOLOGY</t>
  </si>
  <si>
    <t>integrated management; marine; social-ecological; trade-offs</t>
  </si>
  <si>
    <t>KNOWLEDGE EXCHANGE; FISHERIES; PRINCIPLES; SCIENCE</t>
  </si>
  <si>
    <t>The United States, the EU and Canada established a trilateral working group on the ecosystem approach to ocean health and stressors under the Atlantic Ocean Research Alliance. Recognizing the Atlantic Ocean as a shared resource and responsibility, the working group sought to advance understanding of the Atlantic Ocean and its dynamic systems to improve ocean health, enhance ocean stewardship and promote the sustainable use and management of its resources. This included consideration of multiple ocean-use sectors such as fishing, shipping, tourism and offshore energy. The working group met for 4 years and worked through eight steps that covered the development of common language as a basis for collaboration, challenges of stakeholder engagement, review of the governance mandates, exploring the links between sectors and ecosystems effects, identifying gaps in knowledge and uptake of science, identification of tools for ecosystem-based management, customary best practice for tool development and communication of key research priorities. The key findings were that ecosystem-based management enables new benefits and opportunities, and that we need to make the business case. Further findings were that adequate mandates and effective tools exist for ecosystem-based management, and that ecosystem-based management urgently requires integration of human dimensions, so we must diversify the conversation. In addition, it was found that stakeholders do not see their stake in ecosystem-based management, so greater engagement with stakeholders and targeting of ocean literacy is required and a sustainable future requires a sustained investment in ecosystem-based management, so long-term commitment is key.</t>
  </si>
  <si>
    <t>[Dickey-Collas, Mark; Johannesen, Ellen] Int Council Explorat Sea, HC Andersens Blvd 44, DK-1553 Copenhagen V, Denmark; [Dickey-Collas, Mark; Rindorf, Anna] Tech Univ Denmark, Natl Inst Aquat Resources, Lyngby, Denmark; [Link, Jason S.] NOAA, Natl Marine Fisheries Serv, Woods Hole, MA 02543 USA; [Snelgrove, Paul] Mem Univ Newfoundland, Dept Ocean Sci, St John, NL, Canada; [Snelgrove, Paul] Mem Univ Newfoundland, Biol Dept, St John, NL, Canada; [Roberts, J. Murray] Univ Edinburgh, Sch GeoSci, Grant Inst, Changing Oceans Res Grp, Edinburgh, Midlothian, Scotland; [Anderson, M. Robin] Fisheries &amp; Oceans Canada, Northwest Atlantic Fisheries Ctr, St John, NL, Canada; [Kenchington, Ellen; Bundy, Alida] Fisheries &amp; Oceans Canada, Bedford Inst Oceanog, Dartmouth, NS, Canada; [Brady, Margaret M. (Peg); Shuford, Rebecca L.] NOAA, Natl Marine Fisheries Serv, Silver Spring, MD USA; [Townsend, Howard] NOAA, Natl Fisheries Serv, Off Sci &amp; Technol, Oxford, MD USA; [Johnson, David] Seascape Consultants Ltd, Ramsey, England; [Shuford, Rebecca L.] New York Sea Grant, Stony Brook, NY USA</t>
  </si>
  <si>
    <t>Technical University of Denmark; National Oceanic Atmospheric Admin (NOAA) - USA; Memorial University Newfoundland; Memorial University Newfoundland; University of Edinburgh; Fisheries &amp; Oceans Canada; Bedford Institute of Oceanography; Fisheries &amp; Oceans Canada; National Oceanic Atmospheric Admin (NOAA) - USA; National Oceanic Atmospheric Admin (NOAA) - USA</t>
  </si>
  <si>
    <t>Dickey-Collas, M (corresponding author), Int Council Explorat Sea, HC Andersens Blvd 44, DK-1553 Copenhagen V, Denmark.</t>
  </si>
  <si>
    <t>mark.dickey-collas@ices.dk</t>
  </si>
  <si>
    <t>Link, Jason/HOF-3606-2023; Dickey-Collas, Mark/A-8036-2008; Bundy, Alida/H-2884-2015; Roberts, Murray/D-8299-2013</t>
  </si>
  <si>
    <t>Link, Jason/0000-0003-2740-7161; Dickey-Collas, Mark/0000-0003-3154-8039; Snelgrove, Paul/0000-0002-6725-0472; Bundy, Alida/0000-0002-4282-0715; Rindorf, Anna/0000-0002-4290-3983; Kenchington, Ellen/0000-0003-3784-4533; Rudd, Murray/0000-0001-9533-5070; Roberts, Murray/0000-0003-1688-5133; Brady, Margaret M. (Peg)/0000-0003-3876-7197</t>
  </si>
  <si>
    <t>NOAA Fisheries; European Union</t>
  </si>
  <si>
    <t>NOAA Fisheries(National Oceanic Atmospheric Admin (NOAA) - USA); European Union(European Union (EU))</t>
  </si>
  <si>
    <t>NOAA Fisheries; Horizon 2020; European Union</t>
  </si>
  <si>
    <t>AGSO, 1998, AUSTR OC POL; [Anonymous], 2003, 1 JOINT MIN M HELS O; [Anonymous], 2010, ECOSYSTEM BASED FISH, DOI DOI 10.1017/CBO9780511667091; [Anonymous], 2017, Working group on the ecosystem approach to ocean health and stressors, January 2017, P53; AORA, 2019, VISION DOCUMENT, P36, DOI [10.1016/j.marpol.2006.02.001, DOI 10.17895/ICES.PUB.19145567]; AORA, 2019, WORKING GROUP ECOSYS, P56, DOI [10.17895/ices.pub.20291367, DOI 10.17895/ICES.PUB.20291367]; AORA, 2018, WORKING GROUP ECOSYS, DOI [10.17895/ices.pub.19145546, DOI 10.17895/ICES.PUB.19145546]; AORA, 2018, TOOLS ECOSYSTEM BASE, P27, DOI [10.17895/ices.pub.8230, DOI 10.17895/ICES.PUB.8230]; Arctic Council, 2013, Ecosystem-based management in the Arctic: Report submitted to senior Arctic officials by the Expert Group on Ecosystem-Based management; Christie P, 2005, OCEAN COAST MANAGE, V48, P208, DOI 10.1016/j.ocecoaman.2005.04.002; Cicin-Sain B., 1998, INTEGRATED COASTAL O; Cormier R, 2017, ICES J MAR SCI, V74, P406, DOI 10.1093/icesjms/fsw181; Cvitanovic C, 2021, ENVIRON SCI POLICY, V123, P179, DOI 10.1016/j.envsci.2021.05.020; Cvitanovic C, 2016, J ENVIRON MANAGE, V183, P864, DOI 10.1016/j.jenvman.2016.09.038; Cvitanovic C, 2015, OCEAN COAST MANAGE, V112, P25, DOI 10.1016/j.ocecoaman.2015.05.002; Dickey-Collas M, 2014, ICES J MAR SCI, V71, P1174, DOI 10.1093/icesjms/fsu027; Garcia SM, 2005, ICES J MAR SCI, V62, P311, DOI 10.1016/j.icesjms.2004.12.003; Hock R., 2019, SPECIAL REPORT OCEAN, P131; Holsman K, 2017, ECOSYST HEALTH SUST, V3, DOI 10.1002/ehs2.1256; ICES, 2022, AORA WORKING GROUP E, DOI [10.17895/ices.pub.20291526, DOI 10.17895/ICES.PUB.20291526]; ICES International Council for the Exploration of the Sea, 2016, AORAC-SA workshop: Making the ecosystem approach operational, P55, DOI [10.17895/ices.pub.19145447, DOI 10.17895/ICES.PUB.19145447]; Jennings S, 2011, FISH FISH, V12, P125, DOI 10.1111/j.1467-2979.2011.00409.x; Karcher DB, 2022, OCEAN COAST MANAGE, V225, DOI 10.1016/j.ocecoaman.2022.106194; Kumar Pushpam, 2010, The economics of ecosystems and biodiversity: Ecological and economic foundation; Levin PS, 2021, BIOSCIENCE, V71, P64, DOI 10.1093/biosci/biaa117; Levin PS, 2018, MAR POLICY, V92, P48, DOI 10.1016/j.marpol.2018.01.019; Link JS, 2019, ICES J MAR SCI, V76, P41, DOI 10.1093/icesjms/fsy169; Link JS, 2002, FISHERIES, V27, P18; Long RD, 2015, MAR POLICY, V57, P53, DOI 10.1016/j.marpol.2015.01.013; Marshak AR, 2017, ICES J MAR SCI, V74, P414, DOI 10.1093/icesjms/fsw214; Murphy EJ, 2021, FRONT MAR SCI, V8, DOI 10.3389/fmars.2021.760731; National Marine Fisheries Service, 2018, FISH EC BAS FISH MAN; ORAP, 2013, IMPL EC BAS MAN REP; Polejack A, 2021, HUM SOC SCI COMMUN, V8, DOI 10.1057/s41599-021-00729-6; Rudd MA, 2018, FRONT MAR SCI, V5, DOI 10.3389/fmars.2018.00485; Singh GG, 2021, P NATL ACAD SCI USA, V118, DOI 10.1073/pnas.2100205118; Smith DC, 2017, ICES J MAR SCI, V74, P1990, DOI 10.1093/icesjms/fsx113; Stephenson RL, 2021, FRONT MAR SCI, V8, DOI 10.3389/fmars.2021.630547; Stephenson RL, 2019, OCEAN COAST MANAGE, V177, P127, DOI 10.1016/j.ocecoaman.2019.04.008</t>
  </si>
  <si>
    <t>0022-1112</t>
  </si>
  <si>
    <t>1095-8649</t>
  </si>
  <si>
    <t>J FISH BIOL</t>
  </si>
  <si>
    <t>J. Fish Biol.</t>
  </si>
  <si>
    <t>10.1111/jfb.15168</t>
  </si>
  <si>
    <t>3U4WG</t>
  </si>
  <si>
    <t>WOS:000840972300004</t>
  </si>
  <si>
    <t>Fauville, G; McHugh, P; Domegan, C; Mäkitalo, Å; Moller, LF; Papathanassiou, M; Chicote, CA; Lincoln, S; Batipta, V; Copejans, E; Crouch, F; Gotensparre, S</t>
  </si>
  <si>
    <t>Fauville, Geraldine; McHugh, Patricia; Domegan, Christine; Makitalo, Asa; Moller, Lene Friis; Papathanassiou, Martha; Alvarez Chicote, Carla; Lincoln, Susana; Batipta, Vanessa; Copejans, Evy; Crouch, Fiona; Gotensparre, Susan</t>
  </si>
  <si>
    <t>Using collective intelligence to identify barriers to teaching 12-19 year olds about the ocean in Europe</t>
  </si>
  <si>
    <t>LITERACY; SYSTEMS</t>
  </si>
  <si>
    <t>Since the degradation of the marine environment is strongly linked to human activities, having citizens who appreciate the ocean's influence on them and their influence on the ocean is important. Research has shown that citizens have a limited understanding of the ocean and it is this lack of ocean literacy that needs to change. This study maps the European landscape of barriers to teaching 12-19 year olds about the ocean, through the application of Collective Intelligence, a facilitation and problem solving methodology. The paper presents a meta analysis of the 657 barriers to teaching about the ocean, highlighting how these barriers are interconnected and influence one another in a European Influence Map. The influence map shows 8 themes: Awareness and Perceived knowledge; Policies and Strategies; Engagement, formal education sector, the Ocean itself; Collaboration; Connections between humans and the ocean and the Blue Economy, having the greatest influence and impact on marine education. Awareness and Perceived knowledge in Stage 1, exerts the highest level of overall influence in teaching 12-19 year olds about the ocean. This map and study serves as a roadmap for policy makers to implement mobilisation actions that could mitigate the barriers to teaching about the ocean. Examples of such actions include free marine education learning resources such as e-books, virtual laboratories or hands-on experiments. Thus, supporting educators in taking on the challenge of helping our youth realise that the ocean supports life on Earth is essential for education, the marine and human well-being.</t>
  </si>
  <si>
    <t>[Fauville, Geraldine; Makitalo, Asa] Univ Gothenburg, Dept Educ Commun &amp; Learning, Gothenburg, Sweden; [McHugh, Patricia] Natl Univ Ireland, Whitaker Inst, Galway, Ireland; [Domegan, Christine] Natl Univ Ireland, JB Calmes Sch Business &amp; Econ, Mkt Discipline, Galway, Ireland; [Moller, Lene Friis] Natl Inst Aquat Resources, DTU Aqua, Danish Shelfish Ctr, Lyngby, Denmark; [Papathanassiou, Martha] Hellen Ctr Marine Res, Iraklion, Greece; [Alvarez Chicote, Carla] SUBMON, Barcelona, Spain; [Lincoln, Susana] CEFAS, Lowestoft, Suffolk, England; [Batipta, Vanessa] Ciencia Viva, Braganca, Portugal; [Copejans, Evy] Flanders Marine Inst, Oostende, Belgium; [Crouch, Fiona] Marine Biol Assoc UK, Plymouth, Devon, England; [Gotensparre, Susan] Univ Gothenburg, Dept Biol &amp; Environm Sci, Gothenburg, Sweden</t>
  </si>
  <si>
    <t>University of Gothenburg; Ollscoil na Gaillimhe-University of Galway; Ollscoil na Gaillimhe-University of Galway; Technical University of Denmark; Hellenic Centre for Marine Research; Centre for Environment Fisheries &amp; Aquaculture Science; Marine Biological Association United Kingdom; University of Gothenburg</t>
  </si>
  <si>
    <t>Domegan, Christine T./E-1500-2018; Lincoln, Susana/JEP-4045-2023; McHugh, Patricia/AAH-1575-2020</t>
  </si>
  <si>
    <t>Fauville, Geraldine/0000-0001-5462-2591; McHugh, Patricia/0000-0003-1888-8426; Makitalo, Asa/0000-0003-3711-3781; Lincoln, Susana/0000-0001-7257-1046</t>
  </si>
  <si>
    <t>[Anonymous], 2016, CONTRIBUTING FOOD SE; [Anonymous], THESIS; Ballantyne R., 2004, GEO J, V60, P159, DOI [https://doi.org/10.1023/B:GEJO.0000033579.19277.ff, DOI 10.1023/B:GEJO.0000033579.19277.FF]; Brody M.J., 1996, J ENVIRON EDUC, V27, P21; Broome B. J., 1995, INNOVATIONS GROUP FA, P27; Broome B.J., 1995, American Indian Quarterly, V19, P205, DOI DOI 10.2307/1185168; BROOME BJ, 1995, SMALL GR RES, V26, P25, DOI 10.1177/1046496495261002; Castle Z, 2010, OCEAN YEARB, V24, P425, DOI 10.1163/22116001-90000066; Cava F., 2005, SCI CONTENT STAND OC; CHRISTAKIS AN, 1987, SYST RES, V4, P53, DOI 10.1002/sres.3850040107; Domegan C., 2014, BLUE SOC COLLECTIVE; Duane S., 2015, BEST PRACTICES MARKE; Dupont S., 2017, HDB EC MANAGEMENT SU; Earle Sylvia., 1995, Sea Change: A Message of the Oceans; Eddy TD, 2014, MAR POLICY, V46, P61, DOI 10.1016/j.marpol.2014.01.004; European Marine Board, 2013, NAV FUT 4 POSS PAP 2; Fauville G., 2013, MARINE BIOL, V1, P30; Fligstein N, 2011, SOCIOL THEOR, V29, P1, DOI 10.1111/j.1467-9558.2010.01385.x; Guest H, 2015, MAR POLICY, V58, P98, DOI 10.1016/j.marpol.2015.04.007; Hoffman M., 2007, REVOLUTIONIZING EART; Jefferson RL, 2014, MAR POLICY, V43, P327, DOI 10.1016/j.marpol.2013.07.004; Kelly RP, 2011, SCIENCE, V332, P1036, DOI 10.1126/science.1203815; Layton RA, 2015, J MACROMARKETING, V35, P302, DOI 10.1177/0276146714550314; Longo SB, 2016, SOC PROBL, V63, P463, DOI 10.1093/socpro/spw023; McManus D.A., 2000, CTR OCEAN SCI ED EXC; Pörtner HO, 2014, CLIMATE CHANGE 2014: IMPACTS, ADAPTATION, AND VULNERABILITY, PT A: GLOBAL AND SECTORAL ASPECTS, P411; Rockström J, 2009, NATURE, V461, P472, DOI 10.1038/461472a; Steel BS, 2005, OCEAN COAST MANAGE, V48, P97, DOI 10.1016/j.ocecoaman.2005.01.002; The Ocean Project, 2011, AM OC; Warfield J.N., 1976, Societal systems: Planning, policy, and complexity; Warfield J.N., 2006, INTRO SYSTEMS SCI</t>
  </si>
  <si>
    <t>10.1016/j.marpol.2018.01.034</t>
  </si>
  <si>
    <t>GB9KU</t>
  </si>
  <si>
    <t>WOS:000429393500011</t>
  </si>
  <si>
    <t>Reed, KC; Crowell, MC; Castro, MD; Sloan, ML</t>
  </si>
  <si>
    <t>Skin and soft-tissue infections after injury in the ocean: Culture methods and antibiotic therapy for marine bacteria</t>
  </si>
  <si>
    <t>MILITARY MEDICINE</t>
  </si>
  <si>
    <t>Isolated organisms from two common Indo-Pacific marine animals (Echinometra mathaei urchins and Acanthaster planci sea stars) likely to cause puncture wounds to recreational beachcombers, divers, or operational military forces during amphibious assaults demonstrate why practitioners should consider their first choice for potential antibiotic therapy differently from their usual favorite antibiotics. The effects of thiosulfate-citrate-bile-sucrose (TCBS) agar, varying salt concentrations in the standard media, and comparison of room temperature incubation versus use of the 30 degrees C (86 degrees F) incubator are reviewed. The yield of pathogenic marine bacteria is increased if TCBS agar is used and more than one temperature is used for incubation. A potentially significant human pathogen, Vibrio vulnificus, appears to be ubiquitous.</t>
  </si>
  <si>
    <t>US Naval Hosp Okinawa, Ancillary Serv, Okinawa, Japan; US Naval Hosp Okinawa, Div Microbiol, Okinawa, Japan; Naval Hosp, Camp Pendleton, CA 92055 USA</t>
  </si>
  <si>
    <t>United States Department of Defense; United States Navy</t>
  </si>
  <si>
    <t>Reed, KC (corresponding author), US Naval Hosp Okinawa, Ancillary Serv, Okinawa, Japan.</t>
  </si>
  <si>
    <t>[Anonymous], 1993, Morb. Mortal. Wkly. Rep, V42, P405; Arness MK, 1997, AVIAT SPACE ENVIR MD, V68, P325; Ashdown Les, 1996, P88; AUERBACH PS, 1987, ANN EMERG MED, V16, P643, DOI 10.1016/S0196-0644(87)80061-6; Auerbach PS, 1991, MED GUIDE HAZARDOUS; AUERBACK PS, 1987, CLIN DERMATOL, V5, P53; BUCK JD, 1984, J CLIN MICROBIOL, V20, P849, DOI 10.1128/JCM.20.5.849-851.1984; *CDC, 1986, MMWR-MORBID MORTAL W, V35, P606; Centers for Disease Control and Prevention (CDC), 1996, MMWR Morb Mortal Wkly Rep, V45, P621; Dunlap PV, 1995, OCEANUS, V38, P16; JANDA JM, 1988, REV INFECT DIS, V10, P980; JINDAL A, 1995, P 27 M ASS MAR LAB C, P26; JOHNSON RA, 1992, CURR OPIN INFECT DIS, V5, P695, DOI 10.1097/00001432-199210000-00012; KENNISH MJ, 1989, PRACTICAL HDB MARINE, P105; KONEMAN EW, 1988, COLOR ATLAS TXB DIAG, P312; MACLEOD RA, 1965, BACTERIOL REV, V29, P9, DOI 10.1128/MMBR.29.1.9-23.1965; MURPHEY DK, 1992, CLIN INFECT DIS, V14, P689, DOI 10.1093/clinids/14.3.689; Nishihira M., 1991, P91; PIEN FD, 1983, DIAGN MICR INFEC DIS, V1, P229, DOI 10.1016/0732-8893(83)90022-6; POMEROY LR, 1992, OCEANUS, V35, P28; *SCRIPPS AQ, 1983, SCRIPPS AQUARIUM SPR, P2; Tosteson T R, 1995, P R Health Sci J, V14, P117; Uehara T., 1991, P119; 1996, 1996 PHYSICIANS GENR</t>
  </si>
  <si>
    <t>ASSN MILITARY SURG US</t>
  </si>
  <si>
    <t>9320 OLD GEORGETOWN RD, BETHESDA, MD 20814 USA</t>
  </si>
  <si>
    <t>0026-4075</t>
  </si>
  <si>
    <t>MIL MED</t>
  </si>
  <si>
    <t>Milit. Med.</t>
  </si>
  <si>
    <t>10.1093/milmed/164.3.198</t>
  </si>
  <si>
    <t>Medicine, General &amp; Internal</t>
  </si>
  <si>
    <t>General &amp; Internal Medicine</t>
  </si>
  <si>
    <t>176LX</t>
  </si>
  <si>
    <t>WOS:000079153800007</t>
  </si>
  <si>
    <t>Breskvar, U</t>
  </si>
  <si>
    <t>Breskvar, Uros</t>
  </si>
  <si>
    <t>School for Sustainable Living: Assessing the Energy Related Topics Among Young People</t>
  </si>
  <si>
    <t>energy; sustainable competences; education; knowledge examination</t>
  </si>
  <si>
    <t>We associate modern man with a sustainable way of life. The very concept of sustainability is closely linked to the energy we need for our lives. The amount of energy is limited by planet Earth itself and by technology for transformation/capturing energy. Man has always strived to have as much energy as possible, as it significantly affects the quality of life. With a population growth and slowly decreasing reserves of fossil fuels, it is increasingly important to make the most of a given energy and move to clean energy sources. The article conducted research on how well young people know the basic energy values for everyday needs and how familiar they are with current technologies that enable better use of energy. According to the results of the research, suggestions are made for improving general energy literacy among young people.</t>
  </si>
  <si>
    <t>[Breskvar, Uros] Secondary Sch, Ljubljana, Slovenia</t>
  </si>
  <si>
    <t>Breskvar, U (corresponding author), Secondary Sch, Ljubljana, Slovenia.</t>
  </si>
  <si>
    <t>[Anonymous], The world's most engaging learning platform; [Anonymous], 2023, BBC News; Atkins P., 2010, The Laws of Thermodynamics; Eagan G., 2014, Running Pr; Eurostat, 2023, Statistics explained. Statistics Explained; Fanchi J.R., 2017, Energy in the 21st Century, V4th; Grassi W, 2018, GREEN ENERGY TECHNOL, P1, DOI 10.1007/978-3-319-62199-9; Hoppe T., 2023, Renewable energy communities and the Low Carbon Energy Transition in Europe; Iea, 2022, Fuel economy in the European Union-Analysis; Majcen D., 2016, Predicting energy consumption and savings in the Housing Stock: A Performance Gap Analysis in the Netherlands; Moran A. J., 2015, Climate change: The facts; PISA, 2000, Pisa-Pisa-OECD. Programme for International Student Assessment; ProProfs, 2023, Quiz: Test your knowledge on energy!; Saveonenergy, 2023, Energy usage calculator; Symons A., 2023, euronews; Tagliapietra S, 2020, GLOBAL ENERGY FUNDAMENTALS: ECONOMICS, POLITICS, AND TECHNOLOGY, P1, DOI 10.1017/9781108861595; Taylor M., 2020, Sustainable campus. Clothed in Conservation: Fashion &amp; Water | Sustainable Campus; Turner B., 2023, What is a recuperator?; Wittwer S.H. ., 1995, FOOD CLIMATE CARBON; World Scientific, 2016, Fossil fuels: Current status and Future Directions</t>
  </si>
  <si>
    <t>10.14207/ejsd.2023.v12n4p119</t>
  </si>
  <si>
    <t>FY1K7</t>
  </si>
  <si>
    <t>WOS:001149319600010</t>
  </si>
  <si>
    <t>Koulouri, P; Mogias, A; Gerovasileiou, V</t>
  </si>
  <si>
    <t>Koulouri, Panayota; Mogias, Athanasios; Gerovasileiou, Vasilis</t>
  </si>
  <si>
    <t>Ocean Literacy across the Mediterranean Sea region in the Era of 2030 Agenda and the Decade of Ocean Science for Sustainable Development (2021-2030)</t>
  </si>
  <si>
    <t>CITIZEN SCIENCE</t>
  </si>
  <si>
    <t>[Koulouri, Panayota; Gerovasileiou, Vasilis] Hellen Ctr Marine Res, Inst Marine Biol Biotechnol &amp; Aquaculture, Iraklion 71500, Crete, Greece; [Mogias, Athanasios] Democrats Univ Thrace, Dept Primary Educ, GR-68100 Alexandroupolis, Greece; [Gerovasileiou, Vasilis] Ionian Univ, Fac Environm, Dept Environm, Zakynthos 29100, Greece</t>
  </si>
  <si>
    <t>Hellenic Centre for Marine Research</t>
  </si>
  <si>
    <t>Gerovasileiou, Vasilis/H-6376-2019</t>
  </si>
  <si>
    <t>Gerovasileiou, Vasilis/0000-0002-9143-7480</t>
  </si>
  <si>
    <t>Alvisi F, 2022, MEDITERR MAR SCI, V23, P389, DOI 10.12681/mms.26931; Andriopoulou A, 2022, MEDITERR MAR SCI, V23, P327, DOI 10.12681/mms.26942; Cava F., 2005, Science Content and Standards for Ocean Literacy: A Report on Ocean Literacy, P1; Cheimonopoulou MT, 2022, MEDITERR MAR SCI, V23, P302, DOI 10.12681/mms.29172; Deidun A, 2022, MEDITERR MAR SCI, V23, P357, DOI 10.12681/mms.26623; Kampouris TE, 2022, MEDITERR MAR SCI, V23, P366, DOI 10.12681/mms.26929; Koulouri P, 2022, MEDITERR MAR SCI, V23, P289, DOI 10.12681/mms.26797; Lucrezi S, 2022, MEDITERR MAR SCI, V23, P374, DOI 10.12681/mms.27949; Merlino S, 2022, MEDITERR MAR SCI, V23, P338, DOI 10.12681/mms.26445; Mioni E, 2022, MEDITERR MAR SCI, V23, P405, DOI 10.12681/mms.27152; Mogias A, 2022, MEDITERR MAR SCI, V23, P310, DOI 10.12681/mms.27059; Mogias A, 2019, FRONT MAR SCI, V6, DOI 10.3389/fmars.2019.00396; Mokos M., 2021, EUROGEO BOOK SERIES, P197; Mokos M, 2022, MEDITERR MAR SCI, V23, P277, DOI 10.12681/mms.26989; Mokos M, 2020, MEDITERR MAR SCI, V21, P592, DOI 10.12681/mms.23400; National Marine Educators Association (NMEA), 2010, Ocean Literacy Scope and Sequence for Grades K-12; NOAA, 2020, Ocean literacy: the essential principles and fundamental concepts of ocean sciences for learners of all ages; Paredes-Coral E, 2022, MEDITERR MAR SCI, V23, P321, DOI 10.12681/mms.26608; Paredes-Coral E, 2021, FRONT MAR SCI, V8, DOI 10.3389/fmars.2021.648492; Payne DL, 2022, MEDITERR MAR SCI, V23, P270, DOI 10.12681/mms.27410; Ryabinin V, 2019, FRONT MAR SCI, V6, DOI 10.3389/fmars.2019.00470; Santoro F., 2017, OCEAN LITERACY ALL A</t>
  </si>
  <si>
    <t>10.12681/mms.30099</t>
  </si>
  <si>
    <t>0N4HE</t>
  </si>
  <si>
    <t>WOS:000782799900001</t>
  </si>
  <si>
    <t>Leimbach, T; Milstein, T</t>
  </si>
  <si>
    <t>Leimbach, Tania; Milstein, Tema</t>
  </si>
  <si>
    <t>Learning to change: Climate action pedagogy</t>
  </si>
  <si>
    <t>AUSTRALIAN JOURNAL OF ADULT LEARNING</t>
  </si>
  <si>
    <t>climate change; climate change education; inside-out pedagogy; climate crisis; climate action; affect-based learning</t>
  </si>
  <si>
    <t>This article considers higher education's role in climate crisis, reflecting on the potential of action-oriented pedagogy. As a reflection on practice, the authors consider a new postgraduate course, Climate Crisis and Action (CCA), launched in 2022 as one of a suite of new courses using inside-out pedagogy in one of the oldest (and most recently holistically redesigned) Master of Environmental Management (MEM) programs in Australia, at the University of New South Wales (UNSW). Over ten weeks, while building foundational climate literacy underscored by imperatives of justice and education, CCA prioritises student leadership, active citizenship, and professional agency for real-world impact. We detail four key elements of the course design: 1) repositioning the course convenor as academic-facilitator to empower students to see climate crisis as a shared challenge addressed through joint contribution, 2) establishing an atmosphere of collective intelligence, shared accountability, and affect-based learning, 3) designing assessments that embed solutions and pedagogy to position students as climate innovators and educators, and 4) providing leadership opportunities in real-time to support students to experience their own growing expertise and professional agency. The approach reflects two motivations: to engage students with the immediacy and urgency of climate crisis, and to extend the core function of teaching academics to support real-world problem solving, social innovation and societal transformation.</t>
  </si>
  <si>
    <t>[Leimbach, Tania] Univ Technol Sydney, Fac Arts &amp; Social Sci, Climate Soc Environm Res Ctr, Sydney, NSW, Australia; [Milstein, Tema] Univ New South Wales, Kensington, NSW, Australia</t>
  </si>
  <si>
    <t>University of Technology Sydney; University of New South Wales Sydney</t>
  </si>
  <si>
    <t>Leimbach, T (corresponding author), Univ Technol Sydney, Fac Arts &amp; Social Sci, Climate Soc Environm Res Ctr, Sydney, NSW, Australia.</t>
  </si>
  <si>
    <t>tania.leimbach@uts.edu.au; tema.milstein@unsw.edu.au</t>
  </si>
  <si>
    <t>Leimbach, Tania/0000-0002-8144-5065</t>
  </si>
  <si>
    <t>Climate for Change, US; Climate Fresk, OUR PURP; Impactio, INN REG; Kwauk Christina, 2021, report; Leimbach T, 2022, AUST J ADULT LEARN, V62, P325; Leviston Z, 2014, EUR J SOC PSYCHOL, V44, P441, DOI 10.1002/ejsp.2050; Milstein T, 2017, ROU ST ENVIRON COMM, P45; Milstein T, 2015, COMMUN CULT CRIT, V8, P395, DOI 10.1111/cccr.12090; Milstein Tema., 2012, GREEN THEORY PRAXIS, V6, P3; Moser SC, 2016, WIRES CLIM CHANGE, V7, P345, DOI 10.1002/wcc.403; Rieckmann M., 2017, ED SUSTAINABLE DEV G; Solnit R., 2021, The Guardian; Sovacool BK, 2021, ENERGY RES SOC SCI, V73, DOI 10.1016/j.erss.2021.101916</t>
  </si>
  <si>
    <t>ADULT LEARNING AUSTRALIA INC</t>
  </si>
  <si>
    <t>CANBERRA CITY</t>
  </si>
  <si>
    <t>GPO BOX 260, CANBERRA CITY, ACT 2601, AUSTRALIA</t>
  </si>
  <si>
    <t>1443-1394</t>
  </si>
  <si>
    <t>AUST J ADULT LEARN</t>
  </si>
  <si>
    <t>Aust. J. Adult Learn.</t>
  </si>
  <si>
    <t>9N4VE</t>
  </si>
  <si>
    <t>WOS:000942911400008</t>
  </si>
  <si>
    <t>Asmare, F; Giedraitis, V; Jaraite, J; Kazukauskas, A</t>
  </si>
  <si>
    <t>Asmare, Fissha; Giedraitis, Vincentas; Jaraite, Jurate; Kazukauskas, Andrius</t>
  </si>
  <si>
    <t>Energy-related financial literacy and retrofits of Soviet-era apartment buildings: The case of Lithuania</t>
  </si>
  <si>
    <t>Energy efficiency; Energy-related financial literacy; Energy retrofit; Financial literacy; Multi-dwelling buildings; Soviet-era countries; Survey data</t>
  </si>
  <si>
    <t>SOCIAL TRUST; CONSERVATION; EFFICIENCY; ATTITUDES; BEHAVIOR; ADOPTION</t>
  </si>
  <si>
    <t>This paper extends the literature on energy-related financial literacy by examining its role in collective energy retrofit investment decisions in Soviet-era countries, which suffer from suboptimal levels of these investments, purportedly due to a lack of energy-specific knowledge and financial skills as well as low levels of trust. We investigate whether energy-related financial literacy and trust help explain collective energy retrofit investment decisions of typical Soviet-built multi-dwelling buildings in the case of Lithuania. Using unique survey data from Lithuania, we find that individuals' willingness to invest in multi-dwelling building energy retrofits is positively associated with individuals' general financial literacy, energy literacy, and energy-related financial literacy. Furthermore, we show that individuals' trust in institutions that are directly involved in the house-retrofitting process is an important predictor for multi-dwelling building energy retrofit decisions.</t>
  </si>
  <si>
    <t>[Asmare, Fissha; Giedraitis, Vincentas; Jaraite, Jurate; Kazukauskas, Andrius] Vilnius Univ, Fac Econ &amp; Business Adm, Sauletekio 9 2rumai, Vilnius, Lithuania</t>
  </si>
  <si>
    <t>Vilnius University</t>
  </si>
  <si>
    <t>Kazukauskas, A (corresponding author), Vilnius Univ, Fac Econ &amp; Business Adm, Sauletekio 9 2rumai, Vilnius, Lithuania.</t>
  </si>
  <si>
    <t>fissha.marye@evaf.vu.lt; vincas.giedraitis@evaf.vu.lt; jurate.jaraite-kazukauske@evaf.vu.lt; andrius.kazukauskas@evaf.vu.lt</t>
  </si>
  <si>
    <t>Marye, Fissha Asmare/0000-0003-0101-8555</t>
  </si>
  <si>
    <t>European Regional Development Fund [01.2.2-LMT-K-718-02-0007]; Research Council of Lithuania (LMTLT)</t>
  </si>
  <si>
    <t>European Regional Development Fund(European Union (EU)); Research Council of Lithuania (LMTLT)(Research Council of Lithuania (LMTLT))</t>
  </si>
  <si>
    <t>This research is funded by the European Regional Development Fund (project No 01.2.2-LMT-K-718-02-0007) under grant agreement with the Research Council of Lithuania (LMTLT). The authors would like to thank two anonymous reviewers, and participants at the 40th International Energy Workshop, 4th Baltic Economics Conference, and 10th Annual Lithuanian Conference on Economic Research for many useful comments that led to the improvement of this study.</t>
  </si>
  <si>
    <t>Alessie R.J., 2011, W17109 NAT BUR EC RE; Algan Y, 2014, HBK ECON, P49, DOI 10.1016/B978-0-444-53538-2.00002-2; Allcott H, 2010, SCIENCE, V327, P1204, DOI 10.1126/science.1180775; [Anonymous], 2018, PERSP EN TRANS ROL E; Balia S, 2008, J HEALTH ECON, V27, P1, DOI 10.1016/j.jhealeco.2007.03.001; Bjornskov C, 2012, SOUTH ECON J, V78, P1346, DOI 10.4284/0038-4038-78.4.1346; Blasch J., 2017, ONLINE SUPPORT TOOLS; Blasch J, 2021, ECON ENERGY ENV POL, V10, P149, DOI 10.5547/2160-5890.10.2.jbla; Blasch J, 2019, RESOUR ENERGY ECON, V56, P39, DOI 10.1016/j.reseneeco.2017.06.001; Blasch J, 2017, ENERG ECON, V68, P89, DOI 10.1016/j.eneco.2017.12.004; Brent DA, 2018, J ENVIRON ECON MANAG, V90, P181, DOI 10.1016/j.jeem.2018.05.004; Broberg T, 2014, INT REV ENVIRON RESO, V8, P225, DOI 10.1561/101.00000070; Brounen D, 2013, ENERG ECON, V38, P42, DOI 10.1016/j.eneco.2013.02.008; Brown P, 2014, ENERG EFFIC, V7, P641, DOI 10.1007/s12053-013-9245-3; Cai H., 2009, W15396 NAT BUR EC RE; Calcagno R, 2014, ECON BULL, V34, P430; Cappellari L, 2003, STATA J, V3, P278, DOI 10.1177/1536867X0300300305; Coller M., 1999, Experimental Economics, V2, P107, DOI 10.1007/BF01673482; DeWaters JE, 2011, ENERG POLICY, V39, P1699, DOI 10.1016/j.enpol.2010.12.049; e J., 2014, BUSTO POLITIKA IRVIS; EC, 2020, SYNTHESIS REPORT; Eckel CC, 2002, EVOL HUM BEHAV, V23, P281, DOI 10.1016/S1090-5138(02)00097-1; Filippini M, 2020, ENVIRON DEV ECON, V25, P399, DOI 10.1017/S1355770X20000078; Fowlie M, 2021, REV ENV ECON POLICY, V15, P238, DOI 10.1086/715606; Government of Lithuania, 2021, GOV LITH LONG TERM R; Grohmann A, 2018, WORLD DEV, V111, P84, DOI 10.1016/j.worlddev.2018.06.020; Guiso L, 2008, J FINANC, V63, P2557, DOI 10.1111/j.1540-6261.2008.01408.x; Guo LL, 2021, J ENVIRON MANAGE, V299, DOI 10.1016/j.jenvman.2021.113621; Gupta S, 2009, J CONSUM MARK, V26, P376, DOI 10.1108/07363760910988201; Hosking G, 2013, SLAVON E EUR REV, V91, P1, DOI 10.5699/slaveasteurorev2.91.1.fm; Kalmi P, 2021, J CONSUM AFF, V55, P1062, DOI 10.1111/joca.12395; Klapper L, 2020, FINANC MANAGE, V49, P589, DOI 10.1111/fima.12283; Le Moglie M, 2015, J ECON BEHAV ORGAN, V117, P453, DOI 10.1016/j.jebo.2015.07.006; Lewbel A, 2012, J BUS ECON STAT, V30, P67, DOI 10.1080/07350015.2012.643126; Lusardi A, 2008, AM ECON REV, V98, P413, DOI 10.1257/aer.98.2.413; Lusardi A, 2014, J ECON LIT, V52, P5, DOI 10.1257/jel.52.1.5; Lusardi A, 2011, J PENSION ECON FINAN, V10, P497, DOI 10.1017/S1474747211000448; Meuser Philipp., 2015, TYPOLOGY SOVIET MASS; Mills B, 2012, ENERG POLICY, V49, P616, DOI 10.1016/j.enpol.2012.07.008; NAOL (National Audit Office of Lithuania), 2020, MULT AP BUILD REN AU; Paiho S., 2013, ENERGY EFFICIENT REN; Pesando LM, 2018, EDUC ECON, V26, P488, DOI 10.1080/09645292.2018.1468872; Qiu YM, 2014, ECOL ECON, V107, P216, DOI 10.1016/j.ecolecon.2014.09.002; Rapoliene G, 2022, EUR J AGEING, V19, P485, DOI 10.1007/s10433-021-00649-z; Risholt B, 2013, ENERG POLICY, V61, P1022, DOI 10.1016/j.enpol.2013.06.011; Schleich J, 2019, ENERG ECON, V80, P377, DOI 10.1016/j.eneco.2018.12.018; Sirvydis V., 2014, RESIDENTIAL ENERGY E; SL, 2020, INCOME LIVING CONDIT; Sonderskov KM, 2011, RATION SOC, V23, P51, DOI 10.1177/1043463110396058; Streimikiene D, 2020, ENERGIES, V13, DOI 10.3390/en13112721; Tabellini G, 2010, J EUR ECON ASSOC, V8, P677; Taber KS, 2018, RES SCI EDUC, V48, P1273, DOI 10.1007/s11165-016-9602-2; Trotta G., 2017, 15 IAEE EUR C; van Rooij M, 2011, J FINANC ECON, V101, P449, DOI 10.1016/j.jfineco.2011.03.006; Wilde J, 2000, ECON LETT, V69, P309, DOI 10.1016/S0165-1765(00)00320-7; Wooldridge JM, 2010, ECONOMETRIC ANALYSIS OF CROSS SECTION AND PANEL DATA, 2ND EDITION, P1</t>
  </si>
  <si>
    <t>10.1016/j.eneco.2023.106583</t>
  </si>
  <si>
    <t>G8ZN5</t>
  </si>
  <si>
    <t>WOS:000991973600001</t>
  </si>
  <si>
    <t>Clifford, KR; Travis, WR</t>
  </si>
  <si>
    <t>Clifford, Katherine R.; Travis, William R.</t>
  </si>
  <si>
    <t>Knowing climate as a social-ecological-atmospheric construct</t>
  </si>
  <si>
    <t>GLOBAL ENVIRONMENTAL CHANGE-HUMAN AND POLICY DIMENSIONS</t>
  </si>
  <si>
    <t>Climate perception; Climate knowledge; Attitudes; Beliefs; Climate literacy; Climate knowledge</t>
  </si>
  <si>
    <t>SCIENCE LITERACY; CHANGE REFLECTIONS; RISK PERCEPTION; KNOWLEDGE; GEOGRAPHIES; SKEPTICISM; PHENOLOGY; PEOPLE</t>
  </si>
  <si>
    <t>Climate perception, broadly construed, can include interpretations of experienced climate, beliefs about how climate works or changes, attitudes about climate issues such as the human role in climate change, and even climate preferences. The recent literature has stressed three main themes: attitudes and beliefs about anthropogenic climate change, climate literacy, and experienced knowledge of climate change. This study focuses on how people come to know climate, not just climate change, in a more fundamental way. To discern the structure of these knowledges we conducted semi-structured interviews of residents of a basin in the U.S. Rocky Mountains whose livelihoods and avocations bring them in routine contact with weather, climate, and landscape. Analysis of their climate knowledge in three categories, features, processes, and benchmarks, and placed in perspective of previous research on climate knowledges, yielded three findings. 1) People often focus on climate-related proxies that might be disregarded as tangential within narrow definitions of climate. 2) People use rubrics to structure climate knowledge, they understand climate as relational and connected. 3) Climate knowledge does not isolate individual climate elements, but accentuates the complex way that many processes together constitute climate. These findings reveal that, for our interviewees, climate is a social-ecological-atmospheric construct This has both theoretical and methodological implications for future research on climate perception and illuminates the challenge of linking perception to effective mitigation and adaptation.</t>
  </si>
  <si>
    <t>[Clifford, Katherine R.; Travis, William R.] Univ Colorado, Western Water Assessment, Campus Box 216, Boulder, CO 80309 USA; [Clifford, Katherine R.; Travis, William R.] Univ Colorado, Dept Geog, UCB 260, Boulder, CO 80309 USA</t>
  </si>
  <si>
    <t>University of Colorado System; University of Colorado Boulder; University of Colorado System; University of Colorado Boulder</t>
  </si>
  <si>
    <t>Clifford, KR (corresponding author), Univ Colorado, Dept Geog, UCB 260, Boulder, CO 80309 USA.</t>
  </si>
  <si>
    <t>Katie.clifford@colorado.edu</t>
  </si>
  <si>
    <t>Clifford, Katherine/0000-0002-1385-8765; Travis, William/0000-0002-9197-1317</t>
  </si>
  <si>
    <t>Western Water Assessment, a project of the University of Colorado's Cooperative Institute for Research in the Environmental Sciences; U.S. National Oceanic and Atmospheric Administration under Climate Program Office [NA10OAR4310214]</t>
  </si>
  <si>
    <t>Western Water Assessment, a project of the University of Colorado's Cooperative Institute for Research in the Environmental Sciences; U.S. National Oceanic and Atmospheric Administration under Climate Program Office</t>
  </si>
  <si>
    <t>We would like to thank the many residents of Gunnison, Colorado who participated in interviews. We are grateful to Sara Fall and three anonymous reviewers whose comments and feedback improved this paper. Ami Nacu-Schmidt produced the map. Research was supported by the Western Water Assessment, a project of the University of Colorado's Cooperative Institute for Research in the Environmental Sciences, funded by the U.S. National Oceanic and Atmospheric Administration under Climate Program Office grant #NA10OAR4310214.</t>
  </si>
  <si>
    <t>[Anonymous], 2001, RES EVAL; [Anonymous], RED VS BLUE POLITICA; Arbuckle JG, 2013, CLIMATIC CHANGE, V118, P551, DOI 10.1007/s10584-013-0700-0; Bazeley P., 2013, QUALITATIVE DATA ANA, DOI DOI 10.1080/02607476.2013.866724; Borick C. P., 2010, PEOPLE; Brace C, 2011, PROG HUM GEOG, V35, P284, DOI 10.1177/0309132510376259; Brody SD, 2008, ENVIRON BEHAV, V40, P72, DOI 10.1177/0013916506298800; Capstick SB, 2014, GLOBAL ENVIRON CHANG, V24, P389, DOI 10.1016/j.gloenvcha.2013.08.012; Climate Literacy, 2009, CLIM LIT ESS PRINC C; Connor LH, 2013, GLOBAL ENVIRON CHANG, V23, P1852, DOI 10.1016/j.gloenvcha.2013.07.002; Crabbé P, 2006, CLIMATIC CHANGE, V78, P103, DOI 10.1007/s10584-006-9087-5; Dunlap RE, 2008, ENVIRONMENT, V50, P26, DOI 10.3200/ENVT.50.5.26-35; Dupigny-Giroux LAL, 2010, GEOGR COMPASS, V4, P1203, DOI 10.1111/j.1749-8198.2010.00368.x; Dupigny-Giroux LAL, 2008, PHYS GEOGR, V29, P483, DOI 10.2747/0272-3646.29.6.483; Endfield G, 2012, CLIMATIC CHANGE, V113, P1, DOI 10.1007/s10584-012-0416-6; Funk C., 2016, The politics of climate; Geoghegan H, 2012, CLIMATIC CHANGE, V113, P55, DOI 10.1007/s10584-012-0417-5; Goldman MJ, 2016, AREA, V48, P27, DOI 10.1111/area.12212; Gosnell H, 2011, GEOJOURNAL, V76, P303, DOI 10.1007/s10708-009-9295-4; Harrington J, 2008, PHYS GEOGR, V29, P575, DOI 10.2747/0272-3646.29.6.575; Harris R., 2011, NATL PUBLIC RADIO; Hulme M, 2009, WHY WE DISAGREE ABOUT CLIMATE CHANGE: UNDERSTANDING CONTROVERSY, INACTION AND OPPORTUNITY, P1; Hulme Mike., 2017, WEATHERED CULTURES C, DOI 10.4135/9781473957749; Inouye DW, 2008, ECOLOGY, V89, P353, DOI 10.1890/06-2128.1; Israel AndreiL. Carolyn Sachs., 2013, RES ACTION POLICY AD, P33, DOI DOI 10.1007/978-94-007-5518-5_3; Jurt C, 2015, CLIMATIC CHANGE, V133, P511, DOI 10.1007/s10584-015-1529-5; Kahan DM, 2012, NAT CLIM CHANGE, V2, P732, DOI 10.1038/NCLIMATE1547; Kaufmann RK, 2017, P NATL ACAD SCI USA, V114, P67, DOI 10.1073/pnas.1607032113; Knapp C. N., 2013, THESIS U ALASKA; Knapp Corrine., 2011, CONNECTED LAND SOCIA; Kohl E, 2016, WEATHER CLIM SOC, V8, P373, DOI 10.1175/WCAS-D-15-0062.1; Leiserowitz A, 2006, CLIMATIC CHANGE, V77, P45, DOI 10.1007/s10584-006-9059-9; Leiserowitz AnthonyEdward Maibach., 2017, Climate Change in the American Mind: May 2017; Lejano RP, 2013, ENVIRON SCI POLICY, V31, P61, DOI 10.1016/j.envsci.2013.02.009; Leyshon C, 2014, CONTEMP SOC SCI, V9, P359, DOI 10.1080/21582041.2014.974890; Lorenzoni I, 2006, J RISK RES, V9, P265, DOI 10.1080/13669870600613658; Mahony M., 2016, PROG HUM GEOGR; Marin A, 2013, WIRES CLIM CHANGE, V4, P1, DOI 10.1002/wcc.199; Miller-Rushing AJ, 2010, PHILOS T R SOC B, V365, P3177, DOI 10.1098/rstb.2010.0148; Neely B., 2011, Gunnison Basin Climate Change Vulnerability Assessment; Neff JC, 2008, NAT GEOSCI, V1, P189, DOI 10.1038/ngeo133; Nielsen JO, 2014, GLOBAL ENVIRON CHANG, V24, P402, DOI 10.1016/j.gloenvcha.2013.10.006; Niepold F., 2007, 5 INT S DIG EARTH; Painter TH, 2010, P NATL ACAD SCI USA, V107, P17125, DOI 10.1073/pnas.0913139107; Poortinga W, 2011, GLOBAL ENVIRON CHANG, V21, P1015, DOI 10.1016/j.gloenvcha.2011.03.001; Popke J, 2016, AREA, V48, P2, DOI 10.1111/area.12220; Pugliese A., 2011, GALLUP; Reynolds TW, 2010, RISK ANAL, V30, P1520, DOI 10.1111/j.1539-6924.2010.01448.x; Rice JL, 2015, ANN ASSOC AM GEOGR, V105, P253, DOI 10.1080/00045608.2014.985628; Rudiak-Gould P, 2013, WEATHER CLIM SOC, V5, P120, DOI 10.1175/WCAS-D-12-00034.1; Rudiak-Gould P, 2012, GLOBAL ENVIRON CHANG, V22, P46, DOI 10.1016/j.gloenvcha.2011.09.011; Safi AS, 2012, RISK ANAL, V32, P1041, DOI 10.1111/j.1539-6924.2012.01836.x; Solli J., 2014, Nordic J Sci Technol Stud, V2, P18, DOI [10.5324/njsts.v2i2.2151, DOI 10.5324/NJSTS.V2I2.2151]; Spence A, 2011, NAT CLIM CHANGE, V1, P46, DOI [10.1038/NCLIMATE1059, 10.1038/nclimate1059]; Sundblad EL, 2007, J ENVIRON PSYCHOL, V27, P97, DOI 10.1016/j.jenvp.2007.01.003; Thomson JD, 2010, PHILOS T R SOC B, V365, P3187, DOI 10.1098/rstb.2010.0115; Whitmarsh L, 2008, J RISK RES, V11, P351, DOI 10.1080/13669870701552235</t>
  </si>
  <si>
    <t>0959-3780</t>
  </si>
  <si>
    <t>1872-9495</t>
  </si>
  <si>
    <t>GLOBAL ENVIRON CHANG</t>
  </si>
  <si>
    <t>Glob. Environ. Change-Human Policy Dimens.</t>
  </si>
  <si>
    <t>10.1016/j.gloenvcha.2017.12.007</t>
  </si>
  <si>
    <t>Environmental Sciences; Environmental Studies; Geography</t>
  </si>
  <si>
    <t>Environmental Sciences &amp; Ecology; Geography</t>
  </si>
  <si>
    <t>GC1AN</t>
  </si>
  <si>
    <t>WOS:000429509100001</t>
  </si>
  <si>
    <t>Zheng, YX; Wang, JY; Tsai, SB; Li, GD; Wang, JT; Zhou, J</t>
  </si>
  <si>
    <t>Zheng, Yuxiang; Wang, Jiaying; Tsai, Sang-Bing; Li, Guodong; Wang, Jiangtao; Zhou, Jie</t>
  </si>
  <si>
    <t>Research on Customer Satisfaction in Marine Cultural and Sustainable Tourism-A Case Study of Shanghai</t>
  </si>
  <si>
    <t>marine cultural tourism; customer satisfaction; sustainable development; green tourism; sustainable tourism</t>
  </si>
  <si>
    <t>COMPREHENSIVE SURVEY; EMPIRICAL-RESEARCH; SELF-EFFICACY; PERFORMANCE; AUDITORS; QUALITY; CHINA; MODEL</t>
  </si>
  <si>
    <t>In recent years, marine cultural tourism, an emerging tourism mode, has become more and more popular among tourists, and demonstrates broad market prospects. However, Chinese marine cultural tourism is still in the development and growth stage, and the level of customer satisfaction is uneven. The improvement of the customer satisfaction level is conducive to meeting customers' demands in marine cultural tourism and enhancing the competitiveness of Chinese marine cultural tourism. Based on theoretical research and the practical situation of marine cultural tourism, this paper implements empirical investigation and research into customer satisfaction in marine cultural tourism in Shanghai, China. According to the research results, it proposes improving the level of customer satisfaction in Chinese marine cultural tourism from the perspectives of ocean culture tourism promotion, customer satisfaction evaluation, service level management and environment construction of scenic spots, tourism branding and the marine cultural accomplishments of tourists, so as to promote the sustainable development of marine cultural tourism.</t>
  </si>
  <si>
    <t>[Zheng, Yuxiang; Wang, Jiaying] Shanghai Maritime Univ, Sch Econ &amp; Management, Shanghai 201306, Peoples R China; [Tsai, Sang-Bing; Wang, Jiangtao] Univ Elect Sci &amp; Technol China, Zhongshan Inst, Zhongshan 528400, Peoples R China; [Tsai, Sang-Bing; Li, Guodong] Civil Aviat Univ China, Econ &amp; Management Coll, Tianjin 300300, Peoples R China; [Tsai, Sang-Bing] Nankai Univ, Law Sch, Tianjin 300071, Peoples R China; [Zhou, Jie] Nankai Univ, Coll Tourism &amp; Serv Management, Tianjin 300071, Peoples R China</t>
  </si>
  <si>
    <t>Shanghai Maritime University; University of Electronic Science &amp; Technology of China; Civil Aviation University of China; Nankai University; Nankai University</t>
  </si>
  <si>
    <t>Tsai, SB; Wang, JT (corresponding author), Univ Elect Sci &amp; Technol China, Zhongshan Inst, Zhongshan 528400, Peoples R China.;Tsai, SB; Li, GD (corresponding author), Civil Aviat Univ China, Econ &amp; Management Coll, Tianjin 300300, Peoples R China.;Tsai, SB (corresponding author), Nankai Univ, Law Sch, Tianjin 300071, Peoples R China.;Zhou, J (corresponding author), Nankai Univ, Coll Tourism &amp; Serv Management, Tianjin 300071, Peoples R China.</t>
  </si>
  <si>
    <t>yxzheng@shmtu.edu.cn; 201210731007@stu.shmtu.edu.cn; sangbing@hotmail.com; gdli@cauc.edu.cn; jiangtao-w@foxmail.com; zhoujie_1980@126.com</t>
  </si>
  <si>
    <t>Tsai, Sang-Bing/C-2978-2014; zheng, yuan/JCN-7781-2023</t>
  </si>
  <si>
    <t>Tsai, Sang-Bing/0000-0001-6988-5829;</t>
  </si>
  <si>
    <t>National Natural Science Foundation of China [12BYJ125]; Provincial Nature Science Foundation of Guangdong [2015A030310271, 2015A030313679]; Tianjin philosophy and social science planning project [TJGL-028]; Social Science Foundation of Tianjin [TJGL16-005]</t>
  </si>
  <si>
    <t>National Natural Science Foundation of China(National Natural Science Foundation of China (NSFC)); Provincial Nature Science Foundation of Guangdong(National Natural Science Foundation of Guangdong Province); Tianjin philosophy and social science planning project; Social Science Foundation of Tianjin</t>
  </si>
  <si>
    <t>This paper was supported by the National Natural Science Foundation of China (grant No. 12BYJ125); Provincial Nature Science Foundation of Guangdong (No. 2015A030310271 and 2015A030313679); Tianjin philosophy and social science planning project (No. TJGL-028); The Social Science Foundation of Tianjin (No. TJGL16-005).</t>
  </si>
  <si>
    <t>[Anonymous], 1978, ANN TOURISM RES, DOI DOI 10.1016/0160-7383(78)90115-9; Bigné JE, 2003, ANN TOURISM RES, V30, P258, DOI 10.1016/S0160-7383(01)00090-1; CARDOZO RN, 1965, J MARKETING RES, V2, P244, DOI 10.2307/3150182; Chen HM, 2016, SPRINGERPLUS, V5, DOI 10.1186/s40064-016-3746-4; Dong G., 2005, Tourism Tribune, P27; Dong Z. W., 2004, TRUTH SEEK, V4, P222; Ge BS, 2016, SUSTAINABILITY-BASEL, V8, DOI 10.3390/su8121344; Han Z. Q., 2007, BORD ECON CULT, V8, P10; Lee SC, 2016, SPRINGERPLUS, V5, DOI 10.1186/s40064-016-2903-0; Lee YC, 2016, SPRINGERPLUS, V5, DOI 10.1186/s40064-016-3208-z; Lee YC, 2016, SPRINGERPLUS, V5, DOI 10.1186/s40064-016-2823-z; Lee YC, 2016, ADV MECH ENG, V8, DOI 10.1177/1687814016641011; Liu Y., 2012, SHANDONG SOC SCI, V5, P73; [刘玉梅 Liu Yumei], 2013, [中国农学通报, Chinese Agricultural Science Bulletin], V29, P216; Qu QZ, 2016, SUSTAINABILITY-BASEL, V8, DOI 10.3390/su8121267; Qu QZ, 2015, MATH PROBL ENG, V2015, DOI 10.1155/2015/361275; Su JM, 2016, SPRINGERPLUS, V5, DOI 10.1186/s40064-016-2104-x; Su Y. J., 2007, FISH EC RES, V1, P26; Tsai SB, 2016, PLOS ONE, V11, DOI 10.1371/journal.pone.0167710; Tsai SB, 2016, SPRINGERPLUS, V5, DOI 10.1186/s40064-016-3774-0; Tsai SB, 2016, ENVIRON PLANN B, V43, P941, DOI 10.1177/0265813515600897; Tsai SB, 2016, CLEAN TECHNOL ENVIR, V18, P563, DOI 10.1007/s10098-015-1017-7; Tsai SB, 2016, RENEW SUSTAIN ENERGY; Wang JT, 2016, SPRINGERPLUS, V5, DOI 10.1186/s40064-016-2702-7; Wang JT, 2016, MOB INF SYST, V2016, DOI 10.1155/2016/8269474; Xu Z. C., 2013, OCEAN DEV MANAG, V6, P105; Zhang XG, 2013, INT J PROD RES, V51, P5100, DOI 10.1080/00207543.2013.793425; Zhang Y., 2010, J ASTM INT, V7, P1, DOI DOI 10.1142/S1793005711001871; Zhou J, 2016, IEEE T SYST MAN CYBE</t>
  </si>
  <si>
    <t>10.3390/su9060921</t>
  </si>
  <si>
    <t>EY6ZF</t>
  </si>
  <si>
    <t>WOS:000404133200052</t>
  </si>
  <si>
    <t>Zielinski, T; Bolzacchini, E; Evans, K; Ferrero, L; Gregorczyk, K; Kijewski, T; Kotynska-Zielinska, I; Mrowiec, P; Oleszczuk, B; Pakszys, P; Piechowska, E; Piwowarczyk, J; Sobieszczanski, J; Wichorowski, M</t>
  </si>
  <si>
    <t>Zielinski, Tymon; Bolzacchini, Ezio; Evans, Karen; Ferrero, Luca; Gregorczyk, Klaudia; Kijewski, Tomasz; Kotynska-Zielinska, Izabela; Mrowiec, Patrycja; Oleszczuk, Barbara; Pakszys, Paulina; Piechowska, Ewa; Piwowarczyk, Joanna; Sobieszczanski, Jan; Wichorowski, Marcin</t>
  </si>
  <si>
    <t>Abundance of Environmental Data vs. Low Public Interest in Climate and Ocean Issues. Where Is the Missing Link?</t>
  </si>
  <si>
    <t>climate and ocean change; climate adaptation and mitigation; environmental data and observations; integrated knowledge sharing; climate and ocean literacy</t>
  </si>
  <si>
    <t>EXPERIENCES; CONFIDENCE; KNOWLEDGE</t>
  </si>
  <si>
    <t>Climate change and associated modification of the ocean is a fact, however, it seems to be the most undervalued and little understood pandemic challenge of this century. We live in a world where environmental data is increasingly being amassed and models are generating finer scale and increasingly dense numbers of outputs, resulting in the production of high level scientific information on climate and ocean. However, the knowledge generated is often inaccessible, incomprehensible and misunderstood by society. Given that society has access to many levels of information through various forms of media, how do we better share this knowledge, and improve understanding of how society is impacting their immediate and remote surroundings and what behavioral changes are needed for reducing those impacts? In this paper, we assess the level of environmental and ocean awareness among young learners. We argue that, despite the wide range of environmental data available and a common use of a broad range of media, this group is not aware of or interested in climate related issues. This paper highlights the challenges in bringing researchers, data managers and educators together to provide consistent, up-to-date messages that can appeal to and can be understood by modern societies. It also highlights insufficiencies in environmental school education, including those concerning the uncertainty concept, which is a fundamental part of any scientific process. In identifying these challenges, we propose a pathway for improving societal knowledge on climate and ocean changes that takes advantage of the technological abilities for environmental data collection, storage and processing, global and regional research, as well as good practices in ocean literacy and climate and ocean education.</t>
  </si>
  <si>
    <t>[Zielinski, Tymon; Gregorczyk, Klaudia; Kijewski, Tomasz; Oleszczuk, Barbara; Pakszys, Paulina; Piechowska, Ewa; Piwowarczyk, Joanna; Wichorowski, Marcin] Polish Acad Sci, Inst Oceanol, Sopot, Poland; [Bolzacchini, Ezio; Ferrero, Luca] Univ Milano Bicocca, Dept Earth &amp; Environm Sci, GEMMA &amp; POLARIS Res Ctr, Milan, Italy; [Evans, Karen] CSIRO, Canberra, NSW, Australia; [Kotynska-Zielinska, Izabela] Today We Have, Sopot, Poland; [Mrowiec, Patrycja; Sobieszczanski, Jan] Storware, Warsaw, Poland</t>
  </si>
  <si>
    <t>Polish Academy of Sciences; Institute of Oceanology of the Polish Academy of Sciences; University of Milano-Bicocca; Commonwealth Scientific &amp; Industrial Research Organisation (CSIRO)</t>
  </si>
  <si>
    <t>Zielinski, T (corresponding author), Polish Acad Sci, Inst Oceanol, Sopot, Poland.;Mrowiec, P (corresponding author), Storware, Warsaw, Poland.</t>
  </si>
  <si>
    <t>tymon@iopan.pl; p.mrowiec@storware.eu</t>
  </si>
  <si>
    <t>Pakszys, Paulina/V-5150-2017</t>
  </si>
  <si>
    <t>Pakszys, Paulina/0000-0001-6098-8215; Wichorowski, Marcin/0000-0002-1498-9492; Kotynska-Zielinska, Izabela/0000-0002-7099-8692; Piwowarczyk, Joanna/0000-0001-6864-5073; Zielinski, Tymon/0000-0003-4712-8899; Kijewski, Tomasz/0000-0002-3643-9483</t>
  </si>
  <si>
    <t>[Anonymous], 2014, MILL DEV GOALS REP 2; Bawden D, 2009, J INF SCI, V35, P180, DOI 10.1177/0165551508095781; Beck S, 2011, REG ENVIRON CHANGE, V11, P297, DOI 10.1007/s10113-010-0136-2; Cambridge International Examinations 2015, 2017, CAMBR INT AS A LEV I; Cinner JE, 2016, NATURE, V535, P416, DOI 10.1038/nature18607; Donert K., 2018, HDB RES ED DESIGN CL; Evans K, 2019, FRONT MAR SCI, V6, DOI 10.3389/fmars.2019.00298; Fauville G, 2018, MAR POLICY, V91, P85, DOI 10.1016/j.marpol.2018.01.034; Ferrero L, 2015, INT J ENVIRON SCI TE, V12, P2777, DOI 10.1007/s13762-014-0680-2; Ferrero L, 2013, ENVIRON SCI TECHNOL, V47, P3856, DOI 10.1021/es304790f; Field CB, 2014, CLIMATE CHANGE 2014: IMPACTS, ADAPTATION, AND VULNERABILITY, PT A: GLOBAL AND SECTORAL ASPECTS, P1; Fischer H, 2019, NAT CLIM CHANGE, V9, P776, DOI 10.1038/s41558-019-0563-0; Gaines SD, 2018, SCI ADV, V4, DOI 10.1126/sciadv.aao1378; González RD, 2019, KEY CHAL GEOGR, P1, DOI 10.1007/978-3-030-04750-4_1; Gordon Foundation, 2015, RETH TOP WORLD ARCT, DOI [10.1126/sciadv.aao1378, DOI 10.1126/SCIADV.AAO1378]; Heddy BC, 2017, SCI EDUC, V101, P765, DOI 10.1002/sce.21292; HEDLUND G, 1994, STRATEGIC MANAGE J, V15, P73; Holliman R., 2009, Investigating science communication in the information age: Implications for public engagement and popular media, P35; Hulme M, 2010, PROG PHYS GEOG, V34, P705, DOI 10.1177/0309133310373719; Jensen EA, 2020, FRONT COMMUN, V4, DOI 10.3389/fcomm.2019.00078; Kahila J, 2020, GAMES CULT, V15, P685, DOI 10.1177/1555412019845592; Kollmuss A., 2002, ENVIRON EDUC RES, V8, P239, DOI [10.1080/13504620220145401, DOI 10.1080/13504620220145401]; Kopke K, 2019, FRONT MAR SCI, V6, DOI 10.3389/fmars.2019.00060; Kotynska-Zielinska I, 2020, OCEANOLOGIA, V62, P576, DOI 10.1016/j.oceano.2020.03.006; McCauley V, 2019, ENVIRON EDUC RES, V25, P280, DOI 10.1080/13504622.2018.1553234; McKinley E, 2012, MAR POLICY, V36, P839, DOI 10.1016/j.marpol.2011.11.001; Orr E., 2019, SESS REPORT 2018 SVA; Patterson J, 2017, ENVIRON INNOV SOC TR, V24, P1, DOI 10.1016/j.eist.2016.09.001; Pendleton L, 2020, P NATL ACAD SCI USA, V117, P9652, DOI 10.1073/pnas.2005485117; Peters MA, 2020, EDUC PHILOS THEORY, V52, P1, DOI 10.1080/00131857.2019.1593033; Report of the World Summit on Sustainable Development, 2002, WORLD SUMM SUST DEV; Rubio-Iglesias JM, 2020, FRONT CLIM, V2, DOI 10.3389/fclim.2020.600998; Serban A., 2002, OVERVIEW KNOWLEDGE M; Sibbel A., 2009, International Journal of Sustainability in Higher Education, V10, P68, DOI [10.1108/14676370910925262, DOI 10.1108/14676370910925262]; Stoll-Kleemann S, 2019, FRONT MAR SCI, V6, DOI 10.3389/fmars.2019.00273; Sundblad EL, 2009, ENVIRON BEHAV, V41, P281, DOI 10.1177/0013916508314998; Terorotua H, 2020, FRONT MAR SCI, V7, DOI 10.3389/fmars.2020.00160; UN, 2017, FIRST GLOBAL INTEGRA; UN, 2017, 1 GLOB INT MAR ASS O; United Nations, 2019, PROGR PERF REP 2018; United Nations, 2018, REV ROADM UN DEC OC; Van den Heuvel F., 2020, SESS REPORT 2019 SVA; Vedder-Weiss D, 2011, J RES SCI TEACH, V48, P199, DOI 10.1002/tea.20398; Williamson P, 2016, NATURE, V540, P171, DOI 10.1038/540171a; Wisz MS, 2020, FRONT MAR SCI, V7, DOI 10.3389/fmars.2020.00576; Zins C, 2007, J AM SOC INF SCI TEC, V58, P479, DOI 10.1002/asi.20508; Zusho A, 2003, INT J SCI EDUC, V25, P1081, DOI 10.1080/0950069032000052207</t>
  </si>
  <si>
    <t>FEB 22</t>
  </si>
  <si>
    <t>10.3389/fmars.2021.619638</t>
  </si>
  <si>
    <t>QR2ZZ</t>
  </si>
  <si>
    <t>WOS:000625083900001</t>
  </si>
  <si>
    <t>Wahyudi, W; Pambudi, NA; Biddinika, MK; Ranto, R; Rudiyanto, B</t>
  </si>
  <si>
    <t>Abdullah, AG; Nandiyanto, ABD; Widiaty, I; Danuwijaya, AA; Abdullah, CU</t>
  </si>
  <si>
    <t>Wahyudi, W.; Pambudi, N. A.; Biddinika, M. K.; Ranto, R.; Rudiyanto, B.</t>
  </si>
  <si>
    <t>Readability of geothermal energy information in vocational textbooks</t>
  </si>
  <si>
    <t>4TH ANNUAL APPLIED SCIENCE AND ENGINEERING CONFERENCE, 2019</t>
  </si>
  <si>
    <t>4th Annual Applied Science and Engineering Conference (AASEC)</t>
  </si>
  <si>
    <t>APR 24, 2019</t>
  </si>
  <si>
    <t>Univ Pendidikan Indonesia, Sch Postgraduate Studies, Tech &amp; Vocat Educ St, Bali, INDONESIA</t>
  </si>
  <si>
    <t>Univ Pendidikan Indonesia, Sch Postgraduate Studies, Tech &amp; Vocat Educ St</t>
  </si>
  <si>
    <t>The development of renewable energy in a country is influenced by public understanding by its people and this understanding is influenced by public literacy. To improve this, effort is needed to increase the level public literacy by improving readability. We study the readability of geothermal energy in vocational high school textbooks written in Indonesian. This is conducted because it is considered to have an effect on the low utilization ratio in the country. This readability research uses survey methods with population is student in vocational high school. Text material is read by the respondent and they are asked to give the impression whether the text is easy or difficult to understand. From this study, the factors that influence the ability to understand text information are displayed. The purpose of this study is to improve geothermal energy literacy, there for the application and development of this energy increase in the future.</t>
  </si>
  <si>
    <t>[Wahyudi, W.; Pambudi, N. A.; Ranto, R.] Univ Sebelas Maret, Dept Mech Engn Educ, Jl Ir Sutami 36A, Surakarta, Indonesia; [Biddinika, M. K.] Tokyo Inst Technol, Sch Environm &amp; Soc, Meguro Ku, 2 Chome 12-1 Ookayama, Tokyo 1528550, Japan; [Rudiyanto, B.] Jember State Polytech, Renewable Energy Dept, Jember 68121, Indonesia</t>
  </si>
  <si>
    <t>Sebelas Maret University; Tokyo Institute of Technology</t>
  </si>
  <si>
    <t>Pambudi, NA (corresponding author), Univ Sebelas Maret, Dept Mech Engn Educ, Jl Ir Sutami 36A, Surakarta, Indonesia.</t>
  </si>
  <si>
    <t>agung.pambudi@staff.uns.ac.id</t>
  </si>
  <si>
    <t>Wahyudi, Wahyudi/KVB-2401-2024; Rudiyanto, Bayu/ABS-6553-2022; Biddinika, Muhammad Kunta/B-9000-2016; Rudiyanto, Bayu/AGS-0375-2022; pambudi, agung/AAD-1580-2020</t>
  </si>
  <si>
    <t>Biddinika, Muhammad Kunta/0000-0003-4104-3755; Rudiyanto, Bayu/0000-0002-4708-629X; pambudi, agung/0000-0001-9496-3710</t>
  </si>
  <si>
    <t>research activities entitled Capacity Building of Geothermal Power Plants Using Exergy Analysis to Support Government Policies in the Development of 35 Thousand MW Power Plants PNBP [516/UN27.21/PP/2019]</t>
  </si>
  <si>
    <t>research activities entitled Capacity Building of Geothermal Power Plants Using Exergy Analysis to Support Government Policies in the Development of 35 Thousand MW Power Plants PNBP</t>
  </si>
  <si>
    <t>This article has been funded from the research activities entitled Capacity Building of Geothermal Power Plants Using Exergy Analysis to Support Government Policies in the Development of 35 Thousand MW Power Plants according to research contract No. 516/UN27.21/PP/2019 (Featured Research Grants) PNBP funding sources for budget year 2019.</t>
  </si>
  <si>
    <t>Biddinika M. K., 2017, J MAT CYCLES WASTE M; Ditjen EBTKE, 2019, STAT EN BAR DAN TERB; Hasan MH, 2012, RENEW SUST ENERG REV, V16, P2316, DOI 10.1016/j.rser.2011.12.007; Kementerian ESDM, 2018, SEBARAN PEMBANGKIT L; Luthra S, 2015, RENEW SUST ENERG REV, V41, P762, DOI 10.1016/j.rser.2014.08.077; Moriarty P., 2019, 6 GLOBAL RENEWABLE E; Ojha P.K., 2018, J KING SAUD U COMPUT; Pambudi N. A., 2017, RENEW SUST ENERG REV, P1; Rypkema H. A., 2018, POLICY GREEN CHEM; Wefelmeyer E, 2017, PROCEDIA COMPUT SCI, V118, P95, DOI 10.1016/j.procs.2017.11.149</t>
  </si>
  <si>
    <t>10.1088/1742-6596/1402/4/044060</t>
  </si>
  <si>
    <t>Engineering, Multidisciplinary; Multidisciplinary Sciences; Physics, Multidisciplinary</t>
  </si>
  <si>
    <t>Engineering; Science &amp; Technology - Other Topics; Physics</t>
  </si>
  <si>
    <t>BP3KA</t>
  </si>
  <si>
    <t>WOS:000547736102020</t>
  </si>
  <si>
    <t>Salazar, J; Dominguez-Carrió, C; Gili, JM; Ambroso, S; Grinyó, J; Vendrell-Simón, B</t>
  </si>
  <si>
    <t>Salazar, Janire; Dominguez-Carrio, Carlos; Gili, Josep-Maria; Ambroso, Stefano; Grinyo, Jordi; Vendrell-Simon, Begona</t>
  </si>
  <si>
    <t>Building a New Ocean Literacy Approach Based on a Simulated Dive in a Submarine: A Multisensory Workshop to Bring the Deep Sea Closer to People</t>
  </si>
  <si>
    <t>submarine dive; ocean literacy; deep sea; marine ecosystems; environmental education</t>
  </si>
  <si>
    <t>The deep sea is considered the largest environment on Earth, providing multiple ecosystem services to human societies. Although its relevance has long been recognized, not enough attention and interest is generally given to it by society, and its study is almost non-existent in formal and informal education. Getting the deep sea closer to the general public would considerably benefit from the commitment of scientists involved in deep-sea research, who could generate effective educational tools based on their own personal experiences in research projects. Here we report the development of an immersive workshop that displays video footage and sounds recorded during scientific dives inside a replica of a submarine. The workshop recreates with as much detail as possible the experience of researchers when exploring the deep sea using modern technologies, in this case a manned submersible. The workshop is conducted by scientists from the same research team which carried out the study, aiming to transmit their expertise and personal experience to participants. The workshop is complemented with additional spaces that allow the exchange of knowledge and ideas between scientists and the general public. It also shows other, more intrusive, sampling methodologies traditionally used to prospect and study the deep sea, putting them in contrast with modern techniques, more respectful with the environment. Since its first exhibition in 2010, the workshop has been displayed at over 50 events held in different locations around Spain, including educational fairs, museums, schools and fishermen associations. Over 6,000 participants have taken part in the activity, most of which have expressed their opinions and suggestions about the workshop by voluntarily filling a specific survey, and thus helping to improve it. They also stated which aspects of the deep-sea life were unknown to them. Thanks to its versatility and to its simple operation, this educational workshop opens a wide range of possibilities to significantly improve the current knowledge on marine life (and deep-sea ecosystems in particular) by the general public, also aiming to reduce the distance between academia and citizenship.</t>
  </si>
  <si>
    <t>[Salazar, Janire; Dominguez-Carrio, Carlos; Gili, Josep-Maria; Ambroso, Stefano; Grinyo, Jordi; Vendrell-Simon, Begona] CSIC, ICM, Barcelona, Spain; [Grinyo, Jordi] Sorbonne Univ, Lab Ecogeochim Environm Benth, LECOB, Banyuls Sur Mer, France</t>
  </si>
  <si>
    <t>Consejo Superior de Investigaciones Cientificas (CSIC); CSIC - Centro Mediterraneo de Investigaciones Marinas y Ambientales (CMIMA); CSIC - Instituto de Ciencias del Mar (ICM); Sorbonne Universite</t>
  </si>
  <si>
    <t>Salazar, J (corresponding author), CSIC, ICM, Barcelona, Spain.</t>
  </si>
  <si>
    <t>Grinyó, Jordi/Q-8098-2018; Ambroso, Stefano/IUP-6817-2023; Dominguez-Carrió, Carlos/K-5723-2017; Salazar, Janire/ABE-3525-2022</t>
  </si>
  <si>
    <t>Grinyó, Jordi/0000-0001-8425-1349; Dominguez-Carrió, Carlos/0000-0002-0025-9376; Salazar, Janire/0000-0003-3418-8761</t>
  </si>
  <si>
    <t>LIFE+ INDEMARES project [LIFE 07/NAT/E/00732]; CSIC Open Access Publication Support Initiative through its Unit of Information Resources for Research (URICI)</t>
  </si>
  <si>
    <t>LIFE+ INDEMARES project; CSIC Open Access Publication Support Initiative through its Unit of Information Resources for Research (URICI)</t>
  </si>
  <si>
    <t>.The materials required to develop the workshop, including the wooden replica and most of its accessories, were funded by the LIFE+ INDEMARES project (LIFE 07/NAT/E/00732). The costs of executing the workshop were provided by the project El Mar a Fons, a joint venture between the Institute of Marine Sciences (ICM-CSIC) and Obra Social La Caixa. We acknowledge support of the publication fee by the CSIC Open Access Publication Support Initiative through its Unit of Information Resources for Research (URICI).</t>
  </si>
  <si>
    <t>[Anonymous], 2014, THESIS; [Anonymous], 2014, Real Decreto 126/2014, de 28 de febrero, por el que se curriculo basico de la Educacion Primaria. Boletin Oficial del Estado,; [Anonymous], THESIS; Armstrong C., 2010, ECOSYSTEM GOODS SERV; Bauman Z., 2011, Liquid Modernity; Bettinger EP, 2005, AM ECON REV, V95, P152, DOI 10.1257/000282805774670149; Clark MR, 2016, ICES J MAR SCI, V73, P51, DOI 10.1093/icesjms/fsv123; Connolly K, 2014, FRONT PSYCHOL, V5, DOI 10.3389/fpsyg.2014.01095; Copejans E, 2012, J MARINE ED, V28, P43; Dominguez-Carrio C., 2018, THESIS; Fauville G, 2017, INT J SCI EDUC, V39, P2151, DOI 10.1080/09500693.2017.1365184; FEINSINGER P, 1987, TRENDS ECOL EVOL, V2, P51, DOI 10.1016/0169-5347(87)90100-5; Gough A, 2017, MAR POLLUT BULL, V124, P633, DOI 10.1016/j.marpolbul.2017.06.069; Harmon L.K., 2009, Children, Youth and Environments, V19, P125; HOGSTEL MO, 1987, NURS OUTLOOK, V35, P89; Jobstvogt N, 2014, ECOL ECON, V97, P10, DOI 10.1016/j.ecolecon.2013.10.019; Koch G. von, 1887, FAUNA FLORA GOLFES N, V15; Levin LA, 2015, SCIENCE, V350, P766, DOI 10.1126/science.aad0126; Lück M, 2003, OCEAN COAST MANAGE, V46, P943, DOI 10.1016/S0964-5691(03)00071-1; Mengerink KJ, 2014, SCIENCE, V344, P696, DOI 10.1126/science.1251458; Ocean Literacy Network, 2013, OC LIT ESS PRINC FUN; Ramirez-Llodra E, 2010, BIOGEOSCIENCES, V7, P2851, DOI 10.5194/bg-7-2851-2010; Savignon S. J., 2018, COMMUNICATIVE COMPET; Smith C. R., 2008, AQUATIC ECOSYSTEMS T; Thistle D., 2003, ECOSYSTEMDEEP OCEA; Winn W, 2006, J RES SCI TEACH, V43, P25, DOI 10.1002/tea.20097</t>
  </si>
  <si>
    <t>10.3389/fmars.2019.00576</t>
  </si>
  <si>
    <t>IX5VV</t>
  </si>
  <si>
    <t>WOS:000485752600001</t>
  </si>
  <si>
    <t>Raimi, KT; Stern, PC; Maki, A</t>
  </si>
  <si>
    <t>Raimi, Kaitlin T.; Stern, Paul C.; Maki, Alexander</t>
  </si>
  <si>
    <t>The Promise and Limitations of Using Analogies to Improve Decision-Relevant Understanding of Climate Change</t>
  </si>
  <si>
    <t>FRAMEWORK; MODELS; BELIEF</t>
  </si>
  <si>
    <t>To make informed choices about how to address climate change, members of the public must develop ways to consider established facts of climate science and the uncertainties about its future trajectories, in addition to the risks attendant to various responses, including non-response, to climate change. One method suggested for educating the public about these issues is the use of simple mental models, or analogies comparing climate change to familiar domains such as medical decision making, disaster preparedness, or courtroom trials. Two studies were conducted using online participants in the U.S.A. to test the use of analogies to highlight seven key decision-relevant elements of climate change, including uncertainties about when and where serious damage may occur, its unprecedented and progressive nature, and tradeoffs in limiting climate change. An internal meta-analysis was then conducted to estimate overall effect sizes across the two studies. Analogies were not found to inform knowledge about climate literacy facts. However, results suggested that people found the medical analogy helpful and that it led people-especially political conservatives-to better recognize several decision-relevant attributes of climate change. These effects were weak, perhaps reflecting a well-documented and overwhelming effect of political ideology on climate change communication and education efforts in the U.S.A. The potential of analogies and similar education tools to improve understanding and communication in a polarized political environment are discussed.</t>
  </si>
  <si>
    <t>[Raimi, Kaitlin T.] Univ Michigan, Gerald R Ford Sch Publ Policy, Ann Arbor, MI 48109 USA; [Stern, Paul C.] US Natl Acad Sci Engn &amp; Med, Board Environm Change &amp; Soc, Washington, DC USA; [Stern, Paul C.] Norwegian Univ Sci &amp; Technol, Trondheim, Norway; [Maki, Alexander] Vanderbilt Univ, Vanderbilt Inst Energy &amp; Environm, 221 Kirkland Hall, Nashville, TN 37235 USA; [Maki, Alexander] Vanderbilt Univ, Vanderbilt Climate Change Res Network, 221 Kirkland Hall, Nashville, TN 37235 USA</t>
  </si>
  <si>
    <t>University of Michigan System; University of Michigan; National Academies of Sciences, Engineering &amp; Medicine; Norwegian University of Science &amp; Technology (NTNU); Vanderbilt University; Vanderbilt University</t>
  </si>
  <si>
    <t>Raimi, KT (corresponding author), Univ Michigan, Gerald R Ford Sch Publ Policy, Ann Arbor, MI 48109 USA.</t>
  </si>
  <si>
    <t>kraimi@umich.edu</t>
  </si>
  <si>
    <t>Raimi, Kaitlin T/N-1872-2013; Maki, Alexander/I-5057-2019</t>
  </si>
  <si>
    <t>Raimi, Kaitlin T/0000-0002-3301-9520; Maki, Alexander/0000-0001-8941-3511</t>
  </si>
  <si>
    <t>Climate Change Research Network</t>
  </si>
  <si>
    <t>These studies were funded by the Climate Change Research Network. Funders approved the initial study design, but had no role in data collection and analysis, decision to publish, or preparation of the manuscript.</t>
  </si>
  <si>
    <t>[Anonymous], 2010, The Washington Post; [Anonymous], 2015, ENVIRON POLIT, DOI DOI 10.1080/09644016.2014.976485; [Anonymous], 2013, OXFORD HDB COGNITIVE; [Anonymous], 2013, NEW YORK TIMES; [Anonymous], 2015, RES POLITICS OCT, DOI DOI 10.1177/2F2053168015622072; [Anonymous], 2010, The Climate Fix: What Scientists and Politicians Won't Tell You About Global Warming; [Anonymous], STATA STATISTICAL SO; Bessette DL, 2014, ENVIRON SCI TECHNOL, V48, P1401, DOI 10.1021/es4036286; Borenstein M, 2010, RES SYNTH METHODS, V1, P97, DOI 10.1002/jrsm.12; Broockman D, 2016, SCIENCE, V352, P220, DOI 10.1126/science.aad9713; Buhrmester M, 2011, PERSPECT PSYCHOL SCI, V6, P3, DOI 10.1177/1745691610393980; COHEN J, 1992, PSYCHOL BULL, V112, P155, DOI 10.1037/0033-2909.112.1.155; Cumming G, 2014, PSYCHOL SCI, V25, P7, DOI 10.1177/0956797613504966; Dunlap RE, 2016, ENVIRONMENT, V58, P4, DOI 10.1080/00139157.2016.1208995; Feldman L, 2014, J COMMUN, V64, P590, DOI 10.1111/jcom.12108; Guy S, 2014, EUR J SOC PSYCHOL, V44, P421, DOI 10.1002/ejsp.2039; Hornsey MJ, 2016, NAT CLIM CHANGE, V6, P622, DOI [10.1038/nclimate2943, 10.1038/NCLIMATE2943]; Kahan DM, 2015, POLIT PSYCHOL, V36, P1, DOI 10.1111/pops.12244; Lewandowsky S., 2012, NAT CLIM CHANGE, V1720, P1; Maibach EW, 2016, ENVIRON RES LETT, V11, DOI 10.1088/1748-9326/11/9/091003; McCright AM, 2016, ENERGY RES SOC SCI, V21, P180, DOI 10.1016/j.erss.2016.08.003; McCright AM, 2016, TOP COGN SCI, V8, P76, DOI 10.1111/tops.12171; McCright AM, 2011, SOCIOL QUART, V52, P155, DOI 10.1111/j.1533-8525.2011.01198.x; Myers TA, 2013, NAT CLIM CHANGE, V3, P343, DOI [10.1038/NCLIMATE1754, 10.1038/nclimate1754]; Nordhaus W., 2013, CLIMATE CASINO RISK; Pidgeon N, 2011, NAT CLIM CHANGE, V1, P35, DOI [10.1038/NCLIMATE1080, 10.1038/nclimate1080]; Schulz K., 2015, New Yorker; Sifferlin A., 2016, TIME; Sopory P, 2002, HUM COMMUN RES, V28, P382, DOI 10.1093/hcr/28.3.382; Sterman JD, 2007, CLIMATIC CHANGE, V80, P213, DOI 10.1007/s10584-006-9107-5; Stern PC, 2015, SOC RES, V82, P581; van der Linden SL, 2015, PLOS ONE, V10, DOI 10.1371/journal.pone.0118489; van der Linden SL, 2014, CLIMATIC CHANGE, V126, P255, DOI 10.1007/s10584-014-1190-4; Zaval L, 2014, NAT CLIM CHANGE, V4, P143, DOI 10.1038/NCLIMATE2093</t>
  </si>
  <si>
    <t>JAN 30</t>
  </si>
  <si>
    <t>e0171130</t>
  </si>
  <si>
    <t>10.1371/journal.pone.0171130</t>
  </si>
  <si>
    <t>EN6PA</t>
  </si>
  <si>
    <t>WOS:000396124700051</t>
  </si>
  <si>
    <t>Powers, S; DeWaters, J; Dhaniyala, S; Small, MMM</t>
  </si>
  <si>
    <t>ASEE</t>
  </si>
  <si>
    <t>Powers, Susan; DeWaters, Jan; Dhaniyala, Suresh; Small, Mary Margaret M.</t>
  </si>
  <si>
    <t>AC 2011-1367: TEACHING CLIMATE SCIENCE AND POLICY TO ENGINEERS</t>
  </si>
  <si>
    <t>2011 ASEE ANNUAL CONFERENCE &amp; EXPOSITION</t>
  </si>
  <si>
    <t>ASEE Annual Conference &amp; Exposition</t>
  </si>
  <si>
    <t>ASEE Annual Conference and Exposition</t>
  </si>
  <si>
    <t>JUN 26-29, 2011</t>
  </si>
  <si>
    <t>A new course was developed to improve engineering students' understanding of the earth science associated with global climate change, human interactions with climate, mitigation technologies and policies, and adaption strategies. The three-credit course, entitled Global Climate Change: Science, Engineering, and Policy, is highly quantitative and taught through an inquiry-based pedagogical approach. Every student is required to address questions about climate change phenomenon and investigate the historical data, related model predictions for future scenarios, and potential for mitigation and adaption. Students use multiple sources for energy and climate data (DOE, NASA, NOAA, etc.), simulation results from global climate models, and results from their own simulations utilizing climate models (EdGCM). Extensive use of MS Excel and Matlab are required for processing and analysis of the large data sets. The impacts of the course on the students were assessed with a combination of quantitative and qualitative approaches. Substantial quantitative gains were made in the students' climate literacy, especially in knowledge areas. Students also showed gains in their self-reported feelings that they could solve a new problem or tackle a challenge, were good at interpreting charts and graphs and manipulating databases, and were interested in pursuing a career in science or engineering that would contribute to solving global climate problems. Qualitative assessment results indicated that students felt more confident in their ability to contribute to climate change mitigation through both their personal knowledge and professional career options.</t>
  </si>
  <si>
    <t>[Powers, Susan] Clarkson Univ, Inst Sustainable Environm, Sustainabl, Potsdam, NY 13676 USA; [Powers, Susan] Clarkson Univ, Environm Engn, Potsdam, NY 13676 USA; [DeWaters, Jan; Dhaniyala, Suresh; Small, Mary Margaret M.] Clarkson Univ, Potsdam, NY 13676 USA</t>
  </si>
  <si>
    <t>Powers, S (corresponding author), Clarkson Univ, Inst Sustainable Environm, Sustainabl, Potsdam, NY 13676 USA.</t>
  </si>
  <si>
    <t>[Anonymous], 2006, TRAINING DEV HUMAN S; [Anonymous], 2007, 2007 ANN C EXP; [Anonymous], 2008, CLIMATE CHANGE WATER; [Anonymous], GIS IN SCH; BENSON J, 1982, AM J OCCUP THER, V36, P789, DOI 10.5014/ajot.36.12.789; Boyes E., 1993, J SCI EDUC TECHNOL, V2, P541, DOI DOI 10.1007/BF00695323; Clarkson University, GLOB CLIM CHANG SCI; DeVellis R.F., 2016, Scale development: Theory and applications, DOI DOI 10.1037/CCP0000482; DeWaters J. E., 2009, P 116 ANN ASEE C EXP; DeWaters J. E., 2006, P 35 ASEE IEEE FRONT; DeWaters JE, 2011, ENERG POLICY, V39, P1699, DOI 10.1016/j.enpol.2010.12.049; Hurd PD, 2002, J RES SCI TEACH, V39, P3, DOI 10.1002/tea.10006.abs; Hurd PD, 1998, SCI EDUC, V82, P407, DOI 10.1002/(SICI)1098-237X(199806)82:3&lt;407::AID-SCE6&gt;3.0.CO;2-G; Kucharski G.A., 2005, EDUCATION, V125, P652; Lambros A., 2004, PROBLEM BASED LEARNI; Linn R.L., 2000, MEASUREMENT ASSESSME, V8th; NASA Jet Propulsion Laboratory, CLIM TIM MACH; NASA Science for Educators, EARTH SCI ED CAT; Pike C., 2010, Climate Communications and Behaviour Change: a guide for practitioners; Portner H.-O., 2022, CLIMATE CHANGE 2022, DOI [10.1017/9781009325844, DOI 10.1017/9781009325844]; Powers S. E., 2009, P 39 ASEE IEE FRONT; Powers S. E., 2008, P 36 ASEE IEEE FRONT; Stapp W., 1998, ESSENTIAL READINGS E, P33; Torp L., 2002, Problems as possibilities: Problem-based learning for k-16 education, V2nd; U.S. Global change Research Program, 2009, Climate literacy: the essential principles of climate science</t>
  </si>
  <si>
    <t>AMER SOC ENGINEERING EDUCATION</t>
  </si>
  <si>
    <t>1818 N STREET, NW SUITE 600, WASHINGTON, DC 20036 USA</t>
  </si>
  <si>
    <t>2153-5965</t>
  </si>
  <si>
    <t>ASEE ANNU CONF EXPO</t>
  </si>
  <si>
    <t>BF0CH</t>
  </si>
  <si>
    <t>WOS:000378523002044</t>
  </si>
  <si>
    <t>Stevenson, K; Peterson, N</t>
  </si>
  <si>
    <t>Stevenson, Kathryn; Peterson, Nils</t>
  </si>
  <si>
    <t>Motivating Action through Fostering Climate Change Hope and Concern and Avoiding Despair among Adolescents</t>
  </si>
  <si>
    <t>climate literacy; concern; hope; climate action; pro-environmental behavior</t>
  </si>
  <si>
    <t>CHANGE RISK; CHANGE KNOWLEDGE; PERCEIVED RISK; SKEPTICISM; EMOTION; SUPPORT; GENDER; ASSOCIATIONS; PERCEPTIONS; BEHAVIOR</t>
  </si>
  <si>
    <t>Efforts to build climate change concern seem warranted to overcome apathy and promote action. However, research suggests that these efforts can backfire by breeding despair, denial and inaction. This may be especially true among younger audiences, as despair is highest among those who view climate challenges as out of their control, and children generally have lower perceived and actual control than adults in political and personal arenas. Though many studies have documented feelings of despair and sadness among younger audiences, few have explored how climate change hope may counteract despair and encourage productive responses to climate change concern. This study examined how climate change hope, despair, and concern predict pro-environmental behavior with a quantitative survey of a random sample of middle school students in North Carolina, USA (n = 1486). We did not find an interaction between climate change hope and concern or despair, but instead found climate change hope and concern independently and positively related to behavior and despair negatively related to behavior. These results suggest that climate change concern among K-12 audiences may be an important antecedent to behavior which does not dampen the positive impacts of hope. Further, rather than mitigating the negative effects of climate change despair, hope may be an independent predecessor to behavior. Students at Title I (a measure of low socioeconomic status) schools were less likely to engage in pro-environmental behaviors, suggesting climate literacy efforts should target schools with lower levels of socioeconomic status specifically.</t>
  </si>
  <si>
    <t>[Stevenson, Kathryn; Peterson, Nils] N Carolina State Univ, Dept Forestry &amp; Environm Resources, Fisheries Wildlife &amp; Conservat Biol Program, Raleigh, NC 27695 USA</t>
  </si>
  <si>
    <t>North Carolina State University</t>
  </si>
  <si>
    <t>Stevenson, K (corresponding author), N Carolina State Univ, Dept Forestry &amp; Environm Resources, Fisheries Wildlife &amp; Conservat Biol Program, Raleigh, NC 27695 USA.</t>
  </si>
  <si>
    <t>kathryn_stevenson@ncsu.edu; nils_peterson@ncsu.edu</t>
  </si>
  <si>
    <t>Stevenson, Kathryn/0000-0002-5577-5861; Peterson, Nils/0000-0002-4246-1206</t>
  </si>
  <si>
    <t>NC Sea Grant [6411]</t>
  </si>
  <si>
    <t>NC Sea Grant</t>
  </si>
  <si>
    <t>We would like to thank Christine Li and Martha Monroe at University of Florida for their valuable insights and project and Howard Bondell at NC State University for help with analysis. We also thank our funders, NC Sea Grant (Project ID # 6411).</t>
  </si>
  <si>
    <t>ALHAKAMI AS, 1994, RISK ANAL, V14, P1085, DOI 10.1111/j.1539-6924.1994.tb00080.x; Bullard R.D., 1990, Dumping in Dixie: race, class, and environmental quality; Chen XD, 2013, AMBIO, V42, P52, DOI 10.1007/s13280-012-0335-9; Corner A, 2015, WIRES CLIM CHANGE, V6, P523, DOI 10.1002/wcc.353; Corner A, 2012, NAT CLIM CHANGE, V2, P710, DOI 10.1038/nclimate1700; Desimone LM, 2004, EDUC EVAL POLICY AN, V26, P1, DOI 10.3102/01623737026001001; Dunlap RE, 1995, J SOC ISSUES, V51, P121, DOI 10.1111/j.1540-4560.1995.tb01351.x; Finucane ML, 2000, HEALTH RISK SOC, V2, P159, DOI 10.1080/713670162; Folkman S, 2008, ANXIETY STRESS COPIN, V21, P3, DOI 10.1080/10615800701740457; Gliem J.A., 2003, MIDW RES PRACT C AD; Hair J.F., 2010, MULTIVARIATE DATA AN; INGLEHART R, 1995, PS, V28, P57, DOI 10.2307/420583; IPCC, 2018, IPCC, DOI [DOI 10.1017/9781009157926.005, DOI 10.1017/CBO9781107415324]; Kollmuss A., 2002, ENVIRON EDUC RES, V8, P239, DOI [10.1080/13504620220145401, DOI 10.1080/13504620220145401]; Lazo JK, 2000, RISK ANAL, V20, P179, DOI 10.1111/0272-4332.202019; Leiserowitz A., 2011, American teens' knowledge of climate change; Leiserowitz AA, 2004, ENVIRONMENT, V46, P22, DOI 10.1080/00139150409603663; McBeth B., 2011, NATL ENV LITERACY AS; Mccaffrey M.S., 2015, CLIMATE SMART ENERGY, P110; McCright AM, 2010, POPUL ENVIRON, V32, P66, DOI 10.1007/s11111-010-0113-1; Monroe M. C., 2015, UNDERSTANDING UNPUB; Ojala M., 2012, International Journal of Environmental &amp; Science Education, V7, P537; Ojala M, 2016, GEOGR CHILD YOUNG, V8, P329, DOI 10.1007/978-981-4585-54-5_3; Ojala M, 2015, J YOUTH STUD, V18, P1135, DOI 10.1080/13676261.2015.1020927; Ojala M, 2015, J ENVIRON EDUC, V46, P133, DOI 10.1080/00958964.2015.1021662; Ojala M, 2013, SUSTAINABILITY-BASEL, V5, P2191, DOI 10.3390/su5052191; Ojala M, 2012, ENVIRON EDUC RES, V18, P625, DOI 10.1080/13504622.2011.637157; Osborne J.W., 1994, PRACT ASSESS RES EVA, V10, P27; Pampel FC, 2012, AM J SOCIOL, V118, P420, DOI 10.1086/666506; Smith N, 2014, RISK ANAL, V34, P937, DOI 10.1111/risa.12140; Smith N, 2012, RISK ANAL, V32, P1021, DOI 10.1111/j.1539-6924.2012.01801.x; Snyder C., 2005, HDB POSITIVE PSYCHOL; SNYDER CR, 1991, J PERS SOC PSYCHOL, V60, P570, DOI 10.1037/0022-3514.60.4.570; Steg L, 2005, J ENVIRON PSYCHOL, V25, P415, DOI 10.1016/j.jenvp.2005.08.003; Stern PC, 2012, NAT CLIM CHANGE, V2, P572, DOI 10.1038/nclimate1610; STERN PC, 1993, ENVIRON BEHAV, V25, P322, DOI 10.1177/0013916593255002; Stevenson KT, 2015, HUM DIMENS WILDL, V20, P501, DOI 10.1080/10871209.2015.1077538; Stevenson KT, 2014, CLIMATIC CHANGE, V126, P293, DOI 10.1007/s10584-014-1228-7; Stevenson KT, 2013, PLOS ONE, V8, DOI 10.1371/journal.pone.0059519; Straughan RD, 1999, J CONSUM MARK, V16, P558, DOI 10.1108/07363769910297506; Sundblad EL, 2007, J ENVIRON PSYCHOL, V27, P97, DOI 10.1016/j.jenvp.2007.01.003; Taber F., 2009, International Journal of Environmental &amp; Science Education, V4, P97; Tobler C, 2012, CLIMATIC CHANGE, V114, P189, DOI 10.1007/s10584-011-0393-1; Tucci J., 2007, Children's Fears, Hopes and Heroes: Modern Childhood in Australia; Valentino NA, 2008, POLIT PSYCHOL, V29, P247, DOI 10.1111/j.1467-9221.2008.00625.x; van Zorneren M, 2010, J ENVIRON PSYCHOL, V30, P339, DOI 10.1016/j.jenvp.2010.02.006; Weber EU, 2002, J BEHAV DECIS MAKING, V15, P263, DOI 10.1002/bdm.414; Williams Brett., 2010, AUSTRALASIAN J PARAM, V8, P1, DOI DOI 10.33151/AJP.8.3.93; Witte K, 2000, HEALTH EDUC BEHAV, V27, P591, DOI 10.1177/109019810002700506; Xiao CY, 2007, SOC SCI QUART, V88, P471, DOI 10.1111/j.1540-6237.2007.00467.x</t>
  </si>
  <si>
    <t>10.3390/su8010006</t>
  </si>
  <si>
    <t>DH0EV</t>
  </si>
  <si>
    <t>WOS:000372456200006</t>
  </si>
  <si>
    <t>Pon, JPS; Becherucci, ME; Paterlini, CA; Adrogué, AQ; Castano, MV; Zumpano, F; García, GO</t>
  </si>
  <si>
    <t>Pon, Juan Pablo Seco; Becherucci, Maria Eugenia; Paterlini, Carla Angela; Adrogue, Agustina Quadri; Castano, Melina Vanesa; Zumpano, Francisco; Garcia, German Oscar</t>
  </si>
  <si>
    <t>Perception, knowledge and attitudes towards environmental issues and management among coastal users of the most important beach destination in Argentina</t>
  </si>
  <si>
    <t>Social survey; Sandy beach; Ecosystem management valuation; Mar del plata; Argentina; South America</t>
  </si>
  <si>
    <t>BUENOS-AIRES PROVINCE; WILLINGNESS-TO-PAY; MARINE DEBRIS; PUBLIC PERCEPTIONS; EDUCATION LEVEL; OCEAN LITERACY; LITTER; TOURISM; EROSION; BEHAVIOR</t>
  </si>
  <si>
    <t>This study was designed to address coastal users' perception in the largest seaside summer resort in Argentina regarding beach physical features and quality assessments, including issues related to the impacts of marine pollution, particularly litter on local beaches. We also explore the dependence of answers in certain traits of coastal users' profile (i.e. users' age, gender and residence status). There was a strong relationship of predictor variables pertaining to the respondents' profile on the users' perception about environmental related aspects as well as beach quality assessment related topics. Virtually all respondents stated acknowledging that pollution by beach litter harms marine aquatic life, with plastics being the most commonly identified litter item. Interestingly, though, the users' perception about topics related to beach litter was not affected by residence status, gender or age. Addressing the issues linked to responsible and sustainable use of the environment in coastal localities in northern Argentina like Mar del Plata should include the participation of beachgoers, as these can help to improve beach management plans and assist managers and stakeholders identifying key issues in environmental policy to be implemented by coastal jurisdictions.</t>
  </si>
  <si>
    <t>[Pon, Juan Pablo Seco; Paterlini, Carla Angela; Adrogue, Agustina Quadri; Castano, Melina Vanesa; Zumpano, Francisco; Garcia, German Oscar] Univ Nacl Mar Del Plata CONICET, Inst Invest Marinas &amp; Costeras IIMyC, Fac Ciencias Exactas &amp; Nat, Grp Vertebrados, Rodriguez Pena 4046,Nivel 1,B7602GSD, Mar Del Plata, Argentina; [Becherucci, Maria Eugenia] Univ Nacl Mar Del Plata CONICET, Inst Invest Marinas &amp; Costeras IIMyC, Fac Ciencias Exactas &amp; Nat, Grp Ecol, Rodriguez Pena 4046,Nivel 1,B7602GSD, Mar Del Plata, Argentina</t>
  </si>
  <si>
    <t>Consejo Nacional de Investigaciones Cientificas y Tecnicas (CONICET); National University of Mar del Plata; National University of Mar del Plata; Consejo Nacional de Investigaciones Cientificas y Tecnicas (CONICET)</t>
  </si>
  <si>
    <t>Pon, JPS (corresponding author), Univ Nacl Mar Del Plata CONICET, Inst Invest Marinas &amp; Costeras IIMyC, Fac Ciencias Exactas &amp; Nat, Grp Vertebrados, Rodriguez Pena 4046,Nivel 1,B7602GSD, Mar Del Plata, Argentina.</t>
  </si>
  <si>
    <t>secopon@mdp.edu.ar</t>
  </si>
  <si>
    <t>Castano, Melina/0000-0003-4064-6845; Zumpano, Francisco/0000-0001-9269-0341; Garcia, German O./0000-0003-4971-4402</t>
  </si>
  <si>
    <t>National University of Mar del Plata, Argentina [EXA 16/E211]</t>
  </si>
  <si>
    <t>National University of Mar del Plata, Argentina</t>
  </si>
  <si>
    <t>The authors want to express their gratitude to all those beachgoers which participated in our survey. Special thanks to Dr. Elizabeth Llanos (IIMyC, Argentina) for the map in Fig. 1. The authors thank the com-ments and suggestions made by three reviewers that improved a draft. This work was supported by the National University of Mar del Plata, Argentina (EXA 16/E211) .</t>
  </si>
  <si>
    <t>Abeles R. P., 2013, SOCIAL STRUCTURE AGI, P149; Agresti A., 2012, CATEGORICAL DATA ANA, DOI DOI 10.1002/0471249688; Al-Khatib IA, 2009, WASTE MANAGE, V29, P1434, DOI 10.1016/j.wasman.2008.08.026; Alves B, 2015, J COAST CONSERV, V19, P269, DOI 10.1007/s11852-015-0388-6; Alves B, 2014, J COASTAL RES, P521, DOI 10.2112/SI70-088.1; Anfuso G, 2017, OCEAN COAST MANAGE, V142, P173, DOI 10.1016/j.ocecoaman.2017.03.029; [Anonymous], 2000, Environmental Science Policy; [Anonymous], 2009, Marine Litter: A Global Challenge, P232; Arafat HA, 2007, WASTE MANAGE RES, V25, P363, DOI 10.1177/0734242X07076942; Augugliaro C, 2020, GLOB ECOL CONSERV, V24, DOI 10.1016/j.gecco.2020.e01378; Barbier EB, 2011, ECOL MONOGR, V81, P169, DOI 10.1890/10-1510.1; Beeharry YD, 2017, MAR POLLUT BULL, V119, P87, DOI 10.1016/j.marpolbul.2017.04.029; Bergmann M, 2015, MARINE ANTHROPOGENIC LITTER, pIX; Bernad-Beltrán D, 2014, WASTE MANAGE, V34, P2434, DOI 10.1016/j.wasman.2014.08.023; Birdir S, 2013, TOURISM MANAGE, V36, P279, DOI 10.1016/j.tourman.2012.10.020; Blakemore F. B., 2002, World Leisure Journal, V44, P29; Bonaiuto M, 1996, J COMMUNITY APPL SOC, V6, P157, DOI 10.1002/(SICI)1099-1298(199608)6:3&lt;157::AID-CASP367&gt;3.3.CO;2-N; Boschi E.E, 2004, VIDA ENTRE MAREAS VE, P323; Botero CM, 2014, J COASTAL RES, P556, DOI 10.2112/SI70-094.1; Bowan P.A., 2014, Journal of Environment and Earth Science, V4, P10; Burger J, 2019, URBAN ECOSYST, V22, P785, DOI 10.1007/s11252-019-00860-y; Bustos D.M.L., 2016, REV GEOGRAFICA DIGIT, V13, P1; Calixto-Flores R., 2010, TRAYECTORIAS, V12, P24; Campbell ML, 2016, OCEAN COAST MANAGE, V126, P22, DOI 10.1016/j.ocecoaman.2016.04.002; Campbell ML, 2014, MAR POLLUT BULL, V80, P179, DOI 10.1016/j.marpolbul.2014.01.015; Castellucci D., 2018, TENDENCIAS INVESTIGA, P46; Cervantes O., 2017, COASTAL RES LIB; Cervantes O, 2008, ENVIRON MANAGE, V42, P249, DOI 10.1007/s00267-008-9104-8; Chen T.B., 2010, Management Science and Engineering, V4, P27; Choudri BS, 2016, INDIAN J GEO-MAR SCI, V45, P1327; Christensen Rune Haubo Bojesen, 2023, CRAN; Cingolani AM, 2016, WASTE MANAGE, V58, P34, DOI 10.1016/j.wasman.2016.08.028; CLARK RN, 1972, J ENVIRON EDUC, V4, P22, DOI 10.1080/00958964.1972.10801715; COHEN JL, 1975, SOCIOMETRY, V38, P273, DOI 10.2307/2786605; Conley DJ, 2009, SCIENCE, V323, P1014, DOI 10.1126/science.1167755; Croasmun J.T., 2011, Journal of Adult Education, V40, P19; Dadon J.R., 2011, MANEJO COSTERO INTEG, P171; Dadon JR, 2018, COAST RES LIBR, V24, P619, DOI 10.1007/978-3-319-58304-4_31; de Kort YAW, 2008, ENVIRON BEHAV, V40, P870, DOI 10.1177/0013916507311035; de Miranda D.R.C., 2021, RES SOC DEV, V10; De Ruyck M.C., 1995, GEOJOURNAL, V36, P345, DOI DOI 10.1007/BF00807949; Defeo O, 2009, ESTUAR COAST SHELF S, V81, P1, DOI 10.1016/j.ecss.2008.09.022; Delgado-Serrano MD, 2015, ECOL SOC, V20, DOI 10.5751/ES-07965-200424; Denuncio P, 2017, MAR POLLUT BULL, V122, P420, DOI 10.1016/j.marpolbul.2017.07.013; Denuncio P, 2014, WASTE MANAGE, V34, P839; Di Franco A, 2020, J ENVIRON MANAGE, V269, DOI 10.1016/j.jenvman.2020.110757; DIXON TJ, 1983, MAR POLLUT BULL, V14, P145, DOI 10.1016/0025-326X(83)90068-1; Eastman LB, 2013, OCEAN COAST MANAGE, V78, P18, DOI 10.1016/j.ocecoaman.2013.02.014; EMTUR, 2017, SECR TUR COM IND; Becherucci ME, 2017, MAR POLLUT BULL, V119, P299, DOI 10.1016/j.marpolbul.2017.04.030; Becherucci ME, 2016, IHERINGIA SER BOT, V71, P22; Ferrari M.P., 2013, CONTRIBUCIONES CIENT, V25, P89; Ferrari M.P., 2013, THESIS U NACL SUR; GABRIELIDES GP, 1991, MAR POLLUT BULL, V23, P437, DOI 10.1016/0025-326X(91)90713-3; García-Morales G, 2017, REV INT CONTAM AMBIE, V33, P35, DOI 10.20937/RICA.2017.33.esp02.03; Guerrero R. A., 1997, MAR ARGENTINO SUS RE, V1, P107; Guest H, 2015, MAR POLICY, V58, P98, DOI 10.1016/j.marpol.2015.04.007; Hall CM, 2001, OCEAN COAST MANAGE, V44, P601, DOI 10.1016/S0964-5691(01)00071-0; Hartley BL, 2018, MAR POLLUT BULL, V133, P945, DOI 10.1016/j.marpolbul.2018.05.061; Hartley BL, 2015, MAR POLLUT BULL, V90, P209, DOI 10.1016/j.marpolbul.2014.10.049; Heaney CD, 2012, EPIDEMIOLOGY, V23, P95, DOI 10.1097/EDE.0b013e31823b504c; Hunter LM, 2004, SOC SCI QUART, V85, P677, DOI 10.1111/j.0038-4941.2004.00239.x; Isla FI, 2018, OCEAN COAST MANAGE, V156, P107, DOI 10.1016/j.ocecoaman.2017.09.008; do Sul JAI, 2007, MAR POLLUT BULL, V54, P1087, DOI 10.1016/j.marpolbul.2007.05.004; Jambeck JR, 2015, SCIENCE, V347, P768, DOI 10.1126/science.1260352; Johnson BG, 2015, J URBAN PLAN DEV, V141, DOI 10.1061/(ASCE)UP.1943-5444.0000250; Jorgensen B, 2021, SUSTAIN SCI, V16, P153, DOI 10.1007/s11625-020-00841-7; Krelling AP, 2017, MAR POLICY, V85, P87, DOI 10.1016/j.marpol.2017.08.021; Lane K, 2013, J ENVIRON PUBLIC HEA, V2013, DOI 10.1155/2013/913064; Lopez de Armentia A., 2016, REV GEOLOGIA APLICAD, V37, P13; Lotze HK, 2018, OCEAN COAST MANAGE, V152, P14, DOI 10.1016/j.ocecoaman.2017.11.004; Louime Clifford., 2017, AM J ENVIRON SCI, V13, P58, DOI DOI 10.3844/AJESSP.2017.58.64; Lozoya Juan Pablo, 2015, RGCI, V15, P377; Lucero M.N., 2016, GEST AMBIENT, V31, P9; Lucrezi S, 2016, J COAST CONSERV, V20, P81, DOI 10.1007/s11852-015-0419-3; Mantero J.C, 2006, APORTES T, V10, P123; Marais M, 2004, WATER SA, V30, P483; Marin V, 2009, OCEAN COAST MANAGE, V52, P268, DOI 10.1016/j.ocecoaman.2009.02.001; Martos P., 2004, VIDA ENTRE MAREAS VE; McKinley E, 2012, MAR POLICY, V36, P839, DOI 10.1016/j.marpol.2011.11.001; Merlotto Alejandra, 2017, Rev. Univ. geogr., V26, P37; Merlotto A, 2007, INVESTIG GEOGR-SPAIN, P143, DOI 10.14198/INGEO2007.43.08; Mohai P., 1997, RACE GENDER CLASS, V5, P153; Momsen JH, 2000, J GEOGR, V99, P47, DOI 10.1080/00221340008978956; Jurado EN, 2013, ANN TOURISM RES, V43, P1, DOI 10.1016/j.annals.2013.03.005; Neumann B, 2015, PLOS ONE, V10, DOI 10.1371/journal.pone.0118571; Novotny TE, 2009, INT J ENV RES PUB HE, V6, P1691, DOI 10.3390/ijerph6051691; Padilla N.A, 2014, INVESTIGACION JOVEN, V1, P24; Patterson Murray., 2008, ECOLOGICAL EC OCEANS; Perelman P, 2013, URBAN ECOSYST, V16, P841, DOI 10.1007/s11252-012-0279-7; Pickens J., 2005, ORG BEHAV, P43; Pilkey OH, 2011, WORLD'S BEACHES: A GLOBAL GUIDE TO THE SCIENCE OF THE SHORELINE, P1; Pournelle G. H., 1953, Journal of Mammalogy, V34, P133, DOI 10.1890/0012-9658(2002)083[1421:SDEOLC]2.0.CO;2; Pranzini E, 2010, J COASTAL RES, V26, P798, DOI 10.2112/JCOASTRES-D-09-00130.1; Quintela A, 2009, J COASTAL RES, P1145; Ramos AG, 2013, REMEA-REV ELETRONICA, V30, P252; Rasoolimanesh SM, 2015, TOUR MANAG PERSPECT, V16, P335, DOI 10.1016/j.tmp.2015.10.001; Rayon-Viña F, 2018, MAR POLLUT BULL, V131, P727, DOI 10.1016/j.marpolbul.2018.04.066; Roca E, 2008, OCEAN COAST MANAGE, V51, P314, DOI 10.1016/j.ocecoaman.2007.09.001; Rodella I, 2020, OCEAN COAST MANAGE, V189, DOI 10.1016/j.ocecoaman.2020.105130; Roig-Munar F.X., 2003, INVEST GEOGR AFICAS, V31, P107, DOI DOI 10.14198/INGEO2003.31.07; Rojas ML, 2014, OCEAN COAST MANAGE, V93, P76, DOI 10.1016/j.ocecoaman.2014.03.010; Santos IR, 2005, OCEAN COAST MANAGE, V48, P742, DOI 10.1016/j.ocecoaman.2005.08.006; Seco Pon J.P., 2016, RESIDUOS ANTROPOGENI; Semeoshenkova VS, 2011, J COASTAL RES, P1282; Slavin C, 2012, MAR POLLUT BULL, V64, P1580, DOI 10.1016/j.marpolbul.2012.05.018; Steel BS, 2005, OCEAN COAST MANAGE, V48, P97, DOI 10.1016/j.ocecoaman.2005.01.002; Thiel M, 2011, J SEA RES, V65, P368, DOI 10.1016/j.seares.2011.03.002; Tudor DT, 2008, J COASTAL RES, V24, P735, DOI 10.2112/06-0727.1; Tudor DT, 2006, AREA, V38, P153, DOI 10.1111/j.1475-4762.2006.00684.x; UNWTO, 2005, IND DES SOST DEST TU; Van Dyck I. P., 2016, J. Geosci. Environ. Protect, V04, P21, DOI DOI 10.4236/GEP.2016.45003; Vaz B, 2009, J COASTAL RES, P1164; Williams A., 2009, Beach Management: Principles and Practices; World Travel Tourism Council-WTTC, 2021, Travel &amp; tourism economic impact 2021: global economic impact &amp; trends 2021; Zarate M., 2008, I GEOLOGIA RECURSOS, V46</t>
  </si>
  <si>
    <t>APR 1</t>
  </si>
  <si>
    <t>10.1016/j.ocecoaman.2022.106070</t>
  </si>
  <si>
    <t>0N0TW</t>
  </si>
  <si>
    <t>WOS:000782561900001</t>
  </si>
  <si>
    <t>Guler, SD; Iwabuchi, M; Sotelo, S</t>
  </si>
  <si>
    <t>Guler, Sibel D.; Iwabuchi, Masa; Sotelo, Sheryl</t>
  </si>
  <si>
    <t>Tekniverse: Towards a connected future for sensors, education, and action Fostering Environmental Literacy with IoT and Physical Computing</t>
  </si>
  <si>
    <t>PROCEEDINGS OF THE 2022 ACM INTERACTION DESIGN AND CHILDREN, IDC 2022</t>
  </si>
  <si>
    <t>21st ACM Interaction Design and Children (IDC)</t>
  </si>
  <si>
    <t>JUN 27-30, 2022</t>
  </si>
  <si>
    <t>Braga, PORTUGAL</t>
  </si>
  <si>
    <t>IoT Environmental Literacy; Physical Computing; Computational Thinking</t>
  </si>
  <si>
    <t>The Internet of Things (IoT) is an innovation that is rapidly transforming industries from agriculture to medicine, enabling advances such as real-time data monitoring and remote control. However, IoT's infiltration into education has been much slower, and educational tools that embody these features are few and far between. Together with the Chugach School District in Alaska, we investigated methods to teach middle-school aged students how to use IoT to drive change in their communities and collaborate in a digital world, tied to real time environmental data. The objective of this work is to provide rural, K-12 Alaskan students and teachers with opportunities that will help build an understanding of what is happening in their local environments, increase overall scientific and climate literacy, and contribute to community resilience and connectedness. Rural Alaskan students live in some of the most vulnerable regions of the planet, regions that are highly susceptible to the impacts of climate change. In this work-in-progress paper, we first discuss the design and adaptation of Tekniverse, a hardware and software ecosystem that provides a gateway for students to code and connect hardware projects and data. We then discuss the finding of our initial study of Tekniverse as a learning tool for computational thinking, data analysis, and social responsibility in rural and remote areas with students in Alaska. Lastly, we propose future directions for this research and computational collaborative tools.</t>
  </si>
  <si>
    <t>[Guler, Sibel D.; Iwabuchi, Masa] Teknikio, Brooklyn, NY 11206 USA; [Sotelo, Sheryl] Chugach Sch Dist, Sci Outreach, Anchorage, AK USA</t>
  </si>
  <si>
    <t>Guler, SD (corresponding author), Teknikio, Brooklyn, NY 11206 USA.</t>
  </si>
  <si>
    <t>deren@teknikio.com; iwabm186@newschool.edu; ssotelo@gmail.com</t>
  </si>
  <si>
    <t>Guler, Sibel Deren/0009-0008-7642-1238</t>
  </si>
  <si>
    <t>NSF SBIR Award [1927115]; NOAA Environmental Literacy Grant</t>
  </si>
  <si>
    <t>NSF SBIR Award(National Science Foundation (NSF)NSF - Directorate for Engineering (ENG)); NOAA Environmental Literacy Grant(National Oceanic Atmospheric Admin (NOAA) - USA)</t>
  </si>
  <si>
    <t>This work was supported by NSF SBIR Award Grant no: 1927115 and a NOAA Environmental Literacy Grant, titled, Environmental Literacy for Alaskan Climate Stewards. We would also like to thank Joe Bakalor from Teknikio team who developed the custom tools that made this project possible and helped with troubleshooting during the workshops.</t>
  </si>
  <si>
    <t>Achieve, 2013, Next Generation Science Standards (NGSS); Arduino, Arduino; Barker Sam, 2020, THE INTERNET OF THINGS: CONSUMER, INDUSTRIAL &amp; PUBLIC SERVICES 2020-2024; Bennedsen J., 2005, SIGCSE Bulletin, V37, P186, DOI 10.1145/1047124.1047413; Blikstein P., 2013, P 12 INT C INTERACTI, P173, DOI DOI 10.1145/2485760.2485786; Chakarov AG, 2021, IDC '21: PROCEEDINGS OF INTERACTION DESIGN AND CHILDREN 2021, P276, DOI 10.1145/3459990.3460711; Crick Tom, 2020, UKICER '20: Proceedings of the United Kingdom &amp; Ireland Computing Education Research Conference, P31, DOI 10.1145/3416465.3416472; Deni ARM, 2018, PROCEEDINGS OF THE 10TH INTERNATIONAL CONFERENCE ON EDUCATION TECHNOLOGY AND COMPUTERS (ICETC 2018), P156, DOI 10.1145/3290511.3290512; Dong YH, 2019, SIGCSE '19: PROCEEDINGS OF THE 50TH ACM TECHNICAL SYMPOSIUM ON COMPUTER SCIENCE EDUCATION, P1204, DOI 10.1145/3287324.3287437; English LD, 2016, INT J STEM EDUC, V3, DOI 10.1186/s40594-016-0036-1; Figma, 2016, Figma; Harasim L., 2017, LEARNING THEORY ONLI, V2nd, DOI DOI 10.4324/9781315716831; Hardy L, 2020, J LEARN SCI, V29, P104, DOI 10.1080/10508406.2019.1678164; Hayward G D., 2017, General Technical Report-Pacific Northwest Research Station, USDA Forest Service, PNW-GTR-950; Jackson MC, 2016, CBE-LIFE SCI EDUC, V15, DOI 10.1187/cbe.16-01-0067; Jiangye Zhu, 2020, ICEEL 2020: 2020 The 4th International Conference on Education and E-Learning, P214, DOI 10.1145/3439147.3439186; Katterfeldt ES, 2018, PROCEEDINGS OF THE 2018 ACM CONFERENCE ON INTERACTION DESIGN AND CHILDREN (IDC 2018), P713, DOI 10.1145/3202185.3205867; Lave J., 1991, Situated learning: Legitimate peripheral participation, DOI [10.1017/CBO9780511815355, DOI 10.1017/CBO9780511815355]; Leow F. T., 2014, Sciences and Engineering, V68, P19; Maguire M., 2017, All Ireland Journal of Higher Education, V9; Marginson S., 2013, STEM: Country comparisons. Report for the Australian Council of Learned Academies; McCollum B. M., 2020, Active Learning in College Science, P621, DOI [10.1007/978-3-030-33600-4_38, DOI 10.1007/978-3-030-33600-4_38]; Mead, 1934, MIND SELF SOC; Micro:bit Educational Foundation, Micro:bit; Microsoft, 2021, ABOUT US; Microsoft, Live Share; Miro, 2011, Miro; Nascimento S, 2018, SCI ENG ETHICS, V24, P927, DOI 10.1007/s11948-016-9796-8; Papert S., 1980, MINDSTORMS CHILDREN; Raj A, 2018, P 18 KOL CALL INT C, P1, DOI DOI 10.1145/3279720.3279725; Raj AGS, 2020, PROCEEDINGS OF THE TWENTY-SECOND AUSTRALASIAN COMPUTING EDUCATION CONFERENCE, ACE'20, P152, DOI 10.1145/3373165.3373182; Resnick M., 2013, DESIGN MAKE PLAY GRO, P163; Roschelle J., 1995, Computer Supported Collaborative Learning. Proceedings NATO Advanced Research Workshop, P69; Schweb Klaus, 2016, The Fourth Industrial Revolution: what it means, how to respond; Siever Bill, 2020, J. Computer. Sci. Coll., V36, P105; Steffe L.P., 1995, Constructivism and Education; Uzunboylu H, 2011, COMPUT EDUC, V56, P720, DOI 10.1016/j.compedu.2010.10.014; Weather, 2019, About us; Zhang XN, 2020, 4TH INTERNATIONAL CONFERENCE ON DIGITAL TECHNOLOGY IN EDUCATION, ICDTE 2020, P71, DOI 10.1145/3429630.3429641; US</t>
  </si>
  <si>
    <t>978-1-4503-9197-9</t>
  </si>
  <si>
    <t>10.1145/3501712.3535291</t>
  </si>
  <si>
    <t>Computer Science, Cybernetics; Computer Science, Interdisciplinary Applications</t>
  </si>
  <si>
    <t>BW1BR</t>
  </si>
  <si>
    <t>WOS:001103410100058</t>
  </si>
  <si>
    <t>Wang, HH; Bhattacharya, D; Nelson, BJ</t>
  </si>
  <si>
    <t>Wang, Hui-Hui; Bhattacharya, Devarati; Nelson, Bryanna J.</t>
  </si>
  <si>
    <t>Secondary agriculture teachers' knowledge, beliefs and, teaching practices of climate change</t>
  </si>
  <si>
    <t>JOURNAL OF AGRICULTURAL EDUCATION &amp; EXTENSION</t>
  </si>
  <si>
    <t>Climate change; secondary agriculture teachers; knowledge and beliefs; teaching practices</t>
  </si>
  <si>
    <t>ENVIRONMENTAL-ISSUES; ADOPTION; SCIENCE</t>
  </si>
  <si>
    <t>Purpose: Global climate change (GCC) impacts agriculture through food production. Promoting the understanding about GCC among agricultural educators is imperative. While substantive research exists for the knowledge, conceptions, and beliefs of science teachers, few studies focus on agriculture educators. This research investigates the foundational state of secondary agricultural teachers' knowledge, practices, and beliefs about GCC.Design/methodology/approach: In this quantitative study, we used a 22-item survey to capture secondary agriculture teachers' conceptions, beliefs, and practices about GCC. Total 258 secondary agriculture teachers from fourteen states completed the survey. Data was analyzed using descriptive statistics.Findings: Overall, secondary agriculture teachers have a strong understanding about the basic science concepts that constitute the understanding for GCC. However, they are challenged in understanding data that forms the evidence for GCC, and whether this phenomenon is anthropogenic or natural, or both. Their teaching practices about addressing the content of GCC are diverse from spending a dedicated amount of time to none at all in their classrooms.Practical implications: Information acquired will be used to support the agricultural educators needs for resources specifically designed and aligned for the GCC content relevant to agriculture.Theoretical implications: This research informs the field of climate literacy and education through contributing an empirical assessment of one of the underserved population groups - teachers of agricultural education.Originality/value: Very few empirical studies were available for teachers of agriculture, hence this study served as an exploratory foundational work towards future research efforts.</t>
  </si>
  <si>
    <t>[Wang, Hui-Hui; Nelson, Bryanna J.] Purdue Univ, Dept Agr Sci Educ &amp; Commun, W Lafayette, IN 47907 USA; [Wang, Hui-Hui] Purdue Univ, Dept Curriculum &amp; Instruct, W Lafayette, IN 47907 USA; [Bhattacharya, Devarati] Univ Nebraska Lincoln, Sch Nat Resource, Lincoln, NE USA</t>
  </si>
  <si>
    <t>Purdue University System; Purdue University; Purdue University System; Purdue University; University of Nebraska System; University of Nebraska Lincoln</t>
  </si>
  <si>
    <t>Wang, HH (corresponding author), Purdue Univ, W Lafayette, IN 47907 USA.</t>
  </si>
  <si>
    <t>huiwang@purdue.edu</t>
  </si>
  <si>
    <t>wang, hui/HSG-6135-2023; WANG, HUIYUAN/IXX-2427-2023; Wang, Hui/HMU-9512-2023; wang, hao/HSE-7975-2023; wang, huimin/HDM-8421-2022; wang, hui/GRS-4730-2022</t>
  </si>
  <si>
    <t>Nelson, Bryanna/0000-0002-4255-375X</t>
  </si>
  <si>
    <t>[Anonymous], 2013, NEXT GENERATION SCIE; [Anonymous], 2012, Statistical abstract of the United States: 2012; [Anonymous], 2018, UNITED NATIONS CLIMA; [Anonymous], 1996, Revised 1996 IPCC Guidelines for National Greenhouse Gas Inventories; Arbuckle JG, 2013, CLIMATIC CHANGE, V118, P551, DOI 10.1007/s10584-013-0700-0; Arbuckle JG, 2015, ENVIRON BEHAV, V47, P205, DOI 10.1177/0013916513503832; Clary R.M., 2012, Journal of College Science Teaching, V41, P70; Colston NM, 2015, J EDUC POLICY, V30, P773, DOI 10.1080/02680939.2015.1011711; Cross S. M., 2018, Journal of Agricultural Education, V59, P88, DOI 10.5032/jae.2018.04088; Fortner R. W., 2001, Canadian Journal of Environmental Education, V6, P18; Fosu-Mensah B. Y., 2012, Environment Development and Sustainability, V14, P495, DOI 10.1007/s10668-012-9339-7; Herman BC, 2017, INT J SCI MATH EDUC, V15, P451, DOI 10.1007/s10763-015-9706-6; Karl TR., 2012, EOS T AM GEOPHYS UN, V93, P473, DOI DOI 10.1029/2012EO470001; Kirk KarinB., 2014, J GEOSCIENCE ED, V62, P538, DOI DOI 10.5408/13-054; Lambert JL, 2012, INT J SCI EDUC, V34, P1167, DOI 10.1080/09500693.2011.633938; Mader T. L., 2012, W SECTION AM SOC ANI, V62, P335; Michail S, 2007, SCI EDUC, V91, P244, DOI 10.1002/sce.20185; Monroe MC, 2019, ENVIRON EDUC RES, V25, P791, DOI 10.1080/13504622.2017.1360842; National Council for Agricultural Education, 2010, NAT AFNR CONT STAND; Nyanga P. H., 2011, SMALLHOLDER FARMERS, DOI [10.5539/jsd.v4n4p73, DOI 10.5539/JSD.V4N4P73]; Papadimitriou V., 2004, J SCI EDUC TECHNOL, V13, P299, DOI [10.1023/B:JOST.0000031268.72848.6d, https://doi.org/10.1023/B:JOST.0000031268.72848.6d, DOI 10.1023/B:JOST.0000031268.72848.6D]; Plutzer E, 2016, SCIENCE, V351, P664, DOI 10.1126/science.aab3907; Probst L, 2019, J AGRIC EDUC EXT, V25, P25, DOI 10.1080/1389224X.2018.1520733; Reynolds TW, 2010, RISK ANAL, V30, P1520, DOI 10.1111/j.1539-6924.2010.01448.x; Shoulders C.W., 2013, Journal of Agricultural Education, V54, P140, DOI [10.5032/jae.2013.03140, DOI 10.5032/JAE.2013.03140]; Summers M, 2001, INT J SCI EDUC, V23, P33, DOI 10.1080/09500690116990; Tambo JA, 2012, MITIG ADAPT STRAT GL, V17, P277, DOI 10.1007/s11027-011-9325-7; Taylor M., 2018, Journal of Agricultural Education, V59, P215; Teed R., 2014, Journal of Geoscience Education, V62, P587, DOI [https://doi.org/10.5408/13-039.1, DOI 10.5408/13-039.1]; Tobin D, 2017, WEATHER CLIM SOC, V9, P591, DOI 10.1175/WCAS-D-16-0106.1; White P. Troy, 2014, Natural Sciences Education, V43, P85, DOI 10.4195/nse2014.01.0001</t>
  </si>
  <si>
    <t>1389-224X</t>
  </si>
  <si>
    <t>1750-8622</t>
  </si>
  <si>
    <t>J AGRIC EDUC EXT</t>
  </si>
  <si>
    <t>J. Agric. Educ. Ext.</t>
  </si>
  <si>
    <t>10.1080/1389224X.2019.1699126</t>
  </si>
  <si>
    <t>LH9ZP</t>
  </si>
  <si>
    <t>WOS:000529143800002</t>
  </si>
  <si>
    <t>Burkholder, KC; Devereaux, J; Grady, C; Solitro, M; Mooney, SM</t>
  </si>
  <si>
    <t>Burkholder, Kristin C.; Devereaux, Jessica; Grady, Caroline; Solitro, Molly; Mooney, Susan M.</t>
  </si>
  <si>
    <t>Longitudinal Study of the Impacts of a Climate Change Curriculum on Undergraduate Student Learning: Initial Results</t>
  </si>
  <si>
    <t>climate change; learning community; interdisciplinary; systems-based design; environmental ethics; environmental science; community based learning; longitudinal research; case studies</t>
  </si>
  <si>
    <t>SUSTAINABILITY; COMPETENCES; SCIENCE; MODEL</t>
  </si>
  <si>
    <t>The present study assesses the efficacy of a semester-long undergraduate sustainability curriculum designed from a systems approach. The three-course curriculum, which incorporated environmental science and ethics courses along with an integrative course using a community-based learning pedagogy, was intended to provide students with experience using knowledge and skills from distinct disciplines in a holistic way in order to address the complex problems of the human acceptance of and response to anthropogenic climate change. In the fall of 2013, 23 of the 24 sophomore general education students enrolled in the three courses were surveyed at the beginning and end of the semester; 17 of those same students completed the survey again in the spring of 2016, their senior year. Results, which focus on the 17 students who continued to participate through their senior year, were analyzed with quantitative and qualitative methodologies. The pre/post data from the surveys demonstrated significant improvement in climate literacy, certainty, concern and urgency over the course of the semester; the senior data indicated that those improvements were largely retained. The study also suggests that the nine-credit curriculum improved transferable skills such as interdisciplinary thinking, self-confidence and public speaking. A qualitative analysis of three student cases, informed by a focus group (n = 7) of seniors along with other sources of information, suggested retention of such transferable skills, and, in some cases, deeper involvement in climate and sustainability action.</t>
  </si>
  <si>
    <t>[Burkholder, Kristin C.; Devereaux, Jessica; Grady, Caroline; Solitro, Molly; Mooney, Susan M.] Stonehill Coll, Biol Dept, Environm Sci &amp; Studies Program, Easton, MA 02357 USA</t>
  </si>
  <si>
    <t>Burkholder, KC (corresponding author), Stonehill Coll, Biol Dept, Environm Sci &amp; Studies Program, Easton, MA 02357 USA.</t>
  </si>
  <si>
    <t>kburkholder@stonehill.edu; jess.devereaux@gmail.com; cgrady@students.stonehill.edu; msolitro@students.stonehill.edu; smooney@stonehill.edu</t>
  </si>
  <si>
    <t>CSC Endowed Chair in Biology</t>
  </si>
  <si>
    <t>The authors gratefully acknowledge the Francis J. Hurley, CSC Endowed Chair in Biology for providing funding for the research. We also thank Stonehill colleagues including Bronwyn (Heather) Bleakley, Stacey Grooters, Heather Perry, Christopher Wetzel and the members of the Stonehill College Scholarship of Teaching and Learning writing retreats. Finally, we thank the student participants and our community partners.</t>
  </si>
  <si>
    <t>Alwin D., 1991, Political attitudes over the life span: The Bennington women after 50 years; Anderegg WRL, 2010, P NATL ACAD SCI USA, V107, P12107, DOI 10.1073/pnas.1003187107; [Anonymous], COMMUNICATING CLIMAT; [Anonymous], ENGAGING CLIMATE CHA; [Anonymous], 2010, CLIMATE CHANGE GENER; [Anonymous], CLIM CHANG 2014 IMP; Barros V, 2014, CLIMATE CHANGE 2014: IMPACTS, ADAPTATION, AND VULNERABILITY, PT A: GLOBAL AND SECTORAL ASPECTS, pIX; Bickford D.M., 2002, PEDAGOGY, V2, P229; Cook J, 2013, ENVIRON RES LETT, V8, DOI 10.1088/1748-9326/8/2/024024; Cooper CB, 2011, BIOSCIENCE, V61, P231, DOI 10.1525/bio.2011.61.3.8; Cordero EC, 2008, B AM METEOROL SOC, V89, P865, DOI 10.1175/2007BAMS2432.1; Doherty TJ, 2011, AM PSYCHOL, V66, P265, DOI 10.1037/a0023141; Doran P., 2009, EOS T AM GEOPHYS UNI; George L.A., 2010, J COLL SCI TEACH, V39, P28; Gore A., 1992, EARTH IN THE BALANCE; Hallar AG, 2011, B AM METEOROL SOC, V92, P909, DOI 10.1175/2011BAMS3026.1; HANSEN J, 1981, SCIENCE, V213, P957, DOI 10.1126/science.213.4511.957; Heberlein TA, 2012, NAVIGATING ENV ATTIT; Henderson K., WHOLE SCH APPROACHES; Hesse-Biber S.N., 2010, The Practice of Qualitative Research; Karmalkar AV, 2017, PLOS ONE, V12, DOI 10.1371/journal.pone.0168697; Leiserowitz A., 2015, CLIMATE CHANGE AMERI, P4; Leiserowitz Anthony., 2011, CLIMATE CHANGE AM MI; McCright AM, 2011, SOCIOL QUART, V52, P155, DOI 10.1111/j.1533-8525.2011.01198.x; McNeill KL, 2012, RES SCI EDUC, V42, P373, DOI 10.1007/s11165-010-9202-5; Mooney S., 2010, PHILOS CONT WORLD, V27, P48; Nisbet MC, 2009, AM J BOT, V96, P1767, DOI 10.3732/ajb.0900041; Pepper C, 2008, J EDUC ADMIN, V46, P613, DOI 10.1108/09578230810895528; Plutzer E, 2016, SCIENCE, V351, P664, DOI 10.1126/science.aab3907; Reiter M.A., 2012, SUSTAINABLE DEV U NE, V33, P109; Sallenger AH, 2012, NAT CLIM CHANGE, V2, P884, DOI [10.1038/nclimate1597, 10.1038/NCLIMATE1597]; Smith B.S., 2004, Learning communities: Reforming undergraduate education; Soule ME, 1998, BIOSCIENCE, V48, P397, DOI 10.2307/1313379; Stern PC, 2000, J SOC ISSUES, V56, P407, DOI 10.1111/0022-4537.00175; Stoknes P.E., 2015, WHAT WE THINK WE TRY; Sturgis P, 2004, PUBLIC UNDERST SCI, V13, P55, DOI 10.1177/0963662504042690; Svinicki M.D., 2004, Learning and motivation in the postsecondary classroom; Uzzell D., 1999, CAMB J EDUC, V29, P397, DOI DOI 10.1080/0305764990290309; Varela-Losada M, 2016, PROCD SOC BEHV, V228, P587, DOI 10.1016/j.sbspro.2016.07.090; Vega-Marcote P, 2015, SUSTAINABILITY-BASEL, V7, P2603, DOI 10.3390/su7032603; Vincent S., 2011, J ENVIRON STUD SCI, V1, P14, DOI [https://doi.org/10.1007/s13412-011-0007-2, DOI 10.1007/S13412-011-0007-2]; Wachholz S, 2014, INT J SUST HIGHER ED, V15, P128, DOI 10.1108/IJSHE-03-2012-0025; Whitmarsh L., 2011, Engaging the public with climate change: Behaviour change and communication; Wiek A, 2011, SUSTAIN SCI, V6, P203, DOI 10.1007/s11625-011-0132-6; Wolf J, 2011, WIRES CLIM CHANGE, V2, P547, DOI 10.1002/wcc.120</t>
  </si>
  <si>
    <t>10.3390/su9060913</t>
  </si>
  <si>
    <t>WOS:000404133200044</t>
  </si>
  <si>
    <t>Stevenson, F; Kwok, A</t>
  </si>
  <si>
    <t>Stevenson, Fionn; Kwok, Alison</t>
  </si>
  <si>
    <t>Mainstreaming zero carbon: lessons for built-environment education and training</t>
  </si>
  <si>
    <t>BUILDINGS &amp; CITIES</t>
  </si>
  <si>
    <t>accreditation; built environment; capability; climate change; education; practices; policy; reform; sustainability; training; zero carbon</t>
  </si>
  <si>
    <t>Education and training are identified as a key means of reducing carbon emissions from buildings to help address the climate emergency. Institutional, industry and organisational responses are shown to be failing in this regard. This editorial introduces the themes and individual papers in the special issue and then explores the current state of the art through pedagogy, theory, training, policy, practice and standards. These areas are interrogated through three fundamental questions. How can education and training be rapidly changed to ensure the creation of zero-carbon built environments? How can this transition be implemented successfully? What positive examples and models can be drawn upon or adapted? In proposing an agenda for change, a new approach to education is set out which combines learning outcomes with new standards and personal values within a continual questioning and holding to account of all stakeholders involved through evidenced outcomes. This draws on evidence from the special issue and Capability Theory which allies competency with personhood to create capability through agency. The process to make this change requires: (1) government intervention, to ensure that the lowest common denominator is zero-carbon best practice within a negotiated, holistic approach to developing the built environment sustainably; (2) new ethical, interdisciplinary and collective educational working practices underpinned by new pedagogical theory and accreditation processes; and (3) rapid auditing and upskilling in climate literacy to bring pressure to bear on governments and institutions to carry out reforms.</t>
  </si>
  <si>
    <t>[Stevenson, Fionn] Univ Sheffield, Sch Architecture, Sheffield, England; [Kwok, Alison] Univ Oregon, Sch Architecture &amp; Environm, Eugene, OR USA</t>
  </si>
  <si>
    <t>University of Sheffield; University of Oregon</t>
  </si>
  <si>
    <t>Stevenson, F (corresponding author), Univ Sheffield, Sch Architecture, Sheffield, England.</t>
  </si>
  <si>
    <t>f.stevenson@sheffield.ac.uk</t>
  </si>
  <si>
    <t>Altomonte S., 2012, Sustainable architectural education: White Paper; [Anonymous], 2017, The Clean Growth Strategy: Leading the way to a low carbon future; [Anonymous], 2019, OFFICIAL J EUROPEAN, P1; Holgate P., 2019, Defining contemporary professionalism: For architects in practice and education, P132, DOI [10.4324/9780429347856-34, DOI 10.4324/9780429347856-34]; International Energy Agency (IEA), 2019, Tech. rep.; Nicolaides A, 2013, J TRANSFORM EDUC, V11, P246, DOI 10.1177/1541344614540333; RIBA, 2020, The way ahead: An introduction to the new RIBA Education and Professional Development Framework and an overview of its key components; RIBA, 2018, RIBA Ethics and Sustainable Development Commission: Key findings and recommendations; RIBA, 2019, Code of conduct; RIBA, 2019, Sustainability outcomes guide; Schon D., 1984, REFLECTIVE PRACTITIO, P21; Sen A., 1993, The Quality of Life, DOI DOI 10.1093/0198287976.001.0001; Stevenson F, 2009, P 26 INT C PASSIVE L, P228; Stevenson F., 2019, Housing fit for purpose: Performance, feedback and learning, DOI [10.4324/9780429347870, DOI 10.4324/9780429347870]</t>
  </si>
  <si>
    <t>UBIQUITY PRESS LTD</t>
  </si>
  <si>
    <t>Unit 3N, 6 Osborn Street, LONDON, E1 6TD, ENGLAND</t>
  </si>
  <si>
    <t>2632-6655</t>
  </si>
  <si>
    <t>BUILD CITIES</t>
  </si>
  <si>
    <t>Build. Cities</t>
  </si>
  <si>
    <t>10.5334/bc.84</t>
  </si>
  <si>
    <t>Construction &amp; Building Technology</t>
  </si>
  <si>
    <t>OO0V5</t>
  </si>
  <si>
    <t>Green Accepted, gold, Green Published</t>
  </si>
  <si>
    <t>WOS:001208106700021</t>
  </si>
  <si>
    <t>Cobbinah, PB; Asibey, MO; Boakye, AA; Addaney, M</t>
  </si>
  <si>
    <t>Cobbinah, Patrick Brandful; Asibey, Michael Osei; Boakye, Angela Achiaa; Addaney, Michael</t>
  </si>
  <si>
    <t>The myth of urban poor climate adaptation idiosyncrasy</t>
  </si>
  <si>
    <t>Accra; Adaptation; Climate change; Flooding; Urban poor; Ghana; Urban planning</t>
  </si>
  <si>
    <t>The growing assumption in urban studies literature is that the urban poor remain vulnerable to climate change impacts yet excluded from planning interventions and their formation. However, at present, there is dearth of research examining the adaptation practices by the urban poor in African cities. Focusing on Ghana's capital, Accra, the purpose of this study is fourfold: (i) to explore climate change literacy among the urban poor and local planning institutions; (ii) to examine the urban poor's perceptions on climatic events in Accra; (iii) to analyze autonomous adaptation measures to climate change impacts; and (iv) to assess planned adaptation measures to climate change impacts. This paper uses household surveys, secondary data analysis and agency interviews in two informal communities - Nima and Chorkor - in Accra as case studies. Underpinned by the social exclusion theory, the results show limited climate literacy despite widespread experience of climate change impacts by the urban poor. Most adaptation measures were community driven and autonomous while the limited institutional responses were both planned and autonomous. However, both community and institutional planning responses were ad-hoc, reactionary and unsustainable. The paper recommends consideration of community-based selforganizing adaptation measures into city plans to ensure that autonomous measures are complemented with planned adaptation strategies. In addition to stakeholder participation, collaborations and partnerships in climate change adaptation, pro-poor adaptation measures - both autonomous and planned remain imperative as they can contribute to inclusive and just climate change policy.</t>
  </si>
  <si>
    <t>[Cobbinah, Patrick Brandful] Univ Melbourne, Fac Architecture Bldg &amp; Planning, Parkville, Vic 3010, Australia; [Asibey, Michael Osei; Boakye, Angela Achiaa] Kwame Nkruamah Univ Sci &amp; Technol, Dept Planning, Kumasi, Ghana; [Addaney, Michael] Univ Energy &amp; Nat Resources, Dept Planning &amp; Sustainabil, Sunyani, Ghana</t>
  </si>
  <si>
    <t>University of Melbourne</t>
  </si>
  <si>
    <t>Asibey, MO (corresponding author), Kwame Nkruamah Univ Sci &amp; Technol, Dept Planning, Kumasi, Ghana.</t>
  </si>
  <si>
    <t>patrick.cobbinah@unimelb.edu.au; asibeymichael@yahoo.com; michael.addaney@uenr.edu.gh</t>
  </si>
  <si>
    <t>Addaney, Michael/AAT-4157-2021; Asibey, Michael Osei/P-2396-2016</t>
  </si>
  <si>
    <t>Addaney, Michael/0000-0003-4351-1241; Asibey, Michael Osei/0000-0002-5534-2695</t>
  </si>
  <si>
    <t>Addaney M, 2021, LOCAL ENVIRON, V26, P1461, DOI 10.1080/13549839.2021.1978411; Agrawal A, 2010, NEW FRONT SOC POLICY, P173; Agrawal Arun., 2008, ROLE LOCAL I ADAPTAT, DOI 10.1007/978-0-387-75217-4_1; Agrawala S, 2004, IDS BULL-I DEV STUD, V35, P50, DOI 10.1111/j.1759-5436.2004.tb00134.x; Agyei-Mensah S., 2012, Urban Forum, V23, P133; [Anonymous], 2015, RISING CITIES GHANA; [Anonymous], 2021, GHANA 2021 POPULATIO; [Anonymous], 2013, Global monitoring report 2013: Rural-urban dynamics and the millennium development goals; [Anonymous], 1996, ENVIRON HAZARDS-UK; Arthurson K, 2015, LOCAL ENVIRON, V20, P1, DOI 10.1080/13549839.2013.818951; Attipoe S., 2014, ASSESSMENT FLOOD MIT; Baker JL, 2012, URB DEV SER, P1, DOI 10.1596/978-0-8213-8845-7; Butler J. A, 2013, GLOBAL ENVIRON CHANG, P368; Byrne David., 2005, Social Exclusion; Chatterjee M, 2010, MITIG ADAPT STRAT GL, V15, P337, DOI 10.1007/s11027-010-9221-6; Clark G.E., 1998, Mitigation and Adaptation Strategies for Global Change, V3, P59, DOI DOI 10.1023/A:1009609710795; Cobbinah PB, 2019, J URBAN MANAG, V8, P261, DOI 10.1016/j.jum.2019.02.002; Cobbinah PB, 2016, CLIM DEV, V8, P169, DOI 10.1080/17565529.2015.1034228; Cobbinah PB, 2015, CITIES, V47, P62, DOI 10.1016/j.cities.2015.03.013; Darkwah RM, 2018, GEOFORUM, V94, P12, DOI 10.1016/j.geoforum.2018.05.023; Eriksen SH, 2007, CLIM POLICY, V7, P337, DOI 10.1080/14693062.2007.9685660; Finn B, 2015, AFR SPECTR, V50, P29, DOI 10.1177/000203971505000302; Finn BM, 2021, ENVIRON PLAN C-POLIT, V39, P152, DOI 10.1177/2399654420941519; Ghana Statistical Service, 2014, 2010 Population and housing census: District analytical report of La-Nkwantanang Madina Municipal; Haddad Lawrence., 2012, The Guardian; Hossain Z., 2014, THESIS HERIOT WATT U; International Federation of Red Cross and Red Crescent Societies, 2015, EMERGENCY PLAN ACTIO; IPCC, 2012, MANAGING RISK EXTREM; Johnston J D., 2019, Climate Action, P200, DOI [DOI 10.1007/978-3-319-95885-9_31, 10.1007/978-3-319-95885-9_31]; Khochiani R, 2020, ENERG ENVIRON-UK, V31, P886, DOI 10.1177/0958305X19881750; Korah ProsperIssahaku., 2019, The Geography of Climate Change Adaptation in Urban Africa, P451, DOI DOI 10.1007/978-3-030-04873-016; Leary N., 1999, Mitigation and Adaptation Strategies for Global Change, V4, P307, DOI [DOI 10.1023/A:1009667706027, 10.1023/A:1009667706027]; Moench M., 2004, Adaptive capacity and livelihood resilience-Adaptive strategies for responding to floods and droughts in South Asia; Moser C., 2008, PROPOOR ADAPTATION C, P1; Moser SC, 2010, P NATL ACAD SCI USA, V107, P22026, DOI 10.1073/pnas.1007887107; Mubaya CP, 2017, CLIM RISK MANAG, V16, P93, DOI 10.1016/j.crm.2017.03.003; Oteng-Ababio M, 2011, JAMBA-J DISASTER RIS, V3, P429; Quaye D.N, 2018, COMP STUDY URBAN POV; Ravallion M, 2007, POPUL DEV REV, V33, P667, DOI 10.1111/j.1728-4457.2007.00193.x; ROY Manoj., 2011, Poverty and climate change in urban Bangladesh (CLIMURB): an analytical framework, DOI [10.2139/ssrn.1833503, DOI 10.2139/SSRN.1833503]; Sewidan N, 2015, POVERTY GHANAS LARGE; Sherrard J., 2007, EQUITY RESPONSE CLIM; Smit B, 2001, CLIMATE CHANGE 2001: IMPACTS, ADAPTATION, AND VULNERABILITY, P877; Solomon S, 2007, AR4 CLIMATE CHANGE 2007: THE PHYSICAL SCIENCE BASIS, P1; UN-Habitat, 2017, COMMITTEE REGIONAL D; United Nations Framework Convention on Climate Change, 2007, CLIMATE CHANGE IMPAC; Yiannakou A, 2017, SUSTAINABILITY-BASEL, V9, DOI 10.3390/su9020271</t>
  </si>
  <si>
    <t>10.1016/j.envsci.2021.12.008</t>
  </si>
  <si>
    <t>0T9BK</t>
  </si>
  <si>
    <t>WOS:000787256200009</t>
  </si>
  <si>
    <t>Boateng, EA; Asibey, MO; Cobbinah, PB; Adutwum, IO; Blija, DK</t>
  </si>
  <si>
    <t>Boateng, Emmanuel Adu; Asibey, Michael Osei; Cobbinah, Patrick Brandful; Adutwum, Isaac Osei; Blija, Daniel Kwame</t>
  </si>
  <si>
    <t>Enabling nature-based solutions: Innovating urban climate resilience</t>
  </si>
  <si>
    <t>JOURNAL OF ENVIRONMENTAL MANAGEMENT</t>
  </si>
  <si>
    <t>Adaptation; Resilience; Climate change; Nature -based solutions; Kumasi; Ghana</t>
  </si>
  <si>
    <t>CAMEROON</t>
  </si>
  <si>
    <t>Current conceptualizations of nature-based solutions have so far served to characterize-and reproduce-costeffective remedies, particularly in cities of the global north. Yet nature-based solutions (NbS) are fundamental to the production of urban resilience. Focusing on Ghana's second largest city, Kumasi, this research (i) examines climate literacy and explores the existing nature-based solutions towards climate change adaption; (ii) examines the perception on existing NbS and the barriers to building climate resilience via NbS; and (iii) explores ways of promoting the implementation of NbS to build climate resilience. It addresses these objectives drawing from secondary data, 367 household surveys and 7 agency interviews. The findings show that about two thirds (63%) of urban residents in the case study area are climate illiterate, and this has affected the slow uptake of nature based solutions as climate management intervention. The urban residents acknowledge the importance of nature based solutions but identify barriers such as poor consideration of the role of natural infrastructure and their incorporation in the planning process, inadequate technical capacity and guidance for incorporating NbS in climate planning, high cost requirements of NbS interventions, disparate interests from various institutions, and a general lack of knowledge, appreciation and interest from urban residents. The study concludes that mainstreaming and upscaling NbS in urban systems will require major investments which should vary from one city to the other depending on perculiar needs.</t>
  </si>
  <si>
    <t>[Boateng, Emmanuel Adu; Asibey, Michael Osei; Adutwum, Isaac Osei; Blija, Daniel Kwame] KNUST, Coll Art &amp; Built Environm, Dept Planning, Kumasi, Ghana; [Cobbinah, Patrick Brandful] Univ Melbourne, Fac Architecture Bldg &amp; Planning, Parkville, Vic 3010, Australia</t>
  </si>
  <si>
    <t>Kwame Nkrumah University Science &amp; Technology; University of Melbourne</t>
  </si>
  <si>
    <t>Asibey, MO (corresponding author), KNUST, Coll Art &amp; Built Environm, Dept Planning, Kumasi, Ghana.</t>
  </si>
  <si>
    <t>emmanuelboateng247@gmail.com; asibeymichael@yahoo.com; patrick.cobbinah@unimelb.edu.au; isaacoseiadutwum@gmail.com; danielblija3@gmail.com</t>
  </si>
  <si>
    <t>Asibey, Michael Osei/P-2396-2016</t>
  </si>
  <si>
    <t>Asibey, Michael Osei/0000-0002-5534-2695</t>
  </si>
  <si>
    <t>Adenle AA, 2017, WORLD DEV, V100, P123, DOI 10.1016/j.worlddev.2017.07.033; Adshead D., 2022, ROADMAP RESILIENT IN; Ahadzie DivineKwaku., 2016, International Information and Engineering Technology Association, V6, P538; Amponsah, 2022, SN SOC SCI, V2, P1, DOI [10.1007/S43545-022-00438-0, DOI 10.1007/S43545-022-00438-0, 10.1007/s43545-022-00438-0]; [Anonymous], 2009, Position paper on the fifteenth session of the conference of the parties to the United Nations Framework Convention on Climate Change (COP 15); Asibey M.O., 2022, The Palgrave Handbook of Global Sustainability, DOI [10.1007/978-3-030-38948-2_23-1, DOI 10.1007/978-3-030-38948-2_23-1]; Asibey MO, 2022, CITIES, V131, DOI 10.1016/j.cities.2022.103950; Blackwood L, 2022, NATURE BASED SOLUTIO; Castleton HF, 2010, ENERG BUILDINGS, V42, P1582, DOI 10.1016/j.enbuild.2010.05.004; Coates D, 2018, UN WORLD WATER DEV R, P21; Cobbinah PB, 2023, J PLAN LIT, V38, P361, DOI 10.1177/08854122221128762; Cobbinah PB, 2022, ENVIRON SCI POLICY, V128, P336, DOI 10.1016/j.envsci.2021.12.008; Cobbinah PB, 2021, ENVIRON URBAN, V33, P413, DOI 10.1177/09562478211019836; Creswell J. W., 2009, RES DESIGN QUALITATI; Duffaut C., 2022, SPAT INF RES, V14, P1; Eggermont H, 2015, GAIA, V24, P243, DOI 10.14512/gaia.24.4.9; Ejembi E. P., 2012, Research on Humanities and Social Sciences, V2, P1; European Commission (Ec), 2015, EUROPEAN COMMISSION, P1349; Field C.B., 2014, CLIMATE CHANGE 2014, DOI DOI 10.1017/CBO9781107415379; IUCN, 2016, GLOB STAND NAT BAS S; IUCN, 2014, NATURE BASED SOLUTIO; Johnston J D., 2019, Climate Action, P200, DOI [DOI 10.1007/978-3-319-95885-9_31, 10.1007/978-3-319-95885-9_31]; Kahsay T.W., 2016, THESIS ADDIS ABABA U; Komolafe A. A., 2014, American Journal of Environmental Sciences, V10, P412, DOI 10.3844/ajessp.2014.412.423; Kumar P, 2021, SCI TOTAL ENVIRON, V784, DOI 10.1016/j.scitotenv.2021.147058; Leal W, 2018, MITIG ADAPT STRAT GL, V23, P579, DOI 10.1007/s11027-017-9750-3; Lechner AM, 2020, BLUE-GREEN SYST, V2, P331, DOI 10.2166/bgs.2020.014; Maes J, 2017, CONSERV LETT, V10, P121, DOI 10.1111/conl.12216; Moser C, 2008, IIED, P1; Muller-Kuckelberg K., 2012, CLIMATE CHANGE ITS I; Narh SN, 2020, URBAN FOR URBAN GREE, V55, DOI 10.1016/j.ufug.2020.126819; Pandve Harshal T, 2011, Indian J Occup Environ Med, V15, P109, DOI 10.4103/0019-5278.93200; Sarabi S, 2020, J ENVIRON MANAGE, V270, DOI 10.1016/j.jenvman.2020.110749; Srivastava S., 2020, GHANA BALANCING EC G; UN-Habitat, 2014, The State of African Cities 2014. Re-Imaging Sustainable Urban Transitions; United Nations Framework Convention for Climate Change, 2007, CLIMATE CHANGE IMPAC; Wamsler C, 2012, ECOL SOC, V17, DOI 10.5751/ES-04645-170202; World Bank, 2015, RIS CIT GHAN; World Bank Group, 2022, CURR CLIM TRENDS SIG; World Bank Group and Global Facility for Disaster Reduction and Recovery, 2017, ENH URB RES GREAT AC; Yamba S, 2017, SCIENTIFICA, V2017, DOI 10.1155/2017/1868290; Yengoh GT, 2017, J ENVIRON PLANN MAN, V60, P204, DOI 10.1080/09640568.2016.1149048</t>
  </si>
  <si>
    <t>0301-4797</t>
  </si>
  <si>
    <t>1095-8630</t>
  </si>
  <si>
    <t>J ENVIRON MANAGE</t>
  </si>
  <si>
    <t>J. Environ. Manage.</t>
  </si>
  <si>
    <t>APR 15</t>
  </si>
  <si>
    <t>10.1016/j.jenvman.2023.117433</t>
  </si>
  <si>
    <t>FEB 2023</t>
  </si>
  <si>
    <t>9A8AU</t>
  </si>
  <si>
    <t>WOS:000934274900001</t>
  </si>
  <si>
    <t>Aguirre-Bielschowsky, Ikerne; Lawson, Rob; Stephenson, Janet; Todd, Sarah</t>
  </si>
  <si>
    <t>Kids and Kilowatts: Socialisation, energy efficiency, and electricity consumption in New Zealand</t>
  </si>
  <si>
    <t>Children; Energy; Electricity; Socialisation; Household; New Zealand</t>
  </si>
  <si>
    <t>PRO-ENVIRONMENTAL BEHAVIOR; YOUNG-CHILDREN; HOUSEHOLD; CONSERVATION; ADOLESCENTS; SCHOOL; ATTITUDES; AWARENESS; EDUCATION; LITERACY</t>
  </si>
  <si>
    <t>Socialisation into electricity consumption usually occurs during childhood, but little is known about the socialisation processes involved. Here, we use interviews and focus groups to investigate how nine to ten-year-old children from New Zealand learn about, and consume, electricity in their homes. The children used a wide range of electrical appliances and engaged in different energy saving behaviours, often without being conscious of their implications. Control over appliances and learning through modelling, reminders and rules helped to socialise children into saving electricity, while nagging and inconsistent behaviours from parents were counterproductive. Conversations about energy were uncommon, but helpful for creating consciousness about energy use. We discuss the need for a more structured approach, through developing energy literacy, in order for children to use their agency, surpass their parents' level of energy saving practices, and stabilise energy saving behaviours through life. In addition, we provide recommendations on how parents, schools, the media and product developers can help in this process.</t>
  </si>
  <si>
    <t>[Aguirre-Bielschowsky, Ikerne; Stephenson, Janet] Univ Otago, Ctr Sustainabil, 563 Castle St, Dunedin 9016, New Zealand; [Lawson, Rob] Univ Otago, Dept Mkt, Cnr Clyde &amp; Union St, Dunedin 9016, New Zealand; [Todd, Sarah] Univ Otago, Off Int, 90 Union Pl East, Dunedin 9016, New Zealand; [Aguirre-Bielschowsky, Ikerne] Univ Melbourne, Sch Geog, 221 Bouverie St, Carlton, Vic 3053, Australia; [Todd, Sarah] Griffith Univ, Griffith Int, Gold Coast Campus, Nathan, Qld 4222, Australia</t>
  </si>
  <si>
    <t>University of Otago; University of Otago; University of Otago; University of Melbourne; Griffith University</t>
  </si>
  <si>
    <t>Aguirre-Bielschowsky, I; Stephenson, J (corresponding author), Univ Otago, Ctr Sustainabil, 563 Castle St, Dunedin 9016, New Zealand.;Aguirre-Bielschowsky, I (corresponding author), Univ Melbourne, Sch Geog, 221 Bouverie St, Carlton, Vic 3053, Australia.</t>
  </si>
  <si>
    <t>ikerne.aguirre@unimelb.edu.au; janet.stephenson@otago.ac.nz</t>
  </si>
  <si>
    <t>Stephenson, Janet/G-5773-2017</t>
  </si>
  <si>
    <t>Stephenson, Janet/0000-0003-1454-524X</t>
  </si>
  <si>
    <t>Abrahamse W, 2005, J ENVIRON PSYCHOL, V25, P273, DOI 10.1016/j.jenvp.2005.08.002; Agarwal S, 2017, ENERG ECON, V61, P29, DOI 10.1016/j.eneco.2016.10.014; Aguirre-Bielschowsky I., 2017, ENVIRON EDUC RES, V23, P1; AJZEN I, 1991, ORGAN BEHAV HUM DEC, V50, P179, DOI 10.1016/0749-5978(91)90020-T; Amato PR, 2002, J MARRIAGE FAM, V64, P703, DOI 10.1111/j.1741-3737.2002.00703.x; [Anonymous], FIGURES CONT TRANSMI; [Anonymous], 2008, STAT MARKETING CONSU; Aronson E., 1999, Social psychology, V3rd; Bell S, 2015, ENERGY RES SOC SCI, V9, P98, DOI 10.1016/j.erss.2015.08.027; Boudet H, 2016, NAT ENERGY, V1, DOI [10.1038/nenergy.2016.91, 10.1038/NENERGY.2016.91]; Boudet H, 2014, ENERG POLICY, V73, P439, DOI 10.1016/j.enpol.2014.05.044; Bronfenbrenner W., 1979, The ecology of human development: Experiments by nature and design; Cornelius M, 2014, ENERG EFFIC, V7, P217, DOI 10.1007/s12053-013-9219-5; Craig CA, 2015, UTIL POLICY, V35, P41, DOI 10.1016/j.jup.2015.06.011; DeWaters J. E., 2011, P 41 ANN FRONT ED C; DeWaters J, 2013, J ENVIRON EDUC, V44, P38, DOI 10.1080/00958964.2012.711378; DeWaters JE, 2011, ENERG POLICY, V39, P1699, DOI 10.1016/j.enpol.2010.12.049; Dorji U, 2015, EDUC TECHNOL SOC, V18, P91; Fell MJ, 2014, ENERG POLICY, V65, P351, DOI 10.1016/j.enpol.2013.10.003; Garabuau-Moussaoui I., 2008, EUR SOC ASS NETW SOC; Garabuau-Moussaoui Isabelle, 2011, CONSOMMER PROTEGER E, P67; Goodchild B, 2017, ENERGY RES SOC SCI, V31, P137, DOI 10.1016/j.erss.2017.06.009; GRALINSKI JH, 1993, DEV PSYCHOL, V29, P573, DOI 10.1037/0012-1649.29.3.573; Gram-Hanssen K., 2005, P ECEEE SUMM STUD EU; Gram-Hanssen K, 2014, ARCHIT ENG DES MANAG, V10, P91, DOI 10.1080/17452007.2013.837251; Gram-Hanssen K, 2013, ENERG EFFIC, V6, P447, DOI 10.1007/s12053-012-9184-4; Gronhoj A., 2006, J CONSUM BEHAV, V5, P491, DOI 10.1002/cb.198; Gronhoj A., 2007, Children, media and consumption: On the front edge, P319; Gronhoj A, 2012, J ECON PSYCHOL, V33, P292, DOI 10.1016/j.joep.2011.10.001; Gronhoj A, 2011, INT J CONSUM STUD, V35, P138, DOI 10.1111/j.1470-6431.2010.00967.x; Gronhoj A, 2009, J ENVIRON PSYCHOL, V29, P414, DOI 10.1016/j.jenvp.2009.05.002; Gustafsson A., 2009, COMPUT ENTERTAIN, V7, P1, DOI [10.1145/1658866.1658873, DOI 10.1145/1658866.1658873]; Halder P, 2011, APPL ENERG, V88, P1233, DOI 10.1016/j.apenergy.2010.10.017; Hanson R., 1993, STUDIES ED EVALUATIO, V19, P287; Horn Michael S., 2015, INT J CHILD COMPUTER, V3-4, P14, DOI [10.1016/j.ijcci.2015.09.002, DOI 10.1016/J.IJCCI.2015.09.002]; Horta A, 2016, ENERGY RES SOC SCI, V13, P15, DOI 10.1016/j.erss.2015.11.010; Huizingh E., 2007, Applied Statistics with SPSS; IBM, 2011, SPSS STATS CORR AN; International Energy Agency, 2012, WORLD EN OUTL EX SUM; Isabelle GM, 2011, ENERG EFFIC, V4, P493, DOI 10.1007/s12053-011-9124-8; Kahneman D., 2013, THINKING FAST SLOW; KEMPTON W, 1992, AM PSYCHOL, V47, P1213, DOI 10.1037/0003-066X.47.10.1213; Kleinschafer J, 2014, INT J CONSUM STUD, V38, P75, DOI 10.1111/ijcs.12066; KOCHANSKA G, 1995, CHILD DEV, V66, P236, DOI 10.2307/1131203; Kollmuss A., 2002, ENVIRON EDUC RES, V8, P239, DOI [10.1080/13504620220145401, DOI 10.1080/13504620220145401]; Komendantova N, 2016, ENERGY RES SOC SCI, V22, P224, DOI 10.1016/j.erss.2016.10.001; Kremer M, 2010, J FAM STUD, V16, P251, DOI 10.5172/jfs.16.3.251; Lawson R., 2012, UNDERSTANDING ENERGY; Martin JJ, 2020, ROUT INT HANDB, P280; Mehta R. C., 2010, IBM SPSS EXACT TESTS; New Zealand Ministry of Education, 2013, SCH DEC RAT; New Zealand National Energy Research Institute, 2008, EN HOM US; NEWBOROUGH M, 1991, APPL ENERG, V40, P119, DOI 10.1016/0306-2619(91)90018-S; Nies J. I., 1984, J VOCATIONAL HOME EC, V2, P93; Nixon E., 2010, CHILDRENS PERSPECTIV; Ntona E, 2015, RENEW SUST ENERG REV, V46, P1, DOI 10.1016/j.rser.2015.02.033; *NZ MIN ED, 2007, NZ CURRICULUM; Pelletier LG, 2011, CROSS CULT ADV POSIT, V1, P257, DOI 10.1007/978-90-481-9667-8_12; Reid L, 2010, PROG HUM GEOG, V34, P309, DOI 10.1177/0309132509346994; Rickinson M., 2001, ENVIRON EDUC RES, V7, P207, DOI [10.1080/13504620120065230, DOI 10.1080/13504620120065230]; SLOVIC P, 1987, SCIENCE, V236, P280, DOI 10.1126/science.3563507; Socolow RH, 2006, SCI AM, V3, P295; Sovacool BK, 2009, TECHNOL SOC, V31, P365, DOI 10.1016/j.techsoc.2009.10.009; Spagnola M, 2007, INFANT YOUNG CHILD, V20, P284, DOI 10.1097/01.IYC.0000290352.32170.5a; Starkweather J., 2012, RES STAT SUPPORT COR; Stephenson J, 2010, ENERG POLICY, V38, P6120, DOI 10.1016/j.enpol.2010.05.069; Toth N, 2013, J ENVIRON PSYCHOL, V34, P36, DOI 10.1016/j.jenvp.2012.12.001; Verplanken B, 1997, EUR J SOC PSYCHOL, V27, P539, DOI 10.1002/(SICI)1099-0992(199709/10)27:5&lt;539::AID-EJSP831&gt;3.3.CO;2-1; Verplanken B., 2012, HAB OV ACT MENT EV S; Wallis H, 2016, ENERG POLICY, V94, P224, DOI 10.1016/j.enpol.2016.03.046; Wilson C, 2007, ANNU REV ENV RESOUR, V32, P169, DOI 10.1146/annurev.energy.32.053006.141137; Zografakis N, 2008, ENERG POLICY, V36, P3226, DOI 10.1016/j.enpol.2008.04.021; Zyadin A, 2014, APPL ENERG, V114, P409, DOI 10.1016/j.apenergy.2013.09.072</t>
  </si>
  <si>
    <t>10.1016/j.erss.2018.04.020</t>
  </si>
  <si>
    <t>GU0EA</t>
  </si>
  <si>
    <t>WOS:000444920000020</t>
  </si>
  <si>
    <t>Moreno, MV; Zamora, MA; Skarmeta, AF</t>
  </si>
  <si>
    <t>Victoria Moreno, M.; Zamora, Miguel A.; Skarmeta, Antonio F.</t>
  </si>
  <si>
    <t>An IoT based framework for user-centric smart building services</t>
  </si>
  <si>
    <t>INTERNATIONAL JOURNAL OF WEB AND GRID SERVICES</t>
  </si>
  <si>
    <t>user-centric; smart buildings; energy efficiency; indoor positioning; context awareness</t>
  </si>
  <si>
    <t>ENERGY; CONSUMPTION; INTERNET; DESIGN</t>
  </si>
  <si>
    <t>Pervasive future internet networks enable housekeeping scenarios to provide intelligent services to a wide population. Among these scenarios, there is a strategy to experiment from the human-centric perspective, whereby the users, and not universal procedures, are the owners of the rules operating things. Following an IoT approach, we propose a smart building management system in this paper. An important aim of our user-centric building management system is to raise energy literacy and environmental consciousness by providing personalised steps for saving energy. This building management platform has been deployed in a real building where experimental tests have been carried out. The first experimental stages of our system operation already reflect energy savings of about 9% at building level when users are included in the loop of the management process. Furthermore, user feedbacks about their experience and their confidence level in the proposed system were gathered and taken into account for the subsequent adjustment of the system.</t>
  </si>
  <si>
    <t>[Victoria Moreno, M.; Zamora, Miguel A.; Skarmeta, Antonio F.] Univ Murcia, Dept Informat &amp; Commun Engn, E-30100 Murcia, Spain</t>
  </si>
  <si>
    <t>Moreno, MV (corresponding author), Univ Murcia, Dept Informat &amp; Commun Engn, Campus Espinardo, E-30100 Murcia, Spain.</t>
  </si>
  <si>
    <t>mvmoreno@um.es; mzamora@um.es; skarmeta@um.es</t>
  </si>
  <si>
    <t>Gomez, Antonio/HNB-6290-2023; Skarmeta Gómez, Antonio/K-4537-2014; Moreno Cano, M. Victoria/A-6145-2017</t>
  </si>
  <si>
    <t>Skarmeta Gómez, Antonio/0000-0002-5525-1259; Moreno Cano, M. Victoria/0000-0001-9067-3230</t>
  </si>
  <si>
    <t>European Commission [FP7-SMARTIE-609062, FP7-SOCIOTAL-609112]; Spanish Seneca Foundation by means of the Excellence Researching Group Program [04552/GERM/06]; FPI program [15493/FPI/10]</t>
  </si>
  <si>
    <t>European Commission(European Union (EU)European Commission Joint Research Centre); Spanish Seneca Foundation by means of the Excellence Researching Group Program; FPI program</t>
  </si>
  <si>
    <t>This work has been sponsored by European Commission through the FP7-SMARTIE-609062 and the FP7-SOCIOTAL-609112 EU Projects, and the Spanish Seneca Foundation by means of the Excellence Researching Group Program (04552/GERM/06) and the FPI program (Grant 15493/FPI/10).</t>
  </si>
  <si>
    <t>[Anonymous], 2001, ASHRAE Handbook; [Anonymous], 2006, 15251 EN CTR EUR NOR; [Anonymous], 2005, IEEE Connections; Atzori L, 2010, COMPUT NETW, V54, P2787, DOI 10.1016/j.comnet.2010.05.010; Berglund L., 1978, ASHRAE T, V84, P1848; Callaghan V, 2004, BT TECHNOL J, V22, P233, DOI 10.1023/B:BTTJ.0000047137.42670.4d; CARROLL JJ, 2004, P 13 INT WORLD WID W; Cohen D. A., 1995, P BUILD SIM 4 INT C; Darby S., 2006, A Review for DEFRA of the Literature on Metering, Billing and direct Displays; Davidsson P, 2002, JASSS, V5; Egilegor B., 1997, P BUILD SIM, V97; Escrivá-Escrivá G, 2011, ENERG BUILDINGS, V43, P476, DOI 10.1016/j.enbuild.2010.10.012; Fischer C, 2008, ENERG EFFIC, V1, P79, DOI 10.1007/s12053-008-9009-7; Fischer G, 2001, USER MODEL USER-ADAP, V11, P65, DOI 10.1023/A:1011145532042; Gomez-Skarmeta A.F., FUZZY SETS SYSTEMS, V106, P179; Han DM, 2010, IEEE T CONSUM ELECTR, V56, P1417, DOI 10.1109/TCE.2010.5606278; Horrocks I., 2004, W3C MEMBER SUBMISSIO; Hughes R, 2001, J FAM ISSUES, V22, P776, DOI 10.1177/019251301022006006; Kalogirou SA, 2000, APPL ENERG, V67, P17, DOI 10.1016/S0306-2619(00)00005-2; Moreno-Cano MV, 2013, NEUROCOMPUTING, V122, P116, DOI 10.1016/j.neucom.2013.01.045; Nieto I, 2006, J UNIVERS COMPUT SCI, V12, P357; O'Sullivan DTJ, 2004, ENERG BUILDINGS, V36, P1075, DOI 10.1016/j.enbuild.2004.03.003; Oksa P, 2008, ENERG BUILDINGS, V40, P1721, DOI 10.1016/j.enbuild.2008.02.030; Pérez-Lombard L, 2008, ENERG BUILDINGS, V40, P394, DOI 10.1016/j.enbuild.2007.03.007; Stunder M.J., INTEGRATION REAL TIM; Sundramoorthy V, 2011, IEEE PERVAS COMPUT, V10, P20, DOI 10.1109/MPRV.2010.73; Zamora-Izquierdo MA, 2010, IEEE PERVAS COMPUT, V9, P66, DOI 10.1109/MPRV.2010.20</t>
  </si>
  <si>
    <t>1741-1106</t>
  </si>
  <si>
    <t>1741-1114</t>
  </si>
  <si>
    <t>INT J WEB GRID SERV</t>
  </si>
  <si>
    <t>Int. J. Web Grid Serv.</t>
  </si>
  <si>
    <t>10.1504/IJWGS.2015.067157</t>
  </si>
  <si>
    <t>Computer Science, Information Systems; Computer Science, Software Engineering</t>
  </si>
  <si>
    <t>CE6MQ</t>
  </si>
  <si>
    <t>WOS:000351951500006</t>
  </si>
  <si>
    <t>Zanocco, C; Sun, T; Stelmach, G; Flora, J; Rajagopal, R; Boudet, H</t>
  </si>
  <si>
    <t>Zanocco, Chad; Sun, Tao; Stelmach, Gregory; Flora, June; Rajagopal, Ram; Boudet, Hilary</t>
  </si>
  <si>
    <t>Assessing Californians' awareness of their daily electricity use patterns</t>
  </si>
  <si>
    <t>NATURE ENERGY</t>
  </si>
  <si>
    <t>ENERGY-CONSUMPTION; INTEGRATION; CHALLENGES; LITERACY; DEMAND; WIND</t>
  </si>
  <si>
    <t>The timing of electricity consumption is increasingly important for grid operations. In response, households are being encouraged to alter their daily usage patterns through demand response and time-varying pricing, although it is unknown if they are aware of these patterns. Here we introduce an energy literacy concept, 'load shape awareness', and apply it to a sample of California residents (n = 186) who provided their household's hourly electricity data and completed an energy use questionnaire. Choosing from four prominent load shape designations, half of respondents (51%) correctly identified their dominant load shape before COVID-19 shelter-in-place (SIP) orders while only one-third (31%) did so during SIP orders. Those aware of their load shape were more likely to have chosen evening peak, the most frequent dominant shape in the electricity data. Our work provides proof of principle for the load shape awareness concept, which could prove useful in designing energy conservation interventions and helping consumers adapt to an evolving energy system.</t>
  </si>
  <si>
    <t>[Zanocco, Chad; Sun, Tao; Flora, June; Rajagopal, Ram] Stanford Univ, Dept Civil &amp; Environm Engn, Stanford, CA 94305 USA; [Stelmach, Gregory; Boudet, Hilary] Oregon State Univ, Sch Publ Policy, Corvallis, OR 97331 USA; [Rajagopal, Ram] Stanford Univ, Dept Elect Engn, Stanford, CA 94305 USA</t>
  </si>
  <si>
    <t>Stanford University; Oregon State University; Stanford University</t>
  </si>
  <si>
    <t>Zanocco, C; Rajagopal, R (corresponding author), Stanford Univ, Dept Civil &amp; Environm Engn, Stanford, CA 94305 USA.;Boudet, H (corresponding author), Oregon State Univ, Sch Publ Policy, Corvallis, OR 97331 USA.;Rajagopal, R (corresponding author), Stanford Univ, Dept Elect Engn, Stanford, CA 94305 USA.</t>
  </si>
  <si>
    <t>czanocco@stanford.edu; ramr@stanford.edu; hilary.boudet@oregonstate.edu</t>
  </si>
  <si>
    <t>Zanocco, Chad/0000-0002-5015-4433; Sun, Tao/0000-0003-3838-708X; Boudet, Hilary/0000-0002-8096-9107</t>
  </si>
  <si>
    <t>US National Science Foundation's (NSF) Smart &amp; Connected Communities Program (NSF) [1737565]; CAREER (NSF) [1554178]; Stanford's Precourt Institute for Energy; Division Of Computer and Network Systems; Direct For Computer &amp; Info Scie &amp; Enginr [1737565] Funding Source: National Science Foundation; Div Of Electrical, Commun &amp; Cyber Sys; Directorate For Engineering [1554178] Funding Source: National Science Foundation</t>
  </si>
  <si>
    <t>US National Science Foundation's (NSF) Smart &amp; Connected Communities Program (NSF)(National Science Foundation (NSF)); CAREER (NSF)(National Science Foundation (NSF)); Stanford's Precourt Institute for Energy; Division Of Computer and Network Systems; Direct For Computer &amp; Info Scie &amp; Enginr(National Science Foundation (NSF)NSF - Directorate for Computer &amp; Information Science &amp; Engineering (CISE)); Div Of Electrical, Commun &amp; Cyber Sys; Directorate For Engineering(National Science Foundation (NSF)NSF - Directorate for Engineering (ENG)NSF - Division of Electrical, Communications &amp; Cyber Systems (ECCS))</t>
  </si>
  <si>
    <t>We thank members of the Stanford Sustainable Systems Lab and participants in the Designing Your Energy Lifestyle programme for their input in conceptualizing this research. This research was supported by the US National Science Foundation's (NSF) Smart &amp; Connected Communities Program (NSF award number 1737565) (H.B. and R.R.) and CAREER (NSF award number 1554178) (R.R.). This work was also supported by Stanford's Precourt Institute for Energy (R.R.).</t>
  </si>
  <si>
    <t>[Anonymous], 2016, CAISO TIME OF USE PE; [Anonymous], 2022, PG ES TIME OF USE RA; [Anonymous], 2022, American community survey 5-year data; Armstrong RC, 2016, NAT ENERGY, V1, DOI 10.1038/NENERGY.2015.20; Attari SZ, 2021, CURR OPIN BEHAV SCI, V42, P104, DOI 10.1016/j.cobeha.2021.04.008; Attari SZ, 2010, P NATL ACAD SCI USA, V107, P16054, DOI 10.1073/pnas.1001509107; Borgeson S, 2015, LECT NOTES COMPUT SC, V9188, P337, DOI 10.1007/978-3-319-20889-3_32; Brewer RobertS., 2015, P 2015 ACM 6 INT C F, P83; Brounen D, 2013, ENERG ECON, V38, P42, DOI 10.1016/j.eneco.2013.02.008; Browne M, 2007, DIGIT SIGNAL PROCESS, V17, P69, DOI 10.1016/j.dsp.2006.01.006; Buechler E, 2022, ISCIENCE, V25, DOI 10.1016/j.isci.2021.103568; Camilleri AR, 2019, NAT CLIM CHANGE, V9, P53, DOI 10.1038/s41558-018-0354-z; Carlsson-Kanyama A, 2007, ENERG POLICY, V35, P2163, DOI 10.1016/j.enpol.2006.06.018; DeWaters JE, 2011, ENERG POLICY, V39, P1699, DOI 10.1016/j.enpol.2010.12.049; Eising JW, 2014, APPL ENERG, V123, P448, DOI 10.1016/j.apenergy.2013.12.017; Grünewald P, 2020, ENERGY RES SOC SCI, V69, DOI 10.1016/j.erss.2020.101719; Heptonstall PJ, 2021, NAT ENERGY, V6, P72, DOI 10.1038/s41560-020-00695-4; Herrmann MR, 2018, ENERG EFFIC, V11, P1703, DOI 10.1007/s12053-017-9555-y; Hofman H., 1980, School Science and Mathematics, V80, P467; Jacobson MZ, 2018, RENEW ENERG, V123, P236, DOI 10.1016/j.renene.2018.02.009; Jain RK, 2017, NAT ENERGY, V2, DOI 10.1038/nenergy.2017.112; Jasiunas J, 2021, RENEW SUST ENERG REV, V150, DOI 10.1016/j.rser.2021.111476; Kwac J, 2018, IEEE T SMART GRID, V9, P2409, DOI 10.1109/TSG.2016.2611600; Kwac J, 2014, IEEE T SMART GRID, V5, P420, DOI 10.1109/TSG.2013.2278477; Maréchal K, 2015, ENERGY RES SOC SCI, V10, P228, DOI 10.1016/j.erss.2015.06.013; Marghetis T, 2019, NAT ENERGY, V4, P874, DOI 10.1038/s41560-019-0467-2; Martins A, 2020, ENERGY REP, V6, P454, DOI 10.1016/j.egyr.2019.09.007; McPherson M, 2020, ENERGY, V197, DOI 10.1016/j.energy.2020.117205; Murtagh N, 2014, PLOS ONE, V9, DOI 10.1371/journal.pone.0092019; Obinna U, 2017, APPL ENERG, V191, P264, DOI 10.1016/j.apenergy.2017.01.086; Pullinger M, 2021, SCI DATA, V8, DOI 10.1038/s41597-021-00921-y; Ryu D, 2022, ENERGY RES SOC SCI, V92, DOI 10.1016/j.erss.2022.102770; Satre-Meloy A, 2020, APPL ENERG, V260, DOI 10.1016/j.apenergy.2019.114246; Sinsel SR, 2020, RENEW ENERG, V145, P2271, DOI 10.1016/j.renene.2019.06.147; Southwell B., 2012, AM PERCEIVED ACTUAL; Sovacool BK, 2009, UTIL POLICY, V17, P288, DOI 10.1016/j.jup.2008.07.001; Thogersen J, 2010, ENERG POLICY, V38, P7732, DOI 10.1016/j.enpol.2010.08.025; Tjorring L, 2018, ENERG POLICY, V118, P9, DOI 10.1016/j.enpol.2018.03.006; van den Broek KL, 2019, ENERGY RES SOC SCI, V57, DOI 10.1016/j.erss.2019.101256; White LV, 2020, NAT ENERGY, V5, P50, DOI 10.1038/s41560-019-0507-y; Zelezny LC, 2000, J SOC ISSUES, V56, P443, DOI 10.1111/0022-4537.00177</t>
  </si>
  <si>
    <t>2058-7546</t>
  </si>
  <si>
    <t>NAT ENERGY</t>
  </si>
  <si>
    <t>Nat. Energy</t>
  </si>
  <si>
    <t>10.1038/s41560-022-01156-w</t>
  </si>
  <si>
    <t>Energy &amp; Fuels; Materials Science, Multidisciplinary</t>
  </si>
  <si>
    <t>Energy &amp; Fuels; Materials Science</t>
  </si>
  <si>
    <t>8R8ZB</t>
  </si>
  <si>
    <t>WOS:000898288500001</t>
  </si>
  <si>
    <t>Wood, G; van der Horst, D; Day, R; Bakaoukas, AG; Petridis, P; Liu, SL; Jalil, L; Gaterell, M; Smithson, E; Barnham, J; Harvey, D; Yang, BQ; Pisithpunth, C</t>
  </si>
  <si>
    <t>Wood, Georgina; van der Horst, Dan; Day, Rosie; Bakaoukas, Anastasios G.; Petridis, Panagiotis; Liu, Shuli; Jalil, Latifimran; Gaterell, Mark; Smithson, Elise; Barnham, John; Harvey, Debbie; Yang, Benqiang; Pisithpunth, Charn</t>
  </si>
  <si>
    <t>Serious games for energy social science research</t>
  </si>
  <si>
    <t>TECHNOLOGY ANALYSIS &amp; STRATEGIC MANAGEMENT</t>
  </si>
  <si>
    <t>serious games; evaluation framework; domestic energy demand; feedback mechanisms</t>
  </si>
  <si>
    <t>CONSERVATION; METHODOLOGY; ENVIRONMENT; FEEDBACK</t>
  </si>
  <si>
    <t>This paper proposes a set of criteria for evaluation of serious games (SGs) which are intended as effective methods of engaging energy users and lowering consumption. We discuss opportunities for using SGs in energy research which go beyond existing feedback mechanisms, including use of immersive virtual worlds for learning and testing behaviours, and sparking conversations within households. From a review of existing SG evaluation criteria, we define a tailored set of criteria for energy SG development and evaluation. The criteria emphasise the need for the game to increase energy literacy through applicability to real-life energy use/management; clear, actionable goals and feedback; ways of comparing usage socially and personal relevance. Three existing energy games are evaluated according to this framework. The paper concludes by outlining directions for future development of SGs as an effective tool in social science research, including games which inspire reflection on trade-offs and usage at different scales.</t>
  </si>
  <si>
    <t>[Wood, Georgina; Bakaoukas, Anastasios G.; Liu, Shuli; Jalil, Latifimran; Smithson, Elise] Coventry Univ, Fac Engn &amp; Comp, Coventry CV1 5FB, W Midlands, England; [van der Horst, Dan] Univ Edinburgh, Sch Geosci, Edinburgh, Midlothian, Scotland; [Day, Rosie] Univ Birmingham, Sch Geog Earth &amp; Environm Sci, Birmingham, W Midlands, England; [Petridis, Panagiotis] Aston Univ, Aston Business Sch, Birmingham B4 7ET, W Midlands, England; [Pisithpunth, Charn] Coventry Univ, Serious Games Inst, Coventry, W Midlands, England; [Gaterell, Mark] Univ Portsmouth, Fac Technol, Portsmouth, Hants, England; [Barnham, John; Harvey, Debbie] Orbit Grp, Stratford Upon Avon, England; [Yang, Benqiang] Chongqing Univ, State Key Lab Power Transmiss Equipment &amp; Syst Se, Chongqing 630044, Peoples R China</t>
  </si>
  <si>
    <t>Coventry University; University of Edinburgh; University of Birmingham; Aston University; Coventry University; University of Portsmouth; Chongqing University</t>
  </si>
  <si>
    <t>Wood, G (corresponding author), Coventry Univ, Fac Engn &amp; Comp, Sir John Laing Bldg, Coventry CV1 5FB, W Midlands, England.</t>
  </si>
  <si>
    <t>ab6869@coventry.ac.uk</t>
  </si>
  <si>
    <t>van der Horst, Dan/AGN-5512-2022; Day, Rosie/N-5733-2015; Petridis, Panagiotis/C-4349-2015</t>
  </si>
  <si>
    <t>Day, Rosie/0000-0003-1766-4068; Wernham, Georgina/0000-0002-3647-377X; Liu, Shuli/0000-0002-4875-3269; gaterell, mark/0000-0002-0504-4841; Smithson, Elise/0000-0003-1095-2067; Petridis, Panagiotis/0000-0003-3593-8261; van der Horst, Dan/0000-0002-9454-9664</t>
  </si>
  <si>
    <t>EPSRC [EP/K002716/1, EP/K002635/2, EP/L013681/1] Funding Source: UKRI</t>
  </si>
  <si>
    <t>EPSRC(UK Research &amp; Innovation (UKRI)Engineering &amp; Physical Sciences Research Council (EPSRC))</t>
  </si>
  <si>
    <t>Abrahamse W, 2005, J ENVIRON PSYCHOL, V25, P273, DOI 10.1016/j.jenvp.2005.08.002; Ainsworth S, 2008, UNDERSTANDING MULTIMEDIA DOCUMENTS, P249, DOI 10.1007/978-0-387-73337-1_13; [Anonymous], 2007, DIGITAL GAME BASED L; BECKER LJ, 1978, J APPL PSYCHOL, V63, P428, DOI 10.1037/0021-9010.63.4.428; Bellotti F, 2013, ADV HUM-COMPUT INTER, V2013, DOI 10.1155/2013/136864; Brounen D, 2013, ENERG ECON, V38, P42, DOI 10.1016/j.eneco.2013.02.008; Bryant J., 2009, Serious games: Mechanisms and effects, P103; Burgess J, 2008, ENERG POLICY, V36, P4454, DOI 10.1016/j.enpol.2008.09.039; Carrico AR, 2011, J ENVIRON PSYCHOL, V31, P1, DOI 10.1016/j.jenvp.2010.11.004; de Freitas S, 2006, COMPUT EDUC, V46, P249, DOI 10.1016/j.compedu.2005.11.007; Deforges L., 2005, Citizenship Studies, V9, P439, DOI [10.1080/13621020500301213, DOI 10.1080/13621020500301213]; Dunwell I., 2011, Digital games and learning, P42; Fu FL, 2009, COMPUT EDUC, V52, P101, DOI 10.1016/j.compedu.2008.07.004; Gobel S., 2013, Serious Games and Virtual Worlds in Education, Professional Development, and Healthcare, P105; GONZALES MH, 1988, J APPL SOC PSYCHOL, V18, P1049, DOI 10.1111/j.1559-1816.1988.tb01192.x; Goulden M, 2014, ENERGY RES SOC SCI, V2, P21, DOI 10.1016/j.erss.2014.04.008; Hellegers P, 2008, WATER POLICY, V10, P1, DOI 10.2166/wp.2008.048; Kato PM, 2008, PEDIATRICS, V122, pE305, DOI 10.1542/peds.2007-3134; Khaled R., 2014, INT J CHILD COMPUTER; Knight JF, 2010, RESUSCITATION, V81, P1175, DOI 10.1016/j.resuscitation.2010.03.042; Lieberman D A, 2001, J Ambul Care Manage, V24, P26; Lucero Andres., 2014, INTERACTIONS, V21, P34, DOI DOI 10.1145/2590973; Mayer I, 2014, BRIT J EDUC TECHNOL, V45, P502, DOI 10.1111/bjet.12067; Mayer I, 2012, PROCEDIA COMPUT SCI, V15, P233, DOI 10.1016/j.procs.2012.10.075; Mayer I, 2005, GAMING, SIMULATIONS, AND SOCIETY, P39, DOI 10.1007/4-431-26797-2_5; Mezirow J., 2009, CONT THEORIES LEARNI, P90, DOI DOI 10.1037/H0039426; Michael D., 2006, SERIOUS GAMES GAMES; Nadolski RJ, 2008, SIMULAT GAMING, V39, P338, DOI [10.1177/1046878108319278, 10.1177/IO46X78108319278]; National Grid, 2013, UK FUT EN SCEN UK GA; Opower, 2013, 5 UN TRUTHS EN CONS; Orland B, 2014, ENERG BUILDINGS, V74, P43, DOI 10.1016/j.enbuild.2014.01.036; Rice JW, 2012, INT J GAMING COMPUT-, V4, P81, DOI 10.4018/jgcms.2012100106; Schwartz T, 2015, INTERACT COMPUT, V27, P551, DOI 10.1093/iwc/iwu009; Schwartz T, 2013, ACM T COMPUT-HUM INT, V20, DOI 10.1145/2463579.2463583; St Clair R., 2003, NEW DIRECTIONS ADULT, V2003, P69, DOI [10.1002/(ISSN)1536-0717, DOI 10.1002/ACE.111]; Steg L, 2008, ENERG POLICY, V36, P4449, DOI 10.1016/j.enpol.2008.09.027; Strengers Yolande., 2013, Smart Energy Technologies in Everyday Life: Smart Utopia?; van Dam SS, 2010, BUILD RES INF, V38, P458, DOI 10.1080/09613218.2010.494832; VANHOUWELINGEN JH, 1989, J CONSUM RES, V16, P98, DOI 10.1086/209197; Wang H., 2009, SERIOUS GAMES, P25; World Energy Council, 2013, WORLD EN SCEN COMP E</t>
  </si>
  <si>
    <t>0953-7325</t>
  </si>
  <si>
    <t>1465-3990</t>
  </si>
  <si>
    <t>TECHNOL ANAL STRATEG</t>
  </si>
  <si>
    <t>Technol. Anal. Strateg. Manage.</t>
  </si>
  <si>
    <t>NOV 26</t>
  </si>
  <si>
    <t>10.1080/09537325.2014.978277</t>
  </si>
  <si>
    <t>Management; Multidisciplinary Sciences</t>
  </si>
  <si>
    <t>Business &amp; Economics; Science &amp; Technology - Other Topics</t>
  </si>
  <si>
    <t>AU4GP</t>
  </si>
  <si>
    <t>WOS:000345568700008</t>
  </si>
  <si>
    <t>Huang, YS; Chou, YC; Yen, HW; Bai, HC</t>
  </si>
  <si>
    <t>Ilhan, AC</t>
  </si>
  <si>
    <t>Huang, Yinghsiu; Chou, Ying-Chyi; Yen, Hong-Wei; Bai, Huan-Chen</t>
  </si>
  <si>
    <t>Developing an innovative educational program for energy saving and carbon reduction: an elementary school example</t>
  </si>
  <si>
    <t>WORLD CONFERENCE ON DESIGN, ARTS AND EDUCATION (DAE-2012)</t>
  </si>
  <si>
    <t>World Conference on Design, Arts and Education (DAE)</t>
  </si>
  <si>
    <t>MAY 01-04, 2012</t>
  </si>
  <si>
    <t>Antalya, TURKEY</t>
  </si>
  <si>
    <t>Carbon reduction education; elementary school; innovative course; teaching aids modules</t>
  </si>
  <si>
    <t>In the education systems of human beings, the elementary education is the crucial stage for forming knowledge, attitudes, and behavior. Thus, the elementary stages of carbon reduction education will have considerable success to reduction of carbon emissions for saving the planet. In this research, the elementary school students will be taught by the teaching of energy literacy, guiding of replaced energy, developing concepts of the energy from livings, and presenting ideas. By doing so, both teacher and students will propose teaching aids modules of carbon reduction at end. This study will propose the concepts of energy-saving reduction in the innovative course through interaction between teachers and students. These concepts will be derived from existing teaching aids and energy saving productions in daily life. This research, therefore, will propose the structure of save energy and reduce carbon program, and also demonstrate some innovative concepts of students' works from this program. Selection and/or peer review under responsibility of Prof. Dr. Ayse Cakir Ilhan.</t>
  </si>
  <si>
    <t>[Huang, Yinghsiu; Bai, Huan-Chen] Tunghai Univ, Dept Ind Design, Taichung 40704, Taiwan; [Chou, Ying-Chyi] Tunghai Univ, Dept Business Adm, Taichung 40704, Taiwan; [Yen, Hong-Wei] Tunghai Univ, Dept Chem &amp; Mat Engn, Taichung 40704, Taiwan</t>
  </si>
  <si>
    <t>Tunghai University; Tunghai University; Tunghai University</t>
  </si>
  <si>
    <t>Huang, YS (corresponding author), Tunghai Univ, Dept Ind Design, Taichung 40704, Taiwan.</t>
  </si>
  <si>
    <t>yinghsiu@thu.edu.tw</t>
  </si>
  <si>
    <t>National Science Council, Department of Science Education [NSC 100-3113-S029-001]</t>
  </si>
  <si>
    <t>National Science Council, Department of Science Education</t>
  </si>
  <si>
    <t>This project was funded by the National Science Council, Department of Science Education, NSC 100-3113-S029-001. Additional thanks must be extended to science teachers Ms Wu and Mr Chang from the Affiliated Elementary School of Tunghai University and to all students who participated in the experimental course and in this project.</t>
  </si>
  <si>
    <t>Barrows H., 1985, DESIGN PROBLEM BASED; Barrows HS, 1980, PROBLEM BASED LEARNI; Delisle R., 1997, USE PROBLEM BASED LE; Fogarty JS, 1997, SOC SCI MED, V45, P1277, DOI 10.1016/S0277-9536(97)00055-5; Gallagher S.A., 1995, SCHOOL SCI MATH, V95, P136, DOI DOI 10.1111/J.1949-8594.1995.TB15748.X; Glasgow N.A., 1997, New Curriculum for New Times: A Guide to Student Centered, Problem-Based Learning; Ram P, 1999, J CHEM EDUC, V76, P1122, DOI 10.1021/ed076p1122; STEPIEN WJ, 1993, J EDUC GIFTED, V16, P338, DOI 10.1177/016235329301600402; Swanson D. B., 1991, CHALLENGE PROBLEM BA; Trop L., 2002, Problems as possibilities: Problem-based learning for K-12 education, V2nd; WALTON HJ, 1989, MED EDUC, V23, P542, DOI 10.1111/j.1365-2923.1989.tb01581.x</t>
  </si>
  <si>
    <t>10.1016/j.sbspro.2012.08.250</t>
  </si>
  <si>
    <t>Art</t>
  </si>
  <si>
    <t>BEE09</t>
  </si>
  <si>
    <t>WOS:000316256000142</t>
  </si>
  <si>
    <t>Kantenbacher, J; Attari, SZ</t>
  </si>
  <si>
    <t>Kantenbacher, Joseph; Attari, Shahzeen Z.</t>
  </si>
  <si>
    <t>Better rules for judging joules: Exploring how experts make decisions about household energy use</t>
  </si>
  <si>
    <t>Cognitive shortcuts; Interviews; Estimation; Perception; Expert elicitation; Decision support</t>
  </si>
  <si>
    <t>Public understanding of home energy use is rife with biases and misunderstandings that can stymie the adoption of efficient technologies and conservation practices. Studying how energy experts make energy-related judg-ments can help design decision support tools to correct misperceptions held by novices. Here we conduct in-terviews with electrical engineers (n = 10), physicists (n = 10), and energy analysts (n = 10) to document expert judgments about energy use and to identify their cognitive shortcuts (heuristics) for household energy decision making. Performance on an energy estimation task confirmed that energy experts have more accurate estimates of home energy use than novices. We document 24 unique expert heuristics related to device functions, com-ponents, and observable cues used by experts while making energy-use judgments. A follow-up survey with the experts indicated that these expert heuristics are generally more accurate than novice heuristics. The library of heuristics created in this study can be useful additions to education programs designed to improve public energy literacy and decision making.</t>
  </si>
  <si>
    <t>[Kantenbacher, Joseph; Attari, Shahzeen Z.] Indiana Univ, ONeill Sch Publ &amp; Environm Affairs, 1315 East Tenth St, Bloomington, IN 47405 USA; [Kantenbacher, Joseph] Univ South Dakota, Dept Sustainabil &amp; Environm, 414 E Clark St, Vermillion, SD 57069 USA</t>
  </si>
  <si>
    <t>Indiana University System; Indiana University Bloomington; University of South Dakota</t>
  </si>
  <si>
    <t>Kantenbacher, J (corresponding author), Indiana Univ, ONeill Sch Publ &amp; Environm Affairs, 1315 East Tenth St, Bloomington, IN 47405 USA.;Kantenbacher, J (corresponding author), Univ South Dakota, Dept Sustainabil &amp; Environm, 414 E Clark St, Vermillion, SD 57069 USA.</t>
  </si>
  <si>
    <t>joseph.kantenbacher@usd.edu</t>
  </si>
  <si>
    <t>Attari, Shahzeen/0009-0006-0818-6091</t>
  </si>
  <si>
    <t>National Science Foundation [SES-1658804]; Andrew Carnegie Foundation fellowship</t>
  </si>
  <si>
    <t>National Science Foundation(National Science Foundation (NSF)); Andrew Carnegie Foundation fellowship</t>
  </si>
  <si>
    <t>We thank each of the 30 experts for their time, insights, and creativity during the interviews and for answering the follow-up survey. The authors are grateful for the input of David Landy and Bennet Brabson who helped create and test our interview questions and significantly improved our survey, Deidra Miniard for assistance with coding and analysis, and Susie Van Doren for administrative support. Finally, we thank the three anonymous reviewers for their input and suggestions, which have served to strengthen this paper. This work was supported by the National Science Foundation [grant SES-1658804 from Decision, Risk and Management Sciences]; and in part by the Andrew Carnegie Foundation fellowship to S. Z. Attari.</t>
  </si>
  <si>
    <t>Arterburn D, 2012, HEALTH AFFAIR, V31, P2094, DOI 10.1377/hlthaff.2011.0686; Attari S.Z., 2015, Journal of Sustainability Education, V8, P1; Attari SZ, 2010, P NATL ACAD SCI USA, V107, P16054, DOI 10.1073/pnas.1001509107; BAIRD JC, 1981, J APPL PSYCHOL, V66, P90; Bhandari G, 2008, DECIS SUPPORT SYST, V46, P399, DOI 10.1016/j.dss.2008.07.010; Campbell JL, 2013, SOCIOL METHOD RES, V42, P294, DOI 10.1177/0049124113500475; CHAIKEN S, 1980, J PERS SOC PSYCHOL, V39, P752, DOI 10.1037/0022-3514.39.5.752; CHASE WG, 1973, COGNITIVE PSYCHOL, V4, P55, DOI 10.1016/0010-0285(73)90004-2; CHI MTH, 1992, MINN STUD PHILOS SCI, V15, P129; CHI MTH, 1981, COGNITIVE SCI, V5, P121, DOI 10.1207/s15516709cog0502_2; DeKay M.L., 2015, J ENVIRON PSYCHOL; Dietz T, 2009, P NATL ACAD SCI USA, V106, P18452, DOI 10.1073/pnas.0908738106; Ericsson A., 2003, BRIT MACHINE VISION, P93; Ericsson AK., 1993, Protocol Analysis: Verbal Reports as Data, VRevised; Ericsson KA, 2006, CAMBRIDGE HANDBOOK OF EXPERTISE AND EXPERT PERFORMANCE, P683; Fagerlin A, 2007, MED DECIS MAKING, V27, P672, DOI 10.1177/0272989x07304449; Feltovich PJ, 2006, CAMBRIDGE HANDBOOK OF EXPERTISE AND EXPERT PERFORMANCE, P41; Gardner GT, 2008, ENVIRONMENT, V50, P12, DOI 10.3200/ENVT.50.5.12-25; Germain ML, 2012, HUM RESOUR DEV Q, V23, P203, DOI 10.1002/hrdq.21134; Gigerenzer G, 1996, PSYCHOL REV, V103, P650, DOI 10.1037/0033-295X.103.4.650; Gigerenzer G., 1999, Simple Heuristics that Make us Smart; Gigerenzer G, 2011, ANNU REV PSYCHOL, V62, P451, DOI 10.1146/annurev-psych-120709-145346; Johnson EJ, 2012, MARKET LETT, V23, P487, DOI 10.1007/s11002-012-9186-1; Jongman RW, 1996, PERCEPTION MEMORY CH, Vxix; KEMPTON W, 1982, ENERGY, V7, P817, DOI 10.1016/0360-5442(82)90030-5; KEMPTON W, 1986, COGNITIVE SCI, V10, P75, DOI 10.1207/s15516709cog1001_3; Kempton W., 1985, Families and the Energy Transition, P115, DOI DOI 10.1300/J002V09N01_07; Kruger J, 1999, J PERS SOC PSYCHOL, V77, P1121, DOI 10.1037/0022-3514.77.6.1121; Larrick R.P., 2015, Behavioral Science Policy, V1, P63, DOI DOI 10.4324/9781315690995; Loock M, 2015, J BUS RES, V68, P2027, DOI 10.1016/j.jbusres.2015.02.016; Lundberg DC, 2019, ENERGY RES SOC SCI, V58, DOI 10.1016/j.erss.2019.101257; Marghetis T, 2020, P 41 COGN SCI SOC; Marghetis T, 2019, NAT ENERGY, V4, P874, DOI 10.1038/s41560-019-0467-2; Mielke J, 2016, GENERALIZATION COHEN; Montgomery AA, 2007, BMJ-BRIT MED J, V334, P1307, DOI 10.1136/bmj.39217.671019.55; Morgan MG, 2014, P NATL ACAD SCI USA, V111, P7176, DOI 10.1073/pnas.1319946111; National Electric Power Company (NEPCO), 2020, ANN REP 2019; Schunn CD, 2005, MEM COGNITION, V33, P1377, DOI 10.3758/BF03193370; Slovic P., 1973, BEHAV PROBLEMS ADHER; TVERSKY A, 1974, SCIENCE, V185, P1124, DOI 10.1126/science.185.4157.1124; van den Broek KL, 2019, ENERG POLICY, V129, P1297, DOI 10.1016/j.enpol.2019.03.033; Wangenheim F, 2008, INSTANT CUSTOMER BAS</t>
  </si>
  <si>
    <t>10.1016/j.erss.2021.101911</t>
  </si>
  <si>
    <t>RC1GO</t>
  </si>
  <si>
    <t>WOS:000632550400013</t>
  </si>
  <si>
    <t>Laliyo, LAR; Puluhulawa, FU; Eraku, S; Salimi, YK</t>
  </si>
  <si>
    <t>Laliyo, Lukman Abdul Rauf; Puluhulawa, Fenty U.; Eraku, Sunarty; Salimi, Yuszda K.</t>
  </si>
  <si>
    <t>The Prevalence of Students and Teachers' Ideas about Global Warming and the Use of Renewable Energy Technology</t>
  </si>
  <si>
    <t>JOURNAL OF ENVIRONMENTAL ACCOUNTING AND MANAGEMENT</t>
  </si>
  <si>
    <t>Prevalence; Global warming; Renewable energy</t>
  </si>
  <si>
    <t>KNOWLEDGE; ATTITUDES; POWER; EDUCATION</t>
  </si>
  <si>
    <t>This study aims to explore the prevalence of students' and teachers' ideas about global warming and the use of renewable energy technology in Gorontalo, Indonesia. Employing a non-experimental quantitative approach, the data were collected from 1522 respondents and analyzed with the WINSTEPS 3.73 Rasch software. This study reports that 97.6% and 76.08% of the respondents respectively understand the concepts of global warming and renewable energy from the internet (45%) and formal education (&lt;40%). Respondents' level/status of education, gender, and home-town cause some differences in their ideas prevalence. High school students consider that utilizing renewable energy is not crucial; they also do not concern about global warming effects and the environment. Teachers and university students do not believe that using renewable energy can produce sustainable energy; they also question the safety of renewable energy technology. These findings indicate the needs for a renewable energy literacy program in formal education in Indonesia. (C) 2020 L&amp;II Scientific Publishing. LLC. All rights reserved.</t>
  </si>
  <si>
    <t>[Laliyo, Lukman Abdul Rauf; Salimi, Yuszda K.] Univ Negeri Gorontalo, Dept Chem, Gorontalo, Indonesia; [Puluhulawa, Fenty U.] Univ Negeri Gorontalo, Dept Law, Gorontalo, Indonesia; [Eraku, Sunarty] Univ Negeri Gorontalo, Dept Geog, Gorontalo, Indonesia</t>
  </si>
  <si>
    <t>Universitas Negeri Gorontalo; Universitas Negeri Gorontalo; Universitas Negeri Gorontalo</t>
  </si>
  <si>
    <t>Laliyo, LAR (corresponding author), Univ Negeri Gorontalo, Dept Chem, Gorontalo, Indonesia.</t>
  </si>
  <si>
    <t>lukman.laliyo@ung.ac.id</t>
  </si>
  <si>
    <t>PULUHULAWA, FENTY U/GON-7839-2022; Eraku, Sunarty/GON-4030-2022</t>
  </si>
  <si>
    <t>Eraku, Sunarty/0000-0002-6819-0184</t>
  </si>
  <si>
    <t>Directorate of Research and Community Service of Directorate General of Research and Development Strengthening of Ministry of Research, Technology, and Higher Education of the Republic of Indonesia; USAID through the SHERA program - Centre for Development of Sustainable Region (CDSR)</t>
  </si>
  <si>
    <t>Directorate of Research and Community Service of Directorate General of Research and Development Strengthening of Ministry of Research, Technology, and Higher Education of the Republic of Indonesia(Ministry of Research and Technology of the Republic of Indonesia (RISTEK)); USAID through the SHERA program - Centre for Development of Sustainable Region (CDSR)(United States Agency for International Development (USAID))</t>
  </si>
  <si>
    <t>This research was partially funded by the Directorate of Research and Community Service of Directorate General of Research and Development Strengthening of Ministry of Research, Technology, and Higher Education of the Republic of Indonesia, and USAID through the SHERA program - Centre for Development of Sustainable Region (CDSR). In 2017-2019, CDSR is led by Centre for Energy Studies - Gadjah Mada University.</t>
  </si>
  <si>
    <t>Acikgoz C, 2011, RENEW ENERG, V36, P608, DOI 10.1016/j.renene.2010.08.015; [Anonymous], 2007, RASCH MEASUREMENT T; [Anonymous], J ONLINE MAHASISWA P; [Anonymous], BAD PEMB PENG BAH; [Anonymous], WILL INDONESIA CONTI; [Anonymous], ENV SOUND MAN SOL WA; [Anonymous], INCREASING RENEWABLE; [Anonymous], 2012, USERS GUIDE W I N S; [Anonymous], 2015, APPLYING RASCH MODEL, DOI DOI 10.4324/9781315814698; [Anonymous], INT RES GEOGRAPHICAL; [Anonymous], GLOB WARM 1 50C SPEC; Assali A, 2019, RENEW ENERG, V136, P254, DOI 10.1016/j.renene.2019.01.007; Bang HK, 2000, PSYCHOL MARKET, V17, P449, DOI 10.1002/(SICI)1520-6793(200006)17:6&lt;449::AID-MAR2&gt;3.0.CO;2-8; Bodzin A, 2012, INT J SCI EDUC, V34, P1255, DOI 10.1080/09500693.2012.661483; Boone W.J., 2014, Rasch analysis in the human sciences, DOI DOI 10.1007/978-94-007-6857-4; Daniel B., 2004, International Journal of Environmental Studies, V61, P211, DOI [DOI 10.1080/0020723032000087907, 10.1080/0020723032000087907]; DeWaters JE, 2011, ENERG POLICY, V39, P1699, DOI 10.1016/j.enpol.2010.12.049; Guardiola S, 2009, HUMANOMICS, V25, P254, DOI 10.1108/08288660910997629; Güney T, 2019, INT J SUST DEV WORLD, V26, P389, DOI 10.1080/13504509.2019.1595214; Guven G, 2017, RENEW SUST ENERG REV, V80, P663, DOI 10.1016/j.rser.2017.05.286; Johansson M, 2007, WIND ENERGY, V10, P435, DOI 10.1002/we.232; Kandpal TC, 2014, RENEW SUST ENERG REV, V34, P300, DOI 10.1016/j.rser.2014.02.039; Kilinc A., 2008, INT J ENV SCI ED, V3, P89; Kilinç A, 2009, RENEW SUST ENERG REV, V13, P1089, DOI 10.1016/j.rser.2008.03.007; Komendantova N, 2018, AIMS ENERGY, V6, P216, DOI 10.3934/energy.2018.2.216; Martin S, 2005, J GEOGR HIGHER EDUC, V29, P19, DOI 10.1080/03098260500030298; Ntona E, 2015, RENEW SUST ENERG REV, V46, P1, DOI 10.1016/j.rser.2015.02.033; Nugroho H, 2017, ENERG SOURCE PART B, V12, P318, DOI 10.1080/15567249.2015.1072599; Panwar NL, 2011, RENEW SUST ENERG REV, V15, P1513, DOI 10.1016/j.rser.2010.11.037; Rahayu S, 2017, AIP CONF PROC, V1911, DOI 10.1063/1.5016018; Rose SL, 2012, J RES SCI TEACH, V49, P541, DOI 10.1002/tea.21017; Skamp K, 2019, RES SCI EDUC, V49, P295, DOI 10.1007/s11165-017-9622-6; Sumintono B., 2015, Trim Komunikata; Sumintono B., 2014, Aplikasi Model Rasch Untuk Penelitian Ilmu-Ilmu Sosial; Wolsink M, 2007, RENEW SUST ENERG REV, V11, P1188, DOI 10.1016/j.rser.2005.10.005; Worrell E, 2009, ENERG EFFIC, V2, P109, DOI 10.1007/s12053-008-9032-8; Yang SC, 2011, J CHIN MED ASSOC, V74, P125, DOI 10.1016/j.jcma.2011.01.027; Zarnikau J, 2003, ENERG POLICY, V31, P1661, DOI 10.1016/S0301-4215(02)00232-X; Zyadin A, 2012, RENEW ENERG, V45, P78, DOI 10.1016/j.renene.2012.02.002</t>
  </si>
  <si>
    <t>L &amp; H SCIENTIFIC PUBLISHING, LLC</t>
  </si>
  <si>
    <t>GLEN CARBON</t>
  </si>
  <si>
    <t>PO BOX 99, GLEN CARBON, IL 62034 USA</t>
  </si>
  <si>
    <t>2325-6192</t>
  </si>
  <si>
    <t>2325-6206</t>
  </si>
  <si>
    <t>J ENVIRON ACCOUNT MA</t>
  </si>
  <si>
    <t>J. Environ. Account. Manag.</t>
  </si>
  <si>
    <t>10.5890/JEAM.2020.09.003</t>
  </si>
  <si>
    <t>Green &amp; Sustainable Science &amp; Technology</t>
  </si>
  <si>
    <t>LP7TD</t>
  </si>
  <si>
    <t>WOS:000534520000003</t>
  </si>
  <si>
    <t>Deidun, A; Previati, M; Marrone, A; Gauci, A; Zammit, A; Tarasova, R; Galea, A; Galdies, J; Fraschetti, S; Drago, A</t>
  </si>
  <si>
    <t>Deidun, Alan; Previati, Monica; Marrone, Alessio; Gauci, Adam; Zammit, Audrey; Tarasova, Raisa; Galea, Anthony; Galdies, Johann; Fraschetti, Simonetta; Drago, Aldo</t>
  </si>
  <si>
    <t>Ocean literacy and scientific data acquisition through citizen science campaigns: a mixed approach in the Maltese Islands to collect information on Pinna nobilis and Pinna rudis</t>
  </si>
  <si>
    <t>Pen Shell Mussel; Mass Mortality; Citizen Science; Ocean Literacy; SCUBA; population monitoring program</t>
  </si>
  <si>
    <t>FAN MUSSEL; POPULATION-STRUCTURE; 1758 MOLLUSCA; AEGEAN SEA; PEN SHELL; LINNAEUS; GROWTH; MORTALITY; BIVALVIA; GULF</t>
  </si>
  <si>
    <t>The genus Pinna includes two species in the Mediterranean Sea: Pinna nobilis and Pinna rudis. Both these species are under threat from multiple stressors. Pinna nobilis, in particular, has been exhibiting mass mortality events (MMEs) since 2016. The population and distribution of these species have never been comprehensively explored in the Maltese archipelago, and in this work, we collate information collected between 2006 and 2019 through a number of SCUBA underwater visual census monitoring programs. The logistical barriers surrounding SCUBA-based sampling techniques and the low-density distribution of these species constitute significant obstacles to an extensive conventional population assessment. Citizen science was thus also deployed in this study to supplement the data collected through SCUBA surveys: recreational SCUBA divers worked as citizen scientists, providing data on the distribution of these two endangered species from areas never explored before. This information can be used for assessing the conservation status of P. nobilis and P. rudis in Maltese waters, whilst contributing to the next generation of ocean-literate citizens.</t>
  </si>
  <si>
    <t>[Deidun, Alan; Marrone, Alessio; Gauci, Adam; Zammit, Audrey; Tarasova, Raisa; Galea, Anthony; Galdies, Johann; Drago, Aldo] Univ Malta, Dept Geosci, Phys Oceanog Res Grp, MSD 2080, Msida, Malta; [Previati, Monica] UBICA Srl, Via San Siro 6 Int 1, I-16124 Genoa, Italy; [Fraschetti, Simonetta] Univ Napoli Federico II, Dept Biol, Naples, Italy</t>
  </si>
  <si>
    <t>University of Malta; University of Naples Federico II</t>
  </si>
  <si>
    <t>Deidun, A (corresponding author), Univ Malta, Dept Geosci, Phys Oceanog Res Grp, MSD 2080, Msida, Malta.</t>
  </si>
  <si>
    <t>alan.deidun@um.edu.mt</t>
  </si>
  <si>
    <t>Zammit, Audrey/0000-0001-8777-5199</t>
  </si>
  <si>
    <t>Acarli Deniz, 2020, Acta Natura et Scientia, V1, P109, DOI 10.29329/actanatsci.2020.313.12; Acarli Sefa, 2021, Marine Science and Technology Bulletin, V10, P62, DOI 10.33714/masteb.793885; Acarli S, 2019, ALINTERI J AGRIC SCI, V34, P169, DOI 10.28955/alinterizbd.639029; Addis P, 2009, SCI MAR, V73, P143, DOI 10.3989/scimar.2009.73n1143; Alomar C, 2015, J EXP MAR BIOL ECOL, V467, P77, DOI 10.1016/j.jembe.2015.03.006; Aristeidou M., 2020, Citiz Sci Theory Pract, V5, P11, DOI DOI 10.5334/CSTP.224; Basso L, 2015, ADV MAR BIOL, V71, P109, DOI 10.1016/bs.amb.2015.06.002; Betti F, 2021, EUR ZOOL J, V88, P18, DOI 10.1080/24750263.2020.1850891; Butler Alan, 1994, Marine Life, V3, P37; Cabanellas-Reboredo M, 2019, SCI REP-UK, V9, DOI 10.1038/s41598-019-49808-4; Carella F, 2020, FRONT MAR SCI, V7, DOI 10.3389/fmars.2020.00048; Catanese G, 2018, J INVERTEBR PATHOL, V157, P9, DOI 10.1016/j.jip.2018.07.006; Centoducati G, 2007, ENVIRON MONIT ASSESS, V131, P339, DOI 10.1007/s10661-006-9479-z; Cinar ME, 2021, MEDITERR MAR SCI, V22, P161, DOI 10.12681/mms.25289; Cizmek H, 2020, J INVERTEBR PATHOL, V173, DOI 10.1016/j.jip.2020.107388; Coppa S, 2013, J SEA RES, V76, P201, DOI 10.1016/j.seares.2012.09.007; Dalby O., 2021, FRONT MAR SCI, V8, P432; Darriba S, 2017, J INVERTEBR PATHOL, V148, P14, DOI 10.1016/j.jip.2017.05.006; Deidun A, 2012, TIMES MALTA 1202, P1; European Commission, 1992, Official Journal of the European Union, V206, P0007, DOI DOI 10.1017/CBO9780511610851.039; Galinou-Mitsoudi Sofia, 2006, Journal of Biological Research (Thessaloniki), V5, P47; García-March JR, 2007, MAR BIOL, V150, P861, DOI 10.1007/s00227-006-0386-1; Garcia-March JR., 2006, Org Divers Evol, V6, P6; Guallart J., 2012, PINNA NOBILIS BASES; Irigoyen AJ, 2018, PLOS ONE, V13, DOI 10.1371/journal.pone.0190990; Islam MS, 2004, MAR POLLUT BULL, V48, P624, DOI 10.1016/j.marpolbul.2003.12.004; IUCN, 2021, MED NOBL PEN SHELL C; Katsanevakis S., 2022, Imperiled: the Encyclopedia of Conservation, V1-3, P200, DOI [10.1016/B978-0-12-821139-7.00070-2, DOI 10.1016/B978, DOI 10.1016/B978-0-12-821139-7.00070-2]; Katsanevakis S, 2007, MAR BIOL, V152, P1319, DOI 10.1007/s00227-007-0781-2; Katsanevakis S, 2019, AQUAT INVASIONS, V14, P150, DOI 10.3391/ai.2019.14.2.01; Kelly R, 2022, REV FISH BIOL FISHER, V32, P123, DOI 10.1007/s11160-020-09625-9; Kelly R, 2020, PHILOS T R SOC B, V375, DOI 10.1098/rstb.2019.0461; Kersting D., 2019, PINNA NOBILIS IUCN R; Kersting DK, 2017, MAR ENVIRON RES, V130, P282, DOI 10.1016/j.marenvres.2017.08.007; Kosmala M, 2016, FRONT ECOL ENVIRON, V14, P551, DOI 10.1002/fee.1436; Krzelj M, 2020, DIVERSITY-BASEL, V12, DOI 10.3390/d12080311; Marrocco V, 2018, NAT CONSERV-BULGARIA, P51, DOI 10.3897/natureconservation.28.26112; McKinley DC, 2017, BIOL CONSERV, V208, P15, DOI 10.1016/j.biocon.2016.05.015; Mokos M, 2020, MEDITERR MAR SCI, V21, P592, DOI 10.12681/mms.23400; Nebot-Colomer E, 2016, MEDITERR MAR SCI, V17, P785, DOI 10.12681/mms.1597; Öndes F, 2020, AQUAT CONSERV, V30, P31, DOI 10.1002/aqc.3237; Prado P, 2020, AQUACULTURE, V519, DOI 10.1016/j.aquaculture.2019.734899; Rabaou L, 2008, CAH BIOL MAR, V49, P67; Rabaoui L, 2014, MEDITERR MAR SCI, V15, P45; Rabaoui L, 2010, J MOLLUS STUD, V76, P340, DOI 10.1093/mollus/eyq023; Richardson CA, 1999, MAR BIOL, V133, P205, DOI 10.1007/s002270050459; Rouanet E., 2015, 209-Sci Rep Port-Cros natl Park, V29, P209; Scarpa F, 2020, LIFE-BASEL, V10, DOI 10.3390/life10100238; Tebble N., 1966, TRUSTEES BRIT MUSEUM, V5, P655; Trigos S, 2019, THALASSAS, V35, P151, DOI 10.1007/s41208-018-0103-0; Vázquez-Luis M, 2014, MEDITERR MAR SCI, V15, P626, DOI 10.12681/mms.796; Vazquez-Luis M., MOL BIOL REP, P1; Vázquez-Luis M, 2017, FRONT MAR SCI, V4, DOI 10.3389/fmars.2017.00220; VICENTE N, 1990, Iberus, V9, P269; Vicente Nardo, 1991, P159; Zavodnik Dusan, 1991, P169; Zotou M, 2020, MEDITERR MAR SCI, V21, P575, DOI 10.12681/mms.23777</t>
  </si>
  <si>
    <t>10.12681/mms.26623</t>
  </si>
  <si>
    <t>WOS:000782982600009</t>
  </si>
  <si>
    <t>Alós, J; Aarestrup, K; Abecasis, D; Afonso, P; Alonso-Fernandez, A; Aspillaga, E; Barcelo-Serra, M; Bolland, J; Cabanellas-Reboredo, M; Lennox, R; McGill, R; Özgül, A; Reubens, J; Villegas-Ríos, D</t>
  </si>
  <si>
    <t>Alos, Josep; Aarestrup, Kim; Abecasis, David; Afonso, Pedro; Alonso-Fernandez, Alexandre; Aspillaga, Eneko; Barcelo-Serra, Margarida; Bolland, Jonathan; Cabanellas-Reboredo, Miguel; Lennox, Robert; McGill, Ross; Ozgul, Aytac; Reubens, Jan; Villegas-Rios, David</t>
  </si>
  <si>
    <t>Toward a decade of ocean science for sustainable development through acoustic animal tracking</t>
  </si>
  <si>
    <t>GLOBAL CHANGE BIOLOGY</t>
  </si>
  <si>
    <t>acoustic tracking; climate change; fisheries; marine pollution; movement; networks; ocean monitoring; sustainable development; telemetry</t>
  </si>
  <si>
    <t>CATCH-AND-RELEASE; COD GADUS-MORHUA; TROUT SALMO-TRUTTA; HABITAT USE; ARTIFICIAL REEFS; MARINE RESERVES; MOVEMENT PATTERNS; FISHING MORTALITY; CLIMATE-CHANGE; SITE FIDELITY</t>
  </si>
  <si>
    <t>The ocean is a key component of the Earth's dynamics, providing a great variety of ecosystem services to humans. Yet, human activities are globally changing its structure and major components, including marine biodiversity. In this context, the United Nations has proclaimed a Decade of Ocean Science for Sustainable Development to tackle the scientific challenges necessary for a sustainable use of the ocean by means of the Sustainable Development Goal 14 (SDG14). Here, we review how Acoustic animal Tracking, a widely distributed methodology of tracking marine biodiversity with electronic devices, can provide a roadmap for implementing the major Actions to achieve the SDG14. We show that acoustic tracking can be used to reduce and monitor the effects of marine pollution including noise, light, and plastic pollution. Acoustic tracking can be effectively used to monitor the responses of marine biodiversity to human-made infrastructures and habitat restoration, as well as to determine the effects of hypoxia, ocean warming, and acidification. Acoustic tracking has been historically used to inform fisheries management, the design of marine protected areas, and the detection of essential habitats, rendering this technique particularly attractive to achieve the sustainable fishing and spatial protection target goals of the SDG14. Finally, acoustic tracking can contribute to end illegal, unreported, and unregulated fishing by providing tools to monitor marine biodiversity against poachers and promote the development of Small Islands Developing States and developing countries. To fully benefit from acoustic tracking supporting the SDG14 Targets, trans-boundary collaborative efforts through tracking networks are required to promote ocean information sharing and ocean literacy. We therefore propose acoustic tracking and tracking networks as relevant contributors to tackle the scientific challenges that are necessary for a sustainable use of the ocean promoted by the United Nations.</t>
  </si>
  <si>
    <t>[Alos, Josep; Aspillaga, Eneko; Barcelo-Serra, Margarida; Villegas-Rios, David] IMEDEA, CSIC, Inst Mediterraneo Estudios Avanzados, UIB, Esporles, Spain; [Aarestrup, Kim] Tech Univ Denmark, Natl Inst Aquat Resources, Sect Freshwater Fisheries &amp; Ecol, Silkeborg, Denmark; [Abecasis, David] Univ Algarve CCMAR, Ctr Marine Sci, Faro, Portugal; [Afonso, Pedro] Inst Marine Res IMAR, Horta, Portugal; [Alonso-Fernandez, Alexandre; Villegas-Rios, David] CSIC, Inst Invest Marinas IIM, Vigo, Spain; [Bolland, Jonathan] Univ Hull, Hull Int Fisheries Inst, Kingston Upon Hull, N Humberside, England; [Cabanellas-Reboredo, Miguel] CSIC, Natl Ctr Spanish Inst Oceanog, Madrid, Spain; [Lennox, Robert] NORCE Norwegian Res Ctr AS, Bergen, Norway; [Lennox, Robert] Norwegian Inst Nat Res, Trondheim, Norway; [McGill, Ross] Loughs Agcy, Derry, Londonderry, North Ireland; [Ozgul, Aytac] Ege Univ, Fac Fisheries, Izmir, Turkey; [Reubens, Jan] Flanders Marine Inst, Oostende, Belgium</t>
  </si>
  <si>
    <t>Consejo Superior de Investigaciones Cientificas (CSIC); ATTITUS Educacao; Universitat de les Illes Balears; Technical University of Denmark; Universidade do Algarve; Consejo Superior de Investigaciones Cientificas (CSIC); CSIC - Instituto de Investigaciones Marinas (IIM); University of Hull; Consejo Superior de Investigaciones Cientificas (CSIC); Norwegian Research Centre (NORCE); Norwegian Institute Nature Research; Ege University</t>
  </si>
  <si>
    <t>Alós, J (corresponding author), IMEDEA, CSIC, Inst Mediterraneo Estudios Avanzados, UIB, Esporles, Spain.</t>
  </si>
  <si>
    <t>alos@imedea.uib-csic.es</t>
  </si>
  <si>
    <t>Aspillaga, Eneko/AAH-8613-2019; Abecasis, David/B-2871-2012; Aarestrup, Kim/AAK-9155-2021; Cabanellas-Reboredo, Miguel/V-6681-2019; Alonso-Fernández, Alexandre/C-9916-2012; Villegas Ríos, David/G-3091-2016; Afonso, Pedro/B-7815-2013</t>
  </si>
  <si>
    <t>Aspillaga, Eneko/0000-0002-8888-8731; Abecasis, David/0000-0002-9802-8153; Aarestrup, Kim/0000-0001-8521-6270; Cabanellas-Reboredo, Miguel/0000-0002-0906-1243; Alonso-Fernández, Alexandre/0000-0002-0793-2738; Villegas Ríos, David/0000-0001-5660-5322; Afonso, Pedro/0000-0002-4618-2589; Bolland, Jonathan/0000-0001-7326-5075; Lennox, Robert/0000-0003-1010-0577</t>
  </si>
  <si>
    <t>Agencia Estatal Investigacion, Espana [PID2019-104940GA-I00]; Consejo Superior de Investigaciones Cientificas [PIE202030E002]; Fundacao para a Ciencia e a Tecnologia [DL57/2016/CP1361/ CT0036, BECORV PTDC/BIABMA/30278, UID/Multi/04326/2020]; European Regional Development Fund: Interreg, MarGen II Project [175806]; H2020 Marie Sklodowska-Curie Actions [793627, 891404]; Juan de la Cierva, Ministerio Ciencia e Innovacion, Espana [IJC2019-038852-I]; Norwegian Research Council; European Cooperation in Science and Technology [CA18102]; Marie Curie Actions (MSCA) [793627, 891404] Funding Source: Marie Curie Actions (MSCA)</t>
  </si>
  <si>
    <t>Agencia Estatal Investigacion, Espana; Consejo Superior de Investigaciones Cientificas(Spanish Government); Fundacao para a Ciencia e a Tecnologia(Fundacao para a Ciencia e a Tecnologia (FCT)); European Regional Development Fund: Interreg, MarGen II Project(Interreg Europe); H2020 Marie Sklodowska-Curie Actions(Marie Curie ActionsHorizon 2020); Juan de la Cierva, Ministerio Ciencia e Innovacion, Espana; Norwegian Research Council(Research Council of Norway); European Cooperation in Science and Technology(European Cooperation in Science and Technology (COST)); Marie Curie Actions (MSCA)(Marie Curie Actions)</t>
  </si>
  <si>
    <t>Agencia Estatal Investigacion, Espana, Grant/ Award Number: PID2019-104940GA-I00; Consejo Superior de Investigaciones Cientificas, Grant/Award Number: PIE202030E002; Fundacao para a Ciencia e a Tecnologia, Grant/Award Number: DL57/2016/CP1361/ CT0036, BECORV PTDC/BIABMA/30278 and UID/Multi/04326/2020; European Regional Development Fund: Interreg, MarGen II Project, Grant/Award Number: 175806; H2020 Marie Sklodowska-Curie Actions, Grant/Award Number: 793627 and 891404; Juan de la Cierva, Ministerio Ciencia e Innovacion, Espana, Grant/ Award Number: IJC2019-038852-I; Norwegian Research Council, Grant/Award Number: LOST; European Cooperation in Science and Technology, Grant/Award Number: CA18102 COST</t>
  </si>
  <si>
    <t>Aarestrup K, 2014, MAR ECOL PROG SER, V496, P197, DOI 10.3354/meps10614; Abecasis D, 2014, FISHERIES MANAG ECOL, V21, P175, DOI 10.1111/fme.12061; Abecasis D, 2013, ESTUAR COAST SHELF S, V118, P80, DOI 10.1016/j.ecss.2012.12.014; Abecasis D., 2018, Animal Biotelemetry, V6, P1, DOI [10.1186/s40317-018-0156-0, DOI 10.1186/S40317-018-0156-0]; Abecasis D, 2015, MAR ECOL PROG SER, V518, P255, DOI 10.3354/meps11054; Abecasis D, 2014, MAR ECOL PROG SER, V513, P155, DOI 10.3354/meps10987; Abecasis D, 2013, FISH RES, V147, P196, DOI 10.1016/j.fishres.2013.05.004; Addis DT, 2013, FISH RES, V147, P349, DOI 10.1016/j.fishres.2013.07.011; Afonso AS, 2014, J EXP MAR BIOL ECOL, V454, P55, DOI 10.1016/j.jembe.2014.02.008; Afonso P, 2012, J EXP MAR BIOL ECOL, V436, P1, DOI 10.1016/j.jembe.2012.08.003; Afonso P, 2009, MAR ECOL PROG SER, V381, P273, DOI 10.3354/meps07946; Allison GW, 1998, ECOL APPL, V8, pS79, DOI 10.1890/1051-0761(1998)8[S79:MRANBN]2.0.CO;2; Alonso-Fern┬u├ndez A., 2021, IBERIAN S MODELING A; Alós J, 2019, ICES J MAR SCI, V76, P489, DOI 10.1093/icesjms/fsy172; Alós J, 2016, SCI REP-UK, V6, DOI 10.1038/srep38093; Alós J, 2012, PLOS ONE, V7, DOI 10.1371/journal.pone.0048030; Andrews OD, 2013, BIOGEOSCIENCES, V10, P1799, DOI 10.5194/bg-10-1799-2013; [Anonymous], 2008, STAT WORLD FISH AQ; Arendt MD, 2001, FISH B-NOAA, V99, P519; Arlinghaus R, 2007, REV FISH SCI, V15, P75, DOI 10.1080/10641260601149432; Arlinghaus R, 2019, P NATL ACAD SCI USA, V116, P5209, DOI 10.1073/pnas.1902796116; Arlinghaus R, 2017, FISH FISH, V18, P360, DOI 10.1111/faf.12176; ArreguinSanchez F, 1996, REV FISH BIOL FISHER, V6, P221; Aspillaga E, 2021, ANIM BIOTELEM, V9, DOI 10.1186/s40317-020-00224-w; Aspillaga E, 2017, SCI REP-UK, V7, DOI 10.1038/s41598-017-00576-z; Ball I.R., 2009, SPATIAL CONSERVATION, P185, DOI DOI 10.1111/EVA.12631; Barbier EB, 2017, CURR BIOL, V27, pR507, DOI 10.1016/j.cub.2017.03.020; Barcelo-Serra M, 2021, SCI REP-UK, V11, DOI 10.1038/s41598-021-84261-2; Barnes DKA, 2009, PHILOS T R SOC B, V364, P1985, DOI 10.1098/rstb.2008.0205; Barnett A, 2012, PLOS ONE, V7, DOI 10.1371/journal.pone.0036574; Bergh P.E., 2002, FISHERY MANAGERS GUI, P231; Bert T., 2021, BOOK ABSTRACTS VLIZ; Bertram MG, 2022, BIOL REV, V97, P1346, DOI 10.1111/brv.12844; Bettinger JM, 2005, N AM J FISH MANAGE, V25, P1273, DOI 10.1577/M04-156.1; Bjorndal KA, 2011, SCIENCE, V331, P537, DOI 10.1126/science.1199935; Block BA, 1997, MAR BIOL, V130, P119, DOI 10.1007/s002270050231; Block BA, 2019, SCI REP-UK, V9, DOI 10.1038/s41598-019-40065-z; Boehlert GW, 2010, OCEANOGRAPHY, V23, P68, DOI 10.5670/oceanog.2010.46; BOMBACE G, 1989, B MAR SCI, V44, P1023; Botsford LW, 2003, ECOL APPL, V13, pS25; Brashares JS, 2004, SCIENCE, V306, P1180, DOI 10.1126/science.1102425; Braun CD, 2022, ANNU REV MAR SCI, V14, P129, DOI 10.1146/annurev-marine-032521-103517; Breitburg D, 2018, SCIENCE, V359, P46, DOI 10.1126/science.aam7240; Bruce B, 2018, MAR ENVIRON RES, V140, P18, DOI 10.1016/j.marenvres.2018.05.005; Burns ES, 2021, MAR ENVIRON RES, V170, DOI 10.1016/j.marenvres.2021.105452; Calisi RM, 2009, HORM BEHAV, V56, P1, DOI 10.1016/j.yhbeh.2009.02.010; Carlsson G, 2009, ENVIRON TOXICOL CHEM, V28, P2656, DOI 10.1897/08-524.1; Carpenter SR, 1998, ECOL APPL, V8, P559, DOI 10.1890/1051-0761(1998)008[0559:NPOSWW]2.0.CO;2; Castro-Santos T, 2019, ESTUAR COAST, V42, P378, DOI 10.1007/s12237-018-0481-9; Chateau O, 2007, ENVIRON BIOL FISH, V80, P503, DOI 10.1007/s10641-006-9149-6; Chiba S, 2018, MAR POLICY, V96, P204, DOI 10.1016/j.marpol.2018.03.022; Chin A, 2019, BIOL CONSERV, V238, DOI 10.1016/j.biocon.2019.108231; Chittenden CM, 2008, J FISH BIOL, V72, P614, DOI 10.1111/j.1095-8649.2007.01729.x; Christ HJ, 2020, FRONT MAR SCI, V7, DOI 10.3389/fmars.2020.00269; Cinner JE, 2006, ENVIRON CONSERV, V33, P73, DOI 10.1017/S0376892906002748; Clark TD, 2020, NATURE, V577, P370, DOI 10.1038/s41586-019-1903-y; Clark W., 1974, P INT C ART REEFS HO, P3; Claudet J, 2008, ECOL LETT, V11, P481, DOI 10.1111/j.1461-0248.2008.01166.x; Claudet J, 2020, ONE EARTH, V2, P34, DOI 10.1016/j.oneear.2019.10.012; Clements D.J., 2020, ECOEVORXIV, DOI 10.32942/OSF.IO/K9DBY; Consoli P, 2018, MAR POLLUT BULL, V136, P243, DOI 10.1016/j.marpolbul.2018.09.033; Cooke SJ, 2004, TRENDS ECOL EVOL, V19, P334, DOI 10.1016/j.tree.2004.04.003; Cooke SJ, 2016, COMP BIOCHEM PHYS A, V202, P23, DOI 10.1016/j.cbpa.2016.03.022; Costanza R, 1998, SCIENCE, V281, P198, DOI 10.1126/science.281.5374.198; Costello C, 2020, NATURE, V588, P95, DOI 10.1038/s41586-020-2616-y; Costello C, 2010, P NATL ACAD SCI USA, V107, P18294, DOI 10.1073/pnas.0908057107; Cox K, 2018, GLOBAL CHANGE BIOL, V24, P3105, DOI 10.1111/gcb.14106; Crear DP, 2016, MAR ECOL PROG SER, V548, P219, DOI 10.3354/meps11696; Crossin GT, 2017, ECOL APPL, V27, P1031, DOI 10.1002/eap.1533; Curtis JM, 2015, MAR COAST FISH, V7, P434, DOI 10.1080/19425120.2015.1074968; Curtis TH, 2013, MAR COAST FISH, V5, P28, DOI 10.1080/19425120.2012.756438; D'Anna G, 2011, ITAL J ZOOL, V78, P255, DOI 10.1080/11250000903464059; Dahl KA, 2020, MAR BIOL, V167, DOI 10.1007/s00227-020-03728-4; Daly R, 2020, ENDANGER SPECIES RES, V42, P7, DOI 10.3354/esr01035; Dannheim J, 2020, ICES J MAR SCI, V77, P1092, DOI 10.1093/icesjms/fsz018; Danylchuk AJ, 2007, FISHERIES MANAG ECOL, V14, P149, DOI 10.1111/j.1365-2400.2007.00535.x; Danylchuk AJ, 2011, MAR BIOL, V158, P1981, DOI 10.1007/s00227-011-1707-6; Davidsen JG, 2019, CONSERV PHYSIOL, V7, DOI 10.1093/conphys/coz020; de Jong K, 2018, ENVIRON POLLUT, V237, P814, DOI 10.1016/j.envpol.2017.11.003; Degraer S, 2020, OCEANOGRAPHY, V33, P48, DOI 10.5670/oceanog.2020.405; Deutsch C, 2015, SCIENCE, V348, P1132, DOI 10.1126/science.aaa1605; Donaldson MR, 2008, FISH FISH, V9, P79, DOI 10.1111/j.1467-2979.2007.00265.x; Doumbouya A, 2017, FRONT MAR SCI, V4, DOI 10.3389/fmars.2017.00050; Duarte CM, 2021, SCIENCE, V371, P583, DOI 10.1126/science.aba4658; Duarte CM, 2020, NATURE, V580, P39, DOI 10.1038/s41586-020-2146-7; Duarte CM, 2009, BIOSCIENCE, V59, P967, DOI 10.1525/bio.2009.59.11.8; Duncan EM, 2020, PLOS ONE, V15, DOI 10.1371/journal.pone.0242459; Dwyer RG, 2019, CONSERV BIOL, V33, P1426, DOI 10.1111/cobi.13328; Edwards P, 2019, MAR POLICY, V106, DOI 10.1016/j.marpol.2019.103547; Eggers F, 2015, MAR ECOL PROG SER, V520, P245, DOI 10.3354/meps11103; Ellis RD, 2019, FISH RES, V209, P186, DOI 10.1016/j.fishres.2018.09.015; Espinoza M, 2015, CORAL REEFS, V34, P807, DOI 10.1007/s00338-015-1312-0; Espinoza M, 2011, J EXP MAR BIOL ECOL, V401, P63, DOI 10.1016/j.jembe.2011.03.001; Estabrook BJ, 2016, ENDANGER SPECIES RES, V30, P267, DOI 10.3354/esr00743; Evans K, 2013, DEEP-SEA RES PT II, V88-89, P1, DOI 10.1016/j.dsr2.2012.10.005; Everett AG, 2020, MAR ECOL PROG SER, V649, P155, DOI 10.3354/meps13448; Fabi G., 2015, STUDIES REV; Farrugia TJ, 2011, MAR FRESHWATER RES, V62, P648, DOI 10.1071/MF10173; Ferter K, 2017, FISH RES, V186, P634, DOI 10.1016/j.fishres.2016.05.022; Ferter K, 2015, CAN J FISH AQUAT SCI, V72, P252, DOI 10.1139/cjfas-2014-0290; Fewtrell JL, 2012, MAR POLLUT BULL, V64, P984, DOI 10.1016/j.marpolbul.2012.02.009; Fillinger L, 2011, J ACOUST SOC AM, V129, P774, DOI 10.1121/1.3365315; Filous A, 2020, FISH RES, V230, DOI 10.1016/j.fishres.2020.105688; Filous A, 2020, ENVIRON BIOL FISH, V103, P1013, DOI 10.1007/s10641-020-00996-3; Filous A, 2019, OCEAN COAST MANAGE, V178, DOI 10.1016/j.ocecoaman.2019.104818; Flávio H, 2019, RIVER RES APPL, V35, P216, DOI 10.1002/rra.3400; Freedman R, 2015, MAR ECOL PROG SER, V520, P191, DOI 10.3354/meps11109; Freitas C, 2016, J ANIM ECOL, V85, P628, DOI 10.1111/1365-2656.12458; Friedl SE, 2013, T AM FISH SOC, V142, P399, DOI 10.1080/00028487.2012.730108; Friess C, 2021, MAR ECOL PROG SER, V663, P157, DOI 10.3354/meps13637; Fujioka K, 2018, PROG OCEANOGR, V162, P52, DOI 10.1016/j.pocean.2018.02.010; Getz ET, 2019, J EXP MAR BIOL ECOL, V519, DOI 10.1016/j.jembe.2019.151202; Gill AB, 2005, J APPL ECOL, V42, P605, DOI 10.1111/j.1365-2664.2005.01060.x; Gill AB, 2020, OCEANOGRAPHY, V33, P118, DOI 10.5670/oceanog.2020.411; Goñi R, 2010, MAR ECOL PROG SER, V400, P233, DOI 10.3354/meps08419; Grafton RQ, 2005, MAR POLICY, V29, P471, DOI 10.1016/j.marpol.2004.07.006; Green AL, 2015, BIOL REV, V90, P1215, DOI 10.1111/brv.12155; Grüss A, 2011, BIOL CONSERV, V144, P692, DOI 10.1016/j.biocon.2010.12.015; Hall-Spencer JM, 2008, NATURE, V454, P96, DOI 10.1038/nature07051; Halouani G, 2020, J MARINE SYST, V212, DOI 10.1016/j.jmarsys.2020.103434; Haulsee DE, 2015, MAR ECOL PROG SER, V528, P277, DOI 10.3354/meps11259; Hays GC, 2019, TRENDS ECOL EVOL, V34, P459, DOI 10.1016/j.tree.2019.01.009; Hazen EL, 2013, NAT CLIM CHANGE, V3, P234, DOI 10.1038/NCLIMATE1686; Heino M, 2015, ANNU REV ECOL EVOL S, V46, P461, DOI 10.1146/annurev-ecolsys-112414-054339; Hellström G, 2016, AQUAT TOXICOL, V170, P384, DOI 10.1016/j.aquatox.2015.11.005; Heupel MR, 2006, MAR FRESHWATER RES, V57, P1, DOI 10.1071/MF05091; Heupel MR, 2002, CAN J FISH AQUAT SCI, V59, P624, DOI 10.1139/F02-036; Hightower JE, 2001, T AM FISH SOC, V130, P557, DOI 10.1577/1548-8659(2001)130&lt;0557:UOTMTE&gt;2.0.CO;2; Hilborn R, 2021, FISH FISH, V22, P911, DOI 10.1111/faf.12560; Hildebrand J., 2016, J ACOUST SOC AM, V139, P2089, DOI [10.1121/1.4950197, DOI 10.1121/1.4950197]; Hindell JS, 2007, J FISH BIOL, V71, P1331, DOI 10.1111/j.1095-8649.2007.01594.x; Howell L, 2021, NEW ZEAL J ZOOL, V48, P245, DOI 10.1080/03014223.2021.1900299; Hubert J, 2020, MAR POLLUT BULL, V160, DOI 10.1016/j.marpolbul.2020.111680; Hussey NE, 2017, ECOL APPL, V27, P687, DOI 10.1002/eap.1485; Hussey NE, 2015, SCIENCE, V348, DOI 10.1126/science.1255642; Huveneers C, 2021, BIOL CONSERV, V256, DOI 10.1016/j.biocon.2021.108995; Ingram EC, 2019, SCI REP-UK, V9, DOI 10.1038/s41598-019-48818-6; Itakura H, 2021, ICES J MAR SCI, V78, P1049, DOI 10.1093/icesjms/fsab009; Ivanova SV, 2020, ECOL APPL, V30, DOI 10.1002/eap.2050; Iverson SJ, 2019, CAN J FISH AQUAT SCI, V76, P1041, DOI 10.1139/cjfas-2018-0481; Jambeck JR, 2015, SCIENCE, V347, P768, DOI 10.1126/science.1260352; Jirik KE, 2012, J FISH BIOL, V80, P1227, DOI 10.1111/j.1095-8649.2011.03208.x; Jorgensen C, 2007, SCIENCE, V318, P1247, DOI 10.1126/science.1148089; Kasumyan AO., 2001, Journal of Ichthyology, V41, P76; Katzner TE, 2020, FRONT ECOL EVOL, V7, DOI 10.3389/fevo.2019.00519; Kawabata Y, 2007, FISHERIES SCI, V73, P1147, DOI 10.1111/j.1444-2906.2007.01446.x; Kawabata Y, 2011, FISHERIES SCI, V77, P345, DOI 10.1007/s12562-011-0351-x; Keller K, 2017, MAR FRESHWATER RES, V68, P1489, DOI 10.1071/MF16127; Kennicutt MC, 2014, NATURE, V512, P23, DOI 10.1038/512023a; Koeck B, 2013, PLOS ONE, V8, DOI 10.1371/journal.pone.0069303; Kontopoulos I., 2020, Int. 1. Big Data Intell., V7, P85, DOI DOI 10.1504/IJBDI.2020.107375; Kristensen LD, 2017, FISHERIES MANAG ECOL, V24, P353, DOI 10.1111/fme.12235; Kristensen ML, 2018, MAR ECOL PROG SER, V599, P209, DOI 10.3354/meps12618; Kroeker KJ, 2013, GLOBAL CHANGE BIOL, V19, P1884, DOI 10.1111/gcb.12179; Kroodsma DA, 2018, SCIENCE, V359, P904, DOI 10.1126/science.aao5646; Kudryavtsev AA, 2003, ACOUST PHYS+, V49, P184, DOI 10.1134/1.1560380; Laffoley D, 2020, AQUAT CONSERV, V30, P194, DOI 10.1002/aqc.3182; Larsson DGJ, 2007, J HAZARD MATER, V148, P751, DOI 10.1016/j.jhazmat.2007.07.008; Le Quesne WJF, 2009, ICES J MAR SCI, V66, P122, DOI 10.1093/icesjms/fsn202; Lea JSE, 2016, P ROY SOC B-BIOL SCI, V283, DOI 10.1098/rspb.2016.0717; Lédée EJI, 2021, FISH FISH, V22, P987, DOI 10.1111/faf.12565; Lee KA, 2015, FRONT MAR SCI, V2, DOI 10.3389/fmars.2015.00018; Lennox RJ, 2017, BIOSCIENCE, V67, P884, DOI 10.1093/biosci/bix098; Lewison RL, 2004, TRENDS ECOL EVOL, V19, P598, DOI 10.1016/j.tree.2004.09.004; Li WC, 2016, SCI TOTAL ENVIRON, V566, P333, DOI 10.1016/j.scitotenv.2016.05.084; Linares C, 2015, P ROY SOC B-BIOL SCI, V282, DOI 10.1098/rspb.2015.0587; Logan RK, 2018, MAR ECOL PROG SER, V593, P111, DOI 10.3354/meps12527; Long T, 2020, NAT FOOD, V1, P389, DOI 10.1038/s43016-020-0121-y; Longcore T, 2004, FRONT ECOL ENVIRON, V2, P191, DOI 10.1890/1540-9295(2004)002[0191:ELP]2.0.CO;2; Lowerre-Barbieri SK, 2003, T AM FISH SOC, V132, P940, DOI 10.1577/T02-001; Lowerre-Barbieri S, 2017, FISH FISH, V18, P285, DOI 10.1111/faf.12180; Lowerre-Barbieri SK, 2021, FISH FISH, V22, P1321, DOI 10.1111/faf.12589; Lowerre-Barbieri SK, 2019, ICES J MAR SCI, V76, P477, DOI 10.1093/icesjms/fsy211; Madrak S.V., 2016, ANIM BIOTELEM, V4, P22, DOI DOI 10.1186/S40317-016-0114-7; MARANGONI LFB, GLOBAL CHANGE BIOL; Marshell A, 2011, CORAL REEFS, V30, P631, DOI 10.1007/s00338-011-0770-2; Martin A, 2020, NATURE, V580, P26, DOI 10.1038/d41586-020-00915-7; Martín G, 2020, J APPL ECOL, V57, P1969, DOI 10.1111/1365-2664.13706; Masmitja I, 2020, SCI ROBOT, V5, DOI 10.1126/scirobotics.abc3701; Matley JK, 2022, TRENDS ECOL EVOL, V37, P79, DOI 10.1016/j.tree.2021.09.001; Maxwell SM, 2020, SCIENCE, V367, P252, DOI 10.1126/science.aaz9327; McCauley DJ, 2016, SCIENCE, V351, P1148, DOI 10.1126/science.aad5686; McCook LJ, 2010, P NATL ACAD SCI USA, V107, P18278, DOI 10.1073/pnas.0909335107; Meyer CG, 2007, MAR BIOL, V151, P2133, DOI 10.1007/s00227-007-0647-7; Moilanen A., 2008, Zonation spatial conservation planning framework and software v. 2.0; Montero-Serra I, 2015, GLOBAL CHANGE BIOL, V21, P144, DOI 10.1111/gcb.12747; Morfin M, 2019, OCEAN COAST MANAGE, V178, DOI 10.1016/j.ocecoaman.2019.104848; Moser ML, 2007, ENVIRON BIOL FISH, V79, P243, DOI 10.1007/s10641-006-9028-1; Moxham EJ, 2019, ENVIRON BIOL FISH, V102, P365, DOI 10.1007/s10641-019-00850-1; Munday PL, 2010, P NATL ACAD SCI USA, V107, P12930, DOI 10.1073/pnas.1004519107; Munilla I, 2011, ECOSPHERE, V2, DOI 10.1890/ES11-00020.1; Nagelkerken I, 2016, NAT CLIM CHANGE, V6, P89, DOI [10.1038/nclimate2757, 10.1038/NCLIMATE2757]; Nagelkerken I, 2015, P NATL ACAD SCI USA, V112, P13272, DOI 10.1073/pnas.1510856112; Nathan R, 2022, SCIENCE, V375, P734, DOI 10.1126/science.abg1780; Nelson TR, 2020, MAR COAST FISH, V12, P78, DOI 10.1002/mcf2.10110; Nightingale Barbara, 2006, P257; Nowacek DP, 2015, FRONT ECOL ENVIRON, V13, P378, DOI 10.1890/130286; O'Neill FG, 2019, EUROPEAN LANDING OBLIGATION: REDUCING DISCARDS IN COMPLEX, MULTI-SPECIES AND MULTI-JURISDICTIONAL FISHERIES, P279, DOI 10.1007/978-3-030-03308-8_14; O'Toole AC, 2012, SCI TOTAL ENVIRON, V427, P98, DOI 10.1016/j.scitotenv.2011.11.053; Olsen EM, 2012, ECOL EVOL, V2, P1549, DOI 10.1002/ece3.244; Özgül A, 2015, J APPL ICHTHYOL, V31, P41, DOI 10.1111/jai.12922; Özgül A, 2019, FISH RES, V210, P22, DOI 10.1016/j.fishres.2018.10.008; Parrish FA, 2015, FISH B-NOAA, V113, P231, DOI 10.7755/FB.113.3.1; Pauly D, 2002, NATURE, V418, P689, DOI 10.1038/nature01017; Pendleton L, 2020, P NATL ACAD SCI USA, V117, P9652, DOI 10.1073/pnas.2005485117; Peterson CH, 2003, SCIENCE, V302, P2082, DOI 10.1126/science.1084282; Pine WE, 2003, FISHERIES, V28, P10, DOI 10.1577/1548-8446(2003)28[10:AROTMF]2.0.CO;2; Pioch S, 2011, CRC MAR BIOL SER, P65; Piraino MN, 2014, T AM FISH SOC, V143, P988, DOI 10.1080/00028487.2014.901249; Pitcher TJ, 2002, FISH FISH, V3, P317, DOI 10.1046/j.1467-2979.2002.00093.x; Pörtner HO, 2007, SCIENCE, V315, P95, DOI 10.1126/science.1135471; Pollara Alexander., 2017, 2017 IEEE International Symposium on Technologies for Homeland Security (HST), P1, DOI DOI 10.1109/THS.2017.7943488; Pollock KH, 2004, T AM FISH SOC, V133, P639, DOI 10.1577/T03-029.1; Poloczanska ES, 2013, NAT CLIM CHANGE, V3, P919, DOI [10.1038/NCLIMATE1958, 10.1038/nclimate1958]; Portner H.-O., 2022, CLIMATE CHANGE 2022, DOI [10.1017/9781009325844, DOI 10.1017/9781009325844]; Pursche AR, 2014, ICES J MAR SCI, V71, P1100, DOI 10.1093/icesjms/fst209; Pyle G, 2017, AQUAT TOXICOL, V182, P226, DOI 10.1016/j.aquatox.2016.11.008; Rankin PS, 2013, MAR ECOL PROG SER, V492, P223, DOI 10.3354/meps10479; Reid AJ, 2021, FISH FISH, V22, P243, DOI 10.1111/faf.12516; Reubens J, 2019, ANIM BIOTELEM, V7, DOI 10.1186/s40317-019-0164-8; Reubens JT, 2014, J SEA RES, V85, P214, DOI 10.1016/j.seares.2013.05.005; Reubens JT, 2013, MAR ENVIRON RES, V90, P128, DOI 10.1016/j.marenvres.2013.07.001; Reynolds BF, 2010, PLOS ONE, V5, DOI 10.1371/journal.pone.0012130; Rider MJ, 2021, MAR ENVIRON RES, V172, DOI 10.1016/j.marenvres.2021.105489; Roberts CM, 2017, P NATL ACAD SCI USA, V114, P6167, DOI 10.1073/pnas.1701262114; Roberts CM, 2005, PHILOS T R SOC B, V360, P123, DOI 10.1098/rstb.2004.1578; Rolland RM, 2012, P ROY SOC B-BIOL SCI, V279, P2363, DOI 10.1098/rspb.2011.2429; Ryabinin V, 2019, FRONT MAR SCI, V6, DOI 10.3389/fmars.2019.00470; Salloum H., 2018, COAST GUARD J SAFETY, V75, P40; Salmon M, 1995, J HERPETOL, V29, P568, DOI 10.2307/1564740; Sanchez W, 2011, ENVIRON INT, V37, P1342, DOI 10.1016/j.envint.2011.06.002; Santos-Domínguez D, 2016, APPL ACOUST, V113, P64, DOI 10.1016/j.apacoust.2016.06.008; Scheffel TK, 2020, CAN J FISH AQUAT SCI, V77, P1, DOI 10.1139/cjfas-2018-0174; Schmiing M, 2009, OCEANS-IEEE, P21; Schofield G, 2013, BIOL CONSERV, V161, P101, DOI 10.1016/j.biocon.2013.03.004; Sequeira AMM, 2018, P NATL ACAD SCI USA, V115, P3072, DOI 10.1073/pnas.1716137115; Sertlek HÖ, 2019, ENVIRON POLLUT, V247, P1143, DOI 10.1016/j.envpol.2019.01.119; Shillinger GL, 2012, MAR ECOL PROG SER, V457, P165, DOI 10.3354/meps09816; Simard P, 2016, PLOS ONE, V11, DOI 10.1371/journal.pone.0160695; Simpson SD, 2016, NAT COMMUN, V7, DOI 10.1038/ncomms10544; Simpson SD, 2011, BIOL LETTERS, V7, P917, DOI 10.1098/rsbl.2011.0293; Sims DW, 2006, J ANIM ECOL, V75, P176, DOI 10.1111/j.1365-2656.2005.01033.x; Slabbekoorn H, 2019, FISH FISH, V20, P653, DOI 10.1111/faf.12367; Smith IP, 1999, MAR ECOL PROG SER, V186, P255, DOI 10.3354/meps186255; St John MA, 2016, FRONT MAR SCI, V3, DOI 10.3389/fmars.2016.00031; Staines G, 2019, OCEANS-IEEE; Starr RM, 2002, FISH B-NOAA, V100, P324; STOLKIN R, 2006, P SPIE; Sumaila UR, 2006, MAR POLICY, V30, P696, DOI 10.1016/j.marpol.2005.11.001; Sumaila UR, 2013, ENVIRON DEV ECON, V18, P427, DOI 10.1017/S1355770X13000156; Taylor MD, 2018, ESTUAR COAST, V41, P1782, DOI 10.1007/s12237-018-0395-6; Taylor MD, 2018, SCI TOTAL ENVIRON, V625, P344, DOI 10.1016/j.scitotenv.2017.12.177; Taylor MD, 2017, FISH RES, V186, P407, DOI 10.1016/j.fishres.2016.10.004; Taylor MD, 2013, REV FISH SCI, V21, P341, DOI 10.1080/10641262.2013.796815; Thorstad EB, 2013, ESTUAR COAST SHELF S, V124, P34, DOI 10.1016/j.ecss.2013.03.021; Thums M, 2016, ROY SOC OPEN SCI, V3, DOI 10.1098/rsos.160142; Tickler DM, 2019, ANIM BIOTELEM, V7, DOI 10.1186/s40317-019-0163-9; TinHan TC, 2018, ESTUAR COAST, V41, P1793, DOI 10.1007/s12237-018-0391-x; Topping DT, 2013, T AM FISH SOC, V142, P1090, DOI 10.1080/00028487.2013.790844; Topping DT, 2011, FISH RES, V112, P77, DOI 10.1016/j.fishres.2011.08.013; UNEP-WCMC and IUCN, 2021, PROT PLAN WORLD DAT; United Nations (UN), TRANSF OUR WORLD 203, DOI [DOI 10.1201/B20466-7, DOI 10.1891/9780826190123.AP02]; Urke HA, 2013, FISHERIES MANAG ECOL, V20, P544, DOI 10.1111/fme.12042; Van der Knaap I, 2022, ENVIRON POLLUT, V300, DOI 10.1016/j.envpol.2022.118913; van der Knaap I, 2021, CURR BIOL, V31, DOI 10.1016/j.cub.2021.01.050; Vander Zanden HB, 2016, ECOL APPL, V26, P2145, DOI 10.1002/eap.1366; Villegas-Ríos D, 2021, BIOL CONSERV, V263, DOI 10.1016/j.biocon.2021.109333; Villegas-Ríos D, 2020, METHODS ECOL EVOL, V11, P1186, DOI 10.1111/2041-210X.13446; Walters C.J., 2005, FISHERIES ECOLOGY MA, DOI 10.1515/9780691214634; Wardle CS, 2001, CONT SHELF RES, V21, P1005, DOI 10.1016/S0278-4343(00)00122-9; Watson JT, 2016, PLOS ONE, V11, DOI 10.1371/journal.pone.0165173; Wenger AS, 2017, FISH FISH, V18, P967, DOI 10.1111/faf.12218; Wilson P, 2018, MAR ECOL PROG SER, V600, P179, DOI 10.3354/meps12649; Winter H.V., 2010, Residence time and behaviour of sole and cod in the Offshore Wind farm Egmond aan Zee (OWEZ); Young JM, 2020, MAR COAST FISH, V12, P258, DOI 10.1002/mcf2.10100; Zieba G, 2014, FUND APPL LIMNOL, V185, P43, DOI 10.1127/fal/2014/0542</t>
  </si>
  <si>
    <t>1354-1013</t>
  </si>
  <si>
    <t>1365-2486</t>
  </si>
  <si>
    <t>GLOBAL CHANGE BIOL</t>
  </si>
  <si>
    <t>Glob. Change Biol.</t>
  </si>
  <si>
    <t>10.1111/gcb.16343</t>
  </si>
  <si>
    <t>Biodiversity Conservation; Ecology; Environmental Sciences</t>
  </si>
  <si>
    <t>4F1CB</t>
  </si>
  <si>
    <t>WOS:000836335400001</t>
  </si>
  <si>
    <t>Liconti, A; Pittman, SJ; Rees, SE; Mieszkowska, N</t>
  </si>
  <si>
    <t>Liconti, Arianna; Pittman, Simon J.; Rees, Sian E.; Mieszkowska, Nova</t>
  </si>
  <si>
    <t>Identifying conservation priorities for gorgonian forests in Italian coastal waters with multiple methods including citizen science and social media content analysis</t>
  </si>
  <si>
    <t>DIVERSITY AND DISTRIBUTIONS</t>
  </si>
  <si>
    <t>biogeography; citizen science; gorgonian forests; marine policy; web ecological knowledge</t>
  </si>
  <si>
    <t>MARINE PROTECTED AREAS; MASS-MORTALITY; PARAMURICEA-CLAVATA; LIGURIAN SEA; RED CORAL; BIODIVERSITY; MANAGEMENT; HEATWAVES; SARDINIA; SUCCESS</t>
  </si>
  <si>
    <t>Aim Gorgonian forests are among the most complex of subtidal habitats in the Mediterranean Sea, supporting high biodiversity and providing diverse ecosystem services. Despite their iconic status, the geographical distribution and condition of gorgonian species is poorly known. Using multiple online data sources, our primary aims were to compile, map and analyse observations of gorgonian forests in Italian coastal waters to assess the biological complexity of gorgonian forests, evaluate impacts and vulnerable species, and identify areas of special interest inside and outside of marine protected areas (MPAs) to help prioritize conservation strategies and actions. Location Italy. Mediterranean Sea. Methods Using a multi-source data integration approach, we collected and integrated data from scientific publications, the World Wide Web including social media platforms, citizen science projects and SCUBA diver questionnaires into a unified spatial framework. This method provided up-to-date information on the geographical distribution, abundance, and health of major habitat-forming gorgonian species in Italian coastal waters. Results Higher abundance and complexity of gorgonian species occurred outside MPAs. Areas of Special Interest (n = 167) were identified (80 inside and 87 outside MPAs). Three locations supported all seven focal species: Capo Caccia MPA, Portofino MPA and Catania (unprotected). The purple gorgonian (Paramuricea clavata), the most abundant and geographically widespread species with highest forest complexity, was affected by multiple stressors including thermal stress, disease and fishing. Main conclusions The multi-source approach was a rapid and cost-effective tool to gather, analyse and map disparate data on gorgonian forests spanning 27 years of underwater observations both inside and outside of MPAs. The unique perspective given by this approach demonstrates the suboptimal protection of several habitat-forming gorgonian species. The approach has great potential for wider application and offers a more inclusive participatory model for crowdsourcing and repurposing under-utilized observations while also increasing ocean literacy.</t>
  </si>
  <si>
    <t>[Liconti, Arianna; Pittman, Simon J.; Rees, Sian E.] Plymouth Univ, Sch Biol &amp; Marine Sci, Plymouth PL4 8AA, Devon, England; [Liconti, Arianna; Mieszkowska, Nova] Marine Biol Assoc UK, The Lab, Plymouth, Devon, England; [Pittman, Simon J.] Univ Oxford, Oxford Seascape Ecol Lab, Sch Geog &amp; Environm, Oxford, England; [Mieszkowska, Nova] Univ Liverpool, Sch Environm Sci, Liverpool, Merseyside, England</t>
  </si>
  <si>
    <t>University of Plymouth; Marine Biological Association United Kingdom; University of Oxford; University of Liverpool</t>
  </si>
  <si>
    <t>Pittman, SJ (corresponding author), Plymouth Univ, Sch Biol &amp; Marine Sci, Plymouth PL4 8AA, Devon, England.</t>
  </si>
  <si>
    <t>simon.pittman@piymouth.ac.uk</t>
  </si>
  <si>
    <t>Mieszkowska, Nova/0000-0002-9570-7759; Pittman, Simon/0000-0002-4113-6970; Rees, Sian/0000-0001-9606-783X; Liconti, Arianna/0000-0001-9153-9690</t>
  </si>
  <si>
    <t>[Anonymous], 2017, ANIMAL FORESTS DEEP, DOI DOI 10.1016/j.quascirev.2004.06.025; August TA, 2020, PATTERNS, V1, DOI 10.1016/j.patter.2020.100116; Ballesteros E., 2003, PLAN DACTION STRATEG; Bally M, 2007, GLOBAL CHANGE BIOL, V13, P2078, DOI 10.1111/j.1365-2486.2007.01423.x; Bavestrello G, 1997, AQUAT CONSERV, V7, P253, DOI 10.1002/(SICI)1099-0755(199709)7:3&lt;253::AID-AQC243&gt;3.0.CO;2-1; Bensoussan N, 2010, ESTUAR COAST SHELF S, V87, P431, DOI 10.1016/j.ecss.2010.01.008; Betti F, 2020, OCEAN COAST MANAGE, V187, DOI 10.1016/j.ocecoaman.2020.105105; Bianchi CN, 2019, EUR ZOOL J, V86, P458, DOI 10.1080/24750263.2019.1687765; Boavida J, 2016, SCI REP-UK, V6, DOI 10.1038/srep36460; Cánovas-Molina A, 2016, CONT SHELF RES, V121, P13, DOI 10.1016/j.csr.2016.01.008; Casas-Güell E, 2015, MAR BIOL, V162, P901, DOI 10.1007/s00227-015-2635-7; Cebrian E, 2018, BIOL INVASIONS, V20, P2839, DOI 10.1007/s10530-018-1736-x; Cerrano C, 2000, ECOL LETT, V3, P284, DOI 10.1046/j.1461-0248.2000.00152.x; Cerrano C, 2010, BIODIVERS CONSERV, V19, P153, DOI 10.1007/s10531-009-9712-5; Cerrano C, 2008, CHEM ECOL, V24, P73, DOI 10.1080/02757540801979648; Cerrano C, 2017, AQUAT CONSERV, V27, P303, DOI 10.1002/aqc.2663; Coma R, 2004, ECOL APPL, V14, P1466, DOI 10.1890/03-5176; Coma R, 2009, P NATL ACAD SCI USA, V106, P6176, DOI 10.1073/pnas.0805801106; Crisci C, 2011, PLOS ONE, V6, DOI 10.1371/journal.pone.0023814; Cupido R, 2009, MAR ECOL PROG SER, V394, P195, DOI 10.3354/meps08260; d'Avray LTD, 2019, MAR POLLUT BULL, V138, P160, DOI 10.1016/j.marpolbul.2018.10.057; Darmaraki S, 2019, CLIM DYNAM, V53, P1371, DOI 10.1007/s00382-019-04661-z; Di Camillo CG, 2018, BIODIVERS CONSERV, V27, P1257, DOI 10.1007/s10531-017-1492-8; Di Minin E, 2015, FRONT ENV SCI-SWITZ, V3, DOI 10.3389/fenvs.2015.00063; Earp HS, 2020, YOUMARES 9 - THE OCEANS: OUR RESEARCH, OUR FUTURE, P1, DOI 10.1007/978-3-030-20389-4_1; European Commission, 1992, Official Journal of the European Union, V206, P0007, DOI DOI 10.1017/CBO9780511610851.039; Fava F, 2010, ITAL J ZOOL, V77, P44, DOI 10.1080/11250000902769680; Follesa MC, 2013, MAR FRESHWATER RES, V64, P706, DOI 10.1071/MF12235; Fraschetti S, 2002, MAR ECOL-P S Z N I, V23, P190, DOI 10.1111/j.1439-0485.2002.tb00018.x; Galil Bella S., 2019, P513; Gambi M.C., 2010, Biologia Marina Mediterranea, V17, P126; Gori A, 2011, MAR BIOL, V158, P143, DOI 10.1007/s00227-010-1548-8; Halpern BS, 2010, P NATL ACAD SCI USA, V107, P18312, DOI 10.1073/pnas.0908503107; Hothorn T, 2008, BIOMETRICAL J, V50, P346, DOI 10.1002/bimj.200810425; Huete-Stauffer C, 2011, MAR ECOL-EVOL PERSP, V32, P107, DOI 10.1111/j.1439-0485.2011.00429.x; IUCN, 2016, IUCN RED LIST ANTH M; Jaric I, 2020, TRENDS ECOL EVOL, V35, P630, DOI 10.1016/j.tree.2020.03.003; Kipson S, 2011, PLOS ONE, V6, DOI 10.1371/journal.pone.0027103; Linares C, 2008, J APPL ECOL, V45, P688, DOI 10.1111/j.1365-2664.2007.01419.x; Linares C, 2013, MAR ENVIRON RES, V89, P45, DOI 10.1016/j.marenvres.2013.04.009; Linares C, 2010, MAR ECOL PROG SER, V402, P59, DOI 10.3354/meps08437; Martin Y, 2002, WATER RES, V36, P779, DOI 10.1016/S0043-1354(01)00251-2; Micheli F, 2013, PLOS ONE, V8, DOI 10.1371/journal.pone.0079889; Milazzo M, 2002, MAR ECOL-P S Z N I, V23, P280, DOI 10.1111/j.1439-0485.2002.tb00026.x; Mistri Michele, 1996, Marine Life, V5, P43; Mokhtar-Jamaï K, 2013, ECOL EVOL, V3, P1765, DOI 10.1002/ece3.588; Otero M. M., 2017, Overview of the conservation status of Mediterranean anthozoans; Palma M, 2018, REMOTE SENS-BASEL, V10, DOI 10.3390/rs10071154; Pinheiro J., 2021, R Package Version 3, P1, DOI DOI 10.4018/978-1-4666-7244-4.CH001; Ponti M., 2011, Biologia Marina Mediterranea, V18, P282; Ponti M, 2018, AQUAT CONSERV, V28, P1153, DOI 10.1002/aqc.2928; Ponti M, 2016, MAR BIOL, V163, DOI 10.1007/s00227-016-2897-8; Ponti M, 2014, PLOS ONE, V9, DOI 10.1371/journal.pone.0102782; Pournelle G. H., 1953, Journal of Mammalogy, V34, P133, DOI 10.1890/0012-9658(2002)083[1421:SDEOLC]2.0.CO;2; QGIS Development Team, 2022, QGIS GEOGR INF SYST; Roberts CM, 2005, PHILOS T R SOC B, V360, P123, DOI 10.1098/rstb.2004.1578; Rodrigues LC, 2016, ENVIRON RESOUR ECON, V63, P289, DOI 10.1007/s10640-015-9935-8; Rossi S, 2013, OCEAN COAST MANAGE, V84, P77, DOI 10.1016/j.ocecoaman.2013.07.004; Rossi S, 2009, INVERTEBR REPROD DEV, V53, P175, DOI 10.1080/07924259.2009.9652304; Ruitton S., 2019, 3 S CONSERVATION COR, P100; Santangelo G, 2015, HYDROBIOLOGIA, V759, P171, DOI 10.1007/s10750-015-2241-1; Santangelo G, 2001, AQUAT CONSERV, V11, P253, DOI 10.1002/aqc.451; Schläppy ML, 2017, FRONT MAR SCI, V4, DOI 10.3389/fmars.2017.00146; Sini M, 2015, PLOS ONE, V10, DOI 10.1371/journal.pone.0126253; Smale DA, 2019, NAT CLIM CHANGE, V9, P306, DOI 10.1038/s41558-019-0412-1; Thiel M, 2014, OCEANOGR MAR BIOL, V52, P257; Toivonen T, 2019, BIOL CONSERV, V233, P298, DOI 10.1016/j.biocon.2019.01.023; Torrents O, 2008, J EXP MAR BIOL ECOL, V357, P7, DOI 10.1016/j.jembe.2007.12.006; Turicchia E, 2021, FRONT MAR SCI, V8, DOI 10.3389/fmars.2021.620368; UNEP-WCMC, 2019, PROT AR PROF IT WORL; Valisano L, 2016, MAR ECOL-EVOL PERSP, V37, P1303, DOI 10.1111/maec.12328; Venables WN., 2002, MODERN APPL STAT S, DOI 10.1007/978-0-387-21706-2; Verdura J, 2019, SCI REP-UK, V9, DOI 10.1038/s41598-019-41929-0; Vezzulli L, 2013, PLOS ONE, V8, DOI 10.1371/journal.pone.0067745; Vieira EA, 2020, PERSPECT ECOL CONSER, V18, P51, DOI 10.1016/j.pecon.2019.12.001</t>
  </si>
  <si>
    <t>1366-9516</t>
  </si>
  <si>
    <t>1472-4642</t>
  </si>
  <si>
    <t>DIVERS DISTRIB</t>
  </si>
  <si>
    <t>Divers. Distrib.</t>
  </si>
  <si>
    <t>10.1111/ddi.13553</t>
  </si>
  <si>
    <t>2T7SR</t>
  </si>
  <si>
    <t>Green Published, Green Accepted</t>
  </si>
  <si>
    <t>WOS:000806407600001</t>
  </si>
  <si>
    <t>Fassbender, AJ; Palevsky, HI; Martz, TR; Ingalls, AE; Gledhill, M; Fawcett, SE; Brandes, JA; Aluwihare, LI</t>
  </si>
  <si>
    <t>Fassbender, Andrea J.; Palevsky, Hilary I.; Martz, Todd R.; Ingalls, Anitra E.; Gledhill, Martha; Fawcett, Sarah E.; Brandes, Jay A.; Aluwihare, Lihini I.</t>
  </si>
  <si>
    <t>Participants COME ABOARD; DISCO XXV</t>
  </si>
  <si>
    <t>Perspectives on Chemical Oceanography in the 21st century: Participants of the COME ABOARD Meeting examine aspects of the field in the context of 40 years of DISCO</t>
  </si>
  <si>
    <t>MARINE CHEMISTRY</t>
  </si>
  <si>
    <t>PARTICULATE ORGANIC-MATTER; GRADUATE-EDUCATION; NORTH-ATLANTIC; OCEAN; MARINE; CARBON; NUTRIENT; STRATEGY; PROGRAM</t>
  </si>
  <si>
    <t>The questions that chemical oceanographers prioritize over the coming decades, and the methods we use to address these questions, will define our field's contribution to 21st century science. In recognition of this, the U.S. National Science Foundation and National Oceanic and Atmospheric Administration galvanized a community effort (the Chemical Oceanography MEeting: A BOttom-up Approach to Research Directions, or COME ABOARD) to synthesize bottom-up perspectives on selected areas of research in Chemical Oceanography. Representing only a small subset of the community, COME ABOARD participants did not attempt to identify targeted research directions for the field. Instead, we focused on how best to foster diverse research in Chemical Oceanography, placing emphasis on the following themes: strengthening our core chemical skillset; expanding our tools through collaboration with chemists, engineers, and computer scientists; considering new roles for large programs; enhancing interface research through interdisciplinary collaboration; and expanding ocean literacy by engaging with the public. For each theme, COME ABOARD participants reflected on the present state of Chemical Oceanography, where the community hopes to go and why, and actionable pathways to get there. A unifying concept among the discussions was that dissimilar funding structures and metrics of success may be required to accommodate the various levels of readiness and stages of knowledge development found throughout our community. In addition to the science, participants of the concurrent Dissertations Symposium in Chemical Oceanography (DISCO) XXV, a meeting of recent and forthcoming Ph.D. graduates in Chemical Oceanography, provided perspectives on how our field could show leadership in addressing long-standing diversity and early career challenges that are pervasive throughout science. Here we summarize the COME ABOARD Meeting discussions, providing a synthesis of reflections and perspectives on the field.</t>
  </si>
  <si>
    <t>[Fassbender, Andrea J.] Monterey Bay Aquarium Res Inst, Moss Landing, CA 95039 USA; [Palevsky, Hilary I.] Woods Hole Oceanog Inst, Marine Chem &amp; Geochem Dept, Woods Hole, MA 02543 USA; [Martz, Todd R.; Aluwihare, Lihini I.] Univ Calif San Diego, Scripps Inst Oceanog, San Diego, CA 92037 USA; [Ingalls, Anitra E.] Univ Washington, Sch Oceanog, Seattle, WA 98195 USA; [Gledhill, Martha] GEOMAR Helmholtz Ctr Ocean Res, D-24148 Kiel, Germany; [Fawcett, Sarah E.] Univ Cape Town, Dept Oceanog, ZA-7700 Cape Town, South Africa; [Brandes, Jay A.] Univ Georgia, Dept Marine Sci, Athens, GA 30602 USA</t>
  </si>
  <si>
    <t>Monterey Bay Aquarium Research Institute; Woods Hole Oceanographic Institution; University of California System; University of California San Diego; Scripps Institution of Oceanography; University of Washington; University of Washington Seattle; Helmholtz Association; GEOMAR Helmholtz Center for Ocean Research Kiel; University of Cape Town; University System of Georgia; University of Georgia</t>
  </si>
  <si>
    <t>Fassbender, AJ (corresponding author), Monterey Bay Aquarium Res Inst, Moss Landing, CA 95039 USA.</t>
  </si>
  <si>
    <t>fassbender@mbari.org</t>
  </si>
  <si>
    <t>Guallart, Elisa Fernández/AAB-2049-2020; Martz, Todd R/A-7704-2012; Knapp, Angela N/A-2194-2009; Steiner, Zvi/J-1260-2019; Gledhill, Martha/D-2819-2009; Close, Hilary/M-4904-2013; Collins, James/L-8087-2017</t>
  </si>
  <si>
    <t>Guallart, Elisa Fernández/0000-0003-2965-6671; Knapp, Angela N/0000-0001-5575-3382; Steiner, Zvi/0000-0002-9584-4956; Gledhill, Martha/0000-0003-3859-2112; Wilson, Samuel/0000-0002-7289-0909; Biermann, Lauren/0000-0002-6995-7586; Hurley, Sarah/0000-0002-4663-4063; Behrens, Melanie K./0000-0001-6013-6178; Lennartz, Sinikka/0000-0001-7040-149X; Hatta, Mariko/0000-0002-4892-7708; Grand, Maxime/0000-0001-9338-694X; Sikes, Elisabeth/0000-0003-2900-3283; Janssen, David/0000-0002-9091-8936; Horner, Tristan/0000-0003-1784-0391; Burdige, David/0000-0002-8859-7096; Fassbender, Andrea/0000-0002-5898-1185; Reddy, Christopher/0000-0002-7814-2071; Close, Hilary/0000-0002-9892-8928; Collins, James/0000-0002-5705-9682; Shaltout, Nayrah/0000-0003-1038-3642; Lam, Phoebe J./0000-0001-6609-698X; Barrett, Pamela/0000-0003-3405-5328; Casciotti, Karen/0000-0002-5286-7795; Juranek, Laurie/0000-0002-4922-8263; Ingalls, Anitra/0000-0003-1953-7329; Martz, Todd/0000-0002-1996-7145; Palevsky, Hilary/0000-0002-0488-4531; Popendorf, Kimberly/0000-0002-5581-9043; Fawcett, Sarah/0000-0002-0878-6496</t>
  </si>
  <si>
    <t>DISCO XXV; Gordon and Betty Moore Foundation; [NSFNSF-OCE-1356972]; [NSF-OCE-1737724]; [NOAANA16NMF4320058]; Directorate For Geosciences [1356972] Funding Source: National Science Foundation; Division Of Ocean Sciences [1356972] Funding Source: National Science Foundation</t>
  </si>
  <si>
    <t>DISCO XXV; Gordon and Betty Moore Foundation(Gordon and Betty Moore Foundation); ; ; ; Directorate For Geosciences(National Science Foundation (NSF)NSF - Directorate for Geosciences (GEO)); Division Of Ocean Sciences(National Science Foundation (NSF)NSF - Directorate for Geosciences (GEO))</t>
  </si>
  <si>
    <t>The authors thank, NSFNSF-OCE-1356972, NSF-OCE-1737724, and NOAANA16NMF4320058 for initiating and funding the COME ABOARD Meeting in concert with DISCO XXV to promote a bottom-up approach to research directions. We also thank the Gordon and Betty Moore Foundation for their funding contribution. COME ABOARD and DISCO XXV would not have been possible without the Herculean efforts of Karen Selph and Chris Measures. We thank Karen, Chris, and their group (Gabrielle Weiss, Nathaniel Harmon, Alaina Smith, Lauren Mathews, and Noah Howins), as well as the University of Hawaii, for hosting these community building events. We also thank four anonymous reviewers and the editor for constructive feedback that improved the manuscript. Finally, all participants of COME ABOARD and DISCO XXV contributed time and effort to the development of this document and are acknowledged by name and affiliation in the supplemental information.</t>
  </si>
  <si>
    <t>Aller R. C., 2014, TREATISE GEOCHEMISTR, V8, P293, DOI 10.1016/B978-0-08-095975-7.00611-2; Anderson RF, 2014, OCEANOGRAPHY, V27, P50, DOI 10.5670/oceanog.2014.07; [Anonymous], 2003, Ocean biogeochemistry: the role of the ocean carbon cycle in global change; Bakker DCE, 2016, EARTH SYST SCI DATA, V8, P383, DOI 10.5194/essd-8-383-2016; Bianchi T.S., 2006, BIOGEOCHEMISTRY ESTU; Boiteau R.M., 2016, MAR SCI, V3; Boiteau RM, 2016, P NATL ACAD SCI USA, V113, P14237, DOI 10.1073/pnas.1608594113; Boudreau B.P., 2001, BENTHIC BOUNDARY LAY; Boyd PW, 2016, GLOBAL CHANGE BIOL, V22, P2633, DOI 10.1111/gcb.13287; BREWER PG, 1985, J GEOPHYS RES-OCEANS, V90, P6903, DOI 10.1029/JC090iC04p06903; Briscoe M, 2016, OCEANOGRAPHY, V29, P22, DOI 10.5670/oceanog.2016.05; BROECKER W S, 1971, Quaternary Research (Orlando), V1, P188, DOI 10.1016/0033-5894(71)90041-X; Buesseler KO, 2012, P NATL ACAD SCI USA, V109, P5984, DOI 10.1073/pnas.1120794109; Burdige D.J., 2006, GEOCHEMISTRY MARINE; Carnes M, 2015, ACAD MED, V90, P221, DOI 10.1097/ACM.0000000000000552; Ciais P, 2014, CLIMATE CHANGE 2013: THE PHYSICAL SCIENCE BASIS, P465; Close HG, 2014, DEEP-SEA RES PT I, V85, P15, DOI 10.1016/j.dsr.2013.11.005; Coles V, 2011, OCEANOGRAPHY, V24, P17, DOI 10.5670/oceanog.2011.43; Collins JR, 2016, ANAL CHEM, V88, P7154, DOI 10.1021/acs.analchem.6b01260; Conway TM, 2014, NATURE, V511, P212, DOI 10.1038/nature13482; Cook SB, 2016, OCEANOGRAPHY, V29, P16, DOI 10.5670/oceanog.2016.04; Coppola AI, 2014, GEOPHYS RES LETT, V41, P2427, DOI 10.1002/2013GL059068; CRAIG H, 1980, EARTH PLANET SC LETT, V49, P263, DOI 10.1016/0012-821X(80)90071-0; Dickson A., 2010, GUIDE BEST PRACTICES, P17, DOI [DOI 10.1016/0198-0149(87)90021-5, 10.2777/58454, DOI 10.2777/58454]; Druffel ERM, 2015, GEOPHYS RES LETT, V42, P4096, DOI 10.1002/2015GL063764; Dudo A, 2016, PLOS ONE, V11, DOI 10.1371/journal.pone.0148867; Fitzsimmons JN, 2017, NAT GEOSCI, V10, P195, DOI [10.1038/ngeo2900, 10.1038/NGEO2900]; Ganachaud A, 2002, GLOBAL BIOGEOCHEM CY, V16, DOI 10.1029/2000GB001333; German CR, 2016, PHILOS T R SOC A, V374, DOI 10.1098/rsta.2016.0035; Green E.J., 1988, EOS T AM GEOPHYS UN, V69, P1015; Gruber N, 2009, GLOBAL BIOGEOCHEM CY, V23, DOI 10.1029/2008GB003349; Hansell DA, 2013, GLOBAL BIOGEOCHEM CY, V27, P705, DOI 10.1002/gbc.20067; Heal KR, 2017, P NATL ACAD SCI USA, V114, P364, DOI 10.1073/pnas.1608462114; Hood M., 2009, IOCCP REPORTS, V17; Hood M., 2009, ICPO PUBLICATION, V142; Hood M. E., 2009, IOC TECHNICAL SERIES, V89; Hurtado S, 2009, RES HIGH EDUC, V50, P189, DOI 10.1007/s11162-008-9114-7; Johnson K.S., 2017, J GEOPHYS RES-OCEANS, V119, P8109; Kharbush JJ, 2016, ORG GEOCHEM, V100, P29, DOI 10.1016/j.orggeochem.2016.07.008; Khatiwala S, 2013, BIOGEOSCIENCES, V10, P2169, DOI 10.5194/bg-10-2169-2013; Koch BP, 2005, GEOCHIM COSMOCHIM AC, V69, P3299, DOI 10.1016/j.gca.2005.02.027; Luther GW, 2010, AQUAT GEOCHEM, V16, P395, DOI 10.1007/s10498-009-9082-3; Mawji E, 2015, MAR CHEM, V177, P1, DOI 10.1016/j.marchem.2015.04.005; Mawji E, 2008, ENVIRON SCI TECHNOL, V42, P8675, DOI 10.1021/es801884r; Millero FJ, 2007, CHEM REV, V107, P308, DOI 10.1021/cr0503557; Moore EK, 2012, GEOCHIM COSMOCHIM AC, V83, P324, DOI 10.1016/j.gca.2012.01.002; Moore WS, 2010, ANNU REV MAR SCI, V2, P59, DOI 10.1146/annurev-marine-120308-081019; National Research Council, 1979, COMPR EM MAN GOV GUI, P6; Ostrom E., 1994, Rules, Games, and Common-pool Resources; Pearson A., 2014, Treatise on geochemistry, V12, P291, DOI DOI 10.1016/B978-0-08-095975-7.01022-6; Raven MR, 2016, GEOCHIM COSMOCHIM AC, V190, P175, DOI 10.1016/j.gca.2016.06.030; Riser SC, 2016, NAT CLIM CHANGE, V6, P145, DOI [10.1038/NCLIMATE2872, 10.1038/nclimate2872]; Sabine CL, 2004, SCIENCE, V305, P367, DOI 10.1126/science.1097403; Saito MA, 2014, SCIENCE, V345, P1173, DOI 10.1126/science.1256450; Schultz PW, 2011, EDUC EVAL POLICY AN, V33, P95, DOI 10.3102/0162373710392371; Slattery M, 2012, J NAT PROD, V75, P1833, DOI 10.1021/np300366a; Smith JL, 2015, BIOSCIENCE, V65, P1084, DOI 10.1093/biosci/biv138; Soule MCK, 2015, MAR CHEM, V177, P374, DOI 10.1016/j.marchem.2015.06.029; Takahashi T, 2002, DEEP-SEA RES PT II, V49, P1601, DOI 10.1016/S0967-0645(02)00003-6; Takahashi T, 2009, DEEP-SEA RES PT II, V56, P554, DOI 10.1016/j.dsr2.2008.12.009; UNESCO, 1974, INT OC COMM UNESCO I, V13; Wallace D. W. R., 2010, Ocean Fertilization: a Scientific Summary for Policy Makers; Wanninkhof R, 2013, BIOGEOSCIENCES, V10, P1983, DOI 10.5194/bg-10-1983-2013; Weiss PS, 2011, ACS NANO, V5, P6092, DOI 10.1021/nn202925m; Yamaguchi Y.T., 2017, ORG GEOCHEM</t>
  </si>
  <si>
    <t>0304-4203</t>
  </si>
  <si>
    <t>1872-7581</t>
  </si>
  <si>
    <t>MAR CHEM</t>
  </si>
  <si>
    <t>Mar. Chem.</t>
  </si>
  <si>
    <t>NOV 20</t>
  </si>
  <si>
    <t>10.1016/j.marchem.2017.09.002</t>
  </si>
  <si>
    <t>Chemistry, Multidisciplinary; Oceanography</t>
  </si>
  <si>
    <t>Chemistry; Oceanography</t>
  </si>
  <si>
    <t>FN1TG</t>
  </si>
  <si>
    <t>WOS:000415773500017</t>
  </si>
  <si>
    <t>Ferreira, JC; Monteiro, R; Vasconcelos, L; Duarte, CM; Ferreira, F; Santos, E</t>
  </si>
  <si>
    <t>Ferreira, Jose C.; Monteiro, Renato; Vasconcelos, Lia; Duarte, Claudio M.; Ferreira, Filipa; Santos, Euclides</t>
  </si>
  <si>
    <t>Perception of Citizens Regarding Marine Litter Impacts: Collaborative Methodologies in Island Fishing Communities of Cape Verde</t>
  </si>
  <si>
    <t>JOURNAL OF MARINE SCIENCE AND ENGINEERING</t>
  </si>
  <si>
    <t>marine litter; island communities; small islands; ocean literacy; public engagement; Cape Verde; Africa</t>
  </si>
  <si>
    <t>PLASTIC DEBRIS; PUBLIC-PARTICIPATION; DECISION-MAKING; ENVIRONMENT; ATTITUDES; BIODIVERSITY; KNOWLEDGE; POLLUTION; MATTER; AREA</t>
  </si>
  <si>
    <t>Marine litter has been considered one of the most serious global challenges, requiring urgent action by governmental bodies, especially in African Small Island Developing States (SIDS), where resources and research are limited. In addition to this, waste management and environmental education and ocean literacy programs in schools are scarce, with islands suffering more seriously from these problems. Despite the amount of literature regarding causes and impacts of marine litter, there is still not enough research conducted concerning the public perceptions on both the problem and the potential solutions. This is even more noticeable in African developing countries, where resources and research are scarce. Perception plays a key role for ecosystem management and conservation policies. This study intends to explore the perceptions of local island fishing communities in Cape Verde regarding marine litter, in order to contribute for an improvement of marine ecosystem management and development of conservation policies. To achieve that, two participatory sessions were conducted in two communities in the island of Santiago-Porto Mosquito and Porto Gouveia-where brainstorming and active listening were used to create shared and authentic spaces for dialogue between the members of the community. Results show that the population of both communities were very aware of the marine litter problem. They were able to identify the lack of a proper waste management system in the island and the inappropriate behaviours of the population as the main causes of this problem. Equipment damages and the presence of plastic inside the fish were the most relevant impacts identified by the participants. These findings reinforce previous research on the importance of public engagement and environmental education to contribute to the conservation of marine ecosystems and to build a strong collaborative ocean governance.</t>
  </si>
  <si>
    <t>[Ferreira, Jose C.; Monteiro, Renato; Vasconcelos, Lia; Duarte, Claudio M.; Ferreira, Filipa] NOVA Univ Lisbon, NOVA Sch Sci &amp; Technol, Campus Caparica, P-2829516 Caparica, Portugal; [Ferreira, Jose C.; Monteiro, Renato; Vasconcelos, Lia; Duarte, Claudio M.; Ferreira, Filipa] NOVA Univ Lisbon, MARE Marine &amp; Environm Sci Ctr, Campus Caparica, P-2829516 Caparica, Portugal; [Santos, Euclides] Univ Cabo Verde, Escola Ciencias Agr &amp; Ambientais, Praca Antonio Lereno,Praia CP 379C, Santiago, Cape Verde</t>
  </si>
  <si>
    <t>Universidade Nova de Lisboa; Universidade Nova de Lisboa; University of Cape Verde</t>
  </si>
  <si>
    <t>Ferreira, JC (corresponding author), NOVA Univ Lisbon, NOVA Sch Sci &amp; Technol, Campus Caparica, P-2829516 Caparica, Portugal.;Ferreira, JC (corresponding author), NOVA Univ Lisbon, MARE Marine &amp; Environm Sci Ctr, Campus Caparica, P-2829516 Caparica, Portugal.</t>
  </si>
  <si>
    <t>jcrf@fct.unl.pt; rmc.monteiro@fct.unl.pt; ltv@fct.unl.pt; cj.duarte@fct.unl.pt; fm.ferreira@campus.fct.unl.pt; euclidesa.tavares@student.unicv.edu.cv</t>
  </si>
  <si>
    <t>Ferreira, José Carlos/ABI-6255-2020; Marmolejo Duarte, Carlos/D-9162-2016; Monteiro, Renato/AAN-1785-2021</t>
  </si>
  <si>
    <t>Ferreira, José Carlos/0000-0001-7917-7252; Marmolejo Duarte, Carlos/0000-0001-7051-7337; Monteiro, Renato/0000-0002-3304-2800; Vasconcelos, Lia/0000-0002-7398-347X; Macedo Duarte, Claudio/0000-0003-0297-5875; G. Ferreira, Filipa/0000-0001-6245-046X</t>
  </si>
  <si>
    <t>Portuguese Foundation for Science and Technology (FCT) [PTDC/EAM-OCE/31207/2017]; FCT-Foundation for Science and Technology, I.P. within MARE-Marine and Environmental Sciences Centre [UIDB/04292/2020]; Fundação para a Ciência e a Tecnologia [PTDC/EAM-OCE/31207/2017] Funding Source: FCT</t>
  </si>
  <si>
    <t>Portuguese Foundation for Science and Technology (FCT)(Fundacao para a Ciencia e a Tecnologia (FCT)); FCT-Foundation for Science and Technology, I.P. within MARE-Marine and Environmental Sciences Centre; Fundação para a Ciência e a Tecnologia(Fundacao para a Ciencia e a Tecnologia (FCT))</t>
  </si>
  <si>
    <t>The authors acknowledge the financial help of the Portuguese Foundation for Science and Technology (FCT) project To-SEAlert (PTDC/EAM-OCE/31207/2017). This work is financed by national funds through FCT-Foundation for Science and Technology, I.P., within the scope of the project UIDB/04292/2020 of MARE-Marine and Environmental Sciences Centre.</t>
  </si>
  <si>
    <t>Alomar C, 2020, DEEP-SEA RES PT I, V155, DOI 10.1016/j.dsr.2019.103178; Andrea V, 2020, J MAR SCI ENG, V8, DOI 10.3390/jmse8080549; [Anonymous], 2010, European Commission: Education and Training; [Anonymous], 2020, LARGEST COUNTRIES WO; [Anonymous], 2009, Supporting Capacity Development: The UNDP Approach; [Anonymous], 2018, Single-use plastics: A roadmap for sustainability; Ardaya AB, 2019, SPRINGER SER ENV MAN, P361, DOI 10.1007/978-3-319-89644-1_23; Atchoarena D, 2008, COMP EDUC, V44, P167, DOI 10.1080/03050060802041076; Aytan U, 2020, TURK J FISH AQUAT SC, V20, P137, DOI 10.4194/1303-2712-v20_2_06; Babayemi JO, 2019, ENVIRON SCI EUR, V31, DOI 10.1186/s12302-019-0254-5; Baker B, 2006, J MOD AFR STUD, V44, P493, DOI 10.1017/S0022278X06002060; Barnes DKA, 2009, PHILOS T R SOC B, V364, P1985, DOI 10.1098/rstb.2008.0205; Clark-Ginsberg A, 2017, INT J DISAST RISK RE, V21, P430, DOI 10.1016/j.ijdrr.2017.01.006; Coffey A., 1996, Making sense of qualitative data: Complementary research strategies, P206; Consoli P, 2018, MAR POLLUT BULL, V136, P243, DOI 10.1016/j.marpolbul.2018.09.033; Dancette R, 2019, MAR POLICY, V104, P177, DOI 10.1016/j.marpol.2019.02.047; Derraik JGB, 2002, MAR POLLUT BULL, V44, P842, DOI 10.1016/S0025-326X(02)00220-5; Dunst C.J., 2019, EUROPEAN J ED RES, V8, DOI [10.12973/eu-jer.8.2.513, DOI 10.12973/EU-JER.8.2.513]; Eade D., 1997, Capacity-Building: An Approach to Peace Centered Development; Evers M, 2012, Participation in flood risk management: An introduction and recommendations for implementation; Ferreira JC, 2021, EDUC SCI, V11, DOI 10.3390/educsci11020062; Galgani F, 2015, FRONT MAR SCI, V2, DOI 10.3389/fmars.2015.00087; Gall SC, 2015, MAR POLLUT BULL, V92, P170, DOI 10.1016/j.marpolbul.2014.12.041; GESAMP, Sources, fate and effects of microplastics in the marine environment: A global assessment; Gissi E, 2018, MAR POLICY, V94, P215, DOI 10.1016/j.marpol.2018.05.020; Gkargkavouzi A, 2020, MAR POLICY, V111, DOI 10.1016/j.marpol.2019.103727; Gkargkavouzi A, 2019, OCEAN COAST MANAGE, V167, P115, DOI 10.1016/j.ocecoaman.2018.09.008; Gregory MR, 2009, PHILOS T R SOC B, V364, P2013, DOI 10.1098/rstb.2008.0265; Hartley BL, 2018, MAR POLLUT BULL, V133, P945, DOI 10.1016/j.marpolbul.2018.05.061; Honneth A., 1991, STUDIES CONT GERMAN, V1st ed.; Instituto Nacional de Estatistica de Cabo Verde (INECV), 2010, CENSOS 2010; Instituto Nacional de Estatistica de Cabo Verde (INECV), 2018, ESTAT STICAS FAM LIA; Jefferson RL, 2014, MAR POLICY, V43, P327, DOI 10.1016/j.marpol.2013.07.004; Lane DC, 2008, SYST RES BEHAV SCI, V25, P3, DOI 10.1002/sres.826; Lyons BP, 2020, ECOTOX ENVIRON SAFE, V187, DOI 10.1016/j.ecoenv.2019.109839; Martins J, 2011, MAR POLLUT BULL, V62, P2649, DOI 10.1016/j.marpolbul.2011.09.028; McNicholas G, 2019, ECOL ECON, V163, P77, DOI 10.1016/j.ecolecon.2019.04.022; Monteiro F, 2020, AGRONOMY-BASEL, V10, DOI 10.3390/agronomy10010074; Moore CJ, 2008, ENVIRON RES, V108, P131, DOI 10.1016/j.envres.2008.07.025; Mouat J., 2010, Economic Impacts of Marine Litt er; Nelms SE, 2017, SCI TOTAL ENVIRON, V579, P1399, DOI 10.1016/j.scitotenv.2016.11.137; Neves D, 2015, MAR POLLUT BULL, V99, P301, DOI 10.1016/j.marpolbul.2015.07.044; OSPAR, 2014, MARINE LITTER REGION; OSPAR, 2007, MONITORING MARINE LI; Plastics Europe, 2019, PLASTICS THE FACTS 2; Potts T, 2016, MAR POLICY, V72, P59, DOI 10.1016/j.marpol.2016.06.012; PRETTY JN, 1995, WORLD DEV, V23, P1247, DOI 10.1016/0305-750X(95)00046-F; RENN O, 1993, POLICY SCI, V26, P189, DOI 10.1007/BF00999716; Richardson GP, 1986, SYST DYNAM REV, V2, P158, DOI 10.1002/sdr.4260020207; Roman L, 2019, SCI REP-UK, V9, DOI 10.1038/s41598-018-36585-9; Ryan PG, 2015, MARINE ANTHROPOGENIC LITTER, P1, DOI 10.1007/978-3-319-16510-3_1; Schweizer PJ, 2016, UTIL POLICY, V43, P206, DOI 10.1016/j.jup.2014.07.005; Silberberg M, 2019, PRIMARY CARE, V46, P587, DOI 10.1016/j.pop.2019.07.014; Solomon O O., 2016, J. Pollut. Eff. Cont, V4, P1000161, DOI DOI 10.4172/2375-4397.1000161; Tavares G, 2009, WASTE MANAGE, V29, P1176, DOI 10.1016/j.wasman.2008.07.013; Thompson RC, 2004, SCIENCE, V304, P838, DOI 10.1126/science.1094559; Thompson RC, 2009, PHILOS T R SOC B, V364, P2153, DOI 10.1098/rstb.2009.0053; Tonin S, 2017, OCEAN COAST MANAGE, V140, P68, DOI 10.1016/j.ocecoaman.2017.02.019; un, UN OFFICIAL DOCUMENT; UNESCO, OCEAN LITERACY ALL T; United Nations, 2005, MARINE LITTER AN ANA; United Nations Population Division, 2019, WORLD POPULATION PRO; Vasconcelos L, 2012, J COAST CONSERV, V16, P523, DOI 10.1007/s11852-012-0189-0; Veiga JM, 2016, MAR POLLUT BULL, V102, P309, DOI 10.1016/j.marpolbul.2016.01.031; Velez N, 2019, MAR POLLUT BULL, V149, DOI 10.1016/j.marpolbul.2019.110649; Walker GB, 2007, ENVIRON COMMUN, V1, P99, DOI 10.1080/17524030701334342; Wibeck V, 2019, SUSTAINABILITY-BASEL, V11, DOI 10.3390/su11082427; Zohar A., 2005, STAKEHOLDER ENGAGEME, V2, P220; Zsigraiova Z, 2009, ENERGY, V34, P623, DOI 10.1016/j.energy.2008.10.015</t>
  </si>
  <si>
    <t>2077-1312</t>
  </si>
  <si>
    <t>J MAR SCI ENG</t>
  </si>
  <si>
    <t>J. Mar. Sci. Eng.</t>
  </si>
  <si>
    <t>10.3390/jmse9030306</t>
  </si>
  <si>
    <t>RD9OP</t>
  </si>
  <si>
    <t>WOS:000633797800001</t>
  </si>
  <si>
    <t>Cappelletto, M; Santoleri, R; Evangelista, L; Galgani, F; Garcés, E; Giorgetti, A; Fava, F; Herut, B; Hilmi, K; Kholeif, S; Lorito, S; Sammari, C; Lianos, MC; Celussi, M; D'Alelio, D; Francocci, F; Giorgi, G; Canu, DM; Organelli, E; Pomaro, A; Sannino, G; Segou, M; Simoncelli, S; Babeyko, A; Barbanti, A; Chang-Seng, D; Cardin, V; Casotti, R; Drago, A; El Asmi, S; Eparkhina, D; Fichaut, M; Hema, T; Procaccini, G; Santoro, F; Scoullos, M; Solidoro, C; Trincardi, F; Tunesi, L; Umgiesser, G; Zingone, A; Ballerini, T; Chaffai, A; Coppini, G; Gruber, S; Knezevic, J; Leone, G; Penca, J; Pinardi, N; Petihakis, G; Rio, MH; Said, M; Siokouros, Z; Srour, A; Snoussi, M; Tintoré, J; Vassilopoulou, V; Zavatarelli, M</t>
  </si>
  <si>
    <t>Cappelletto, Margherita; Santoleri, Rosalia; Evangelista, Lorenza; Galgani, Francois; Garces, Esther; Giorgetti, Alessandra; Fava, Fabio; Herut, Barak; Hilmi, Karim; Kholeif, Suzan; Lorito, Stefano; Sammari, Cherif; Lianos, Monica Campillos; Celussi, Mauro; D'Alelio, Domenico; Francocci, Fedra; Giorgi, Giordano; Canu, Donata Melaku; Organelli, Emanuele; Pomaro, Angela; Sannino, Gianmaria; Segou, Margarita; Simoncelli, Simona; Babeyko, Andrey; Barbanti, Andrea; Chang-Seng, Denis; Cardin, Vanessa; Casotti, Raffaella; Drago, Aldo; El Asmi, Souha; Eparkhina, Dina; Fichaut, Michele; Hema, Tatjiana; Procaccini, Gabriele; Santoro, Francesca; Scoullos, Michael; Solidoro, Cosimo; Trincardi, Fabio; Tunesi, Leonardo; Umgiesser, Georg; Zingone, Adriana; Ballerini, Tosca; Chaffai, Amel; Coppini, Giovanni; Gruber, Sieglinde; Knezevic, Jelena; Leone, Gaetano; Penca, Jerneja; Pinardi, Nadia; Petihakis, George; Rio, Marie-Helen; Said, Mohamed; Siokouros, Zacharias; Srour, Abdellah; Snoussi, Maria; Tintore, Joaquin; Vassilopoulou, Vassiliki; Zavatarelli, Marco</t>
  </si>
  <si>
    <t>The Mediterranean Sea we want</t>
  </si>
  <si>
    <t>Ocean Decade; Mediterranean Sea; Sustainable Development Goals; Marine science; Co-design</t>
  </si>
  <si>
    <t>OBSERVING SYSTEM; CLIMATE-CHANGE; COEFFICIENTS; VARIABILITY; NETWORK; REGION; MPAS; RISK</t>
  </si>
  <si>
    <t>This paper presents major gaps and challenges for implementing the UN Decade of Ocean Science for Sustainable Development (2021-2030) in the Mediterranean region. The authors make recommendations on the scientific knowledge needs and co design actions identified during two consultations, part of the Decade preparatory-phase, framing them in the Mediterranean Sea's unique environmental and socio-economic perspectives. According to the 'Mediterranean State of the Environment and Development Report 2020' by the United Nations Environment Programme Mediterranean Action Plan and despite notable progress, the Mediterranean region is not on track to achieve and fully implement the Sustainable Development Goals of Agenda 2030. Key factors are the cumulative effect of multiple human-induced pressures that threaten the ecosystem resources and services in the global change scenario. The basin, identified as a climate change vulnerability hotspot, is exposed to pollution and rising impacts of climate change. This affects mainly the coastal zones, at increasing risk of extreme events and their negative effects of unsustainable management of key economic assets. Transitioning to a sustainable blue economy is the key for the marine environment's health and the nourishment of future generations. This challenging context, offering the opportunity of enhancing the knowledge to define science-based measures as well as narrowing the gaps between the Northen and Southern shores, calls for a joint (re)action. The paper reviews the state of the art of Mediterranean Sea science knowledge, sets of trends, capacity development needs, specific challenges, and recommendations for each Decade's societal outcome. In the conclusions, the proposal for a Mediterranean regional programme in the framework of the Ocean Decade is addressed. The core objective relies on integrating and improving the existing ocean-knowledge, Ocean Literacy, and ocean observing capacities building on international cooperation to reach the Mediterranean Sea that we want.</t>
  </si>
  <si>
    <t>[Cappelletto, Margherita; Santoleri, Rosalia; Evangelista, Lorenza] Commiss Oceanograf Italiana COI, Piazzale Aldo Moro 7, I-00185 Rome, Italy; [Cappelletto, Margherita; Santoleri, Rosalia; Evangelista, Lorenza; Francocci, Fedra; Organelli, Emanuele; Pomaro, Angela; Barbanti, Andrea; Trincardi, Fabio; Umgiesser, Georg] Consiglio Nazl Ric CNR, Piazzale Aldo Moro 7, I-00185 Rome, Italy; [Galgani, Francois; Fichaut, Michele] Inst Francais Rech Exploitat Mer IFREMER, Ctr Bretagne MF, 1625 Route St Anne CS10070, F-28280 Plouzane, France; [Galgani, Francois; Fichaut, Michele] Stn Bastia, Corsica, FG, France; [Garces, Esther] CSIC, Inst Ciencies Mar, 37-49 Passeig Maritim, Barcelona 08003, Spain; [Giorgetti, Alessandra; Celussi, Mauro; Canu, Donata Melaku; Cardin, Vanessa; Solidoro, Cosimo] Inst Nazl Oceanog &amp; Geofis Sperimentale OGS, Borgo Grotta Gigante 42-c, I-34016 Trieste, Italy; [Fava, Fabio; Pinardi, Nadia; Zavatarelli, Marco] Univ Bologna, Via Terracini 28, I-40131 Bologna, Italy; [Herut, Barak] Israel Oceanog &amp; Limnol Res, IL-3108001 Haifa, Israel; [Hilmi, Karim] Ctr Reg Casablanca, Inst Natl Rech Halieut, Bd Sidi Abderrahman Ain Diab, Casablanca, Morocco; [Kholeif, Suzan; Said, Mohamed] Natl Inst Oceanog &amp; Fisheries, 3 Aben Mahassen St, Alexandria, Egypt; [Lorito, Stefano; Simoncelli, Simona] Inst Nazl Geofis &amp; Vulcanol INGV, Via Vigna Murata 605, I-00143 Rome, Italy; [Sammari, Cherif] Inst Natl Sci &amp; Technol Mer, 28 Rue 2 Mars 1934, Tunis 2035, Tunisia; [Lianos, Monica Campillos] Inst Espanol Oceanog IEO, Calle Corazon Maria 8, Madrid 28002, Spain; [D'Alelio, Domenico; Casotti, Raffaella; Procaccini, Gabriele; Zingone, Adriana] Stn Zool Anton Dohrn SZN, I-80121 Naples, Italy; [Giorgi, Giordano; Tunesi, Leonardo] Ist Super Protez &amp; Ric Ambientale ISPRA, Via Vitaliano Brancati 48, I-00144 Rome, Italy; [Sannino, Gianmaria] Agenzia Nazl Nuove Tecnol Energia &amp; Sviluppo Econ, Lungotevere Thaon Revel 76, I-00196 Rome, Italy; [Segou, Margarita] British Geol Survey BGS, Nicker Hill, Keyworth NG12 5GG, Notts, England; [Babeyko, Andrey] Deutsch GeoForschungsZentrum GFZ, D-14473 Potsdam, Germany; [Chang-Seng, Denis; Santoro, Francesca] UNESCO, Intergovt Oceanog Commiss, 7 Pl Fontenoy, F-75732 Paris 07, France; [Drago, Aldo] Univ Malta, Dept Geosci, Phys Oceanog Res Grp, Msida 2080, Msd, Malta; [El Asmi, Souha] Reg Act Ctr Specially Protected Areas SPA RAC, RR21, Tunis, Tunisia; [Eparkhina, Dina; Petihakis, George] European Global Ocean Observing Syst EuroGOOS AIS, 29 Rue Vautier, B-1000 Brussels, Belgium; [Hema, Tatjiana; Knezevic, Jelena; Leone, Gaetano] United Nations Environm Programme, Barcelona Convent Secretariat, Coordinating Unit Mediterranean Act Plan, 48 Vassileos Konstantinou Ave, Athens 11635, Greece; [Scoullos, Michael] Mediterranean Informat Off Environm Culture &amp; Sus, Kirristou 12, Athina 10556, Greece; [Ballerini, Tosca] Expedit MED, 4 Allee Avettes, F-56230 Questembert, France; [Chaffai, Amel] Innovat House Consulting C Sarl, Rte EL Ain Km 2-5,POB 66, Sfax 3051, Tunisia; [Coppini, Giovanni] Ctr Euro Mediterraneo Cambiamenti Climat CMCC, Via Augusto Imperatore 16, I-73100 Lecce, Italy; [Gruber, Sieglinde] European Commiss, DG Res &amp; Innovat SDME, B-1049 Brussels, Belgium; [Penca, Jerneja] Euro Mediterranean Univ, Kidricevo Nabreje 2, Piran 6330, Slovenia; [Rio, Marie-Helen] European Space Agcy ESRIN, Via Galileo Galilei 1, I-00044 Rome, Italy; [Siokouros, Zacharias] Cyprus Marine &amp; Maritime Inst CMMI, Vasileos Pavlou Sq 13, CY-6023 Larnax, Cyprus; [Srour, Abdellah] Gen Fisheries Commiss Mediterranean, Via Vittoria Colonna 1, I-00193 Rome, Italy; [Snoussi, Maria] Mohammed V Univ, BP 1014,Agdal POB 554,Michlifen St 3, Rabat, Morocco; [Tintore, Joaquin] Balearic Isl Coastal Observing &amp; Forecasting Syst, Parc Bit Naorte Bloc A 2 P Pta 3, Palma De Mallorca 07121, Spain; [Vassilopoulou, Vassiliki] Hellen Ctr Marine Res HCMR, Athinon Souniou Ave 46-7th Km, Anavyssos 19013, Greece</t>
  </si>
  <si>
    <t>Ifremer; Consejo Superior de Investigaciones Cientificas (CSIC); CSIC - Centro Mediterraneo de Investigaciones Marinas y Ambientales (CMIMA); CSIC - Instituto de Ciencias del Mar (ICM); Istituto Nazionale di Oceanografia e di Geofisica Sperimentale; University of Bologna; Israel Oceanographic &amp; Limnological Research Institute; Egyptian Knowledge Bank (EKB); National Institute of Oceanography &amp; Fisheries (NIOF); Institut National des Sciences et Technologies de la Mer; Stazione Zoologica Anton Dohrn di Napoli; Italian Institute for Environmental Protection &amp; Research (ISPRA); Italian National Agency New Technical Energy &amp; Sustainable Economics Development; Helmholtz Association; Helmholtz-Center Potsdam GFZ German Research Center for Geosciences; University of Malta; Centro Euro-Mediterraneo sui Cambiamenti Climatici (CMCC); European Space Agency; Mohammed V University in Rabat; Hellenic Centre for Marine Research</t>
  </si>
  <si>
    <t>Evangelista, L (corresponding author), Commiss Oceanograf Italiana COI, Piazzale Aldo Moro 7, I-00185 Rome, Italy.;Evangelista, L (corresponding author), Consiglio Nazl Ric CNR, Piazzale Aldo Moro 7, I-00185 Rome, Italy.</t>
  </si>
  <si>
    <t>lorenza.evangelista@cnr.it</t>
  </si>
  <si>
    <t>D'Alelio, Domenico/ABD-6565-2020; Canu, Donata Melaku/O-9290-2015; Barbanti, Andrea/AAL-1470-2021; Procaccini, Gabriele/A-6618-2010; D'Alelio, Domenico/AFO-1620-2022; SIMONCELLI, Simona/AAC-5256-2021; Zingone, Adriana/E-4518-2010; Sannino, Gianmaria/KHD-4523-2024; Organelli, Emanuele/AAZ-4144-2020; Lorito, Stefano/AAI-7473-2020; galgani, francois/A-1973-2011; said, mohamed/AAR-8485-2021; Santoleri, Rosalia/JNT-1470-2023; Casotti, Raffaella/H-1697-2016; Garcés, Esther/C-5701-2011; Pinardi, Nadia/M-2364-2015</t>
  </si>
  <si>
    <t>D'Alelio, Domenico/0000-0002-2189-503X; Barbanti, Andrea/0000-0002-4871-7874; Procaccini, Gabriele/0000-0002-6179-468X; D'Alelio, Domenico/0000-0002-2189-503X; SIMONCELLI, Simona/0000-0003-1283-2798; Sannino, Gianmaria/0000-0002-3985-9432; Organelli, Emanuele/0000-0001-8191-8179; Lorito, Stefano/0000-0002-1458-2131; galgani, francois/0000-0001-8770-6054; said, mohamed/0000-0002-5118-5821; Garcés, Esther/0000-0002-2712-501X; Fichaut, Michele/0000-0001-5900-6149; Segou, Margarita/0000-0001-8119-4019; Pinardi, Nadia/0000-0003-4765-0775; CAPPELLETTO, MARGHERITA/0000-0003-0528-7816; Kholeif, Suzan/0000-0001-5427-0522; Celussi, Mauro/0000-0002-5660-6832; GIORGETTI, Alessandra/0000-0002-0914-4831; Tintore, Joaquin/0000-0002-6311-0093; AMEL, HAMZA-CHAFFAI/0000-0002-6210-7837; Herut, Barak/0000-0002-7093-8753; Francocci, Fedra/0000-0001-7493-4269; Scoullos, Michael/0000-0002-6122-2921; Umgiesser, Georg/0000-0001-9697-275X</t>
  </si>
  <si>
    <t>Amengual J, 2018, BIOL CONSERV, V225, P187, DOI 10.1016/j.biocon.2018.06.032; Androulidakis YS, 2015, DYNAM ATMOS OCEANS, V71, P56, DOI 10.1016/j.dynatmoce.2015.06.001; Angove M, 2019, FRONT MAR SCI, V6, DOI 10.3389/fmars.2019.00350; Azzurro E, 2011, PLOS ONE, V6, DOI 10.1371/journal.pone.0024885; Ban NC, 2019, NAT SUSTAIN, V2, P524, DOI 10.1038/s41893-019-0306-2; Basili R, 2021, FRONT EARTH SC-SWITZ, V8, DOI 10.3389/feart.2020.616594; Bauer P, 2021, NAT COMPUT SCI, V1, P104, DOI 10.1038/s43588-021-00023-0; Benedetti-Cecchi L., 2018, FUTURE SCI BRIEF 3 E, P76; BLUEMED COORDINATION AND SUPPORT ACTION, 2018, BLUEMED STRAT RES IN; Boero F, 2016, SCIRES-IT, V6, P1, DOI 10.2423/i22394303v6Sp1; Boughedir W, 2015, MEDITERR MAR SCI, V16, P628, DOI 10.12681/mms.1179; Canonico G, 2019, FRONT MAR SCI, V6, DOI 10.3389/fmars.2019.00367; Canu DM, 2015, MAR POLLUT BULL, V94, P84, DOI 10.1016/j.marpolbul.2015.03.006; Canu DM, 2010, CLIM RES, V42, P13, DOI 10.3354/cr00859; CAPASSO A, 2020, UNDECADE OCEAN SCI S; Capet A, 2020, FRONT MAR SCI, V7, DOI 10.3389/fmars.2020.00129; Capotondi A, 2019, FRONT MAR SCI, V6, DOI 10.3389/fmars.2019.00623; Caruso G, 2016, CRIT REV MICROBIOL, V42, P883, DOI 10.3109/1040841X.2015.1087380; Casabianca S, 2020, CHEMOSPHERE, V238, DOI 10.1016/j.chemosphere.2019.124560; Castelli G, 2019, 2019 IEEE 16TH INTERNATIONAL CONFERENCE ON SMART CITIES: IMPROVING QUALITY OF LIFE USING ICT, IOT AND AI (IEEE HONET-ICT 2019), P33, DOI 10.1109/honet.2019.8907962; Cavaleri L, 2020, OCEANOGRAPHY, V33, P42, DOI 10.5670/oceanog.2020.105; Cerase A, 2019, NAT HAZARD EARTH SYS, V19, P2887, DOI 10.5194/nhess-19-2887-2019; Chai F, 2020, NAT REV EARTH ENV, V1, P315, DOI 10.1038/s43017-020-0053-y; Cheng LJ, 2021, ADV ATMOS SCI, V38, P523, DOI 10.1007/s00376-021-0447-x; Colella S, 2016, PLOS ONE, V11, DOI 10.1371/journal.pone.0155756; COM (Commission Report to the Council and the European Parliament), 2014, 1 PHAS IMPL MAR STRA; CRAMER W, 2020, SUMM POL CLIM ENV CH; Cramer W, 2018, NAT CLIM CHANGE, V8, P972, DOI 10.1038/s41558-018-0299-2; Danovaro R, 2020, MAR POLICY, V112, DOI 10.1016/j.marpol.2019.103781; Davidson LNK, 2017, NAT ECOL EVOL, V1, DOI 10.1038/s41559-016-0040; Dulvy NK, 2014, ELIFE, V3, DOI 10.7554/eLife.00590; EC (European Commission), 2012, GREEN PAP MAR KNOWL; EC (European Commission), 2020, EU BLUE EC REP; EC (European Commission), 2015, BLUEMED RES INN IN B; EEA (European Environment Agency), DIR 2014 89 EU MAR S; Elbarassi H, 2014, J APPL ICHTHYOL, V30, P1047, DOI 10.1111/jai.12470; EPARKHINA D., 2021, OCEAN LITERACY EUROP, DOI [10.25607/OBP-1076, DOI 10.25607/OBP-1076]; EU (European Union). European Commission. DirectorateGeneral for Research and Innovation, 2020, MISS STARF 2030 REST; Falcini F, 2020, SCI REP-UK, V10, DOI 10.1038/s41598-020-75680-8; Fanelli E, 2020, SENSORS-BASEL, V20, DOI 10.3390/s20102911; FAO, 2020, The State of Mediterranean and Black Sea Fisheries 2020, P172, DOI [10.4060/cb2429en, DOI 10.4060/CB2429-N]; Fassoni-Andrade AC, 2021, EARTH SYST SCI DATA, V13, P2275, DOI 10.5194/essd-13-2275-2021; FRANCOCCI F., 2019, MISTRAL BLUE GROWTH; Galassi G, 2014, GLOBAL PLANET CHANGE, V123, P55, DOI 10.1016/j.gloplacha.2014.10.007; Garcés E, 1999, J PLANKTON RES, V21, P2373, DOI 10.1093/plankt/21.12.2373; Garces E., 2003, MEDITERRANEAN SEA OV, P147; Garces E., 2012, LIFE MEDITERRANEAN S, P519; Gascuel D, 2016, FISH FISH, V17, P31, DOI 10.1111/faf.12090; Giorgetti A, 2018, OCEAN COAST MANAGE, V166, P9, DOI 10.1016/j.ocecoaman.2018.03.016; GONZALEZ D., 2015, REV COMMISSION DECIS, DOI [10.2788/435059, DOI 10.2788/435059]; Guidetti P, 2013, AQUAT CONSERV, V23, P179, DOI 10.1002/aqc.2314; Herrera-García G, 2021, SCIENCE, V371, P34, DOI 10.1126/science.abb8549; Hoegh-Guldberg O, 2017, FRONT MAR SCI, V4, DOI 10.3389/fmars.2017.00158; Howe BM, 2019, FRONT MAR SCI, V6, DOI 10.3389/fmars.2019.00424; IOC, 2020, GLOBAL OCEAN SCI REP; IOC, 2020, UN DEC OC SCI SUST D; IOC (International Oceanographic Commission of UNESCO), 2021, ENG EMP REG STAK SYN; Jack MEM, 2019, OCEAN COAST MANAGE, V181, DOI 10.1016/j.ocecoaman.2019.104930; Jenkins TL, 2018, MAR POLICY, V94, P165, DOI 10.1016/j.marpol.2018.04.022; Kaal J, 2019, ORG GEOCHEM, V137, DOI 10.1016/j.orggeochem.2019.07.007; Kannen A., 2016, BONUS BALTSPACE DELI; Kelly R, 2020, PHILOS T R SOC B, V375, DOI 10.1098/rstb.2019.0461; Landrigan PJ, 2020, ANN GLOB HEALTH, V86, DOI 10.5334/aogh.2831; Le Traon PY, 2019, FRONT MAR SCI, V6, DOI 10.3389/fmars.2019.00234; Lemasson AJ, 2017, J EXP MAR BIOL ECOL, V492, P49, DOI 10.1016/j.jembe.2017.01.019; Lionello P, 2012, PHYS CHEM EARTH, V40-41, P93, DOI 10.1016/j.pce.2010.10.002; Lionello P, 2018, REG ENVIRON CHANGE, V18, P1481, DOI 10.1007/s10113-018-1290-1; Liubartseva S, 2019, MAR POLLUT BULL, V140, P579, DOI 10.1016/j.marpolbul.2019.01.022; Mackenzie B, 2019, FRONT MAR SCI, V6, DOI 10.3389/fmars.2019.00137; Madricardo F, 2019, SCI REP-UK, V9, DOI 10.1038/s41598-019-43027-7; MALTA. MedFish Ministerial Declaration, 2017, MIN C SUST MED FISH; Maramai A, 2014, ANN GEOPHYS-ITALY, V57, DOI 10.4401/ag-6437; Marcos M, 2015, J GEOPHYS RES-OCEANS, V120, P8115, DOI 10.1002/2015JC011173; Míguez BM, 2019, FRONT MAR SCI, V6, DOI 10.3389/fmars.2019.00313; Maselli V, 2013, SCI REP-UK, V3, DOI 10.1038/srep01926; McKinley E, 2010, OCEAN COAST MANAGE, V53, P379, DOI 10.1016/j.ocecoaman.2010.04.012; Mele BH, 2020, MAR ENVIRON RES, V158, DOI 10.1016/j.marenvres.2020.104953; Melet A, 2020, SURV GEOPHYS, V41, P1489, DOI 10.1007/s10712-020-09594-5; Minnett PJ, 2019, REMOTE SENS ENVIRON, V233, DOI 10.1016/j.rse.2019.111366; Mokos M, 2020, MEDITERR MAR SCI, V21, P592, DOI 10.12681/mms.23400; Moltmann T, 2019, FRONT MAR SCI, V6, DOI 10.3389/fmars.2019.00291; Organelli E, 2017, J GEOPHYS RES-OCEANS, V122, P3543, DOI 10.1002/2016JC012629; Organelli E, 2016, REMOTE SENS ENVIRON, V186, P297, DOI 10.1016/j.rse.2016.08.028; Pazzaglia J, 2021, EVOL APPL, V14, P1181, DOI 10.1111/eva.13212; Pérez-Portela R, 2020, MOL ECOL, V29, P3299, DOI 10.1111/mec.15564; Pierdomenico M, 2019, SCI REP-UK, V9, DOI 10.1038/s41598-019-41816-8; PINARDI N., 2017, EUROPEAN MARINE OBSE; Pisano A, 2020, REMOTE SENS-BASEL, V12, DOI 10.3390/rs12010132; Pomaro A, 2017, INT J CLIMATOL, V37, P4237, DOI 10.1002/joc.5066; Previati M., 2018, 6 EUR MAR SCI ED ASS; Qiu WF, 2013, MAR POLICY, V39, P182, DOI 10.1016/j.marpol.2012.10.010; Quero GM, 2015, SCI REP-UK, V5, DOI 10.1038/srep10969; Randone M., 2017, Reviving the economy of the Mediterranean Sea: Actions for a sustainable future; REALDON G., 2018, EGU2018176171; Reimann L, 2018, NAT COMMUN, V9, DOI 10.1038/s41467-018-06645-9; Ryabinin V, 2019, FRONT MAR SCI, V6, DOI 10.3389/fmars.2019.00470; Salon S, 2019, OCEAN SCI, V15, P997, DOI 10.5194/os-15-997-2019; Sammartino M, 2015, OCEAN SCI, V11, P759, DOI 10.5194/os-11-759-2015; Sammartino M, 2020, REMOTE SENS-BASEL, V12, DOI 10.3390/rs12244123; Shepherd I., 2018, Ethics Sci. Environ. Politics, V18, P75, DOI [10.3354/esep00181, DOI 10.3354/ESEP00181]; Sloyan BM, 2019, FRONT MAR SCI, V6, DOI 10.3389/fmars.2019.00449; Solidoro C, 2009, ECOL MODEL, V220, P2825, DOI 10.1016/j.ecolmodel.2009.08.018; SPROVIERI M, 2021, AMBIENTE SALUTE NEI; Sprovieri M, 2020, FRONT EARTH SC-SWITZ, V8, DOI 10.3389/feart.2020.598611; Stuchtey M. R., 2020, Ocean Solutions That Benefit People, Nature and the Economy; Tanhua T, 2019, FRONT MAR SCI, V6, DOI 10.3389/fmars.2019.00440; Terzic E, 2019, BIOGEOSCIENCES, V16, P2527, DOI 10.5194/bg-16-2527-2019; Tintoré J, 2019, FRONT MAR SCI, V6, DOI 10.3389/fmars.2019.00568; Todd PA, 2019, OIKOS, V128, P1215, DOI 10.1111/oik.05946; Tonini R, 2021, FRONT EARTH SC-SWITZ, V9, DOI 10.3389/feart.2021.628061; Traboni C, 2018, MAR ENVIRON RES, V141, P12, DOI 10.1016/j.marenvres.2018.07.007; Triantafyllou I, 2021, J MAR SCI ENG, V9, DOI 10.3390/jmse9010068; Trincardi F, 2016, OCEANOGRAPHY, V29, P178, DOI 10.5670/oceanog.2016.87; Tunesi L., 2013, BIOL MAR MEDITERR, V20, P35; Umgiesser G, 2020, J NAT CONSERV, V54, DOI 10.1016/j.jnc.2019.125783; UNEP (DEPI)/MED (United Nations Environment Programme/ Mediterranean Action Plan), 2013, DEC IG 21 3 EC APPR; UNEP (DEPI)/MED (United Nations Environment Programme/ Mediterranean Action Plan), 2012, DEC IG 20 4 IMPL MAP; UNEP (DEPI)/MED (United Nations Environment Programme/ Mediterranean Action Plan), 2008, DEC IG 17 6 IMPL EC; UNEP/MAP (United Nations Environment Programme/Mediterranean Action Plan), 2017, MED QUAL STAT REP QS; UNEP/MAP (United Nations Environment Programme/Mediterranean Action Plan). Plan Bleu Regional Activity Centre, 2020, SOED 2020 STAT ENV D; United Nations Environment Programme/Mediterranean Action Plan (UNEP/MAP), 2015, Marine Litter Assessment in the Mediterranean; Valentini A, 2016, MOL ECOL, V25, P929, DOI 10.1111/mec.13428; Volpe G, 2012, OCEAN SCI, V8, P869, DOI 10.5194/os-8-869-2012; von Schuckmann K, 2020, J OPER OCEANOGR, V13, pS1, DOI 10.1080/1755876X.2020.1785097; Wilkinson MD, 2016, SCI DATA, V3, DOI 10.1038/sdata.2016.18; Wolff C, 2020, SCI REP-UK, V10, DOI 10.1038/s41598-020-70928-9; WWF, 2019, STOP FLOOD PLAST MED; Zingone A, 2021, HARMFUL ALGAE, V102, DOI 10.1016/j.hal.2020.101843; Zunino S, 2021, ECOSYSTEMS, V24, P1561, DOI 10.1007/s10021-021-00601-3</t>
  </si>
  <si>
    <t>e21031</t>
  </si>
  <si>
    <t>10.1590/2675-2824069.21019mc</t>
  </si>
  <si>
    <t>YO5AC</t>
  </si>
  <si>
    <t>WOS:000747950800004</t>
  </si>
  <si>
    <t>Matabos, M; Hoeberechts, M; Doya, C; Aguzzi, J; Nephin, J; Reimchen, TE; Leaver, S; Marx, RM; Albu, AB; Fier, R; Fernandez-Arcaya, U; Juniper, SK</t>
  </si>
  <si>
    <t>Matabos, Marjolaine; Hoeberechts, Maia; Doya, Carol; Aguzzi, Jacopo; Nephin, Jessica; Reimchen, Thomas E.; Leaver, Steve; Marx, Roswitha M.; Albu, Alexandra Branzan; Fier, Ryan; Fernandez-Arcaya, Ulla; Juniper, S. Kim</t>
  </si>
  <si>
    <t>Expert, Crowd, Students or Algorithm: who holds the key to deep-sea imagery 'big data' processing?</t>
  </si>
  <si>
    <t>METHODS IN ECOLOGY AND EVOLUTION</t>
  </si>
  <si>
    <t>computer vision algorithms; crowdsourcing; deep-sea imagery; Digital Fishers; fish counting; OceanNetworks Canada; seafloor observatories; underwater video</t>
  </si>
  <si>
    <t>CITIZEN SCIENCE; HYDROTHERMAL VENT; DATA QUALITY; ATLANTIC; RHYTHMS; VOLUNTEERS; SEAMOUNT; PROTOCOL; HABITAT; TOOL</t>
  </si>
  <si>
    <t>1. Recent technological development has increased our capacity to study the deep sea and the marine benthic realm, particularly with the development of multidisciplinary seafloor observatories. Since 2006, Ocean Networks Canada cabled observatories, have acquired nearly 65 TB and over 90 000 h of video data from seafloor cameras and remotely operated vehicles. Manual processing of these data is time-consuming and highly labour-intensive, and cannot be comprehensively undertaken by individual researchers. These videos are a crucial source of information for assessing natural variability and ecosystem responses to increasing human activity in the deep sea. 2. We compared the performance of three groups of humans and one computer vision algorithm in counting individuals of the commercially important sablefish (or black cod) Anoplopoma fimbria, in recorded video from a cabled camera platform at 900 m depth in a submarine canyon in the Northeast Pacific. The first group of human observers were untrained volunteers recruited via a crowdsourcing platform and the second were experienced university students, who performed the task for their ichthyology class. Results were validated against counts obtained from a scientific expert. 3. All groups produced relatively accurate results in comparison to the expert and all succeeded in detecting patterns and periodicities in fish abundance data. Trained volunteers displayed the highest accuracy and the algorithm the lowest. 4. As seafloor observatories increase in number around the world, this study demonstrates the value of a hybrid combination of crowdsourcing and computer vision techniques as a tool to help process large volumes of imagery to support basic research and environmental monitoring. Reciprocally, by engaging large numbers of online participants in deep-sea research, this approach can contribute significantly to ocean literacy and informed citizen input to policy development.</t>
  </si>
  <si>
    <t>[Matabos, Marjolaine] IFREMER, Ctr Bretagne, REM EEP, Lab Environm Profond, F-29280 Plouzane, France; [Hoeberechts, Maia; Nephin, Jessica; Juniper, S. Kim] Univ Victoria, Ocean Networks Canada, Victoria, BC V8W 2Y2, Canada; [Hoeberechts, Maia; Albu, Alexandra Branzan] Univ Victoria, Dept Comp Sci, Victoria, BC, Canada; [Doya, Carol; Aguzzi, Jacopo; Fernandez-Arcaya, Ulla] CSIC, Inst Marine Sci ICM, Paseo Maritimo Barceloneta 37-49, E-08003 Barcelona, Spain; [Reimchen, Thomas E.; Leaver, Steve; Marx, Roswitha M.; Juniper, S. Kim] Univ Victoria, Dept Biol, Victoria, BC, Canada; [Albu, Alexandra Branzan; Fier, Ryan] Univ Victoria, Dept Elect &amp; Comp Engn, Victoria, BC, Canada; [Juniper, S. Kim] Univ Victoria, Sch Earth &amp; Ocean Sci, Victoria, BC, Canada</t>
  </si>
  <si>
    <t>Universite de Bretagne Occidentale; Ifremer; University of Victoria; University of Victoria; Consejo Superior de Investigaciones Cientificas (CSIC); CSIC - Centro Mediterraneo de Investigaciones Marinas y Ambientales (CMIMA); CSIC - Instituto de Ciencias del Mar (ICM); University of Victoria; University of Victoria; University of Victoria</t>
  </si>
  <si>
    <t>Matabos, M (corresponding author), IFREMER, Ctr Bretagne, REM EEP, Lab Environm Profond, F-29280 Plouzane, France.</t>
  </si>
  <si>
    <t>marjolaine.matabos@ifremer.fr</t>
  </si>
  <si>
    <t>Fernandez-Arcaya, Ulla/AAQ-9263-2021; Doya, Carolina/AAK-3441-2021; Aguzzi, Jacopo/D-6574-2012; Juniper, Kim/N-6769-2015</t>
  </si>
  <si>
    <t>Aguzzi, Jacopo/0000-0002-1484-8219; Doya Le Besnerais, Carolina/0000-0003-0083-7348; Fernandez-Arcaya, Ulla/0000-0002-5588-3520; Matabos, Marjolaine/0000-0003-1983-9896; Branzan Albu, Alexandra/0000-0001-8991-0999; Juniper, Kim/0000-0002-7608-260X</t>
  </si>
  <si>
    <t>government of Canada; government of British Columbia</t>
  </si>
  <si>
    <t>government of Canada(CGIAR); government of British Columbia</t>
  </si>
  <si>
    <t>The authors would like to thank all the students of the 2012 Biology 335 Ichthyology class at the University of Victoria and the 503 citizen scientists who contributed to this project. We are also grateful to the captain and crew of the R/V Thomas G. Thompson, the ROV ROPOS and the Ocean Networks Canada team. J.A. is Theme Leader for the ONC science theme (http://www.oceannetworks.ca/science/science-plan/science-themes/life). We also thank an anonymous reviewer and M. Kosmala for their valuable comments that helped improved the manuscript. Data used in this work were provided by Ocean Networks Canada, a Major Science Initiative recognized by the Canada Foundation for Innovation and supported by the governments of Canada and British Columbia.</t>
  </si>
  <si>
    <t>Aguzzi J, 2010, MAR ECOL PROG SER, V418, P47, DOI 10.3354/meps08835; Aguzzi Jacopo, 2011, Sensors (Basel), V11, P10534, DOI 10.3390/s111110534; Aguzzi J, 2009, SENSORS-BASEL, V9, P8438, DOI 10.3390/s91108438; Aron M., 2010, AGU FALL M, P4; Azzurro E, 2013, J MAR BIOL ASSOC UK, V93, P461, DOI 10.1017/S0025315412001166; Belkin IM, 2009, J MARINE SYST, V78, P319, DOI 10.1016/j.jmarsys.2008.11.018; Bird TJ, 2014, BIOL CONSERV, V173, P144, DOI 10.1016/j.biocon.2013.07.037; Bonney R, 2009, BIOSCIENCE, V59, P977, DOI 10.1525/bio.2009.59.11.9; Boschen RE, 2013, OCEAN COAST MANAGE, V84, P54, DOI 10.1016/j.ocecoaman.2013.07.005; Butt N, 2013, ECOL APPL, V23, P936, DOI 10.1890/11-2059.1; Chuang MC, 2014, 2014 ICPR WORKSHOP ON COMPUTER VISION FOR ANALYSIS OF UNDERWATER IMAGERY (CVAUI 2014), P33, DOI 10.1109/CVAUI.2014.10; Copley JTP, 2007, J MAR BIOL ASSOC UK, V87, P859, DOI 10.1017/S0025315407056512; Copley JTP, 1997, MAR BIOL, V129, P723, DOI 10.1007/s002270050215; Crall AW, 2011, CONSERV LETT, V4, P433, DOI 10.1111/j.1755-263X.2011.00196.x; Delaney DG, 2008, BIOL INVASIONS, V10, P117, DOI 10.1007/s10530-007-9114-0; Dickinson JL, 2010, ANNU REV ECOL EVOL S, V41, P149, DOI 10.1146/annurev-ecolsys-102209-144636; Doya C, 2014, J MARINE SYST, V130, P69, DOI 10.1016/j.jmarsys.2013.04.003; Fier Ryan, 2014, 2014 Oceans - St. John's, DOI 10.1109/OCEANS.2014.7003118; Gaston KJ, 2004, PHILOS T R SOC B, V359, P655, DOI 10.1098/rstb.2003.1442; Gremillet D., 2012, Open Journal of Ecology, V2, P49, DOI 10.4236/oje.2012.22006; Hoeberechts M., 2015, OCEANS 2015-MTS/ IEEE Washington, P1, DOI [10.23919/oceans.2015.7404592, DOI 10.23919/OCEANS.2015.7404592, 10.23919/OCEANS.2015.7404592]; Holt BG, 2013, METHODS ECOL EVOL, V4, P383, DOI 10.1111/2041-210X.12031; Isaac NJB, 2014, METHODS ECOL EVOL, V5, P1052, DOI 10.1111/2041-210X.12254; Kosmala M, 2016, FRONT ECOL ENVIRON, V14, P551, DOI 10.1002/fee.1436; Kulka D.W., 2001, 2001R02 ICES CM, P57; Kuminski E, 2014, PUBL ASTRON SOC PAC, V126, P959, DOI 10.1086/678977; Legendre P., 2012, Numerical Ecology; Lintott CJ, 2008, MON NOT R ASTRON SOC, V389, P1179, DOI 10.1111/j.1365-2966.2008.13689.x; Matabos M., 2017, DRYAD DIGITAL REPOSI; Porteiro FM, 2013, DEEP-SEA RES PT II, V98, P114, DOI 10.1016/j.dsr2.2013.09.015; Porter JH, 2009, BIOSCIENCE, V59, P385, DOI 10.1525/bio.2009.59.5.6; Pournelle G. H., 1953, Journal of Mammalogy, V34, P133, DOI 10.1890/0012-9658(2002)083[1421:SDEOLC]2.0.CO;2; Purser A, 2009, MAR ECOL PROG SER, V397, P241, DOI 10.3354/meps08154; Ramirez-Llodra E, 2010, BIOGEOSCIENCES, V7, P2851, DOI 10.5194/bg-7-2851-2010; Roy Helen, 2012, Understanding Citizen Science Environmental Monitoring, DOI DOI 10.1525/BIO.2009.59.11.9; Schettini R, 2010, EURASIP J ADV SIG PR, DOI 10.1155/2010/746052; Schoening T, 2012, PLOS ONE, V7, DOI 10.1371/journal.pone.0038179; Silvertown J, 2009, TRENDS ECOL EVOL, V24, P467, DOI 10.1016/j.tree.2009.03.017; Tsechpenakis G, 2007, OCEANS 2007 - EUROPE, VOLS 1-3, P438; TUNNICLIFFE V, 1990, J GEOPHYS RES-SOLID, V95, P12961, DOI 10.1029/JB095iB08p12961; Vishwakarma S, 2013, VISUAL COMPUT, V29, P983, DOI 10.1007/s00371-012-0752-6; Wedding LM, 2013, P ROY SOC B-BIOL SCI, V280, DOI 10.1098/rspb.2013.1684; Wiggins A., 2011, P 44 ANN HAW INT C S; Woodward G., 2014, ADAVANCES ECOLOGICAL, V51, pIX; Zafeiriou S, 2015, COMPUT VIS IMAGE UND, V138, P1, DOI 10.1016/j.cviu.2015.03.015</t>
  </si>
  <si>
    <t>2041-210X</t>
  </si>
  <si>
    <t>2041-2096</t>
  </si>
  <si>
    <t>METHODS ECOL EVOL</t>
  </si>
  <si>
    <t>Methods Ecol. Evol.</t>
  </si>
  <si>
    <t>10.1111/2041-210X.12746</t>
  </si>
  <si>
    <t>Ecology</t>
  </si>
  <si>
    <t>FC5XY</t>
  </si>
  <si>
    <t>WOS:000406916200011</t>
  </si>
  <si>
    <t>Ennes, M; Lawson, DF; Stevenson, KT; Peterson, MN; Jones, MG</t>
  </si>
  <si>
    <t>Ennes, Megan; Lawson, Danielle F.; Stevenson, Kathryn T.; Peterson, M. Nils; Jones, M. Gail</t>
  </si>
  <si>
    <t>It's about time: perceived barriers to in-service teacher climate change professional development</t>
  </si>
  <si>
    <t>Teacher professional development; climate change; barriers; middle school</t>
  </si>
  <si>
    <t>EDUCATION; SCIENCE; STUDENTS; PROGRAM; VIEWS; RISK</t>
  </si>
  <si>
    <t>The pressing nature of climate change and its associated impacts requires a climate literate citizenry. Climate change education in K-12 settings may provide a unique opportunity to make inroads towards climate literacy. However, many K-12 teachers avoid teaching climate change because they are uncomfortable with the subject or do not see its relevance to their curriculum. Removing barriers to climate change professional development (CCPD) for teachers may help increase confidence in teaching about climate change. To understand the perceived barriers to participating in CCPD, a survey was conducted with 54 middle school science teachers who did not respond to a previous invitation to participate in a CCPD program. The most significant barrier was time to participate. The participants were also asked to rate their confidence about whether climate change is happening. The results were compared between teachers who were confident climate change was happening and those who were not to examine whether these beliefs influenced teachers' perceptions of barriers. Those who were confident climate change was happening were less likely to perceive administrative support, interest in the workshop, and knowledge of climate change content as barriers. However, both groups of teachers reported that time was the primary barrier rather than the topic. This suggests that, rather than developing unique strategies, existing best practices in teacher professional development can be used to support CCPD opportunities. Additional recommendations include thinking creatively about how to create time for teachers to attend and making the professional development directly relevant to teacher's local contexts.</t>
  </si>
  <si>
    <t>[Ennes, Megan] Univ Florida, Dept Nat Hist, 201 McGuire Hall, Gainesville, FL 32611 USA; [Lawson, Danielle F.] Penn State Univ, Coll Hlth &amp; Human Dev, State Coll, PA USA; [Lawson, Danielle F.] Penn State Univ, Coll Educ, State Coll, PA USA; [Stevenson, Kathryn T.] NC State Univ, Dept Pk Recreat &amp; Tourism Management, Raleigh, NC USA; [Peterson, M. Nils] NC State Univ, Dept Forestry &amp; Nat Resources, Raleigh, NC USA; [Jones, M. Gail] NC State Univ, Friday Inst Educ Innovat, Raleigh, NC USA</t>
  </si>
  <si>
    <t>State University System of Florida; University of Florida; Pennsylvania Commonwealth System of Higher Education (PCSHE); Pennsylvania State University; Pennsylvania Commonwealth System of Higher Education (PCSHE); Pennsylvania State University; North Carolina State University; North Carolina State University; North Carolina State University</t>
  </si>
  <si>
    <t>Ennes, M (corresponding author), Univ Florida, Dept Nat Hist, 201 McGuire Hall, Gainesville, FL 32611 USA.</t>
  </si>
  <si>
    <t>megan.ennnes@ufl.edu</t>
  </si>
  <si>
    <t>Ennes, Megan/R-2177-2017</t>
  </si>
  <si>
    <t>Ennes, Megan/0000-0002-7045-4900; Stevenson, Kathryn/0000-0002-5577-5861; Lawson, Danielle/0000-0002-6326-2257; Jones, M. Gail/0000-0002-3815-510X</t>
  </si>
  <si>
    <t>National Science Foundation Graduate Research Fellowship Program [DGE-1252376]; NOAA Office of Sea Grant, United States Department of Commerce [2016-R/16-ELWD-1]; North Carolina Sea Grant</t>
  </si>
  <si>
    <t>National Science Foundation Graduate Research Fellowship Program(National Science Foundation (NSF)); NOAA Office of Sea Grant, United States Department of Commerce(National Oceanic Atmospheric Admin (NOAA) - USA); North Carolina Sea Grant</t>
  </si>
  <si>
    <t>This material is based upon work supported by the National Science Foundation Graduate Research Fellowship Program under Grant No. DGE-1252376 as well by the North Carolina Sea Grant supported by the NOAA Office of Sea Grant, United States Department of Commerce, under grant No. 2016-R/16-ELWD-1. Any opinions, findings, and conclusions or recommendations expressed in this material are those of the author(s) and do not necessarily reflect the views of the National Science Foundation, NOAA, or Sea Grant.</t>
  </si>
  <si>
    <t>Aikenhead G.S., 2003, ESERA C NORDW NETH; [Anonymous], 2007, The Journal of Environmental Education, DOI [DOI 10.3200/JOEE.38.4.14-24, 10.3200/JOEE.38.4.14-24]; [Anonymous], 2013, NATL SCH BOARDS ASS, P1, DOI DOI 10.1108/EB016093; [Anonymous], 2009, Creating Effective Teaching and Learning Environments: First Results from TALIS; Badri M, 2016, SAGE OPEN, V6, DOI 10.1177/2158244016662901; Bales S.N., 2015, How to talk about oceans and climate change: A frameworks message memo; Bolsen T., 2017, Oxford Research Encyclopedia of Climate SciencePublisher, DOI DOI 10.1093/ACREFORE/9780190228620.013.385; Brownlee MTJ, 2013, ENVIRON EDUC RES, V19, P1, DOI 10.1080/13504622.2012.683389; Busch KC, 2019, ENVIRON EDUC RES, V25, P955, DOI 10.1080/13504622.2018.1514588; Busch KC, 2016, INT J SCI EDUC PART, V6, P137, DOI 10.1080/21548455.2015.1027320; Christian L., 2014, INTERNET PHONE MAIL, P398; Cutler MatthewJ., 2016, ENVIRON SOCIOL, V2, P275, DOI [DOI 10.1080/23251042.2016.1210842, 10.1080/23251042.2016.1210842]; Darling-Hammond L., 2017, Effective teacher professional development; Dawson V., 2012, Teaching Science, V58, P8; Department of Education, 2015, NAT CURR ENGL SCI PR; Drewes A, 2018, INT J SCI EDUC, V40, P67, DOI 10.1080/09500693.2017.1397798; Eccles JS, 2002, ANNU REV PSYCHOL, V53, P109, DOI 10.1146/annurev.psych.53.100901.135153; Ellerson N.M., 2012, Cut deep: How the sequester will impact our nation's schools; Evans L, 2014, GLOBAL ENVIRON CHANG, V25, P69, DOI 10.1016/j.gloenvcha.2013.12.013; Evers AT, 2016, EUR J TRAIN DEV, V40, P36, DOI 10.1108/EJTD-03-2015-0023; Fields ET, 2012, PHI DELTA KAPPAN, V93, P44, DOI 10.1177/003172171209300810; Fisher S., 2018, BRIT SOCIAL ATTITUDE, P27; Flora JA, 2014, CLIMATIC CHANGE, V127, P419, DOI 10.1007/s10584-014-1274-1; Flurry LA, 2005, J BUS RES, V58, P593, DOI 10.1016/j.jbusres.2003.08.007; Geldenhuys JL, 2015, TEACH TEACH EDUC, V51, P203, DOI 10.1016/j.tate.2015.06.010; Gliem J.A., 2003, MIDW RES PRACT C AD; Gulliver A, 2012, BMC PSYCHIATRY, V12, DOI 10.1186/1471-244X-12-157; Hamilton LC, 2011, CLIMATIC CHANGE, V104, P231, DOI 10.1007/s10584-010-9957-8; Henderson Joseph., 2020, Teaching Climate Change in the United States; Herman BC, 2017, INT J SCI MATH EDUC, V15, P451, DOI 10.1007/s10763-015-9706-6; Hestness E., 2014, Journal of Geoscience Education, V62, P319, DOI [DOI 10.5408/13-049.1, 10.5408/13-049.1]; IPCC, 2018, IPCC, DOI [DOI 10.1017/9781009157926.005, DOI 10.1017/CBO9781107415324]; Johnson CC, 2006, SCHOOL SCI MATH, V106, P150, DOI 10.1111/j.1949-8594.2006.tb18172.x; Johnson RM, 2008, PHYS GEOGR, V29, P500, DOI 10.2747/0272-3646.29.6.500; Kahan D.M., 2008, HDB RISK THEORY EPIS, P725; Karabenick S.A., 2011, TEACHER MOTIVATION P; Kwakman K, 2003, TEACH TEACH EDUC, V19, P149, DOI 10.1016/S0742-051X(02)00101-4; Lauer PA, 2014, PROF DEV EDUC, V40, P207, DOI 10.1080/19415257.2013.776619; Lawson DF, 2019, NAT CLIM CHANGE, V9, P458, DOI 10.1038/s41558-019-0463-3; Lee TM, 2015, NAT CLIM CHANGE, V5, P1014, DOI 10.1038/NCLIMATE2728; Leeming F.C., 1997, J ENVIRON EDUC, V28, P33; Leiserowitz A., 2009, GLOBAL WARMINGS 6 AM; Leiserowitz A., 2011, American teens' knowledge of climate change; Lin VSY, 1997, SCIENCE, V278, P840, DOI 10.1126/science.278.5339.840; Lovell GP, 2010, INT J ENV RES PUB HE, V7, P784, DOI 10.3390/ijerph7030784; Maeng JL, 2020, SCI EDUC, V104, P326, DOI 10.1002/sce.21562; Mason L, 2006, LEARN INSTR, V16, P492, DOI 10.1016/j.learninstruc.2006.09.007; McCright AM, 2011, GLOBAL ENVIRON CHANG, V21, P1163, DOI 10.1016/j.gloenvcha.2011.06.003; McCright AM, 2011, SOCIOL QUART, V52, P155, DOI 10.1111/j.1533-8525.2011.01198.x; Ministry of Education Culture Sports Science and Technology, 2012, GUID UNESCO ASS SCHO; Monroe MC, 2019, ENVIRON EDUC RES, V25, P791, DOI 10.1080/13504622.2017.1360842; Moser SC, 2007, CREATING A CLIMATE FOR CHANGE: COMMUNICATING CLIMATE CHANGE AND FACILITATING SOCIAL CHANGE, P491, DOI 10.1017/CBO9780511535871.035; National Center for Science Education &amp; Texas Freedom Network Education Fund, 2020, MAK GRAD STAT PUBL S; NSTA, 2006, NSTA POS STAT PROF D; Plutzer E., 2016, MIXED MESSAGES CLIMA; Plutzer E, 2016, SCIENCE, V351, P664, DOI 10.1126/science.aab3907; Román D, 2016, ENVIRON EDUC RES, V22, P1158, DOI 10.1080/13504622.2015.1091878; Roser-Renouf C., 2009, ATTITUDES POLICY PRE; Shea NA, 2016, J SCI TEACH EDUC, V27, P235, DOI 10.1007/s10972-016-9456-5; Simon A., 2014, The value of explanation: Using values and causal explanations to reframe climate and ocean change; Stein MK, 1999, HARVARD EDUC REV, V69, P237, DOI 10.17763/haer.69.3.h2267130727v6878; Stevenson KT, 2018, CLIMATIC CHANGE, V151, P589, DOI 10.1007/s10584-018-2313-0; Stevenson KT, 2014, CLIMATIC CHANGE, V126, P293, DOI 10.1007/s10584-014-1228-7; Stuckey M, 2013, STUD SCI EDUC, V49, P1, DOI 10.1080/03057267.2013.802463; Sullivan S.M. B., 2014, Journal of Geoscience Education, V62, P550, DOI DOI 10.5408/12-304.1; Thomson MM, 2013, EURASIA J MATH SCI T, V9, P45; Timperley H., 2007, BEST EVIDENCE SYNTHE; U.S. Global change Research Program, 2009, Climate literacy: the essential principles of climate science; UNESCO, 2019, ED SUST DEV; United States Global Change Research Program, 2014, National Climate Assessment; Vollebergh WAM, 2001, J MARRIAGE FAM, V63, P1185, DOI 10.1111/j.1741-3737.2001.01185.x; Waldron F, 2019, ENVIRON EDUC RES, V25, P895, DOI 10.1080/13504622.2016.1255876; Whitworth BA, 2015, J SCI TEACH EDUC, V26, P121, DOI 10.1007/s10972-014-9411-2; Wise S., 2010, Journal of Geoscience Education, V58, P297, DOI DOI 10.5408/1.3559695</t>
  </si>
  <si>
    <t>MAY 27</t>
  </si>
  <si>
    <t>10.1080/13504622.2021.1909708</t>
  </si>
  <si>
    <t>MAR 2021</t>
  </si>
  <si>
    <t>SL7RU</t>
  </si>
  <si>
    <t>WOS:000649586700001</t>
  </si>
  <si>
    <t>Reis, J; Ballinger, RC</t>
  </si>
  <si>
    <t>Reis, Jeanette; Ballinger, Rhoda C.</t>
  </si>
  <si>
    <t>Creating a climate for learning-experiences of educating existing and future decision-makers about climate change</t>
  </si>
  <si>
    <t>Climate change education; Education framework; Climate Change Engagement</t>
  </si>
  <si>
    <t>RESOURCE MANAGERS; SCIENCE LITERACY; KNOWLEDGE; PERCEPTIONS; ADAPTATION; SKEPTICISM; ENGAGEMENT; RISKS</t>
  </si>
  <si>
    <t>Climate change is one of the most serious issues to affect modern society. What originated as a scientific question has evolved into a complex political and social issue. The policy context recognises the pivotal role of education in encouraging effective engagement and behavioural responses to projected climate changes. It is relatively easy to nod assent to the principles of climate change education and engagement, but harder to deliver. This paper explores experiences of educating and engaging current and future decision makers, namely pupils, teachers, charity workers, small business owners and councillors on the subject of climate change in Wales. It draws conclusions about the existing climate for learning as well as the potential for overcoming challenges associated with information needs of these existing and future decision-makers. It considers the broader issue of whether current climate change information and education frameworks are fit for purpose and able to support effective climate change mitigation and adaptation activities. The findings suggest that many climate change communications from international organisations are not being received or understood at local levels, indicating a need for further and simpler 'translation' of science. Despite a strong formal education system in Wales, there are variations in basic skills (such as map reading and graph interpretation), required for simple climate change science interpretation. Finally, our results point to a need for climate literacy to be gained through interactive long-term learning rather than one-off training, particularly given some of the entrenched views of the older age groups involved in the study.</t>
  </si>
  <si>
    <t>[Reis, Jeanette] Cardiff Univ, Res &amp; Innovat Serv, 7th Floor,McKenzie House,30-36 Newport Rd, Cardiff CF24 0DE, S Glam, Wales; [Ballinger, Rhoda C.] Cardiff Univ, Sch Earth &amp; Ocean Sci, Main Bldg,Pk Pl, Cardiff CF10 3AT, S Glam, Wales</t>
  </si>
  <si>
    <t>Cardiff University; Cardiff University</t>
  </si>
  <si>
    <t>Ballinger, RC (corresponding author), Cardiff Univ, Sch Earth &amp; Ocean Sci, Main Bldg,Pk Pl, Cardiff CF10 3AT, S Glam, Wales.</t>
  </si>
  <si>
    <t>ReisJ@Cardiff.ac.uk; BallingerRC@Cardiff.ac.uk</t>
  </si>
  <si>
    <t>Ballinger, Rhoda C/E-6966-2011</t>
  </si>
  <si>
    <t>Cardiff University; INTERREG IV IMCORE; Climate Change Consortium for Wales</t>
  </si>
  <si>
    <t>The team acknowledge the support (including financial support) provided by the following programmes in helping support the delivery of the workshops and the production of the education materials:; Beacons Programme, Cardiff University.; INTERREG IV IMCORE.; Climate Change Consortium for Wales.</t>
  </si>
  <si>
    <t>Adger WN, 2009, CLIMATIC CHANGE, V93, P335, DOI 10.1007/s10584-008-9520-z; Aikens K, 2016, ENVIRON EDUC RES, V22, P333, DOI 10.1080/13504622.2015.1135418; Anderson A., 2012, Journal of Education for Sustainable Development, V6, P191, DOI [10.1177/0973408212475199, DOI 10.1177/0973408212475199]; [Anonymous], UNESCO INT SEM CLIM; [Anonymous], 2011, Clinical guidelines on the identification, evaluation and treatment of overwieght and obesity in adults: The Evidence Report, P98; [Anonymous], CLIM CHANG ENG STRAT; [Anonymous], COMMUNICATING OCEAN; [Anonymous], PROJECT REPORT; [Anonymous], 3 M AD COMM BONN GER; [Anonymous], SUPP SUST LIV; [Anonymous], TIME CHANGE CLIMATE; [Anonymous], DFE006772014; [Anonymous], COMMUNICATING OCEAN; [Anonymous], 2019, Net Zero - The UK's contribution to stopping global warming', May; [Anonymous], BBC NEWS WALES; [Anonymous], 12 MONTHS REFLECTION; [Anonymous], GUARDIAN; [Anonymous], THESIS; [Anonymous], DFE001932013; [Anonymous], WAG1003167; [Anonymous], CLIM CHANG ED GOALS; [Anonymous], ACGM0820 DEP CHILDR; [Anonymous], WILEY INTERDISCIP RE; [Anonymous], INDEPENDENT; [Anonymous], TIES BIND CONNECTION; [Anonymous], INTERREG IVB PROGR P; [Anonymous], GUARDIAN; [Anonymous], DIVERSIFICATION SECO; [Anonymous], CLIM CHANG ENG STRAT; [Anonymous], ANN MID POP EST; [Anonymous], PAUL WATKISS ASS MET; Ballinger RC., 2002, MANAGING COASTAL RIS; Bangay C, 2010, INT J EDUC DEV, V30, P359, DOI 10.1016/j.ijedudev.2009.11.011; Besley JC, 2015, J RES SCI TEACH, V52, P199, DOI 10.1002/tea.21186; Burandt S, 2010, J CLEAN PROD, V18, P659, DOI 10.1016/j.jclepro.2009.09.010; Capstick SB, 2014, GLOBAL ENVIRON CHANG, V24, P389, DOI 10.1016/j.gloenvcha.2013.08.012; Chang CH, 2018, INT RES GEOGR ENVIRO, V27, P1, DOI 10.1080/10382046.2018.1410348; Chang CH, 2015, INT RES GEOGR ENVIRO, V24, P181, DOI 10.1080/10382046.2015.1043763; Cook J, 2016, ENVIRON RES LETT, V11, DOI 10.1088/1748-9326/11/4/048002; Corner A., 2015, The uncertainty handbook; Corner A, 2015, WIRES CLIM CHANGE, V6, P523, DOI 10.1002/wcc.353; Corner A, 2014, WIRES CLIM CHANGE, V5, P411, DOI 10.1002/wcc.269; Corner A, 2012, NAT CLIM CHANGE, V2, P710, DOI 10.1038/nclimate1700; Desalegn G., 2019, WATER AIR SOIL POLL, V10, P1, DOI [DOI 10.1007/s11270-007-9372-6, DOI 10.1016/J.AMJMS.2021.03.001,00089-6, DOI 10.1007/S11270-007-9372-6]; Dietz T, 2013, P NATL ACAD SCI USA, V110, P14081, DOI 10.1073/pnas.1212740110; Dupigny-Giroux LAL, 2008, PHYS GEOGR, V29, P483, DOI 10.2747/0272-3646.29.6.483; Eden S., 1996, PUBLIC UNDERST SCI, V5, P183, DOI [DOI 10.1088/0963-6625/5/3/001, 10.1088/0963-6625/5/3/001]; Environment Agency Wales, 2009, Flooding in Wales: a national assessment of flood risk; Hulme M, 2009, WHY WE DISAGREE ABOUT CLIMATE CHANGE: UNDERSTANDING CONTROVERSY, INACTION AND OPPORTUNITY, P1; Intergovernmental Panel Climate Change Working Grp III, 2014, CLIMATE CHANGE 2014: MITIGATION OF CLIMATE CHANGE, P1; Lee TM, 2015, NAT CLIM CHANGE, V5, P1014, DOI 10.1038/NCLIMATE2728; Lorenzoni I, 2007, GLOBAL ENVIRON CHANG, V17, P445, DOI 10.1016/j.gloenvcha.2007.01.004; Mochizuki Y., 2015, Journal of Education for Sustainable Development, V9, P4, DOI [DOI 10.1177/0973408215569109, 10.1177/0973408215569109]; Moser SC, 2008, CLIMATIC CHANGE, V87, pS309, DOI 10.1007/s10584-007-9384-7; Moser SC, 2016, WIRES CLIM CHANGE, V7, P345, DOI 10.1002/wcc.403; Moser SC, 2010, WIRES CLIM CHANGE, V1, P31, DOI 10.1002/wcc.11; Nicholls RJ, 2011, PHILOS T R SOC A, V369, P161, DOI [10.1098/rsta.2010.0291, 10.1098/rsta.2010.029]; Pearce W, 2015, WIRES CLIM CHANGE, V6, P613, DOI 10.1002/wcc.366; Pidgeon N, 2012, CLIM POLICY, V12, pS85, DOI 10.1080/14693062.2012.702982; Ray D., 2008, Impacts of climate change on forests and forestry and Scodand; Rayner S, 2005, CLIMATIC CHANGE, V69, P197, DOI 10.1007/s10584-005-3148-z; Scruggs L, 2012, GLOBAL ENVIRON CHANG, V22, P505, DOI 10.1016/j.gloenvcha.2012.01.002; Shi J, 2016, NAT CLIM CHANGE, V6, P759, DOI [10.1038/nclimate2997, 10.1038/NCLIMATE2997]; Sterman JD, 2011, CLIMATIC CHANGE, V108, P811, DOI 10.1007/s10584-011-0189-3; Stern N., 2006, The Economics of Climate Change: the Stern Review, DOI DOI 10.1017/CBO9780511817434; Stevenson KT, 2014, CLIMATIC CHANGE, V126, P293, DOI 10.1007/s10584-014-1228-7; Stevenson KT, 2013, PLOS ONE, V8, DOI 10.1371/journal.pone.0059519; Wolf J, 2011, WIRES CLIM CHANGE, V2, P547, DOI 10.1002/wcc.120</t>
  </si>
  <si>
    <t>10.1016/j.marpol.2018.07.007</t>
  </si>
  <si>
    <t>JW8TI</t>
  </si>
  <si>
    <t>WOS:000503319000020</t>
  </si>
  <si>
    <t>Kirchhoff, CJ</t>
  </si>
  <si>
    <t>Kirchhoff, Christine J.</t>
  </si>
  <si>
    <t>Understanding and enhancing climate information use in water management</t>
  </si>
  <si>
    <t>EL-NINO; RESOURCE MANAGEMENT; PACIFIC-NORTHWEST; LAKE OKEECHOBEE; FORECASTS; SCIENCE; POLICY; DECISION; FLORIDA; USABILITY</t>
  </si>
  <si>
    <t>This paper expands our understanding of water manager's climate information (CI) use and of the effectiveness of interactive research efforts in improving use by quantitatively measuring usability both within and outside the interactive research model. Using a mixed method approach (i.e., interviews and surveys), data was collected across five states and hundreds of water managers to understand the production of CI by scientists at two Regional Integrated Sciences and Assessments (RISAs) employing an interactive approach and the use of that information by water managers in the corresponding RISA regions. This study finds that RISAs are effective in three important ways: first, in co-producing usable information and achieving a high rate of information use among RISA clients; second, in overcoming barriers to information use arising from negative perceptions about the usability and reliability of CI; and, finally, in fostering innovation. RISA information use is contingent on sustained scientist-client interaction and is enabled by users' willingness and capacity making RISAs most effective in reaching the largest, most capable users. These users and those who use CI from other sources do so as a strategy to manage risk. This research suggests areas for enhancing RISA CI uptake: structuring RISAs as consortia, cultivating relationships with knowledge brokers and capitalizing on existing knowledge networks, and increasing public education and outreach. Beyond the interactive research models, findings suggest CI uptake may be enhanced by building capabilities for long-term water planning at water systems and bolstering public science citizenship and climate literacy.</t>
  </si>
  <si>
    <t>Univ Michigan, Sch Nat Resources &amp; Environm, Ann Arbor, MI 48109 USA</t>
  </si>
  <si>
    <t>Kirchhoff, CJ (corresponding author), Univ Michigan, Sch Nat Resources &amp; Environm, 440 Church St, Ann Arbor, MI 48109 USA.</t>
  </si>
  <si>
    <t>orange@umich.edu</t>
  </si>
  <si>
    <t>Kirchhoff, Christine/0000-0002-2686-6764</t>
  </si>
  <si>
    <t>Peter M. Wege Foundation; Dan David Prize; University of Michigan's Rackham Graduate School; School of Natural Resources and Environment</t>
  </si>
  <si>
    <t>The Peter M. Wege Foundation, the Dan David Prize, and University of Michigan's Rackham Graduate School and the School of Natural Resources and Environment generously funded this research. Lisa Dilling, Amy Burnicki, and Maria Carmen Lemos provided insightful comments on manuscript drafts and Danielle Lavaque-Manty gave exceptional editorial assistance. Any errors or omissions are the responsibility of the author. Lastly, I thank the numerous water managers who provided primary data for this research and the RISA scientists and program managers for their participation and support of this research effort. Without them this research would not have been possible.</t>
  </si>
  <si>
    <t>Abtew W, 2010, WATER RESOUR MANAG, V24, P4255, DOI 10.1007/s11269-010-9656-2; [Anonymous], CLIMATE SERVICES RIS; [Anonymous], 2007, SYNTHESIS REPORT CON; [Anonymous], DECISION SUPPORT EXP; [Anonymous], 2000, Between Politics and Science: Assuring the Integrity and Productivity of Research; Brueuer NE, 2010, J EXTENSION, V48, P1; Callahan B, 1999, POLICY SCI, V32, P269, DOI 10.1023/A:1004604805647; Carbone GJ, 2005, J AM WATER RESOUR AS, V41, P145, DOI 10.1111/j.1752-1688.2005.tb03724.x; Cash DW, 2006, SCI TECHNOL HUM VAL, V31, P465, DOI 10.1177/0162243906287547; Cash DW, 2003, P NATL ACAD SCI USA, V100, P8086, DOI 10.1073/pnas.1231332100; Cash DW, 2001, SCI TECHNOL HUM VAL, V26, P431, DOI 10.1177/016224390102600403; Changnon SA, 1999, B AM METEOROL SOC, V80, P821, DOI 10.1175/1520-0477(1999)080&lt;0821:REUOCD&gt;2.0.CO;2; Climate Change Impacts Research Consortium (CIRC), 2010, DECISION SUPPORT EXP; Climate Program Office ( CPO), 2010, CURR FUND RISAS; Dilling L, 2011, GLOBAL ENVIRON CHANG, V21, P680, DOI 10.1016/j.gloenvcha.2010.11.006; Environmental Protection Agency (EPA), 2002, COMM WAT SYST SURV 2; Feldman D.L., 2008, Decision-support Experiments and Evaluations using Seasonal to Interannual Forecasts and Observational Data; Feldman DL, 2009, WEATHER CLIM SOC, V1, P9, DOI 10.1175/2009WCAS1007.1; GLANTZ MH, 1982, WATER RESOUR RES, V18, P3, DOI 10.1029/WR018i001p00003; Guston DH, 2001, SCI TECHNOL HUM VAL, V26, P399, DOI 10.1177/016224390102600401; Hartmann HC, 2002, B AM METEOROL SOC, V83, P683, DOI 10.1175/1520-0477(2002)083&lt;0683:CBESCF&gt;2.3.CO;2; Ingram HM, 2008, RES NETWORKS DECISIO; Lemos M.C., 2008, Water, Place, and Equity, P249; Lemos MC, 2012, NAT CLIM CHANGE, V2, P789, DOI [10.1038/NCLIMATE1614, 10.1038/nclimate1614]; Lemos MC, 2010, WIRES CLIM CHANGE, V1, P670, DOI 10.1002/wcc.71; Lemos MC, 2005, GLOBAL ENVIRON CHANG, V15, P57, DOI 10.1016/j.gloenvcha.2004.09.004; McNie E.C., 2008, COPRODUCING USEFUL C; O'Connor RE, 2005, RISK ANAL, V25, P1265, DOI 10.1111/j.1539-6924.2005.00675.x; Pagano TC, 2002, CLIMATE RES, V21, P259, DOI 10.3354/cr021259; Pagano TC, 2001, J AM WATER RESOUR AS, V37, P1139, DOI 10.1111/j.1752-1688.2001.tb03628.x; Pulwarty R.S., 2009, Integrated Regional Assessment of Global Climate Change; Pulwarty RS, 1997, B AM METEOROL SOC, V78, P381, DOI 10.1175/1520-0477(1997)078&lt;0381:CASRIT&gt;2.0.CO;2; Rayner S, 2005, CLIMATIC CHANGE, V69, P197, DOI 10.1007/s10584-005-3148-z; Rice JL, 2009, J AM WATER RESOUR AS, V45, P1248, DOI 10.1111/j.1752-1688.2009.00358.x; Sarewitz D, 2007, ENVIRON SCI POLICY, V10, P5, DOI 10.1016/j.envsci.2006.10.001; Schwarz H.E., 1990, CLIMATE CHANGE US WA; Snover AK, 2003, B AM METEOROL SOC, V84, P1513, DOI 10.1175/BAMS-84-11-1513; Steinman A, 2002, CONSERV ECOL, V6; Stern P. C., 1999, MAKING CLIMATE FOREC; Vedwan N, 2008, WATER RESOUR MANAG, V22, P699, DOI 10.1007/s11269-007-9187-7; Wilbanks TJ, 1999, CLIMATIC CHANGE, V43, P601, DOI 10.1023/A:1005418924748; Yarnal B., 2006, Land Use and Water Resources Research, V6, p3.1</t>
  </si>
  <si>
    <t>10.1007/s10584-013-0703-x</t>
  </si>
  <si>
    <t>185GM</t>
  </si>
  <si>
    <t>WOS:000321955100021</t>
  </si>
  <si>
    <t>Nalau, J; Becken, S; Noakes, S; Mackey, B</t>
  </si>
  <si>
    <t>Nalau, J.; Becken, S.; Noakes, S.; Mackey, B.</t>
  </si>
  <si>
    <t>Mapping Tourism Stakeholders' Weather and Climate Information-Seeking Behavior in Fiji</t>
  </si>
  <si>
    <t>CHANGE ADAPTATION; WINTER TOURISM; DECISION-MAKING; POLICY; DEMAND; PREFERENCES; VULNERABILITY; PERCEPTIONS; KNOWLEDGE; FORECAST</t>
  </si>
  <si>
    <t>Tourism is inherently dependent on weather and climate, and its sustainability and resilience to adverse weather and climate impacts is greatly enhanced by providing tailored climate services to tourism sector stakeholders. Climate services need to integrate standard weather forecasts, with early warning systems, seasonal forecasts, and long-term projections of climatic changes in order to meet the information needs of the sector. While a growing number of studies address the potential climate change impacts on tourism, little is known about how the tourism sector accesses, uses, and analyses the available weather and climate information. This research presents findings from an exploratory study on weather and climate information-seeking behavior of 15 private and public tourism sector stakeholders in the Republic of Fiji. The results show a variety of weather and climate information-seeking paths in use, which differ depending on levels of professional responsibility, weather and climate literacy, and information and digital competency. Those with high weather information literacy access a broader variety of sources. Hence, their interpretation does not focus only on their own location, but weather'' is seen as a broad spatial phenomenon that might or might not result in adverse effects in their location. Understanding diverse weather and climate information-seeking paths can aid in better targeting climate and adaptation services across different stakeholder groups. Especially in the context of small island developing states (SIDS), the integration of traditional, local, and scientific knowledge as information sources is likely to provide a more useful and context-specific basis for climate adaptation planning within the sector.</t>
  </si>
  <si>
    <t>[Nalau, J.; Mackey, B.] Griffith Univ, Griffith Climate Change Response Program, Southport, Qld, Australia; [Nalau, J.; Becken, S.; Noakes, S.] Griffith Univ, Griffith Inst Tourism, Southport, Qld, Australia</t>
  </si>
  <si>
    <t>Griffith University; Griffith University - Gold Coast Campus; Griffith University; Griffith University - Gold Coast Campus</t>
  </si>
  <si>
    <t>Nalau, J (corresponding author), Griffith Univ, Griffith Climate Change Response Program, Southport, Qld, Australia.;Nalau, J (corresponding author), Griffith Univ, Griffith Inst Tourism, Southport, Qld, Australia.</t>
  </si>
  <si>
    <t>j.nalau@griffith.edu.au</t>
  </si>
  <si>
    <t>Becken, Susanne/AFK-2875-2022; Mackey, Brendan/ABE-3805-2020; Nalau, Johanna/V-5692-2018</t>
  </si>
  <si>
    <t>Becken, Susanne/0000-0002-3348-2750; Nalau, Johanna/0000-0001-6581-3967; Mackey, Brendan/0000-0003-1996-4064</t>
  </si>
  <si>
    <t>[Anonymous], 2008, Climate Change and Tourism. Responding to Global Challenges; Aylen J, 2014, CLIMATIC CHANGE, V127, P183, DOI 10.1007/s10584-014-1261-6; Ayscue EP, 2015, TOURISM GEOGR, V17, P603, DOI 10.1080/14616688.2015.1053974; Bafaluy D, 2014, REG ENVIRON CHANGE, V14, P1995, DOI 10.1007/s10113-013-0450-6; Bawden D, 2001, J DOC, V57, P218, DOI 10.1108/EUM0000000007083; Bazeley P., 2016, WORLDWIDE HOSP TOURI, V8, P578, DOI [10.1108/WHATT-06-2016-0033, DOI 10.1108/WHATT-06-2016-0033]; Bazeley P., 2012, CLIMATE CHANGE TOURI; Bazeley P., 2007, QUALITATIVE DATA ANA; Becken S, 2005, GLOBAL ENVIRON CHANG, V15, P381, DOI 10.1016/j.gloenvcha.2005.08.001; Becken S, 2014, NAT HAZARDS, V71, P955, DOI 10.1007/s11069-013-0946-x; Becken S, 2013, ANN TOURISM RES, V43, P506, DOI 10.1016/j.annals.2013.06.002; Bloodhart B, 2015, PLOS ONE, V10, DOI 10.1371/journal.pone.0141526; Bonzanigo L, 2016, J SUSTAIN TOUR, V24, P637, DOI 10.1080/09669582.2015.1122013; Catts R., 2012, Journal of Information Literacy, V6, P4, DOI DOI 10.11645/6.2.1746; Chand SS, 2014, WEATHER CLIM SOC, V6, P445, DOI 10.1175/WCAS-D-13-00053.1; Conway D, 2014, NAT CLIM CHANGE, V4, P339, DOI 10.1038/NCLIMATE2199; Curtis S, 2011, B AM METEOROL SOC, V92, P361, DOI 10.1175/2010BAMS2983.1; de Freitas CR, 2003, INT J BIOMETEOROL, V48, P45, DOI 10.1007/s00484-003-0177-z; Dilling L, 2015, WEATHER CLIM SOC, V7, P5, DOI 10.1175/WCAS-D-14-00001.1; Dilling L, 2011, GLOBAL ENVIRON CHANG, V21, P680, DOI 10.1016/j.gloenvcha.2010.11.006; Dubois G, 2016, CLIMATIC CHANGE, V136, P339, DOI 10.1007/s10584-016-1620-6; Endler C, 2010, INT J BIOMETEOROL, V54, P45, DOI 10.1007/s00484-009-0251-2; Ezzy D., 2002, QUALITATIVE ANAL PRA; Field CB, 2014, CLIMATE CHANGE 2014: IMPACTS, ADAPTATION, AND VULNERABILITY, PT A: GLOBAL AND SECTORAL ASPECTS, P1; Finucane ML, 2013, WEATHER CLIM SOC, V5, P293, DOI 10.1175/WCAS-D-12-00039.1; Fontana A., 2003, Collecting and Interpreting Qualitative Materials, V2nd; Gaskell G., 2000, QUALITATIVE RES TEXT, V5th, P38, DOI DOI 10.4135/9781849209731; Gibbs G. R., 2007, ANAL QUALITATIVE DAT, V703, P38, DOI [10.4135/9781849208574, DOI 10.4135/9781849208574]; Goosen H, 2014, REG ENVIRON CHANGE, V14, P1035, DOI 10.1007/s10113-013-0513-8; Gössling S, 2012, ANN TOURISM RES, V39, P36, DOI 10.1016/j.annals.2011.11.002; Hay JE, 2013, SUSTAIN SCI, V8, P303, DOI 10.1007/s11625-013-0220-x; Hazeleger W, 2015, NAT CLIM CHANGE, V5, P107, DOI 10.1038/NCLIMATE2450; Hewer MJ, 2015, THEOR APPL CLIMATOL, V121, P401, DOI 10.1007/s00704-014-1228-6; Holstein J.A., 2003, INSIDE INTERVIEWING; Hopkins D, 2013, REG ENVIRON CHANGE, V13, P449, DOI 10.1007/s10113-012-0352-z; Hughey KFD, 2014, GLOBAL ENVIRON CHANG, V27, P168, DOI 10.1016/j.gloenvcha.2014.03.004; Jeuring J. H. G., 2013, Journal of Vacation Marketing, V19, P209, DOI 10.1177/1356766712457104; Jeuring J, 2013, TOURISM MANAGE, V37, P193, DOI 10.1016/j.tourman.2013.02.004; Johnston A, 2012, NORTH REV, P69; Kahlor LA, 2007, MEDIA PSYCHOL, V10, P414, DOI 10.1080/15213260701532971; King A., 2016, CONVERSATION; Klint L. M., 2012, Tourism in Marine Environments, V8, P91, DOI 10.3727/154427312X13262430524225; Kuruppu N, 2015, WEATHER CLIM EXTREME, V7, P72, DOI [10.1016/j.wace.2014.06.001, 10.1010/j.wace.2014.06.001]; Lebel L, 2013, MITIG ADAPT STRAT GL, V18, P1057, DOI 10.1007/s11027-012-9407-1; Leiserowitz A, 2006, CLIMATIC CHANGE, V77, P45, DOI 10.1007/s10584-006-9059-9; Lemos MC, 2015, CURR OPIN ENV SUST, V12, P48, DOI 10.1016/j.cosust.2014.09.005; Lewins A., 2007, USING SOFTWARE QUALI; Linnenluecke MK, 2012, BUS STRATEG ENVIRON, V21, P17, DOI 10.1002/bse.708; Lorenzoni I, 2007, GLOBAL ENVIRON CHANG, V17, P445, DOI 10.1016/j.gloenvcha.2007.01.004; Lourenço TC, 2016, NAT CLIM CHANGE, V6, P13, DOI 10.1038/nclimate2836; Mahon R., 2013, EVALUATING BUSINESS, V32; Martin BG, 2005, ANN TOURISM RES, V32, P571, DOI 10.1016/j.annals.2004.08.004; Matzarakis A, 2006, TOUR PLAN DEV, V3, P99, DOI 10.1080/14790530600938279; Michailidou AV, 2016, TOURISM MANAGE, V55, P1, DOI 10.1016/j.tourman.2016.01.010; Miles M.B., 1995, Qualitative data analysis: An expanded sourcebook, DOI [DOI 10.1080/10572252.2015.975966, 10.1080/10572252.2015.975966]; Montz BE, 2015, METEOROL APPL, V22, P323, DOI 10.1002/met.1457; Nalau J, 2016, CLIM DEV, V8, P365, DOI 10.1080/17565529.2015.1064809; Nalau J, 2015, ENVIRON SCI POLICY, V54, P349, DOI 10.1016/j.envsci.2015.07.022; Nurse LA, 2014, CLIMATE CHANGE 2014: IMPACTS, ADAPTATION, AND VULNERABILITY, PT B: REGIONAL ASPECTS, P1613; Pielke Jr R.A., 2007, HONEST BROKER MAKING; Pütz M, 2011, MT RES DEV, V31, P357, DOI 10.1659/MRD-JOURNAL-D-11-00039.1; Punch K., 2005, INTRO SOCIAL RES QUA, V2nd; Rossello J, 2014, CLIMATIC CHANGE, V124, P119, DOI 10.1007/s10584-014-1086-3; Rutty M, 2014, WEATHER CLIM SOC, V6, P293, DOI 10.1175/WCAS-D-13-00052.1; Sarewitz D, 2004, PHILOS TODAY, V48, P67, DOI 10.5840/philtoday200448Supplement8; Sarewitz D, 2007, ENVIRON SCI POLICY, V10, P5, DOI 10.1016/j.envsci.2006.10.001; Scott D, 2010, PROCEDIA ENVIRON SCI, V1, P146, DOI 10.1016/j.proenv.2010.09.011; Scott D, 2016, J SUSTAIN TOUR, V24, P8, DOI 10.1080/09669582.2015.1062021; Scott DJ, 2011, CLIM RES, V47, P111, DOI 10.3354/cr00952; Shakeela A, 2015, J SUSTAIN TOUR, V23, P65, DOI 10.1080/09669582.2014.918135; SPTO, 2016, ANN REV TOUR ARR PAC; Stewart AE, 2012, WEATHER CLIM SOC, V4, P172, DOI 10.1175/WCAS-D-11-00033.1; Tervo K, 2008, SCAND J HOSP TOUR, V8, P317, DOI 10.1080/15022250802553696; Uyarra MC, 2005, ENVIRON CONSERV, V32, P11, DOI 10.1017/S0376892904001808; Warren Carol., 2010, DISCOVERING QUALITAT, V2nd; Weaver CP, 2013, WIRES CLIM CHANGE, V4, P39, DOI 10.1002/wcc.202; Wilson J., 2011, DISTRIBUTION CLIMATE; Wilson J, 2011, NEW ZEAL GEOGR, V67, P148, DOI 10.1111/j.1745-7939.2011.01208.x; WILSON TD, 1981, J DOC, V37, P3, DOI 10.1108/eb026702; WMO, 2016, CLIM SERV INTR; Yu GM, 2009, CLIMATIC CHANGE, V95, P551, DOI 10.1007/s10584-009-9565-7; Zabini F, 2015, METEOROL APPL, V22, P495, DOI 10.1002/met.1480</t>
  </si>
  <si>
    <t>10.1175/WCAS-D-16-0078.1</t>
  </si>
  <si>
    <t>FB1SY</t>
  </si>
  <si>
    <t>WOS:000405925000004</t>
  </si>
  <si>
    <t>Du, MY; Chai, CS; Di, WF; Wang, XW</t>
  </si>
  <si>
    <t>Du, Mingyue; Chai, Ching Sing; Di, Weifeng; Wang, Xingwei</t>
  </si>
  <si>
    <t>What affects adolescents' willingness to maintain climate change action participation : An extended theory of planned behavior to explore the evidence from China</t>
  </si>
  <si>
    <t>Climate change education; Willingness; Social good (SG); Theory of planned behavior (TPB)</t>
  </si>
  <si>
    <t>PSYCHOLOGICAL DISTANCE; PUBLIC ENGAGEMENT; CHANGE EDUCATION; CONSTRUAL-LEVEL; EMOTIONS; MODEL; CONFIDENCE; COGNITION; FUTURE</t>
  </si>
  <si>
    <t>Climate change is related to human well-being and the health of the planet. Education is a critical component of global action to mitigate climate change, and young people are future citizens in the fight against climate change. This article discusses the factors that affect adolescents' willingness to continue participating in climate change governance actions. First, based on an expansion of the Theory of Planned Behavior (TPB), the article conducts partial least square-structural equation modeling (PLS-SEM) analysis on the data collected before adolescents participate in climate change education courses and clarifies the factors that significantly impact adolescents' behavioral willingness to participate in climate change governance actions. The results showed that emotions (EMO, 13 = 0.323) had the most significant effect on the willingness to engage in social good (SG) behaviors, followed by attitudes toward environmental protection (ATEP, 13 = 0.198) and pro-natural emotion (PNE, 13 = 0.123). Secondly, the researchers devised an exploratory climate change education curriculum and validated its efficacy through empirical research. The single group comparison of before and after lessons results shows that the exploratory climate change education curriculum can improve the scores of the nine measured factors. Higher effect sizes for attitudes toward environmental protection, confidence in protecting the environment, and pro-natural emotion. This study provides a reference theoretical framework and curriculum model for developing climate change education courses. Effective climate change education courses are crucial in improving youth climate literacy and guiding them to respond scientifically to climate change.</t>
  </si>
  <si>
    <t>[Du, Mingyue] China Univ Petr East China, Sch Econ &amp; Management, Qingdao 266580, Peoples R China; [Chai, Ching Sing] Chinese Univ Hong Kong, Fac Educ, Hong Kong, Peoples R China; [Di, Weifeng] Zhejiang Normal Univ, Coll Geog &amp; Environm Sci, Jinhua, Peoples R China; [Wang, Xingwei] Tsinghua Univ, Sch Environm, Beijing 100084, Peoples R China</t>
  </si>
  <si>
    <t>China University of Petroleum; Chinese University of Hong Kong; Zhejiang Normal University; Tsinghua University</t>
  </si>
  <si>
    <t>Di, WF (corresponding author), Zhejiang Normal Univ, Coll Geog &amp; Environm Sci, Jinhua, Peoples R China.;Wang, XW (corresponding author), Tsinghua Univ, Sch Environm, Beijing 100084, Peoples R China.</t>
  </si>
  <si>
    <t>diwf@zjnu.cn; wang-xw22@mails.tsinghua.edu.cn</t>
  </si>
  <si>
    <t>Wang, Xingwei/0000-0001-7605-218X; Chai, Ching Sing/0000-0002-6298-4813</t>
  </si>
  <si>
    <t>National Natural Science Foundation of China [21976100]</t>
  </si>
  <si>
    <t>This work was supported by the National Natural Science Foundation of China (21976100) .</t>
  </si>
  <si>
    <t>AJZEN I, 1991, ORGAN BEHAV HUM DEC, V50, P179, DOI 10.1016/0749-5978(91)90020-T; Ajzen I, 2020, HUM BEHAV EMERG TECH, V2, P314, DOI 10.1002/hbe2.195; Al-Hazaima H, 2021, MEDITARI ACCOUNT RES, V29, P371, DOI 10.1108/MEDAR-02-2020-0708; Al-Jubari I, 2019, SAGE OPEN, V9, DOI 10.1177/2158244019853467; Alshawabka Z.A., 2019, Water Availability and Quality in the Jordan River Valley and the Zarqa River Basin: Stakeholders' Perspectives; Aregay FA, 2016, SUSTAINABILITY-BASEL, V8, DOI 10.3390/su8030226; Ballew MT, 2018, ECOPSYCHOLOGY, V10, P26, DOI 10.1089/eco.2017.0044; Balunde A, 2020, J ENVIRON PSYCHOL, V72, DOI 10.1016/j.jenvp.2020.101526; Balunde A, 2020, FRONT PSYCHOL, V11, DOI 10.3389/fpsyg.2020.582920; Bar-Anan Y, 2006, J EXP PSYCHOL GEN, V135, P609, DOI 10.1037/0096-3445.135.4.609; Bian JJ, 2022, INT J ENV RES PUB HE, V19, DOI 10.3390/ijerph19084627; Briñol P, 2018, J PERS SOC PSYCHOL, V114, P693, DOI 10.1037/pspa0000118; Brügger A, 2020, GLOBAL ENVIRON CHANG, V60, DOI 10.1016/j.gloenvcha.2019.102023; Cao SP, 2022, SCI TOTAL ENVIRON, V821, DOI 10.1016/j.scitotenv.2022.153270; Chai CS, 2020, MATHEMATICS-BASEL, V8, DOI 10.3390/math8112089; Chang CH, 2017, J ENVIRON EDUC, V48, P172, DOI 10.1080/00958964.2017.1289883; Chang S, 2012, PROCEEDINGS OF ISCRAM ASIA 2012 CONFERENCE ON INFORMATION SYSTEMS FOR CRISIS RESPONSE AND MANAGEMENT, P472; Chen L, 2022, FRONT PSYCHOL, V13, DOI 10.3389/fpsyg.2022.908138; Cheung GW, 2024, ASIA PAC J MANAG, V41, P745, DOI 10.1007/s10490-023-09871-y; Colucci-Gray L, 2006, SCI EDUC, V90, P227, DOI 10.1002/sce.20109; De Domínicis S, 2017, FRONT PSYCHOL, V8, DOI 10.3389/fpsyg.2017.01065; Fang WT, 2021, SUSTAINABILITY-BASEL, V13, DOI 10.3390/su13020490; Flowerday T, 2015, LEARN INDIVID DIFFER, V40, P134, DOI 10.1016/j.lindif.2015.05.003; Fu WZ, 2021, SUSTAIN PROD CONSUMP, V28, P116, DOI 10.1016/j.spc.2021.03.035; Gao J, 2022, SUSTAINABILITY-BASEL, V14, DOI 10.3390/su141811322; Gardner B, 2022, COGENT PSYCHOL, V9, DOI 10.1080/23311908.2022.2041277; Gasparri G, 2022, BMJ-BRIT MED J, V376, DOI 10.1136/bmj.o816; Gong ZQ, 2009, ACTA PHYS SIN-CH ED, V58, P4342, DOI 10.7498/aps.58.4342; Grasso M, 2013, ENVIRON POLIT, V22, P377, DOI 10.1080/09644016.2012.730263; Hair J.F., 2010, MULTIVARIATE DATA AN; Hair JF, 2021, J FAM BUS STRATEG, V12, DOI 10.1016/j.jfbs.2020.100392; Halewood M, 2023, CULT SOCIOL-LONDON, V17, P373, DOI 10.1177/17499755221108135; Harmon-Jones E, 2011, J PERS SOC PSYCHOL, V101, P1332, DOI 10.1037/a0024951; Hidi S, 2006, EDUC PSYCHOL-US, V41, P111, DOI 10.1207/s15326985ep4102_4; Jakucionyte-Skodiene M, 2021, J CLEAN PROD, V281, DOI 10.1016/j.jclepro.2020.125189; Joanes T, 2020, J ENVIRON PSYCHOL, V71, DOI 10.1016/j.jenvp.2020.101396; Jones C, 2017, RISK ANAL, V37, P331, DOI 10.1111/risa.12601; Karsgaard C, 2023, EDUC REV, V75, P74, DOI 10.1080/00131911.2021.1905611; Klockner CA, 2010, J ENVIRON PSYCHOL, V30, P574, DOI 10.1016/j.jenvp.2010.03.001; Kovac VB, 2016, EDUC PSYCHOL-UK, V36, P792, DOI 10.1080/01443410.2014.923557; Lee H, 2023, IN PRESS; Lee K, 2020, WIRES CLIM CHANGE, V11, DOI 10.1002/wcc.641; Lerner JS, 2000, COGNITION EMOTION, V14, P473, DOI 10.1080/026999300402763; Liu X, 2021, RESOUR CONSERV RECY, V174, DOI 10.1016/j.resconrec.2021.105823; [卢志坚 Lu Zhijian], 2019, [干旱区资源与环境, Journal of Arid Land Resources and Environment], V33, P28; Martin C, 2016, HORIZON, V24, P227, DOI 10.1108/OTH-04-2016-0012; McCright AaronM., 2012, J SCHOLARSHIP TEACHI, V12, P86; McGimpsey I, 2023, EDUC REV, V75, P1, DOI 10.1080/00131911.2022.2119021; Moody GD, 2013, INFORM MANAGE-AMSTER, V50, P322, DOI 10.1016/j.im.2013.04.005; Perkins KM, 2018, J CLEAN PROD, V200, P1043, DOI 10.1016/j.jclepro.2018.07.296; Rizvi WH, 2018, ECON RES-EKON ISTRAZ, V31, P158, DOI 10.1080/1331677X.2017.1421993; Rousell D, 2023, EDUC REV, V75, P33, DOI 10.1080/00131911.2021.1965959; Russell S, 2010, WATER RESOUR RES, V46, DOI 10.1029/2009WR008408; Russell SV, 2017, RESOUR CONSERV RECY, V125, P107, DOI 10.1016/j.resconrec.2017.06.007; Schneider CR, 2021, CURR OPIN BEHAV SCI, V42, P114, DOI 10.1016/j.cobeha.2021.04.009; Shi QL, 2013, ADV METEOROL, V2013, DOI 10.1155/2013/853098; Siegner AB, 2018, ENERGY RES SOC SCI, V45, P374, DOI 10.1016/j.erss.2018.06.023; Steg L, 2009, J ENVIRON PSYCHOL, V29, P309, DOI 10.1016/j.jenvp.2008.10.004; [苏建宁 Su Jianning], 2013, [机械设计, Journal of Machine Design], V30, P97; Swati Tyagi Swati Tyagi, 2014, European Researcher, V81, P1491, DOI 10.13187/er.2014.81.1491; Taherdoost H., 2019, INT J ACAD RES MANAG, V8, P1; Tamir M, 2018, EMOTION, V18, P15, DOI 10.1037/emo0000351; Tolppanen S, 2022, J CLEAN PROD, V373, DOI 10.1016/j.jclepro.2022.133865; Triandis H.C., 1977, INTERPERSONAL BEHAV; Trope Y, 2010, PSYCHOL REV, V117, P440, DOI 10.1037/a0018963; Vaghi MM, 2017, NEURON, V96, P348, DOI 10.1016/j.neuron.2017.09.006; Varah F, 2021, ENVIRON DEV SUSTAIN, V23, P9181, DOI 10.1007/s10668-020-01018-z; [王雪琦 Wang Xueqi], 2021, [气候变化研究进展, Progressus Inquisitiones de Mutatione Climatis], V17, P212; Wang YW, 2019, J BEHAV DECIS MAKING, V32, P375, DOI 10.1002/bdm.2120; Whitmarsh L, 2011, GLOBAL ENVIRON CHANG, V21, P56, DOI 10.1016/j.gloenvcha.2010.07.011; Xiang LL, 2020, APPL SPAT ANAL POLIC, V13, P91, DOI 10.1007/s12061-019-09293-8; Xiong YJ, 2016, ENVIRON EARTH SCI, V75, DOI 10.1007/s12665-015-4873-x; Xu Manfei, 2017, Shanghai Arch Psychiatry, V29, P184, DOI 10.11919/j.issn.1002-0829.217070; Yeow PHP, 2022, SUSTAIN PROD CONSUMP, V32, P550, DOI 10.1016/j.spc.2022.05.015</t>
  </si>
  <si>
    <t>OCT 10</t>
  </si>
  <si>
    <t>10.1016/j.jclepro.2023.138589</t>
  </si>
  <si>
    <t>S5RQ9</t>
  </si>
  <si>
    <t>WOS:001071740900001</t>
  </si>
  <si>
    <t>Alonso-Cañadas, J; Saraite-Sariene, L; Galán-Valdivieso, F; Caba-Pérez, MD</t>
  </si>
  <si>
    <t>Alonso-Canadas, Juana; Saraite-Sariene, Laura; Galan-Valdivieso, Federico; Caba-Perez, Maria del Carmen</t>
  </si>
  <si>
    <t>Green Tweets or Not? The Sustainable Commitment of Higher Education Institutions</t>
  </si>
  <si>
    <t>sustainable development; social media; engagement; stakeholders; Higher Education Institutions; Green Universities</t>
  </si>
  <si>
    <t>STUDENTS ENERGY LITERACY; SOCIAL MEDIA; ENVIRONMENTAL SUSTAINABILITY; UNIVERSITIES; FACEBOOK; STAKEHOLDERS; COMMUNICATION; PERCEPTIONS; ENGAGEMENT; DIFFUSION</t>
  </si>
  <si>
    <t>Higher education organizations are increasingly playing a key role in promoting Sustainable Development within society by disclosing information about applied strategies and achieved sustainable performance via social media. Consequently, platforms like Twitter have evolved into decisive tools for fostering accountability, establishing legitimacy, and displaying engagement to environmental sustainability. First, this paper aims to analyze the impact of published sustainable content on Twitter on the stakeholders' online engagement level within British green universities ranked by the People &amp; Planet University League. Second, the study intends to investigate the influencing factors that enhance online interactions. To attain the purpose a theoretical framework was established and a text mining analysis of 145,941 tweets was conducted to construct both a sustainable and a general online engagement index. Finally, a multivariate regression analysis was employed to create two models based on content type. The results reveal a heightened interest in engaging with sustainable content shared on the official Twitter profiles of the sampled universities in comparison to general information tweets. Furthermore, the findings indicate that organizational attributes, reputational factors, and considerations related to strategy design and implementation of sustainable policies, along with the sentiment polarity of the disseminated content, contribute to elucidating the attained level of online engagement. These factors work together to involve stakeholders in the pursuit of sustainable development goals within Green Universities. Universities' social media sustainable commitmentThe objective of this study is analysing the reaction of stakeholders to the dissemination of sustainable information, identifying the key generators of engagement that allow Higher Education Institutions. theoretical and conceptual framework was carried out, together with a text mining analysis of a sample of 145.941 tweets and a double regression model. Organizational and reputational attributes and factors related to the design of strategies and implementation of sustainable policies, as well as the polarity of the content transmitted, help to explain the engagement achieved</t>
  </si>
  <si>
    <t>[Alonso-Canadas, Juana; Saraite-Sariene, Laura; Galan-Valdivieso, Federico; Caba-Perez, Maria del Carmen] Univ Almeria, Dept Econ &amp; Business, Almeria, Spain; [Caba-Perez, Maria del Carmen] Univ Almeria, Dept Econ &amp; Business, Ctra Sacramento S-N,La Canada San Urbano, Almeria 04120, Spain</t>
  </si>
  <si>
    <t>Universidad de Almeria; Universidad de Almeria</t>
  </si>
  <si>
    <t>Caba-Pérez, MD (corresponding author), Univ Almeria, Dept Econ &amp; Business, Ctra Sacramento S-N,La Canada San Urbano, Almeria 04120, Spain.</t>
  </si>
  <si>
    <t>Saraite-Sariene, Laura/IUO-3196-2023; Galán-Valdivieso, Federico/AAH-6589-2020; Caba Perez, Carmen/L-9489-2014</t>
  </si>
  <si>
    <t>Galán-Valdivieso, Federico/0000-0001-9632-2941; Caba Perez, Carmen/0000-0002-8452-5909; Alonso-Canadas, Juana/0000-0001-6917-1615</t>
  </si>
  <si>
    <t>Abubakar IR, 2016, SUSTAINABILITY-BASEL, V8, DOI 10.3390/su8010059; Adams R, 2018, J CLEAN PROD, V171, P434, DOI 10.1016/j.jclepro.2017.10.032; Agresti A., 1997, STAT METHODS SOCIAL, VThird; Aiken L.S., 2003, APPL MULTIPLE REGRES, DOI [DOI 10.4324/9780203774441, DOI 10.2307/2064799]; Aleixo AM, 2018, J CLEAN PROD, V172, P1664, DOI 10.1016/j.jclepro.2016.11.010; Alonso-Cañadas J, 2020, INT J ENV RES PUB HE, V17, DOI 10.3390/ijerph17061814; Alvarado Herrera A., 2008, Responsabilidad social empresarial percibida desde una perspectiva sostenicentrica, y su influencia en la reputacion de la empresa y en el comportamiento del turista; [Anonymous], 2017, Rev. iberoam. cienc. tecnol. soc., V12, P11; Araque O, 2022, IEEE T AFFECT COMPUT, V13, P496, DOI 10.1109/TAFFC.2019.2934444; Atici KB, 2021, J CLEAN PROD, V291, DOI 10.1016/j.jclepro.2020.125289; Avila LV, 2017, J CLEAN PROD, V164, P1268, DOI 10.1016/j.jclepro.2017.07.025; Barata E, 2011, CITIES, V28, P406, DOI 10.1016/j.cities.2011.04.001; Ben-Shlomo Y., 2013, Epidemiology, evidence-based medicine and public health, V6th; Blasco N, 2019, SUSTAINABILITY-BASEL, V11, DOI 10.3390/su11195302; Bonsón E, 2015, GOV INFORM Q, V32, P52, DOI 10.1016/j.giq.2014.11.001; Bortree DS, 2009, PUBLIC RELAT REV, V35, P317, DOI 10.1016/j.pubrev.2009.05.002; Boyd D, 2010, P ANN HICSS, P1657; Can U, 2019, PHYSICA A, V535, DOI 10.1016/j.physa.2019.122372; Celardo L, 2020, INT J INFORM MANAGE, V51, DOI 10.1016/j.ijinfomgt.2019.09.005; Chen GM, 2011, COMPUT HUM BEHAV, V27, P755, DOI 10.1016/j.chb.2010.10.023; Cotton DRE, 2018, ENVIRON EDUC RES, V24, P1611, DOI 10.1080/13504622.2017.1395394; Cotton DRE, 2015, INT J SUST HIGHER ED, V16, P456, DOI 10.1108/IJSHE-12-2013-0166; Dagiliute R, 2018, J CLEAN PROD, V181, P473, DOI 10.1016/j.jclepro.2018.01.213; Dardenne B, 2011, EUR J SOC PSYCHOL, V41, P52, DOI 10.1002/ejsp.725; Davis C H., 2012, Social media in higher education: A literature review and research directions, P8; Alonso-Almeida MD, 2015, J CLEAN PROD, V106, P144, DOI 10.1016/j.jclepro.2014.02.008; Gálvez-Rodríguez MD, 2020, TOUR MANAG PERSPECT, V34, DOI 10.1016/j.tmp.2020.100636; Gálvez-Rodríguez MD, 2016, INTERNET RES, V26, P1052, DOI 10.1108/IntR-07-2014-0188; Fernando S., 2014, J THEORETICAL ACCOUN, V10, P149; Ferrara E, 2015, PLOS ONE, V10, DOI 10.1371/journal.pone.0142390; Fissi S., 2020, Journal of Cleaner Production, V279, P1; McCoy CG, 2017, Arxiv, DOI arXiv:1708.05790; Gartchie J., 2016, Introduction to quantitative methods in business; Gómez-Carrasco P, 2021, EUR ACCOUNT REV, V30, P31, DOI 10.1080/09638180.2019.1708428; González Gaudiano Edgar J., 2015, Rev. educ. sup, V44, P69; Gray R., 1996, ACCOUNTING ACCOUNTAB; Grindsted ThomasS., 2011, Environmental Economics, V2, P29, DOI [DOI 10.2139/SSRN.2697465, DOI 10.2139/ssrn.2697465, 10.2139/ssrn.2697465.]; Hamid S, 2017, INT J SUST HIGHER ED, V18, P474, DOI 10.1108/IJSHE-01-2015-0010; Hancock L, 2014, J CLEAN PROD, V62, P62, DOI 10.1016/j.jclepro.2013.07.062; De Rosario AH, 2016, PUB ADMIN INF TECH, V15, P219, DOI 10.1007/978-3-319-17722-9_12; Hassan A, 2019, SUSTAIN ACCOUNT MANA, V10, P844, DOI 10.1108/SAMPJ-03-2018-0093; Hatfield E., 1993, CURR DIR PSYCHOL SCI, V2, P96, DOI [10.1111/1467-8721.ep10770953, DOI 10.1111/1467-8721.EP10770953, 10.1111/14678721.ep10770953, DOI 10.1111/14678721.EP10770953]; Hughes DJ, 2012, COMPUT HUM BEHAV, V28, P561, DOI 10.1016/j.chb.2011.11.001; Jansen BJ, 2009, J AM SOC INF SCI TEC, V60, P2169, DOI 10.1002/asi.21149; Kaplan AM, 2010, BUS HORIZONS, V53, P59, DOI 10.1016/j.bushor.2009.09.003; Katiliute E, 2017, WORLD SUSTAIN SER, P49, DOI 10.1007/978-3-319-47889-0_4; Katz E., 1959, STUDIES PUBLIC COMMU, V2, P1; Kent ML, 2002, PUBLIC RELAT REV, V28, P21, DOI 10.1016/S0363-8111(02)00108-X; Kim W, 2010, INFORM SYST, V35, P215, DOI 10.1016/j.is.2009.08.003; Kimmons R, 2017, INNOV HIGH EDUC, V42, P97, DOI 10.1007/s10755-016-9375-6; Krizek KJ, 2007, PLAN PRACT RES, V22, P197, DOI 10.1080/02697450701584386; Ladislav P., 2019, Sustainability, V11, P1; Lalicic L, 2020, J DESTIN MARK MANAGE, V16, DOI 10.1016/j.jdmm.2019.03.004; Leal W, 2020, SUSTAINABILITY-BASEL, V12, DOI 10.3390/su12093761; Leal W, 2019, SUSTAINABILITY-BASEL, V11, DOI 10.3390/su11143807; Lipschutz RD, 2017, WORLD SUSTAIN SER, P3, DOI 10.1007/978-3-319-47889-0_1; Lodhia S, 2020, MEDITARI ACCOUNT RES, V28, P613, DOI 10.1108/MEDAR-09-2019-0566; Lodhia S, 2017, AUST ACCOUNT REV, V27, P17, DOI 10.1111/auar.12143; Lozano R, 2015, J CLEAN PROD, V108, P1, DOI 10.1016/j.jclepro.2014.09.048; Lozano R, 2013, J CLEAN PROD, V48, P10, DOI 10.1016/j.jclepro.2011.10.006; Lu YJ, 2014, J CLEAN PROD, V64, P426, DOI 10.1016/j.jclepro.2013.10.005; Lukman R, 2007, CLEAN TECHNOL ENVIR, V9, P103, DOI 10.1007/s10098-006-0070-7; Manetti G, 2016, ACCOUNT AUDIT ACCOUN, V29, P985, DOI 10.1108/AAAJ-08-2014-1797; Mariani MM, 2016, TOURISM MANAGE, V54, P321, DOI 10.1016/j.tourman.2015.12.008; Moll de Alba Mendoza E., 2015, Analisis comparativo de la utilizacion de Twitter como canal de comunicacion para las principales editoriales estadounidenses y espanolas; Morsing M., 2006, BUSINESS ETHICS EURO, V15, P323, DOI [DOI 10.1111/J.1467-8608.2006.00460.X, 10.1111/j.1467-8608.2006.00460.x]; Nejati M, 2013, J CLEAN PROD, V48, P101, DOI 10.1016/j.jclepro.2012.09.006; Neter J, 1996, Applied linear statistical models, DOI DOI 10.2307/1271154; peopleandplanet, 2019, People and Planet's; Peters K, 2009, EUR J SOC PSYCHOL, V39, P207, DOI 10.1002/ejsp.523; Ragazzi M, 2017, ENRGY PROCED, V119, P111, DOI 10.1016/j.egypro.2017.07.054; Reilly AH, 2014, BUS HORIZONS, V57, P747, DOI 10.1016/j.bushor.2014.07.008; Saez-Martin A., 2019, E-systems for the 21st Century: Concept, developments and applications, P331; Sheskin DJ, 2020, Handbook of Parametric and Nonparametric Statistical Procedures; Steurer R, 2005, J BUS ETHICS, V61, P263, DOI 10.1007/s10551-005-7054-0; Stieglitz S, 2013, J MANAGE INFORM SYST, V29, P217, DOI 10.2753/MIS0742-1222290408; Stone JA, 2021, ONLINE INFORM REV, V45, P501, DOI 10.1108/OIR-05-2020-0175; Suh B, 2010, 2010 IEEE 2 INT C SO, V2, P177, DOI DOI 10.1109/SOCIALCOM.2010.33; Sukor N., 2017, P E ASIA SOC TRANSPO; Sutherland K, 2018, STUD SUCCESS, V9, P13, DOI 10.5204/ssj.v9i2.400; Ballestar MT, 2020, SUSTAINABILITY-BASEL, V12, DOI 10.3390/su12052122; Vasi IB, 2012, AM SOCIOL REV, V77, P573, DOI 10.1177/0003122412448796; Williams K.C., 2014, Journal of Strategic Innovation and Sustainability, V9, P11; World Commission on Environment and Development, 1987, Our Common Future; Yin FL, 2022, INFORM SCIENCES, V594, P118, DOI 10.1016/j.ins.2022.02.029; Zhang W, 2018, J MED INTERNET RES, V20, DOI 10.2196/jmir.9607</t>
  </si>
  <si>
    <t>10.1177/21582440231220097</t>
  </si>
  <si>
    <t>CT9R2</t>
  </si>
  <si>
    <t>WOS:001127612700001</t>
  </si>
  <si>
    <t>Ntouros, V; Romanowicz, J; Charalambous, C; Kousis, I; Laskari, M; Assimakopoulos, MN</t>
  </si>
  <si>
    <t>Dima, AM</t>
  </si>
  <si>
    <t>Ntouros, Vasileios; Romanowicz, Joanna; Charalambous, Constantinos; Kousis, Ioannis; Laskari, Marina; Assimakopoulos, Margarita-Niki</t>
  </si>
  <si>
    <t>Empowering Students to Save Energy through a Behavioural Change Campaign in University Accommodation</t>
  </si>
  <si>
    <t>RESILIENCE AND ECONOMIC INTELLIGENCE THROUGH DIGITALIZATION AND BIG DATA ANALYTICS</t>
  </si>
  <si>
    <t>International Conference on Economics and Social Sciences</t>
  </si>
  <si>
    <t>4th International Conference on Economics and Social Sciences</t>
  </si>
  <si>
    <t>JUN 10-11, 2021</t>
  </si>
  <si>
    <t>Bucharest Univ Econ Studies, ELECTR NETWORK</t>
  </si>
  <si>
    <t>Bucharest Univ Econ Studies</t>
  </si>
  <si>
    <t>university students; energy campaign; energy saving; behaviour assessment</t>
  </si>
  <si>
    <t>Energy awareness campaigns are critical in enabling students to become more aware of the impacts of energy use and to effectively establish sustainable habits and lifestyle practices. They can provide a foundation of energy literacy and sustainability to students living in university dormitories and can help them reduce energy wastage even when they move out into the private sector. In this work we aim to investigate the impact of an energy awareness campaign, Student Switch Off (SSO), on university students by quantifying the behaviour changes that may be attributed to it. Changes in the behaviour of students in participating dormitories were evaluated through four rounds of questionnaire surveys during the academic years 2018-19 and 2019-20. In total, more than 9,000 students living in participating university accommodation answered the questionnaires. The findings show positive signs of impact of the SSO campaign with the most indicative sign being that a higher share of students tried to save energy in most things or even in everything they did by the end of the evaluation period compared to the beginning.</t>
  </si>
  <si>
    <t>[Ntouros, Vasileios; Laskari, Marina; Assimakopoulos, Margarita-Niki] Natl &amp; Kapodistrian Univ Athens, Athens, Greece; [Romanowicz, Joanna] Students Organising Sustainabil, London, England; [Charalambous, Constantinos] Univ Cyprus, Nicosia, Cyprus; [Kousis, Ioannis] Univ Perugia, Perugia, Italy</t>
  </si>
  <si>
    <t>National &amp; Kapodistrian University of Athens; University of Cyprus; University of Perugia</t>
  </si>
  <si>
    <t>Ntouros, V (corresponding author), Natl &amp; Kapodistrian Univ Athens, Athens, Greece.</t>
  </si>
  <si>
    <t>vntouros@phys.uoa.gr</t>
  </si>
  <si>
    <t>Ntouros, Vasileios/AAC-6625-2022; Kousis, Ioannis/HMV-1697-2023</t>
  </si>
  <si>
    <t>Ntouros, Vasileios/0000-0002-9944-6058</t>
  </si>
  <si>
    <t>European Union [754203]; H2020 Societal Challenges Programme [754203] Funding Source: H2020 Societal Challenges Programme</t>
  </si>
  <si>
    <t>This research received funding from the European Union's Horizon 2020 research and innovation programme under grant agreement No 754203; European Union's Horizon 2020 research and innovation programme (754203).</t>
  </si>
  <si>
    <t>Bertoldi P, 2020, ENERGY AND BEHAVIOUR: TOWARDS A LOW CARBON FUTURE, P451, DOI 10.1016/B978-0-12-818567-4.00018-1; Ioannis K, 2020, ENERG SOURCE PART B, V15, P113, DOI 10.1080/15567249.2020.1773579; Michie S, 2012, HEALTH PSYCHOL REV, V6, P1, DOI 10.1080/17437199.2012.654964; Navalny, 2018, A NAV CAMP PLATF; Ntouros V, 2019, P INT CONF BUS EXCEL, V13, P1009, DOI 10.2478/picbe-2019-0088; Nussbaumer P, 2012, RENEW SUST ENERG REV, V16, P231, DOI 10.1016/j.rser.2011.07.150; Pean C., 2018, IPCC SPECIAL REPORT; Platis MI, 2020, SUSTAINABILITY-BASEL, V12, DOI 10.3390/su12229626; Tsagarakis KP, 2011, RENEW SUST ENERG REV, V15, P1335, DOI 10.1016/j.rser.2010.10.009; Verplanken B, 2006, J PUBLIC POLICY MARK, V25, P90, DOI 10.1509/jppm.25.1.90</t>
  </si>
  <si>
    <t>SCIENDO</t>
  </si>
  <si>
    <t>WARSAW</t>
  </si>
  <si>
    <t>BOGUMILA ZUGA 32a STR, WARSAW, WARSAW, POLAND</t>
  </si>
  <si>
    <t>2704-6524</t>
  </si>
  <si>
    <t>978-83-66675-70-4</t>
  </si>
  <si>
    <t>I CONF ECON S SC</t>
  </si>
  <si>
    <t>10.2478/9788366675704-017</t>
  </si>
  <si>
    <t>Business; Business, Finance; Development Studies; Economics</t>
  </si>
  <si>
    <t>Business &amp; Economics; Development Studies</t>
  </si>
  <si>
    <t>BS7QK</t>
  </si>
  <si>
    <t>WOS:000766030100016</t>
  </si>
  <si>
    <t>Wang, C; Wang, SB</t>
  </si>
  <si>
    <t>Wang, Chong; Wang, Shubing</t>
  </si>
  <si>
    <t>Does digital financing influence renewable energy performance in China?</t>
  </si>
  <si>
    <t>ENVIRONMENTAL SCIENCE AND POLLUTION RESEARCH</t>
  </si>
  <si>
    <t>Digital finance; Financialization; Renewable energy performance; Energy access; China</t>
  </si>
  <si>
    <t>GREEN FINANCE; DISEASE; INDEX</t>
  </si>
  <si>
    <t>The objective of this study is to examine how digital finance influences renewable energy performance in China. Empirical data from China between 2007 and 2019 is used to evaluate the relationship among these variables. The study uses two techniques, quantile regression (QR) and generalized methods of moments (GMM), to draw empirical conclusions. The results reveal that digital finance significantly influences the renewable energy performance, ecological growth, and financial performance of cities in China. Specifically, digital finance accounts for 45.92% of the variation in renewable energy indicators, 27.60% in ecological growth, and 24.39% in the improved financial performance of renewable energy at the city level. The study also observes that the city-level score for digital finance, renewable energy, and other indicators is heterogeneous in movement. Factors contributing to this heterogeneity include high population (16.05%), access to digital banking (23.11%), province-level renewable energy performance (39.62%), household financial stability (22.04%), and household renewable energy literacy (8.47%). Based on these findings, the study recommends practical implications for key stakeholders.</t>
  </si>
  <si>
    <t>[Wang, Chong] Henan Inst Econ &amp; Trade, Sch Finance, Zhengzhou 450000, Henan, Peoples R China; [Wang, Shubing] Henan Inst Econ &amp; Trade, Sch Business, Zhengzhou 450000, Henan, Peoples R China</t>
  </si>
  <si>
    <t>Wang, C (corresponding author), Henan Inst Econ &amp; Trade, Sch Finance, Zhengzhou 450000, Henan, Peoples R China.</t>
  </si>
  <si>
    <t>ilauralaura@163.com; wangshubing97@163.com</t>
  </si>
  <si>
    <t>key project of Henan Xing Cultural Project Cultural Research in Henan Province in 2022: Research on the Theory and Practice of Plateau Formation in Henan County Economy under the new Development Pattern [2022XWH008]</t>
  </si>
  <si>
    <t>key project of Henan Xing Cultural Project Cultural Research in Henan Province in 2022: Research on the Theory and Practice of Plateau Formation in Henan County Economy under the new Development Pattern</t>
  </si>
  <si>
    <t>This work was supported by the key project of Henan Xing Cultural Project Cultural Research in Henan Province in 2022: Research on the Theory and Practice of Plateau Formation in Henan County Economy under the new Development Pattern (Project No. 2022XWH008).</t>
  </si>
  <si>
    <t>Ahmad B, 2022, INTERACT TECHNOL SMA, V19, P260, DOI 10.1108/ITSE-01-2021-0016; Alharbi SS, 2023, ENERG ECON, V118, DOI 10.1016/j.eneco.2022.106499; Alsagr N, 2023, J CLEAN PROD, V401, DOI 10.1016/j.jclepro.2023.136738; Alsagr N, 2021, ENVIRON SCI POLLUT R, V28, P25906, DOI 10.1007/s11356-021-12447-2; Amigo-Jorquera C, 2019, TAPUYA, V2, P378, DOI 10.1080/25729861.2019.1608038; Bag S, 2020, RESOUR CONSERV RECY, V152, DOI 10.1016/j.resconrec.2019.104502; Bei JL, 2023, RESOUR POLICY, V80, DOI 10.1016/j.resourpol.2022.103194; Bilal AR, 2022, EUR BUS REV, V34, P556, DOI 10.1108/EBR-08-2021-0186; Bornmann L, 2008, J AM SOC INF SCI TEC, V59, P830, DOI 10.1002/asi.20806; Bouzarovski S., 2018, Energy Poverty: (Dis)Assembling Europe's Infrastructural Divide, DOI DOI 10.1007/978-3-319-69299-9; Calado Helena, 2021, Journal of Environmental Assessment Policy and Management, V23, P2250009, DOI 10.1142/S1464333222500090; Castaño-Rosa R, 2020, ENERGY RES SOC SCI, V60, DOI 10.1016/j.erss.2019.101325; Chang L, 2023, ENERG POLICY, V174, DOI 10.1016/j.enpol.2023.113422; Filippi A, 2009, EUR J GEN PRACT, V15, P136, DOI 10.3109/13814780903362560; Golosnoy AS, 2019, J PHYS CONF SER, V1399, DOI 10.1088/1742-6596/1399/4/044047; Gouveia JP, 2019, ENERGY REP, V5, P187, DOI 10.1016/j.egyr.2018.12.004; Gross R, 2003, ENVIRON INT, V29, P105, DOI 10.1016/S0160-4120(02)00130-7; Gu X, 2023, RESOUR POLICY, V81, DOI 10.1016/j.resourpol.2023.103404; Guasch-Ferré M, 2022, AM J PREV MED, V63, P33, DOI 10.1016/j.amepre.2022.01.027; Hanssen Frank, 2018, Journal of Environmental Assessment Policy and Management, V20, P1840003, DOI 10.1142/S1464333218400033; Iqbal S, 2022, CHINA FINANC REV INT, V12, P219, DOI 10.1108/CFRI-02-2021-0046; Iqbal S, 2021, ENVIRON SCI POLLUT R, V28, P19008, DOI 10.1007/s11356-020-11462-z; Javid M, 2016, RENEW SUST ENERG REV, V54, P406, DOI 10.1016/j.rser.2015.10.019; KABIR KH, 2022, J ENVIRON ASSESS POL, V24, pNIL43, DOI DOI 10.1142/S1464333222500193; Kabir Zobaidul, 2021, Journal of Environmental Assessment Policy and Management, V23, P2250015, DOI 10.1142/S1464333222500156; Li CZ, 2023, RENEW ENERG, V203, P898, DOI 10.1016/j.renene.2022.12.066; Li WQ, 2021, J ENVIRON MANAGE, V294, DOI 10.1016/j.jenvman.2021.112946; Lin BQ, 2023, ENERG ECON, V117, DOI 10.1016/j.eneco.2022.106464; Long Y, 2023, ANN OPER RES, V326, P61, DOI 10.1007/s10479-021-04354-z; Marttunen Mika, 2018, Journal of Environmental Assessment Policy and Management, V20, P1840002, DOI 10.1142/S1464333218400021; Nielsen M, 2014, MAR POLICY, V46, P43, DOI 10.1016/j.marpol.2014.01.003; Podvalny SL, 2017, PROCEDIA COMPUT SCI, V103, P324, DOI 10.1016/j.procs.2017.01.115; Pofoura Aminatou Kemajou, 2021, Journal of Environmental Assessment Policy and Management, V23, P2250017, DOI 10.1142/S146433322250017X; Shahzad U, 2022, TECHNOL FORECAST SOC, V181, DOI 10.1016/j.techfore.2022.121777; Shaktawat Anuja, 2021, Journal of Environmental Assessment Policy and Management, V23, P2250020, DOI 10.1142/S146433322250020X; Shi YJ, 2020, RES INT BUS FINANC, V53, DOI 10.1016/j.ribaf.2020.101231; Sironen Susanna, 2018, Journal of Environmental Assessment Policy and Management, V20, P1850009, DOI 10.1142/S1464333218500096; Sun LC, 2022, ENVIRON SCI POLLUT R, V29, P33063, DOI 10.1007/s11356-021-17439-w; Sun YH, 2020, SCI TOTAL ENVIRON, V713, DOI 10.1016/j.scitotenv.2019.136367; Wang SG, 2022, RENEW ENERG, V200, P1561, DOI 10.1016/j.renene.2022.10.067; Wang Y, 2016, ENRGY PROCED, V104, P311, DOI 10.1016/j.egypro.2016.12.053; Wu L, 2020, RES INT BUS FINANC, V51, DOI 10.1016/j.ribaf.2019.101081; Yang Y, 2022, RESOUR POLICY, V77, DOI 10.1016/j.resourpol.2022.102689; Yin XL, 2022, RESOUR POLICY, V75, DOI 10.1016/j.resourpol.2021.102476; Zhang LY, 2022, ENVIRON SCI POLLUT R, V29, P23105, DOI 10.1007/s11356-021-17440-3; Zhao LH, 2022, CLIM CHANG ECON, V13, DOI 10.1142/S2010007822400036; Zheng XT, 2022, ECON ANAL POLICY, V76, P439, DOI 10.1016/j.eap.2022.08.006; Zhou MX, 2022, RESOUR POLICY, V78, DOI 10.1016/j.resourpol.2022.102816</t>
  </si>
  <si>
    <t>0944-1344</t>
  </si>
  <si>
    <t>1614-7499</t>
  </si>
  <si>
    <t>ENVIRON SCI POLLUT R</t>
  </si>
  <si>
    <t>Environ. Sci. Pollut. Res.</t>
  </si>
  <si>
    <t>10.1007/s11356-023-28288-0</t>
  </si>
  <si>
    <t>JUL 2023</t>
  </si>
  <si>
    <t>N9OS6</t>
  </si>
  <si>
    <t>WOS:001022144100010</t>
  </si>
  <si>
    <t>Paige, F; Agee, P; Jazizadeh, F</t>
  </si>
  <si>
    <t>Paige, Frederick; Agee, Philip; Jazizadeh, Farrokh</t>
  </si>
  <si>
    <t>flEECe, an energy use and occupant behavior dataset for net-zero energy affordable senior residential buildings</t>
  </si>
  <si>
    <t>SCIENTIFIC DATA</t>
  </si>
  <si>
    <t>Article; Data Paper</t>
  </si>
  <si>
    <t>The behaviors of building occupants have continued to perplex scholars for years in our attempts to develop models for energy efficient housing. Building simulations, project delivery approaches, policies, and more have fell short of their optimistic goals due to the complexity of human behavior. As a part of a multiphase longitudinal affordable housing study, this dataset represents energy and occupant behavior attributes for 6 affordable housing units over nine months in Virginia, USA which are not performing to the net-zero energy standard they were designed for. This dataset provides researchers the ability to analyze the following variables: energy performance, occupant behaviors, energy literacy, and ecological perceptions. Energy data is provided at a 1 Hz sampling rate for four circuits: main, hot water heater, dryer, and HVAC. Building specifications, occupancy, weather data, and neighboring building energy use data are provided to add depth to the dataset. This dataset can be used to update building energy use models, predictive maintenance, policy frameworks, construction risk models, economic models, and more.</t>
  </si>
  <si>
    <t>[Paige, Frederick; Jazizadeh, Farrokh] Virginia Tech, Charles E Via Jr Dept Civil &amp; Environm Engn, Blacksburg, VA 24061 USA; [Agee, Philip] Virginia Tech, Myers Lawson Sch Construct, Blacksburg, VA 24061 USA</t>
  </si>
  <si>
    <t>Virginia Polytechnic Institute &amp; State University; Virginia Polytechnic Institute &amp; State University</t>
  </si>
  <si>
    <t>Paige, F; Jazizadeh, F (corresponding author), Virginia Tech, Charles E Via Jr Dept Civil &amp; Environm Engn, Blacksburg, VA 24061 USA.</t>
  </si>
  <si>
    <t>freddyp@vt.edu; jazizade@vt.edu</t>
  </si>
  <si>
    <t>Paige, Frederick/0000-0002-3380-6444</t>
  </si>
  <si>
    <t>[Anonymous], 2013, 2013 ASHRAE Handbook: Fundamentals; [Anonymous], LOC CLIM DAT STAT DE; BREHMER B, 1992, ACTA PSYCHOL, V81, P211, DOI 10.1016/0001-6918(92)90019-A; Delmas MA, 2013, ENERG POLICY, V61, P729, DOI 10.1016/j.enpol.2013.05.109; DeWaters J., 2009, ENERGY LITERACY SURV; DOE, 2012, EN LIT ESS PRINC FUN; Dunlap RE, 2008, J ENVIRON EDUC, V40, P3, DOI 10.3200/JOEE.40.1.3-18; ECMF Team, 2016, EARTHCRAFT MULT TECH; Ehrhardt-Martinez K., 2010, American Council for an Energy-Efficient Economy, P140; Fischer C, 2008, ENERG EFFIC, V1, P79, DOI 10.1007/s12053-008-9009-7; Jazizadeh F, 2018, E-ENERGY'18: PROCEEDINGS OF THE 9TH ACM INTERNATIONAL CONFERENCE ON FUTURE ENERGY SYSTEMS, P230, DOI 10.1145/3208903.3208939; Mahdavi A, 2017, J BUILD PERFORM SIMU, V10, P499, DOI 10.1080/19401493.2016.1243730; McCoy A., 2017, SUSTAINING ENERGY EF, V33; McCoy A. P., 2015, IMPACT ENERGY EFFICI, V102; McMakin AH, 2002, ENVIRON BEHAV, V34, P848, DOI 10.1177/001391602237252; Nair G, 2010, ENERG POLICY, V38, P2956, DOI 10.1016/j.enpol.2010.01.033; Ouyang JL, 2009, ENERG BUILDINGS, V41, P711, DOI 10.1016/j.enbuild.2009.02.003; Poortinga W, 2004, ENVIRON BEHAV, V36, P70, DOI 10.1177/0013916503251466; Richmond V. A., WEATHER UNDERGROUND; Sterman JohnD., 2000, BUSINESS DYNAMICS; Stinson J, 2015, ENRGY PROCED, V78, P579, DOI 10.1016/j.egypro.2015.11.015; U.S. Energy Information Administration, 2019, EL POW MONTHL DAT FE, P266; VHDA, 2019, VHDA LOW INC HOUS TA; Zografakis N, 2008, ENERG POLICY, V36, P3226, DOI 10.1016/j.enpol.2008.04.021</t>
  </si>
  <si>
    <t>MACMILLAN BUILDING, 4 CRINAN ST, LONDON N1 9XW, ENGLAND</t>
  </si>
  <si>
    <t>2052-4463</t>
  </si>
  <si>
    <t>SCI DATA</t>
  </si>
  <si>
    <t>Sci. Data</t>
  </si>
  <si>
    <t>10.1038/s41597-019-0275-3</t>
  </si>
  <si>
    <t>JU7SY</t>
  </si>
  <si>
    <t>WOS:000501873300007</t>
  </si>
  <si>
    <t>Pelka, S; Kesselring, A; Preuss, S; Chappin, E; de Vries, L</t>
  </si>
  <si>
    <t>Pelka, Sabine; Kesselring, Anne; Preuss, Sabine; Chappin, Emile; de Vries, Laurens</t>
  </si>
  <si>
    <t>Can behavioral interventions optimize self-consumption? Evidence from a field experiment with prosumers in Germany</t>
  </si>
  <si>
    <t>SMART ENERGY</t>
  </si>
  <si>
    <t>Default; nudge; Demand response; Smart meter data; Smart charging</t>
  </si>
  <si>
    <t>PHOTOVOLTAIC-BATTERY SYSTEMS; TECHNOECONOMIC ANALYSIS; ENERGY-STORAGE; HOUSEHOLD; ECONOMICS; FEEDBACK; NUDGES</t>
  </si>
  <si>
    <t>Aligning prosumers' electricity consumption to the availability of self-generated electricity decreases CO2 emissions and costs. Nudges are proposed as one behavioral intervention to orchestrate such changes. At the same time, fragmented findings in the literature make it challenging to identify suitable behavioral interventions for specific households and contexts - specifically for optimizing self-consumption. We test three sequentially applied interventions (feedback, benchmark, and default) delivered by digital tools in a field experiment with 111 German households with rooftop-photovoltaics. The experiment design with a control-group, baseline measurements, and high-frequency smart-meter-data allows us to examine the causal effects of each intervention for increasing self-consumption. While feedback and benchmark deliver small self-consumption increases (3-4 percent), the smart changing default leads to a 16 percent increase for active participants. In general, households with controllable electric vehicles show stronger effects than those without. For upscaling behavioral interventions for other prosumers, we recommend interventions that require little interaction and energy literacy because even the self-selected, motivated sample rarely interacted with the digital tools.</t>
  </si>
  <si>
    <t>[Pelka, Sabine; Chappin, Emile; de Vries, Laurens] Delft Univ Technol, Fac Technol Policy &amp; Management, Energy &amp; Ind Grp, Jaffalaan 5, NL-2628 BX Delft, Netherlands; [Pelka, Sabine; Kesselring, Anne; Preuss, Sabine] Fraunhofer Inst Syst &amp; Innovat Res ISI, Breslauer Str 48, D-76139 Karlsruhe, Germany</t>
  </si>
  <si>
    <t>Delft University of Technology; Fraunhofer Gesellschaft</t>
  </si>
  <si>
    <t>Pelka, S (corresponding author), Delft Univ Technol, Fac Technol Policy &amp; Management, Energy &amp; Ind Grp, Jaffalaan 5, NL-2628 BX Delft, Netherlands.</t>
  </si>
  <si>
    <t>s.pelka@tudelft.nl</t>
  </si>
  <si>
    <t>Chappin, Emile/H-6315-2014</t>
  </si>
  <si>
    <t>Chappin, Emile/0000-0002-8529-4241; Pelka, Sabine/0000-0002-7450-9796</t>
  </si>
  <si>
    <t>European Union's Horizon 2020 research and innovation program project NUDGE [927012]</t>
  </si>
  <si>
    <t>European Union's Horizon 2020 research and innovation program project NUDGE</t>
  </si>
  <si>
    <t>This work was supported by the European Union's Horizon 2020 research and innovation program project NUDGE under grant agree- ment no. 927012. The authors gratefully acknowledge the contributions of Werner Neumeier and Dorina Rauth from the service provider Beegy and Johanna Isenhuth and Christian Scha fer from the utility MVV Energie AG for carrying out the field experiment. The collection of the smart -meter -data was orchestrated by the service provider domX (in particular, Stratos Keranidis, Dimitris Voulgarakis, Polychronis Symeo- nidis) , and the collection of the survey data by the research institute imec (in particular, Stephanie van Hove, Emma Martens) . Thank you for your enduring support and endless patience. We also would like to ex- press our gratitude to Peter Conradie, Merkouris Karaliopoulos, Katha- rina Wohlfarth, and Marian Klobasa for their guidance in approaching this paper. Furthermore, we thank Peter Spraul for supporting the an- alyses with complementary survey evaluations.</t>
  </si>
  <si>
    <t>Alipour M, 2021, RENEW ENERG, V170, P471, DOI 10.1016/j.renene.2021.01.128; Allcott H, 2015, AM ECON REV, V105, P2501, DOI 10.1257/aer.20131564; Andor M, 2019, Perspekt Wirtsch, V20, P352, DOI [DOI 10.1515/PWP-2018-0039, 10.1515/pwp-2018-0039]; Andor MA, 2018, ECOL ECON, V148, P178, DOI 10.1016/j.ecolecon.2018.01.018; Angrist JD, Empirical Strategies in Labor Economics, V3, P1277, DOI [10.1016/S1573-4463(99)03004-7, DOI 10.1016/S1573-4463(99)03004-7]; Asensio OI, 2015, P NATL ACAD SCI USA, V112, pE510, DOI 10.1073/pnas.1401880112; Bager S, 2017, ENERGY RES SOC SCI, V28, P68, DOI 10.1016/j.erss.2017.04.008; Brown Z, 2013, ENERG ECON, V39, P128, DOI 10.1016/j.eneco.2013.04.011; Callaway B, 2021, J ECONOMETRICS, V225, P200, DOI 10.1016/j.jeconom.2020.12.001; Carlsson F., 2020, SSRN CeCAR Working Paper Series, V2473, DOI DOI 10.2139/SSRN.3711946; Collischon M, 2020, KOLNER Z SOZIOL SOZ, V72, P289, DOI 10.1007/s11577-020-00699-8; Congiu L, 2022, J ECON SURV, V36, P188, DOI 10.1111/joes.12453; De Dominicis S, 2019, PALGR COMMUN, V5, DOI 10.1057/s41599-019-0254-5; Dehler J, 2017, EUROPE'S ENERGY TRANSITION: INSIGHTS FOR POLICY MAKING, P225, DOI 10.1016/B978-0-12-809806-6.00027-4; Gabriel M, Report on pilot results: interim report: deliverable D4.1/D4.3 of the H2020 project NUDGE; Gangl M, 2010, ANNU REV SOCIOL, V36, P21, DOI 10.1146/annurev.soc.012809.102702; Gerarden TD, 2017, J ECON LIT, V55, P1486, DOI 10.1257/jel.20161360; Greene W, 2001, Working papers, V1; Higashitani T, 2021, RENEW ENERG, V178, P745, DOI 10.1016/j.renene.2021.06.097; Houde S, 2013, ENERG J, V34, P87, DOI 10.5547/01956574.34.1.4; Huber J, 2018, Energy Inform, V1, DOI [10.1186/s42162-018-0026-2, DOI 10.1186/S42162-018-0026-2]; Huber J, 2019, Goal framing in smart charging-increasing bev users' charging flexibility with digital nudges; Hummel D, 2019, J BEHAV EXP ECON, V80, P47, DOI 10.1016/j.socec.2019.03.005; Imai K, 2021, POLIT ANAL, V29, P405, DOI 10.1017/pan.2020.33; Imbens GW, 2009, J ECON LIT, V47, P5, DOI 10.1257/jel.47.1.5; Johnson EJ, 2012, MARKET LETT, V23, P487, DOI 10.1007/s11002-012-9186-1; Kaschub T, 2016, ENERG POLICY, V98, P520, DOI 10.1016/j.enpol.2016.09.017; Kern T, 2022, APPL ENERG, V307, DOI 10.1016/j.apenergy.2021.118187; Kuckshinrichs W, 2023, ENERGY SUSTAIN SOC, V13, DOI 10.1186/s13705-023-00390-8; Leonard TC, 2008, CONST POLITICAL ECON, V19, P356, DOI 10.1007/s10602-008-9056-2; Linssen J, 2017, APPL ENERG, V185, P2019, DOI 10.1016/j.apenergy.2015.11.088; Luthander R, 2016, ENERGY, V112, P221, DOI 10.1016/j.energy.2016.06.039; Luthander R, 2015, APPL ENERG, V142, P80, DOI 10.1016/j.apenergy.2014.12.028; Momsen K, 2014, ENERG POLICY, V74, P376, DOI 10.1016/j.enpol.2014.07.008; Morrissey P, 2016, ENERG POLICY, V89, P257, DOI 10.1016/j.enpol.2015.12.001; Myers E, 2020, J ENVIRON ECON MANAG, V101, DOI 10.1016/j.jeem.2020.102315; Nyholm E, 2016, APPL ENERG, V183, P148, DOI 10.1016/j.apenergy.2016.08.172; Pelka S, 2023, INT CONF EUR ENERG, DOI 10.1109/EEM58374.2023.10161968; Plötz P, 2014, TRANSPORT RES A-POL, V67, P96, DOI 10.1016/j.tra.2014.06.006; Ruokamo E, 2022, ENERG POLICY, V161, DOI 10.1016/j.enpol.2021.112731; Sarfarazi S, 2020, ENERGIES, V13, DOI 10.3390/en13195154; Schleich J, 2023, APPL ECON, V55, P2337, DOI 10.1080/00036846.2022.2102574; Schleich J, 2017, ENERG POLICY, V107, P225, DOI 10.1016/j.enpol.2017.05.002; Schopfer S, 2018, APPL ENERG, V223, P229, DOI 10.1016/j.apenergy.2018.03.185; Schubert C, 2017, ECOL ECON, V132, P329, DOI 10.1016/j.ecolecon.2016.11.009; Sunstein C., 2021, NYU Environmental Law Journal, V29, P2021; Sunstein C.R., 2017, BEHAV PUBLIC POLICY, V1, P4, DOI [10.1017/bpp.2016.3, DOI 10.1017/BPP.2016.3]; van der Kam M, 2019, JASSS-J ARTIF SOC S, V22, DOI 10.18564/jasss.4133; van der Stelt S, 2018, APPL ENERG, V209, P266, DOI 10.1016/j.apenergy.2017.10.096; Venizelou V, 2018, ENERGY, V142, P633, DOI 10.1016/j.energy.2017.10.068; Weigert A, 2022, ENERG POLICY, V169, DOI 10.1016/j.enpol.2022.113156; Weinmann M, 2016, BUS INFORM SYST ENG+, V58, P433, DOI 10.1007/s12599-016-0453-1; Wesche JP, 2021, J CLEAN PROD, V315, DOI 10.1016/j.jclepro.2021.127888; Wolske KS, 2020, NAT ENERGY, V5, P202, DOI 10.1038/s41560-019-0541-9</t>
  </si>
  <si>
    <t>2666-9552</t>
  </si>
  <si>
    <t>SMART ENERGY-UK</t>
  </si>
  <si>
    <t>Smart Energy</t>
  </si>
  <si>
    <t>10.1016/j.segy.2024.100140</t>
  </si>
  <si>
    <t>PQ7V3</t>
  </si>
  <si>
    <t>WOS:001215623100001</t>
  </si>
  <si>
    <t>Ramallo-González, AP; Bardaki, C; Kotsopoulos, D; Tomat, V; Vidal, AG; Ruiz, PJF; Gómez, AS</t>
  </si>
  <si>
    <t>Ramallo-Gonzalez, Alfonso P.; Bardaki, Cleopatra; Kotsopoulos, Dimosthenis; Tomat, Valentina; Gonzalez Vidal, Aurora; Fernandez Ruiz, Pedro J.; Skarmeta Gomez, Antonio</t>
  </si>
  <si>
    <t>Reducing Energy Consumption in the Workplace via IoT-Allowed Behavioural Change Interventions</t>
  </si>
  <si>
    <t>BUILDINGS</t>
  </si>
  <si>
    <t>workplace; energy; IoT; behavior; energy saving</t>
  </si>
  <si>
    <t>THERMAL COMFORT; FRAMEWORK; EFFICIENCY; BUILDINGS; MODELS</t>
  </si>
  <si>
    <t>The arrival of the Internet of Things (IoT) paradigm has opened the door to a variety of services for building users. Considering the long-lasting issue of high energy use by buildings and low-energy literacy, it is tempting to use this new technology for increasing the literacy of users. This paper shows the results of a study performed in two pilot buildings with real users that have interacted with a series of energy educational interventions that encourage them in a timed and personalised way to reduce their energy consumption. The interventions aimed at reducing the consumption of energy and a close follow-up of the intervention from a behavioural aspect has been performed. The results show that the users, when interacting with the intervention and staying active, can reduce the energy consumption in the building by more than 30%, but the average savings are of 20%. This is in consensus with the literature, but in our case, the intervention has been one showing that personalised methods can result in energy reductions as large as those of more standard interventions.</t>
  </si>
  <si>
    <t>[Ramallo-Gonzalez, Alfonso P.; Tomat, Valentina; Gonzalez Vidal, Aurora; Fernandez Ruiz, Pedro J.; Skarmeta Gomez, Antonio] Univ Murcia, Fac Comp Sci, Dept Informat &amp; Commun Engn, Murcia 30100, Spain; [Bardaki, Cleopatra] Hapokopio Univ Athens, Dept Informat &amp; Telemat, Tavros 17778, Greece; [Kotsopoulos, Dimosthenis] Athens Univ Econ &amp; Business, Dept Management Sci &amp; Technol, Athens 10434, Greece</t>
  </si>
  <si>
    <t>University of Murcia; Athens University of Economics &amp; Business</t>
  </si>
  <si>
    <t>Vidal, AG; Gómez, AS (corresponding author), Univ Murcia, Fac Comp Sci, Dept Informat &amp; Commun Engn, Murcia 30100, Spain.</t>
  </si>
  <si>
    <t>alfonsop.ramallo@um.es; cleobar@hua.gr; dkotsopoulos@aueb.gr; valentina.tomat@um.es; aurora.gonzalez2@um.es; pedroj@um.es; skarmeta@um.es</t>
  </si>
  <si>
    <t>Skarmeta Gómez, Antonio/K-4537-2014</t>
  </si>
  <si>
    <t>Skarmeta Gómez, Antonio/0000-0002-5525-1259; Fernandez Ruiz, Pedro Javier/0000-0003-2401-0521; Kotsopoulos, Dimosthenis/0000-0002-9578-3209; TOMAT, VALENTINA/0000-0002-6742-310X</t>
  </si>
  <si>
    <t>Horizon 2020 Project PHOENIX [893079]</t>
  </si>
  <si>
    <t>Horizon 2020 Project PHOENIX</t>
  </si>
  <si>
    <t>This work has been partly funded by Horizon 2020 Project PHOENIX (grant number 893079). A.G.V. would like to thank the Spanish Ministry of Universities by means of the Margarita Salas linked to the European Union through the Next Generation EU program.</t>
  </si>
  <si>
    <t>AJZEN I, 1991, ORGAN BEHAV HUM DEC, V50, P179, DOI 10.1016/0749-5978(91)90020-T; [Anonymous], 2021, 2021 Global Status Report for Buildings and Construction: Towards a Zero-emission, Efficient and Resilient Buildings and Construction Sector; [Anonymous], 2013, P 4 INT C FUTURE ENE; Azar E, 2014, J COMPUT CIVIL ENG, V28, P63, DOI 10.1061/(ASCE)CP.1943-5487.0000318; Barbu A., 2013, Achieving Energy Efficiency through Behaviour Change: what Does it Take?; Bauer M, 2021, AT-AUTOM, V69, P1106, DOI 10.1515/auto-2021-0083; Borisovskaya A.V., 2021, P 2021 WAVE ELECT IT, P1; Chen W, 2017, RENEW SUST ENERG REV, V75, P98, DOI 10.1016/j.rser.2016.10.054; DeWaters J, 2013, J ENVIRON EDUC, V44, P38, DOI 10.1080/00958964.2012.711378; Erickson VarickL., 2012, BUILDSYS, P9, DOI [10.1145/2422531.2422534, DOI 10.1145/2422531.2422534]; Fotopoulou E, 2017, SENSORS-BASEL, V17, DOI 10.3390/s17092054; Ghahramani A, 2018, APPL ENERG, V211, P41, DOI 10.1016/j.apenergy.2017.11.021; González-Vidal A, 2017, IEEE INT CONF BIG DA, P4562, DOI 10.1109/BigData.2017.8258499; Gynther L, 2012, ENERG EFFIC, V5, P67, DOI 10.1007/s12053-011-9115-9; Jazizadeh F, 2014, J COMPUT CIVIL ENG, V28, P2, DOI 10.1061/(ASCE)CP.1943-5487.0000300; Kim J, 2018, BUILD ENVIRON, V129, P96, DOI 10.1016/j.buildenv.2017.12.011; LAM AH, 2013, P 5 ACM WORKSH EMB S; Laskari M, 2022, ENERG BUILDINGS, V255, DOI 10.1016/j.enbuild.2021.111657; Manfren M, 2022, SUSTAINABILITY-BASEL, V14, DOI 10.3390/su14020644; Manfren M, 2021, ENERGIES, V14, DOI 10.3390/en14030679; Manfren M, 2020, ENERGY, V213, DOI 10.1016/j.energy.2020.118803; Mogles N, 2018, USER MODEL USER-ADAP, V28, P1, DOI 10.1007/s11257-017-9199-9; Mogles N, 2015, PROCEDIA COMPUT SCI, V51, P463, DOI 10.1016/j.procs.2015.05.270; Nastasi B, 2021, ENERGIES, V14, DOI 10.3390/en14154413; Omar O.., 2019, INT J ENV SCI, V11, P244, DOI [10.18178/ijesd.2020.11.5.1257, DOI 10.18178/IJESD.2020.11.5.1257]; Omar O, 2018, ALEX ENG J, V57, P2903, DOI 10.1016/j.aej.2018.07.004; Rafsanjani HN, 2020, APPL ENERG, V266, DOI 10.1016/j.apenergy.2020.114892; Ramallo-González AP, 2020, ENERGIES, V13, DOI 10.3390/en13123094; Raza R., 2020, P 2020 INT C UK CHIN; Rusek R, 2022, ENERGY SUSTAIN SOC, V12, DOI 10.1186/s13705-022-00336-6; Saari M, 2019, ACTA POLYTECH HUNG, V16, P73, DOI 10.12700/APH.16.9.2019.9.5; Sanguinetti A, 2017, ENERGY RES SOC SCI, V32, P44, DOI 10.1016/j.erss.2017.05.026; Shah AS, 2019, INFORMATION, V10, DOI 10.3390/info10030108; Stojkoska BLR, 2017, J CLEAN PROD, V140, P1454, DOI 10.1016/j.jclepro.2016.10.006; Sung WT, 2020, MEASUREMENT, V149, DOI 10.1016/j.measurement.2019.106997; Terroso-Saenz F, 2019, FUTURE GENER COMP SY, V92, P1066, DOI 10.1016/j.future.2017.08.046; Nguyen TA, 2013, ENERG BUILDINGS, V56, P244, DOI 10.1016/j.enbuild.2012.09.005; Zhang H, 2015, ENERG BUILDINGS, V104, P233, DOI 10.1016/j.enbuild.2015.06.086</t>
  </si>
  <si>
    <t>2075-5309</t>
  </si>
  <si>
    <t>BUILDINGS-BASEL</t>
  </si>
  <si>
    <t>10.3390/buildings12060708</t>
  </si>
  <si>
    <t>Construction &amp; Building Technology; Engineering, Civil</t>
  </si>
  <si>
    <t>2M4MH</t>
  </si>
  <si>
    <t>WOS:000817675000001</t>
  </si>
  <si>
    <t>Chen, KL; Huang, SH; Liu, SY</t>
  </si>
  <si>
    <t>Chen, Kuan-Li; Huang, Su-Han; Liu, Shiang-Yao</t>
  </si>
  <si>
    <t>Devising a framework for energy education in Taiwan using the analytic hierarchy process</t>
  </si>
  <si>
    <t>Energy saving; Carbon reduction; Energy education</t>
  </si>
  <si>
    <t>CLIMATE-CHANGE; POLICY; VALUES; CARBON</t>
  </si>
  <si>
    <t>Research has indicated that incorporating carbon reduction in the curriculum could improve awareness about energy conservation and related practices. Much research has been conducted on curriculum design and evaluation methods for energy education. However, a comprehensive view of the educational objectives for improving energy literacy is still lacking in these efforts. In this study, we propose a framework for energy education that clearly captures the concept of energy saving and carbon reduction by reviewing related literature and consulting an ad hoc panel of experts on energy and education. We then apply the analytic hierarchy process (AHP) to determine the indicators of the framework and their priority or weights. The results show that the dimensions of civic responsibility for a sustainable society and low-carbon lifestyle are considered most important as an energy educational goal. Among the indicators, awareness and self-efficacy and identifying carbon-less technology and action plans are ranked first and second. Application of this framework in K-12 curriculum and relevant educational issues are recommended. (C) 2012 Elsevier Ltd. All rights reserved.</t>
  </si>
  <si>
    <t>[Chen, Kuan-Li; Huang, Su-Han; Liu, Shiang-Yao] Natl Taiwan Normal Univ, Grad Inst Sci Educ, Taipei, Taiwan</t>
  </si>
  <si>
    <t>Liu, SY (corresponding author), 88,Sec 4,Ding Chou Rd, Taipei 116, Taiwan.</t>
  </si>
  <si>
    <t>liusy@ntnu.edu.tw</t>
  </si>
  <si>
    <t>Liu, Shiang-Yao/K-3202-2019</t>
  </si>
  <si>
    <t>National Science Council of Taiwan [NSC100-3113-S-003-001]</t>
  </si>
  <si>
    <t>National Science Council of Taiwan(Ministry of Science and Technology, Taiwan)</t>
  </si>
  <si>
    <t>This paper is part of a research project funded by National Science Council of Taiwan (Grant number: NSC100-3113-S-003-001). The authors wish to thank anonymous reviewers for their helpful comments.</t>
  </si>
  <si>
    <t>Al Khalil MohdI., 2002, International Journal of Project Management, V20, P469, DOI DOI 10.1016/S0263-7863(01)00032-1; Al-Subhi Al-Harbi K. M., 2001, International Journal of Project Management, V19, P19, DOI 10.1016/S0263-7863(99)00038-1; [Anonymous], 2006, CONDUCTING INDEPTH I; [Anonymous], TAIW EN POL SUPP DEM; [Anonymous], ED EN TEACH TOM EN C; [Anonymous], SCI TECH POLICY REV; [Anonymous], INT J AUTOMATION SMA; [Anonymous], SEC EN POLL 39 41 BL; [Anonymous], MULTIATRIBUTE EVALUA; [Anonymous], 83 ANN M NAT ASS RES; [Anonymous], 2009, UK LOW CARB TRANS PL; [Anonymous], ENV ED LITERACY NEED; [Anonymous], 1976, Connect (UNESCO/UNEP Environmental Education Newsletter), V1, P1; BIDDLE BJ, 1987, SOC PSYCHOL QUART, V50, P322, DOI 10.2307/2786817; Burgess J, 2008, ENERG POLICY, V36, P4454, DOI 10.1016/j.enpol.2008.09.039; Chen C., 2009, GLOBECOM'09, P1; DeWaters J. E., 2007, 114 ANN ASEE C EXP H; DeWaters JE, 2011, ENERG POLICY, V39, P1699, DOI 10.1016/j.enpol.2010.12.049; Dias RA, 2004, ENERG POLICY, V32, P1339, DOI 10.1016/S0301-4215(03)00100-9; Dietz T, 2007, RURAL SOCIOL, V72, P185, DOI 10.1526/003601107781170026; Dietz T, 2009, P NATL ACAD SCI USA, V106, P18452, DOI 10.1073/pnas.0908738106; Doran P.T., 2009, Eos, V90, P22, DOI [10.1029/2009EO030002, DOI 10.1029/2009EO030002]; DYER RF, 1992, DECIS SUPPORT SYST, V8, P99, DOI 10.1016/0167-9236(92)90003-8; Hanson R., 1993, Studies in Educational Evaluation, V19, P363; Hinchliffe S, 1996, GLOBAL ENVIRON CHANG, V6, P53, DOI 10.1016/0959-3780(95)00113-1; Hsu H. G., 2010, 2010 IEEE International Conference on Industrial Engineering &amp; Engineering Management (IE&amp;EM 2010), P686, DOI 10.1109/IEEM.2010.5674536; Huang YH, 2009, ENERGIES, V2, P623, DOI 10.3390/en20300623; Hungerford H.R., 1990, J ENVIRON EDUC, V21, P8, DOI [DOI 10.1080/00958964.1990.10753743, 10.1080/00958964.1990.10753743]; Kandpal TC, 1999, APPL ENERG, V64, P71, DOI 10.1016/S0306-2619(99)00076-8; Keser ÖF, 2003, ENERG SOURCE, V25, P123, DOI 10.1080/00908310390142181; Lee GKL, 2008, SOC INDIC RES, V89, P155, DOI 10.1007/s11205-007-9228-x; Leiserowitz A., 2010, KNOWLEDGE CLIMATE CH; Lipovetsky S, 2002, EUR J OPER RES, V137, P110, DOI 10.1016/S0377-2217(01)00071-6; Lorenzoni I, 2007, GLOBAL ENVIRON CHANG, V17, P445, DOI 10.1016/j.gloenvcha.2007.01.004; MAIO GR, 1995, J EXP SOC PSYCHOL, V31, P266, DOI 10.1006/jesp.1995.1013; Marcinkowski T.J., 1990, Journal of Environmental Education, V22, P7; Mohanty S, 2009, NATL ACAD SCI LETT, V32, P149; MURRY JW, 1995, REV HIGH EDUC, V18, P423, DOI 10.1353/rhe.1995.0008; NAAEE (North American Association for Environmental Education), 2011, DEV FRAM ASS ENV LIT; Negev M, 2008, J ENVIRON EDUC, V39, P3, DOI 10.3200/JOEE.39.2.3-20; Ockwell D, 2009, SCI COMMUN, V30, P305, DOI 10.1177/1075547008328969; Orr D.W., 1992, ECOLOGICAL LITERACY; Pearson G., 2002, TECHNICALLY SPEAKING; Portner H.-O., 2022, CLIMATE CHANGE 2022, DOI [10.1017/9781009325844, DOI 10.1017/9781009325844]; Robson C., 2002, Real World Research, V2nd; Roth C.E., 1992, Environmental literacy: Its roots, evolution, and directions in the 1990; Rowley S., 2010, HOT AIR HAPPY ENDING; Saaty T., 1980, ANAL HIERARCHY PROCE, DOI DOI 10.1007/978-0-387-36797-2_9; Sadler T.D., 2004, SCI EDIT, V13, P39; Schmidt R, 2001, J MANAGE INFORM SYST, V17, P5, DOI 10.1080/07421222.2001.11045662; Shin D, 2005, J KOR EARTH SCI SOC, V26, P358; Simmons D., 1995, Papers on the Development of Environmental Education Standards; Sipahi S, 2010, MANAGE DECIS, V48, P775, DOI 10.1108/00251741011043920; Stets JE, 2003, SOCIOL THEOR, V21, P398, DOI 10.1046/j.1467-9558.2003.00196.x; Strange T., 2008, OECD Insights Sustainable Development Linking Economy, Society, Environment; Tsai WT, 2005, RENEW SUST ENERG REV, V9, P237, DOI 10.1016/j.rser.2004.03.003; Vaidya OS, 2006, EUR J OPER RES, V169, P1, DOI 10.1016/j.ejor.2004.04.028; Verplanken B, 2002, J PERS SOC PSYCHOL, V82, P434, DOI 10.1037/0022-3514.82.3.434; Wang B, 2010, ENERG POLICY, V38, P7130, DOI 10.1016/j.enpol.2010.07.031; Weber C, 2000, ENERG POLICY, V28, P549, DOI 10.1016/S0301-4215(00)00040-9; Whitmarsh L, 2009, J ENVIRON PSYCHOL, V29, P13, DOI 10.1016/j.jenvp.2008.05.003; Whitmarsh L, 2011, GLOBAL ENVIRON CHANG, V21, P56, DOI 10.1016/j.gloenvcha.2010.07.011; WHO, 2012, WORLD MALARIA REPORT 2012, P1; Yang YL, 2010, ENERG POLICY, V38, P7687, DOI 10.1016/j.enpol.2010.08.018; Zografakis N, 2008, ENERG POLICY, V36, P3226, DOI 10.1016/j.enpol.2008.04.021</t>
  </si>
  <si>
    <t>10.1016/j.enpol.2012.12.025</t>
  </si>
  <si>
    <t>099FL</t>
  </si>
  <si>
    <t>WOS:000315606700036</t>
  </si>
  <si>
    <t>Towards a theory of critical energy literacy: the Youth Strike for Climate, renewable energy and beyond (vol 38, pg 58, 2022)</t>
  </si>
  <si>
    <t>Correction</t>
  </si>
  <si>
    <t>Lowan-Trudeau G, 2022, AUST J ENVIRON EDUC, V38, P58, DOI 10.1017/aee.2021.15</t>
  </si>
  <si>
    <t>PII S0814062622000131</t>
  </si>
  <si>
    <t>10.1017/aee.2022.13</t>
  </si>
  <si>
    <t>WOS:000773401100007</t>
  </si>
  <si>
    <t>Matlack, M; Covert, H; Shankar, A; Zijlmans, W; Wahid, FA; Hindori-Mohangoo, A; Lichtveld, M</t>
  </si>
  <si>
    <t>Matlack, Meghan; Covert, Hannah; Shankar, Arti; Zijlmans, Wilco; Wahid, Firoz Abdoel; Hindori-Mohangoo, Ashna; Lichtveld, Maureen</t>
  </si>
  <si>
    <t>A scoping review of current climate change and vector-borne disease literacy and implications for public health interventions</t>
  </si>
  <si>
    <t>JOURNAL OF CLIMATE CHANGE AND HEALTH</t>
  </si>
  <si>
    <t>Climate change; Public health; Literacy; Knowledge; Vector -borne disease; Mosquitoes</t>
  </si>
  <si>
    <t>DENGUE-FEVER; MEDICAL-STUDENTS; KNOWLEDGE; ATTITUDE; PREVENTION; PERCEPTION; PROFESSIONALS; UNIVERSITY; EDUCATION; BEHAVIOR</t>
  </si>
  <si>
    <t>Climate literacy assesses general understanding of climate, climate change, and its effects on the environment as well as human health. Despite vast scienti fic evidence to support climate change and its associated consequences, particularly with regards to vector-borne diseases, climate change knowledge, attitudes, and behaviors among the general population is relatively poor. In this study, we conducted a thorough review of the current literature to evaluate the scope of global climate and health literacy studies and identify key areas for improvement. We found that very few climate and health literacy studies were based in low- and middleincome countries, and those that were did not make mention of signi ficant regional climate change impacts and speci fically those that increase mosquito-borne disease transmission in high-risk areas. We also noted that of the twenty-three studies included in our final review, most focused their assessments on general climate and climate change knowledge, and not on literacy of the relationships between climate change and environmental impacts or subsequent health outcomes. Our findings make it clear that moving forward, there is a major need for climate and health literacy research to expand upon existing climate literature to include additional assessments of the relationships between certain climate change impacts and infectious diseases in particular, as well as to make available a more comprehensive overview of climate and health information to the public in the future. (c) 2023 The Author(s). Published by Elsevier Masson SAS. This is an open access article under the CC BY-NCND license (http://creativecommons.org/licenses/by-nc-nd/4.0/)</t>
  </si>
  <si>
    <t>[Matlack, Meghan] Univ North Carolina Chapel Hill, Sch Med, 321 S Columbia St, Chapel Hill, NC 27514 USA; [Covert, Hannah; Wahid, Firoz Abdoel; Lichtveld, Maureen] Univ Pittsburgh, Sch Publ Hlth, Dept Environm &amp; Occupat Hlth, 130 De Soto St, Pittsburgh, PA 15261 USA; [Shankar, Arti] Tulane Univ, Sch Publ Hlth &amp; Trop Med, Dept Biostat &amp; Data Sci, 1440 Canal St, New Orleans, LA 70112 USA; [Zijlmans, Wilco] Anton de Kom Univ Suriname, Fac Med Sci, Discipline Pediat, Leysweg 86,POB 9212, Paramaribo, Suriname; [Hindori-Mohangoo, Ashna] Fdn Perinatal Intervent &amp; Res Suriname Perisur, Anton Dragtenweg 93, Paramaribo, Suriname</t>
  </si>
  <si>
    <t>University of North Carolina School of Medicine; University of North Carolina; University of North Carolina Chapel Hill; Pennsylvania Commonwealth System of Higher Education (PCSHE); University of Pittsburgh; Tulane University; Anton de Kom Universiteit van Suriname</t>
  </si>
  <si>
    <t>Matlack, M (corresponding author), Univ North Carolina Chapel Hill, Sch Med, 321 S Columbia St, Chapel Hill, NC 27514 USA.</t>
  </si>
  <si>
    <t>matlackm@ad.unc.edu</t>
  </si>
  <si>
    <t>Abdoel Wahid, Firoz/0000-0003-1062-8670; Matlack, Meghan/0000-0003-2846-5304; Covert, Hannah/0000-0001-9483-8557; Hindori-Mohangoo, Ashna/0000-0003-2364-2893; Zijlmans, Wilco/0000-0002-4080-3858</t>
  </si>
  <si>
    <t>Fogarty International Center of the National Institutes of Health [D43TW009340]</t>
  </si>
  <si>
    <t>Fogarty International Center of the National Institutes of Health(United States Department of Health &amp; Human ServicesNational Institutes of Health (NIH) - USANIH Fogarty International Center (FIC))</t>
  </si>
  <si>
    <t>Funding This research was supported by the Fogarty International Center of the National Institutes of Health under award number D43TW009340. This content is solely the responsibility of the authors and does not necessarily represent the of ficial views of the National Institutes of Health.</t>
  </si>
  <si>
    <t>Alobuia WM, 2015, ANN GLOB HEALTH, V81, P654, DOI 10.1016/j.aogh.2015.08.013; [Anonymous], 2023, Global Warming vs. Climate Change; [Anonymous], 2016, Knowledge, attitudes and practice surveys: Zika virus disease and potential complications (resource pack); [Anonymous], 2020, Vector-Borne Diseases; [Anonymous], 2007, Climate Change: Impacts, Vulnerabilities and Adaptation in Developing Countries; Azevedo J, 2017, INT J GLOBAL WARM, V12, P414, DOI 10.1504/IJGW.2017.10005893; Bakhsh K, 2018, SCI TOTAL ENVIRON, V644, P1304, DOI 10.1016/j.scitotenv.2018.07.077; Bashar K, 2020, PUBLIC HEALTH PRACT, V1, DOI 10.1016/j.puhip.2020.100051; Bashar K, 2012, BMC PUBLIC HEALTH, V12, DOI 10.1186/1471-2458-12-1084; Bota R, 2014, J INFECT PUBLIC HEAL, V7, P218, DOI 10.1016/j.jiph.2013.11.004; Christie CDC, 2023, CURR OPIN PEDIATR, V35, P155, DOI 10.1097/MOP.0000000000001229; Darrow W, 2018, HEALTH EDUC BEHAV, V45, P967, DOI 10.1177/1090198118760687; Desjardins MR, 2020, HEALTH PLACE, V63, DOI 10.1016/j.healthplace.2020.102339; Earle-Richardson G, 2018, EMERG INFECT DIS, V24, P2251, DOI 10.3201/eid2412.181056; Escoz-Roldan A, 2017, PROCD SOC BEHV, V237, P599, DOI 10.1016/j.sbspro.2017.02.015; Georgia State University, What is climate literacy?; Gomez J, 2021, J CLIM CHANGE HEALTH, V3, DOI 10.1016/j.joclim.2021.100020; Hickman T., 2023, Jamaica. Centers for disease control and prevention; Hossain MI, 2021, PLOS ONE, V16, DOI 10.1371/journal.pone.0252852; Ibrahim NK, 2018, J INFECT PUBLIC HEAL, V11, P18, DOI 10.1016/j.jiph.2017.02.015; IPCC, 2022, Small islands are increasingly affected by climate change: IPCC report; Khairy S, 2017, J INFECT PUBLIC HEAL, V10, P499, DOI 10.1016/j.jiph.2016.09.021; Khan W., 2023, Braz. J. Biol., V83, pe244966, DOI 10.1590/1519-6984.244966; Leiserowitz A., 2011, AM TEENSKNOWLEDGE CL; Liao WM, 2019, ENVIRON RES, V168, P270, DOI 10.1016/j.envres.2018.10.006; Mazzalai E, 2022, Clin Ter, V173, P443, DOI 10.7417/CT.2022.2461; McCaffrey MS, 2008, PHYS GEOGR, V29, P512, DOI 10.2747/0272-3646.29.6.512; Murray Natasha Evelyn Anne, 2013, Clin Epidemiol, V5, P299, DOI 10.2147/CLEP.S34440; Nava-Doctor JE, 2021, J ETHNOBIOL ETHNOMED, V17, DOI 10.1186/s13002-021-00471-y; Niepold F, 2007, 5 INT S DIG EARTH SA; Paixao MM, 2019, AM J TROP MED HYG, V101, P441, DOI 10.4269/ajtmh.19-0170; Pan American Health Organization, 2023, Dengue-PAHO/WHO; Patz JA, 1996, JAMA-J AM MED ASSOC, V275, P217, DOI 10.1001/jama.275.3.217; Rahman MS, 2021, ENVIRON RES, V193, DOI 10.1016/j.envres.2020.110509; Reinhold JM, 2018, INSECTS, V9, DOI 10.3390/insects9040158; Rocklöv J, 2020, NAT IMMUNOL, V21, P479, DOI 10.1038/s41590-020-0648-y; Sambath V, 2022, J CLIM CHANGE HEALTH, V6, DOI 10.1016/j.joclim.2022.100147; Simpson NP, 2021, NAT CLIM CHANGE, V11, P937, DOI 10.1038/s41558-021-01171-x; The Intergovernmental Panel on Climate Change, 2023, The regional impacts of climate change: an assessment of vulnerability; Tong MX, 2019, J INFECT PUBLIC HEAL, V12, P388, DOI 10.1016/j.jiph.2018.12.010; Tong MX, 2016, ENVIRON RES, V148, P295, DOI 10.1016/j.envres.2016.03.043; Tricco AC, 2018, ANN INTERN MED, V169, P467, DOI 10.7326/M18-0850; van Loenhout JAF, 2021, SUSTAIN CITIES SOC, V70, DOI 10.1016/j.scs.2021.102933; van Wijk M, 2020, PLOS ONE, V15, DOI 10.1371/journal.pone.0241579; WATTS DM, 1987, AM J TROP MED HYG, V36, P143, DOI 10.4269/ajtmh.1987.36.143; Wei JN, 2014, ENVIRON RES, V134, P301, DOI 10.1016/j.envres.2014.08.006; World Health Organization, 2020, Dengue and severe dengue; World Health Organization, 2023, Dengue; Xiao J, 2016, Int J Nurs Sci, V3, P158, DOI 10.1016/j.ijnss.2016.04.002</t>
  </si>
  <si>
    <t>2667-2782</t>
  </si>
  <si>
    <t>J CLIM CHANGE HEALTH</t>
  </si>
  <si>
    <t>J. Clim. Chang. Health</t>
  </si>
  <si>
    <t>JAN-FEB</t>
  </si>
  <si>
    <t>10.1016/j.joclim.2023.100295</t>
  </si>
  <si>
    <t>YE7B6</t>
  </si>
  <si>
    <t>WOS:001266863700001</t>
  </si>
  <si>
    <t>Chappell, K; Hetherington, L</t>
  </si>
  <si>
    <t>Chappell, Kerry; Hetherington, Lindsay</t>
  </si>
  <si>
    <t>Creative pedagogies in digital STEAM practices: natural, technological and cultural entanglements for powerful learning and activism</t>
  </si>
  <si>
    <t>CULTURAL STUDIES OF SCIENCE EDUCATION</t>
  </si>
  <si>
    <t>STEAM; Creative pedagogies; Digital pedagogies; Ocean literacy; Postqualitative</t>
  </si>
  <si>
    <t>WISE HUMANIZING CREATIVITY; EDUCATION; STUDENTS; INQUIRY; PERCEPTIONS; RETHINKING; PROGRAM; DESIGN</t>
  </si>
  <si>
    <t>This paper delves deeply into the creative pedagogies which support cutting edge digital STEAM practice across primary and secondary school settings. It contextualises the research within current STEAM agendas including transdisciplinarity, and STEAM and technology and goes on to offer insight from the novel context of ocean learning to develop and extend a theorisation of creative pedagogies as entwining both creative teaching and teaching for creativity as embodied, democratic, dialogic and material processes. Intra-action between theory, praxis, nature, culture, the digital and humans enables an emergent perspective about changing the dynamics of power to develop ocean or environmental learning and related activism. Derived from research into an ocean education project, which aimed to develop students' ocean literacy through the combined educative principles of creative pedagogies and digital technologies (Augmented and Virtual Realities), the research draws on data from six projects across primary and secondary school settings in Denmark, Spain and England. It used a 'diffractive' analytic technique, inspired by new materialist theory, to explore the messy mixtures of natural, cultural and technological environments that were being learned through. This involved the development of four material-dialogic assemblages each including diffractive switches. Each is presented first through a 'piece' which demonstrates each assemblage's connection to the core question, followed by 'ripples', which briefly articulate the new learning and questions arising from that assemblage. The four assemblages cover the irresistibility of making kin, the relationships between lively bodies and virtual environments, the importance of spacetimematter in environmental edu-activism and trajectories between transience, stability and dialogic space. The paper leaves the reader/engager with a selection of prompts to highlight the research's contribution to current STEAM agendas related to changing power dynamics, and to provoke reader/engagers' own practices. These can include new pedagogies and activisms, as well as theoretical developments to the combined educative principles of creative pedagogies and digital technologies within STEAM education.</t>
  </si>
  <si>
    <t>[Chappell, Kerry; Hetherington, Lindsay] Univ Exeter, Sch Educ, St Lukes Campus, Exeter EX1 2LU, England</t>
  </si>
  <si>
    <t>Chappell, K (corresponding author), Univ Exeter, Sch Educ, St Lukes Campus, Exeter EX1 2LU, England.</t>
  </si>
  <si>
    <t>K.A.Chappell@exeter.ac.uk</t>
  </si>
  <si>
    <t>Chappell, Kerry/0000-0002-9964-1128</t>
  </si>
  <si>
    <t>Erasmus+ [2018-1-UK01-KA201-047947]; Ocean Connections EU-funded Erasmus+ project</t>
  </si>
  <si>
    <t>Erasmus+(Erasmus+); Ocean Connections EU-funded Erasmus+ project</t>
  </si>
  <si>
    <t>This paper is based on data collected as part of the Ocean Connections EU-funded Erasmus+ project, Grant Number 2018-1-UK01-KA201-047947. The contribution of project partners involved in data collection and analysis drawn on in this paper are gratefully acknowledged: Maria Jose Rodriguez Malmiera from CESGA, Spain; Harald Brandt, Birgitte Lund Nielsen and Pernille Andersen from VIA, Denmark; and Andrew Swainson and Maeve O'Carroll from Leigham Primary School, UK, and Tors Froud; together with the ongoing support of Professor Justin Dillon. We are also grateful to the educators and children from our partner aquaria and school partners involved in the Ocean Connections project.</t>
  </si>
  <si>
    <t>Aghasaleh R., 2014, A reader's guide to post-qualitative inquiry proposals; [Anonymous], 2012, Wicked problems: Problems worth solving. A handbook and a call to action; [Anonymous], 2000, Pupils' and parents' views of the school science curriculum; [Anonymous], 2015, Emerging technologies for STEAM education. Educational communications and technology issues and innovations; [Anonymous], 2018, Ethical guidelines for educational research, V4th; Bakhtin M. M., 1987, SPEECH GENRES OTHER; Banaji S., 2010, The Rhetorics of Creativity: A literature review, V2nd; Barad K., 2007, Meeting the universe halfway: quantum physics and the entanglement of matter and meaning; Barad K, 2014, PARALLAX, V20, P168, DOI 10.1080/13534645.2014.927623; Barad K, 2010, DERRIDA TODAY, V3, P240, DOI 10.3366/drt.2010.0206; Benatar Solomon., 2000, Transdisciplinarity: reCreating Integrated Knowledge, P171; Bennett J., 2010, VIBRANT MATTER POLIT, DOI [10.2307/j.ctv111jh6w, DOI 10.2307/J.CTV111JH6W]; Bennett L., 2016, POSTHUMAN RES PRACTI, P58; Bernier Celeste-Marie, 2019, INSIDE INVISIBLE MEM; Biesta G., 2004, NO ED RELATION; Bogost I., 2012, ALIEN PHENOMENOLOGY, DOI [10.5749/minnesota/9780816678976.003.0001, DOI 10.5749/MINNESOTA/9780816678976.003.0001]; Braidotti Rosi., 2013, POSTHUMAN; Breien F, 2022, FRONT EDUC, V6, DOI 10.3389/feduc.2021.775746; Brisini T, 2016, TEXT PERFORM Q, V36, P191, DOI 10.1080/10462937.2016.1254370; Broderick M, 2016, TEXT PERFORM Q, V36, P250, DOI 10.1080/10462937.2016.1230677; Chappell K, 2019, THINK SKILLS CREAT, V31, P296, DOI 10.1016/j.tsc.2018.12.008; Chappell K., 2016, H2020 EU, V5; Chappell K, 2022, QUAL INQ, V28, P496, DOI 10.1177/10778004211065802; Chappell K, 2023, TEACH HIGH EDUC, V28, P2066, DOI 10.1080/13562517.2021.1952563; Chappell K, 2018, CREAT EDUC ARTS, P279, DOI 10.1007/978-3-319-96725-7_13; Choi SY, 2021, ASIA-PAC SCI EDUC, V7, P96, DOI 10.1163/23641177-bja10019; Colucci-Gray L., 2017, BERA; Conradty C, 2019, CREATIVITY RES J, V31, P284, DOI 10.1080/10400419.2019.1641678; Criado-Perez, 2019, INVISIBLE WOMEN EXPO; Davies R, 2021, BRIT EDUC RES J, V47, P1434, DOI 10.1002/berj.3735; DCMS: Department for Culture Media and Sport, 2013, 3 REP SESS 2013 14, V1; DeFalcoe A, 2020, BODY SOC, V26, P31, DOI 10.1177/1357034X20917450; Deleuze G., 1988, A Thousand Plateaus: Capitalism and Schizophrenia, V5th ed.; Department for Business Industry and Skills (DBIS), 2014, PROJ STEM BOOK INS; Dernikos BP, 2020, J EARLY CHILD LIT, V20, P134, DOI 10.1177/1468798420914125; Eisner E. W., 2004, INT J ED ART, V5; Emirbayer M, 1998, AM J SOCIOL, V103, P962, DOI 10.1086/231294; Fauville G., 2021, SCI REP-UK; Gandolfi HE, 2021, CURRIC J, V32, P510, DOI 10.1002/curj.97; Goldschmidt M, 2016, INT J SCI EDUC PART, V6, P166, DOI 10.1080/21548455.2015.1031293; Håkansson M, 2018, EUR EDUC RES J, V17, P91, DOI 10.1177/1474904117695278; Haraway D., 2008, SPECIES MEET; Haraway D, 2015, ENVIRON HUMANITIES, V6, P159, DOI 10.1215/22011919-3615934; Harris A, 2018, J EDUC CHANG, V19, P153, DOI 10.1007/s10833-017-9311-2; Harris D, 2022, QUAL INQ, V28, P522, DOI 10.1177/10778004211066632; Haynes J., 2021, REV IBEROAMERICANA F, V23, P349, DOI [10.12795/araucaria.2021.i48.16, DOI 10.12795/ARAUCARIA.2021.I48.16]; Hetherington L., 2019, ESERA 2019 BOL IT; Hetherington L, 2020, CRIT ISSU FUT LEA T, V18, P271, DOI 10.1163/9789004421585_017; Hetherington L, 2018, STUD SCI EDUC, V54, P141, DOI 10.1080/03057267.2019.1598036; Ingold T, 2006, ETHNOS, V71, P9, DOI 10.1080/00141840600603111; Jeffrey B, 2004, EDUC STUD-UK, V30, P77, DOI 10.1080/0305569032000159750; Jeong S, 2021, CULT STUD SCI EDUCAT, V16, P805, DOI 10.1007/s11422-021-10029-9; Jesionkowska J, 2020, EDUC SCI, V10, DOI 10.3390/educsci10080198; Kayumova S, 2019, CULT STUD SCI EDUCAT, V14, P205, DOI 10.1007/s11422-018-9861-5; Konopka AK, 2002, COMPUT CHEM, V26, P397, DOI 10.1016/S0097-8485(02)00024-4; Kyza EA, 2019, INTERACT LEARN ENVIR, V27, P211, DOI 10.1080/10494820.2018.1458039; Latour B., 2005, REASSEMBLING SOCIAL, DOI [10.1093/oso/9780199256044.001.0001, DOI 10.1093/OSO/9780199256044.001.0001]; Lee YJ, 2008, CULT STUD SCI EDUCAT, V3, P917, DOI 10.1007/s11422-008-9116-y; Lee Y, 2021, ASIA-PAC SCI EDUC, V7, P34, DOI 10.1163/23641177-bja10025; Lin H., 2015, EMERGING TECHNOLOGIE, DOI [10.1007/978-3-319-02573-5_10, DOI 10.1007/978-3-319-02573-5_10]; Lu SJ, 2015, ENVIRON EDUC RES, V21, P525, DOI 10.1080/13504622.2014.911247; Luther R, 2013, EDUC STUD-AESA, V49, P409, DOI 10.1080/00131946.2013.825263; MacCormack P., 2020, AHUMAN MANIFESTO ACT, DOI [10.5040/9781350081130, DOI 10.5040/9781350081130]; Manousou E, 2013, TURK ONLINE J DISTAN, V14, P12; Matsuura T, 2021, ASIA-PAC SCI EDUC, V7, P7, DOI 10.1163/23641177-bja10022; Mazzei LA, 2014, QUAL INQ, V20, P742, DOI 10.1177/1077800414530257; McKnight L., 2016, Journal of Curriculum and Pedagogy, V13, P195, DOI DOI 10.1080/15505170.2016.1220875; McRuer J, 2017, INT REV EDUC, V63, P847, DOI 10.1007/s11159-017-9690-x; Montacute R., 2020, Social mobility and COVID-19: Implications of the COVID-19 crisis for educational inequality; Morita, 2018, RAD RISK; NOAA, 2020, Ocean literacy: the essential principles and fundamental concepts of ocean sciences for learners of all ages; Oliver T., 2020, The Self Delusion: The Surprising Science of How We Are Connected and Why That Matters; Patrick L.D., 2016, Literacy Research: Theory, Method, and Practice, V65, P384, DOI [DOI 10.1177/2381336916661530, https://doi.org/10.1177/23813369166615, DOI 10.1177/23813369166615]; Raghavan A., 2020, TRANSDISCIPLINARY FE, P153, DOI [10.4324/9780429199776-13, DOI 10.4324/9780429199776-13]; Rezende F, 2020, CULT STUD SCI EDUCAT, V15, P1047, DOI 10.1007/s11422-019-09969-0; Rudd J., 2021, SSR, V102, P42; Santos BD, 2018, END OF THE COGNITIVE EMPIRE, P1, DOI 10.1215/9781478002000; St Pierre EA, 2021, QUAL INQ, V27, P3, DOI 10.1177/1077800419863005; Taylor C., 2019, PALGRAVE MACMILLAN, DOI [10.1007/978-3-030-14672-6, DOI 10.1007/978-3-030-14672-6]; Taylor CA, 2017, INT J RES METHOD EDU, V40, P311, DOI 10.1080/1743727X.2016.1256984; Ulmer JB, 2017, INT J QUAL STUD EDUC, V30, P832, DOI 10.1080/09518398.2017.1336806; Upadhyay B, 2021, ASIA-PAC SCI EDUC, V7, P64, DOI 10.1163/23641177-bja10020; Verlie B, 2020, ENVIRON EDUC RES, V26, P1266, DOI 10.1080/13504622.2018.1497147; Vincent-Lancrin S., 2019, OECD PUBLISHING, DOI [10.1787/62212c37-en, DOI 10.1787/62212C37-EN]; Walsh C, 2017, THINK SKILLS CREAT, V24, P228, DOI 10.1016/j.tsc.2017.01.001; Wellington A., 2020, Teach. Sci, V66, P20; Whitehead A. N., 1978, Process and Reality; Willingham D T., 2010, Why don't students like school: A cognitive scientists answers questions about how the mind works and what it means for the classroom, DOI DOI 10.1002/9781118269527; Won AR, 2021, ASIA-PAC SCI EDUC, V7, P134, DOI 10.1163/23641177-bja10023; Wren H., 2022, SCICULTURE IO6 STUDY; Wrzesien M, 2010, COMPUT EDUC, V55, P178, DOI 10.1016/j.compedu.2010.01.003; Wu YZ, 2015, IEEE SENS J, V15, P750, DOI 10.1109/JSEN.2014.2354331; Yakman G., 2010, STE M ED OVERVIEW CR</t>
  </si>
  <si>
    <t>1871-1502</t>
  </si>
  <si>
    <t>1871-1510</t>
  </si>
  <si>
    <t>CULT STUD SCI EDUCAT</t>
  </si>
  <si>
    <t>Cult. Stud. Sci. Educ.</t>
  </si>
  <si>
    <t>10.1007/s11422-023-10200-4</t>
  </si>
  <si>
    <t>Cultural Studies; Education &amp; Educational Research</t>
  </si>
  <si>
    <t>MQ4R8</t>
  </si>
  <si>
    <t>WOS:001128702800001</t>
  </si>
  <si>
    <t>Energy literacy of secondary students in New York State (USA): A measure of knowledge, affect, and behavior (vol 39, pg 1699, 2011)</t>
  </si>
  <si>
    <t>DeWaters JE, 2011, ENERG POLICY, V39, P1699, DOI 10.1016/j.enpol.2010.12.049</t>
  </si>
  <si>
    <t>10.1016/j.enpol.2018.03.030</t>
  </si>
  <si>
    <t>GF4KU</t>
  </si>
  <si>
    <t>WOS:000431932600027</t>
  </si>
  <si>
    <t>Jaradat, A; Noble, B; Poelzer, G</t>
  </si>
  <si>
    <t>Jaradat, Arwa; Noble, Bram; Poelzer, Greg</t>
  </si>
  <si>
    <t>Youth as energy citizens or passive actors? A critical review of energy transition scholarship</t>
  </si>
  <si>
    <t>Youth; Energy transition; Energy citizens; Engagement; Renewable energy</t>
  </si>
  <si>
    <t>WEB-OF-SCIENCE; CLIMATE-CHANGE; SUSTAINABILITY TRANSITIONS; RENEWABLE ENERGY; COMMUNITY ENERGY; PERCEPTIONS; SCOPUS; AWARENESS; KNOWLEDGE; SCHOOL</t>
  </si>
  <si>
    <t>Youth are increasingly recognized in global arenas as critical actors for achieving sustainable development goals, including just energy transitions. Many scholars similarly argue the importance of engaging youth in energy transitions; yet, there is limited understanding of whether and how youth are framed as legitimate actors in energy transitions scholarship. This paper examines how recent energy transitions research conceptualizes youth, specifically whether youth are approached as influential energy citizens or merely as passive actors. Results show that the majority of research does not frame youth as energy citizens per se; rather, the dominant focus is on energy literacy and the importance of educating youth about energy options. This is followed by scholarship exploring youth perspectives on, or testing youth knowledge about, different energy technologies, youth energy conservation behaviour, and youth climate advocacy. Limited scholarship has focused on the role and influence of youth in energy governance. Research is needed at the national to international scale, focused on the rationale, value added and influence of youth in the multi-lateral energy space, and at local or community scale, enabling youth's roles in local energy planning and renewable energy projects.</t>
  </si>
  <si>
    <t>[Jaradat, Arwa] Univ Saskatchewan, Dept Geog &amp; Planning, 117 Sci Pl, Saskatoon, SK S7N 5C8, Canada; [Noble, Bram] Univ Saskatchewan, Dept Geog &amp; Planning, Saskatoon, SK, Canada; [Poelzer, Greg] Univ Saskatchewan, Sch Environm &amp; Sustainabil, Saskatoon, SK, Canada</t>
  </si>
  <si>
    <t>University of Saskatchewan; University of Saskatchewan; University of Saskatchewan</t>
  </si>
  <si>
    <t>Noble, B (corresponding author), Univ Saskatchewan, Dept Geog &amp; Planning, Saskatoon, SK, Canada.</t>
  </si>
  <si>
    <t>atj779@usask.ca; b.noble@usask.ca; greg.poelzer@usask.ca</t>
  </si>
  <si>
    <t>Social Sciences and Humanities Research Council of Canada [895-2019-1007]; Community Appropriate Sustainable Energy Security (CASES) partnership</t>
  </si>
  <si>
    <t>Social Sciences and Humanities Research Council of Canada(Social Sciences and Humanities Research Council of Canada (SSHRC)); Community Appropriate Sustainable Energy Security (CASES) partnership</t>
  </si>
  <si>
    <t>This research was funded by the Social Sciences and Humanities Research Council of Canada, Grant no. 895-2019-1007. We wish to acknowledge the Community Appropriate Sustainable Energy Security (CASES) partnership for supporting this work.</t>
  </si>
  <si>
    <t>Akinwale Y., 2022, International Journal of Energy Economics and Policy, V12, P470; Al Mamun A, 2022, FRONT ENERGY RES, V10, DOI 10.3389/fenrg.2022.902619; Alam M., 2003, Energy Sustain. Dev., V7, P88, DOI [10.1016/S0973-0826(08)60358-0, DOI 10.1016/S0973-0826(08)60358-0]; Alexandru A., 2010, Int. J. Soc. Behav. Educ. Econ. Bus. Ind. Eng., V4, P1970; Alonso JoseAntonio., 2000, Development in Practice, V10, P348, DOI [10.1080/09614520050116505, DOI 10.1080/09614520050116505]; Alozie MT, 2022, J YOUTH STUD, V25, P1165, DOI 10.1080/13676261.2021.1945561; Armstrong JH, 2021, ENERGY RES SOC SCI, V78, DOI 10.1016/j.erss.2021.102136; Aruta JJBR, 2023, AUST J ENVIRON EDUC, V39, P55, DOI 10.1017/aee.2022.10; Assali A, 2019, RENEW ENERG, V136, P254, DOI 10.1016/j.renene.2019.01.007; Attride-Stirling J., 2001, QUALITATIVE RES, V1, P385, DOI [10.1177/146879410100100307, DOI 10.1177/146879410100100307]; Avramides K, 2013, COMPUT EDUC, V69, P377, DOI 10.1016/j.compedu.2013.07.019; Aziz Ahmad N., 2017, Natural Sciences Education, V46, P160033, DOI 10.4195/nse2016.11.0033; Baka J, 2020, GEOGR COMPASS, V14, DOI 10.1111/gec3.12493; Ballew Barbara S., 2009, Journal of Electronic Resources in Medical Libraries, V6, P245, DOI 10.1080/15424060903167252; Banciu D., 2011, J. Green Eng., V1, P111; Bandura A, 2020, AM PSYCHOL, V75, P945, DOI 10.1037/amp0000512; Barton A.C., 2013, AFTERSCHOOL MATTERS; Barton AC, 2010, J LEARN SCI, V19, P187, DOI 10.1080/10508400903530044; Bastien S., 2017, Youth as Architects of Social Change: Global Efforts to Advance Youth-driven Innovation, DOI [10.1007/978-3-319-66275-6, DOI 10.1007/978-3-319-66275-6]; Baykoucheva Svetla, 2010, Science &amp; Technology Libraries, V29, P276, DOI 10.1080/0194262X.2010.522946; Bekker MJ, 2010, J APPL BEHAV ANAL, V43, P327, DOI 10.1901/jaba.2010.43-327; Bell BT, 2016, ENVIRON BEHAV, V48, P1049, DOI 10.1177/0013916515583550; Benchikh O, 2001, DESALINATION, V141, P209, DOI 10.1016/S0011-9164(01)00406-4; Benedikter R, 2020, NEW GLOB STUD, V14, P83, DOI 10.1515/ngs-2019-0026; Bergman EML, 2012, J ACAD LIBR, V38, P370, DOI 10.1016/j.acalib.2012.08.002; Bertrand JT, 2011, EVALUATION REV, V35, P455, DOI 10.1177/0193841X11428489; Billimoria J., 2016, Why young people are key to achieving the SDGs; Birmingham D, 2014, J RES SCI TEACH, V51, P286, DOI 10.1002/tea.21127; Bonsu NO, 2020, SUSTAINABILITY-BASEL, V12, DOI 10.3390/su12239797; Brain R, 2015, J EXT, V53; Brown RR, 2013, GLOBAL ENVIRON CHANG, V23, P701, DOI 10.1016/j.gloenvcha.2013.02.013; Bucholtz M, 2002, ANNU REV ANTHROPOL, V31, P525, DOI 10.1146/annurev.anthro.31.040402.085443; Burke MJ, 2017, ENERGY RES SOC SCI, V33, P35, DOI 10.1016/j.erss.2017.09.024; Burnham Judy F, 2006, Biomed Digit Libr, V3, P1; Busch KC, 2019, INT J SCI EDUC, V41, P2389, DOI 10.1080/09500693.2019.1680903; Cambou D., 2021, Renewable Economies in the Arctic, P184; Cherp A, 2018, ENERGY RES SOC SCI, V37, P175, DOI 10.1016/j.erss.2017.09.015; Christensen TH, 2019, ENERGY RES SOC SCI, V49, P82, DOI 10.1016/j.erss.2018.10.014; Cornelius M, 2014, ENERG EFFIC, V7, P217, DOI 10.1007/s12053-013-9219-5; de Witt Magnus., 2019, Arctic Yearbook; DellaValle N, 2022, ENERGY RES SOC SCI, V89, DOI 10.1016/j.erss.2022.102654; Devine-Wright P., 2007, GOVERNING TECHNOLOGY, P63, DOI DOI 10.4324/9781849771511; Doyon A, 2021, ENERGY RES SOC SCI, V81, DOI 10.1016/j.erss.2021.102255; Dunlop L, 2021, LOCAL ENVIRON, V26, P110, DOI 10.1080/13549839.2020.1867837; Eaton EM, 2020, ENVIRON EDUC RES, V26, P457, DOI 10.1080/13504622.2019.1650164; Faheem H., 2015, Emerald Emerg. Mark. Case Stud., V5, P1, DOI [10.1108/EEMCS-05-2014-0140, DOI 10.1108/EEMCS-05-2014-0140]; Faulques M, 2022, ENERG POLICY, V168, DOI 10.1016/j.enpol.2022.113094; Fischer B, 2021, ENERGY RES SOC SCI, V76, DOI 10.1016/j.erss.2021.102013; Fraczek B, 2022, ENERGIES, V15, DOI 10.3390/en15051730; Friberg A, 2022, TIME SOC, V31, P48, DOI 10.1177/0961463X21998845; Furlong K, 2020, NORTH REV, P219, DOI 10.22584/nr49.2020.016; Galende-Sánchez E, 2021, ENERGY RES SOC SCI, V73, DOI 10.1016/j.erss.2020.101907; Garriguet D., 2021, PORTRAIT YOUTH CANAD; Geels FW, 2002, RES POLICY, V31, P1257, DOI 10.1016/S0048-7333(02)00062-8; Gergan MD, 2023, ANTIPODE, V55, P749, DOI 10.1111/anti.12763; Gladwin D, 2022, J ENVIRON EDUC, V53, P251, DOI 10.1080/00958964.2022.2113019; Halder P, 2014, RENEW ENERG, V68, P372, DOI 10.1016/j.renene.2014.01.051; Halder P, 2013, INT J GREEN ENERGY, V10, P797, DOI 10.1080/15435075.2012.706244; Halder P, 2012, BIOENERG RES, V5, P247, DOI 10.1007/s12155-011-9121-y; Halder P, 2011, APPL ENERG, V88, P1233, DOI 10.1016/j.apenergy.2010.10.017; Halder P, 2010, ENERG POLICY, V38, P3058, DOI 10.1016/j.enpol.2010.01.046; Han H, 2020, SUSTAINABILITY-BASEL, V12, DOI 10.3390/su12104127; Hoicka CE, 2021, ENERGY RES SOC SCI, V74, DOI 10.1016/j.erss.2020.101897; Holdmann G, 2022, ENERGY RES SOC SCI, V91, DOI 10.1016/j.erss.2022.102712; Holzer S, 2023, ENERGY CLIM CHANG-UK, V4, DOI 10.1016/j.egycc.2023.100109; Hossain Y, 2016, ENERGY RES SOC SCI, V16, P89, DOI 10.1016/j.erss.2016.03.014; Jana C, 2016, ENVIRON DEV SUSTAIN, V18, P1559, DOI 10.1007/s10668-015-9702-6; Jansma SR, 2023, ENERGIES, V16, DOI 10.3390/en16052106; Jordan ME., 2021, Journal of Pre-College Engineering Education Research, V11, P230, DOI DOI 10.7771/2157-9288.1294; Jorgenson SN, 2019, J ENVIRON EDUC, V50, P160, DOI 10.1080/00958964.2019.1604478; Kaczmarczyk B, 2023, ENERGIES, V16, DOI 10.3390/en16186486; Kaczmarczyk B, 2022, ENERGIES, V15, DOI 10.3390/en15031102; Kaur G.P., 2014, OIDA International Journal of Sustainable Development, V7, P11; Khan A., 2016, The role of youth in sustainable development; Khuc QV, 2023, URBAN SCI, V7, DOI 10.3390/urbansci7010013; Kim J, 2019, SUSTAINABILITY-BASEL, V11, DOI 10.3390/su11143914; Kirby S.D., 2015, Housing Soc., V42, P250, DOI [10.1080/08882746.2015.1121687, DOI 10.1080/08882746.2015.1121687]; Laquatra J., 2009, J. Ext., V47, P1; Lawhon M, 2012, PROG HUM GEOG, V36, P354, DOI 10.1177/0309132511427960; Lennon B, 2020, J ENVIRON POL PLAN, V22, P184, DOI 10.1080/1523908X.2019.1680277; Leonhardt R, 2022, ENERGY RES SOC SCI, V83, DOI 10.1016/j.erss.2021.102350; Liu X., 2013, Atoms Peace, V3, P261, DOI [10.1504/AFP.2013.058570, DOI 10.1504/AFP.2013.058570]; Loorbach D, 2010, GOVERNANCE, V23, P161, DOI 10.1111/j.1468-0491.2009.01471.x; López-Illescas C, 2008, J INFORMETR, V2, P304, DOI 10.1016/j.joi.2008.08.001; Lowan-Trudeau G, 2022, AUST J ENVIRON EDUC, V38, P58, DOI 10.1017/aee.2021.15; MacKay M, 2020, SUSTAINABILITY-BASEL, V12, DOI 10.3390/su12166299; Malik SA, 2020, TECHNOL SOC, V63, DOI 10.1016/j.techsoc.2020.101416; Mallick S., 2020, Technium Soc. Sci. J., V13, P501; Markard J, 2012, RES POLICY, V41, P955, DOI 10.1016/j.respol.2012.02.013; McCarthy S., 2020, Feds must incorporate Indigenous youth in clean energy push-iPolitics; Mcmaster R, 2024, RENEW SUST ENERG REV, V191, DOI 10.1016/j.rser.2023.114232; Mcmaster R, 2023, ARCTIC, V76, P143, DOI 10.14430/arctic77183; Menyeh BO, 2021, RENEW SUST ENERG REV, V146, DOI 10.1016/j.rser.2021.111132; Mercer N, 2020, ENERGY RES SOC SCI, V62, DOI 10.1016/j.erss.2019.101382; Mohammed AS, 2022, ENERGY RES SOC SCI, V88, DOI 10.1016/j.erss.2022.102529; Mongeon P, 2016, SCIENTOMETRICS, V106, P213, DOI 10.1007/s11192-015-1765-5; Mori T, 2019, ENVIRON EDUC RES, V25, P566, DOI 10.1080/13504622.2018.1545155; Morrison A, 2018, J FLOOD RISK MANAG, V11, P291, DOI 10.1111/jfr3.12315; Mouter N, 2021, ENERGY RES SOC SCI, V75, DOI 10.1016/j.erss.2021.101965; Mullally G, 2018, ENVIRON SCI POLICY, V83, P71, DOI 10.1016/j.envsci.2018.02.007; Nathan HSK, 2022, J ENVIRON POL PLAN, V24, P391, DOI 10.1080/1523908X.2021.2022466; Nelson R, 2019, SAGE OPEN, V9, DOI 10.1177/2158244019879137; Niankara I., 2020, J. Open Innov. Technol. Mark. Complex., V6, P180, DOI [10.3390/joitmc6040180, DOI 10.3390/JOITMC6040180]; Nkrumah B, 2021, ENERGY SUSTAIN SOC, V11, DOI 10.1186/s13705-021-00320-6; Olson J, 2016, B ATOM SCI, V72, P79, DOI 10.1080/00963402.2016.1145903; Ouariachi T, 2020, ELECTRON J E-LEARN, V18, P410, DOI 10.34190/JEL.18.5.004; Ouariachi T, 2019, ENVIRON EDUC RES, V25, P701, DOI 10.1080/13504622.2018.1545156; Pel B., 2022, EUR FOR STUD POL RES, P1; Powell MA, 2013, CHILD GEOGR, V11, P117, DOI 10.1080/14733285.2013.743285; Radtke J, 2021, UTIL POLICY, V72, DOI 10.1016/j.jup.2021.101269; Rakshit R, 2019, LOCAL ENVIRON, V24, P809, DOI 10.1080/13549839.2019.1648400; Ratriyana IN, 2022, ASIAN J COMMUN, V32, P290, DOI 10.1080/01292986.2021.2007273; Ringholm T, 2022, CITIES, V126, DOI 10.1016/j.cities.2022.103678; Rogatka K, 2017, MITT OSTERR GEOGR G, V159, P131, DOI 10.23781/moegg159-131; Rose SL, 2012, J RES SCI TEACH, V49, P541, DOI 10.1002/tea.21017; Ryghaug M, 2018, SOC STUD SCI, V48, P283, DOI 10.1177/0306312718770286; Salleh N.S.M., 2018, Int. J. Eng. Technol., V7, P468, DOI [10.14419/ijet.v7i4.35.22864, DOI 10.14419/IJET.V7I4.35.22864]; Salleh NSM, 2016, ADV SCI LETT, V22, P3004, DOI 10.1166/asl.2016.7119; Schmidt L, 2014, NAT CULT, V9, P183, DOI 10.3167/nc.2014.090205; Sember M, 2010, CROAT MED J, V51, P99, DOI 10.3325/cmj.2010.51.99; Sensenig E.R., 2021, Gender Mainstreaming Oil and Natural Gas in Lebanon: Analysing the Current, Developing and Potential Impacts of the Petroleum Sector on Women, Men, Youth and Gender Relations From a Multistakeholder Group Perspective; SEYDLITZ R, 1993, RURAL SOCIOL, V58, P93, DOI 10.1111/j.1549-0831.1993.tb00484.x; Seyfang G, 2013, ENERG POLICY, V61, P977, DOI 10.1016/j.enpol.2013.06.030; SEYFRIT CL, 1992, SOC NATUR RESOUR, V5, P263, DOI 10.1080/08941929209380791; Sharrock S., 2018, BGjournal, V15, P14; Shirley R., 2019, J. Sustain. Res, V2, DOI DOI 10.20900/JSR20200001; Silvast A, 2023, ENERGY RES SOC SCI, V98, DOI 10.1016/j.erss.2023.102995; Simpson NP, 2021, RENEW SUST ENERG REV, V141, DOI 10.1016/j.rser.2021.110793; Skillington T., 2019, Climate Change and Intergenerational Justice. 1 Edition. Sociological Futures, DOI DOI 10.4324/9781315406343; Solís P, 2018, APPL GEOGR, V98, P143, DOI 10.1016/j.apgeog.2018.07.013; Sovacool BK, 2020, ENERGY RES SOC SCI, V70, DOI 10.1016/j.erss.2020.101617; Sovacool BK, 2018, ENERGY RES SOC SCI, V45, P12, DOI 10.1016/j.erss.2018.07.007; Stanczyk Anna, 2022, Development (Rome), V65, P42, DOI 10.1057/s41301-022-00335-2; Strzelecki Beniamin, 2022, Development (Rome), V65, P48, DOI 10.1057/s41301-022-00328-1; Szakály Z, 2021, ENERGIES, V14, DOI 10.3390/en14010022; Twum-Antwi A., 2020, Journal of Applied Youth Studies, V3, P275, DOI DOI 10.1007/S43151-020-00020-6; United Nation Department of Economic and Social Affairs, The sustainable development goals report 2020; Valdez RX, 2018, ENVIRON CONSERV, V45, P183, DOI 10.1017/S0376892917000443; van Veelen B, 2020, VOLUNT SECT REV, V11, P231, DOI 10.1332/204080519X15740562779512; Verbong G, 2007, ENERG POLICY, V35, P1025, DOI 10.1016/j.enpol.2006.02.010; Wahlund M, 2022, ENERGY RES SOC SCI, V87, DOI 10.1016/j.erss.2021.102482; Walker C, 2022, ENERGY RES SOC SCI, V92, DOI 10.1016/j.erss.2022.102797; Wallis H, 2020, ENVIRON BEHAV, V52, P275, DOI 10.1177/0013916518802342; Weijnen M.P.C., 2021, Shaping an Inclusive Energy Transition, DOI [10.1007/978-3-030-74586-8, DOI 10.1007/978-3-030-74586-8]; Wensing AJ, 2018, AFR J SCI TECHNOL IN, V10, P867, DOI 10.1080/20421338.2018.1439279; Witkowska-Dabrowska M, 2021, ENERGIES, V14, DOI 10.3390/en14238052; Wozniak M, 2022, ENERGIES, V15, DOI 10.3390/en15134776; Yazdanpanah M, 2015, ENERGY RES SOC SCI, V8, P78, DOI 10.1016/j.erss.2015.04.011; Zhongming Z., 2021, Global Youth Call for a Just Energy Transition at IRENA Eleventh Assembly; Zilles J, 2023, GER POLIT, V32, P495, DOI 10.1080/09644008.2022.2059469; Zyadin A, 2014, APPL ENERG, V114, P409, DOI 10.1016/j.apenergy.2013.09.072</t>
  </si>
  <si>
    <t>10.1016/j.erss.2023.103405</t>
  </si>
  <si>
    <t>GB6S9</t>
  </si>
  <si>
    <t>WOS:001150244100001</t>
  </si>
  <si>
    <t>Yang, JC; Lin, YL; Liu, YC</t>
  </si>
  <si>
    <t>Yang, Jie Chi; Lin, Yi Lung; Liu, Yi-Chun</t>
  </si>
  <si>
    <t>Effects of locus of control on behavioral intention and learning performance of energy knowledge in game-based learning</t>
  </si>
  <si>
    <t>Behavioral intention; energy education; game-based learning; learning performance; locus of control</t>
  </si>
  <si>
    <t>GREEN; EDUCATION; SYSTEM; IMPACT</t>
  </si>
  <si>
    <t>Game-based learning has been gradually adopted in energy education as an effective learning tool because digital games have the potential to increase energy literacy and encourage behavior change. However, not every learner can benefit from this support. There is a need to examine how human factors affect learners' reactions to digital games for supporting learning. This study addresses this issue by developing a digital educational game and examining the effects of locus of control on behavioral intention and learning performance of energy knowledge in game-based learning. The results demonstrated that learners with internal locus of control (ILC) outperformed external locus of control (ELC) learners in energy knowledge after interacting with the game. Moreover, the proposed game can reasonably reduce the differences in the behavioral intention of the ILC and ELC learners, indicating that ELC learners significantly improved their behavioral intention after playing the game, especially their external behavioral intention in the aspects of persuasion, legal action, and political action. The findings of this study are discussed to enhance the understanding of locus of control on behavioral intention and energy knowledge in the context of digital games.</t>
  </si>
  <si>
    <t>[Yang, Jie Chi; Lin, Yi Lung] Natl Cent Univ, Grad Inst Network Learning Technol, Taoyuan, Taiwan; [Liu, Yi-Chun] Chia Nan Univ Pharm &amp; Sci, Dept Appl Foreign Languages, Tainan, Taiwan</t>
  </si>
  <si>
    <t>National Central University; Chia Nan University of Pharmacy &amp; Science</t>
  </si>
  <si>
    <t>Yang, JC (corresponding author), Natl Cent Univ, Grad Inst Network Learning Technol, Taoyuan, Taiwan.</t>
  </si>
  <si>
    <t>yang@cl.ncu.edu.tw</t>
  </si>
  <si>
    <t>Yan, Jun/IXD-7801-2023; Yang, Jie Chi/E-1506-2011; liu, yi/GXE-9662-2022; liu, chen/ISV-2093-2023; Liu, Kun/JAX-5396-2023; Liu, Kai/IST-6808-2023; Liu, Yi/HTN-4916-2023</t>
  </si>
  <si>
    <t>Yang, Jie Chi/0000-0002-6265-1453</t>
  </si>
  <si>
    <t>Ministry of Science and Technology, Taiwan [MOST 100-2628-S-008-002-MY3]</t>
  </si>
  <si>
    <t>This work was supported by the Ministry of Science and Technology, Taiwan [grant number MOST 100-2628-S-008-002-MY3].</t>
  </si>
  <si>
    <t>Abrahamse W, 2011, HUM ECOL REV, V18, P30; All A, 2016, COMPUT EDUC, V92-93, P90, DOI 10.1016/j.compedu.2015.10.007; All A, 2014, INT J SERIOUS GAMES, V1, P3, DOI 10.17083/ijsg.v2i4.98; [Anonymous], 1987, J. Environ. Edu., DOI DOI 10.1080/00958964.1987.9943482; Bahk CM, 2011, J ENVIRON EDUC, V42, P1, DOI 10.1080/00958960903479811; Becker K, 2007, GAMES AND SIMULATIONS IN ONLINE LEARNING: RESEARCH AND DEVELOPMENT FRAMEWORKS, P21; Boocock S.S., 1968, SIMULATION GAMES LEA; Buhling R., 2012, P 11 INT C MOB UB MU; Burgess J, 2008, ENERG POLICY, V36, P4454, DOI 10.1016/j.enpol.2008.09.039; Cha J, 2008, DIGITEL 2008: SECOND IEEE INTERNATIONAL CONFERENCE ON DIGITAL GAME AND INTELLIGENT TOY ENHANCED LEARNING, PROCEEDINGS, P75, DOI 10.1109/DIGITEL.2008.15; Chang LJ, 2003, INNOV EDUC TEACH INT, V40, P16, DOI 10.1080/1355800032000038840; Chang MM, 2009, COMPUT ASSIST LANG L, V22, P189, DOI 10.1080/09588220902920094; Cleveland M, 2005, J CONSUM MARK, V22, P198, DOI 10.1108/07363760510605317; Coakley D, 2015, PROC EUR CONF GAME, P135; Ester Peter, 1985, CONSUMER BEHAV ENERG, DOI [10.1007/978- 94-015-7710-6, DOI 10.1007/978-94-015-7710-6]; Fielding KS, 2012, ENVIRON EDUC RES, V18, P171, DOI 10.1080/13504622.2011.592936; FINDLEY MJ, 1983, J PERS SOC PSYCHOL, V44, P419, DOI 10.1037/0022-3514.44.2.419; Gustafsson Anton., 2009, ACE'09 Proceedings of the International Conference on Advances in Computer Entertainment Technology, P182, DOI DOI 10.1145/1690388.1690419; Hill JL, 2011, ENVIRON EDUC RES, V17, P393, DOI 10.1080/13504622.2010.545873; Hsu H. G., 2014, INT J RES GRANTHAALA, V2, P26; Hungerford H.R., 1976, TEACHING ENV ED; Hwang GJ, 2012, ETR&amp;D-EDUC TECH RES, V60, P623, DOI 10.1007/s11423-012-9241-x; Hwang Y.H., 2000, Journal of Environmental Education, V31, P19, DOI [DOI 10.1080/00958960009598647, 10.1080/00958960009598647]; Janpol H., 2016, Applied Environmental Education Communication, V15, P90, DOI DOI 10.1080/1533015X.2016.1142197; Jonsson AKE, 2014, ENVIRON VALUE, V23, P297, DOI 10.3197/096327114X13947900181752; Kaufhold J.A., 2007, Basic statistics for educational research, DOI DOI 10.1163/2405-8262_RGG4_SIM_11411; Kidwell B, 2003, PSYCHOL MARKET, V20, P625, DOI 10.1002/mar.10089; Knol Erik., 2011, eLearning Papers, V25; Lanouette P. M., 2003, THESIS U S ALABAMA M; LEDERMAN LC, 1992, SIMULAT GAMING, V23, P145, DOI 10.1177/1046878192232003; Leeming F.C., 1993, Journal of Environmental Education, V24, P8, DOI DOI 10.1080/00958964.1993.9943504; Lefcourt H.M., 1976, LOCUS CONTROL CURREN; LEFCOURT HM, 1992, PSYCHOL BULL, V112, P411, DOI 10.1037/0033-2909.112.3.411; Lin YL, 2016, J MATER EDUC, V38, P37; Lowes S., 2015, Journal of Online Learning Research, V1, P17; Madeira RN, 2011, PROCEEDINGS OF THE 8TH INTERNATIONAL CONFERENCE ON ADVANCES IN COMPUTER ENTERTAINMENT TECHNOLOGY (ACE 2011); Mayer I, 2014, BRIT J EDUC TECHNOL, V45, P502, DOI 10.1111/bjet.12067; Mesquita Leonardo, 2013, 2013 IEEE Frontiers in Education Conference (FIE), P535, DOI 10.1109/FIE.2013.6684881; Newhouse N., 1990, Journal of Environmental Education, V22, P26, DOI [DOI 10.1080/00958964.1990.9943043, 10.1080/00958964.1990.9943043]; Orland B, 2014, ENERG BUILDINGS, V74, P43, DOI 10.1016/j.enbuild.2014.01.036; PETRANEK CF, 1992, SIMULAT GAMING, V23, P174, DOI 10.1177/1046878192232005; PIERFY DA, 1977, SIMULAT GAMING, V8, P255, DOI 10.1177/003755007782006; Ramsey J.M., 1993, J ENVIRON EDUC, V24, P31, DOI DOI 10.1080/00958964.1993.9943501; ROTTER JB, 1966, PSYCHOL MONOGR, V80, P1, DOI 10.1037/h0092976; Schelly C, 2012, J ENVIRON EDUC, V43, P143, DOI 10.1080/00958964.2011.631611; Smith-Sebasto N.J., 1992, The Journal of Environmental Education, V23, P24, DOI [10.1080/00958964.1992.9942793, DOI 10.1080/00958964.1992.9942793]; Smith-Sebasto N.J., 1994, The Journal of Environmental Education, V25, P23, DOI [10.1080/00958964.1994.9941961, DOI 10.1080/00958964.1994.9941961]; Smith-Sebasto NJ., 1995, J ENVIRON EDUC, V26, P30, DOI DOI 10.1080/00958964.1995.9941449; Vandercruysse S., 2012, HDB RES SERIOUS GAME, P628; Wood G, 2014, TECHNOL ANAL STRATEG, V26, P1212, DOI 10.1080/09537325.2014.978277; Yang JC, 2012, TURK ONLINE J EDUC T, V11, P27; Yang JC, 2010, COMPUT EDUC, V55, P1220, DOI 10.1016/j.compedu.2010.05.019; Yang JC, 2009, EDUC TECHNOL SOC, V12, P49</t>
  </si>
  <si>
    <t>10.1080/13504622.2016.1214865</t>
  </si>
  <si>
    <t>WOS:000402603700008</t>
  </si>
  <si>
    <t>Stage, A; Bolling, M; Nielsen, G; Bentsen, P; Aadahl, M; Otte, CR; Elsborg, P</t>
  </si>
  <si>
    <t>Stage, Anna; Bolling, Mads; Nielsen, Glen; Bentsen, Peter; Aadahl, Mette; Otte, Camilla Roed; Elsborg, Peter</t>
  </si>
  <si>
    <t>O.6.3-10 Investigating the impact of a school garden intervention on children's school motivation, climate literacy, food literacy and physical activity: the FoodACT protocol</t>
  </si>
  <si>
    <t>EUROPEAN JOURNAL OF PUBLIC HEALTH</t>
  </si>
  <si>
    <t>[Stage, Anna; Bolling, Mads; Nielsen, Glen; Bentsen, Peter; Aadahl, Mette; Elsborg, Peter] Copenhagen Univ Hosp Bispebjerg &amp; Frederiksberg, Ctr Clin Res &amp; Prevent, Copenhagen, Denmark; [Stage, Anna] Univ Copenhagen, Dept Nutr Exercise &amp; Sports, Copenhagen, Denmark; [Bolling, Mads] VIA Univ Coll, Res Ctr Pedag &amp; Bildung, Horsens, Denmark; [Bentsen, Peter] Univ Copenhagen, Dept Geosci &amp; Nat Resource Management, Rolighedsvej 23, DK-1958 Frederiksberg, Denmark; [Otte, Camilla Roed] Haver Maver, Copenhagen, Denmark</t>
  </si>
  <si>
    <t>University of Copenhagen; Bispebjerg Hospital; University of Copenhagen; VIA University College; University of Copenhagen</t>
  </si>
  <si>
    <t>ansh@nexs.ku.dk</t>
  </si>
  <si>
    <t>Novo Nordisk Foundation [077522]</t>
  </si>
  <si>
    <t>Novo Nordisk Foundation(Novo Nordisk FoundationNovocure Limited)</t>
  </si>
  <si>
    <t>The FoodACT study is funded by the Novo Nordisk Foundation (Grant no: 077522).</t>
  </si>
  <si>
    <t>1101-1262</t>
  </si>
  <si>
    <t>1464-360X</t>
  </si>
  <si>
    <t>EUR J PUBLIC HEALTH</t>
  </si>
  <si>
    <t>Eur. J. Public Health</t>
  </si>
  <si>
    <t>ckad133.29</t>
  </si>
  <si>
    <t>I116</t>
  </si>
  <si>
    <t>I117</t>
  </si>
  <si>
    <t>Public, Environmental &amp; Occupational Health</t>
  </si>
  <si>
    <t>LB6G9</t>
  </si>
  <si>
    <t>WOS:001184351100292</t>
  </si>
  <si>
    <t>Cobon, DH; Stone, GS; Carter, JO; Scanlan, JC; Toombs, NR; Zhang, XK; Willcocks, J; McKeon, GM</t>
  </si>
  <si>
    <t>Cobon, David H.; Stone, Grant S.; Carter, John O.; Scanlan, Joe C.; Toombs, Nathan R.; Zhang, Xike; Willcocks, Jacqui; McKeon, Greg M.</t>
  </si>
  <si>
    <t>The climate change risk management matrix for the grazing industry of northern Australia</t>
  </si>
  <si>
    <t>RANGELAND JOURNAL</t>
  </si>
  <si>
    <t>15th Conference of the Australian-Rangeland-Society</t>
  </si>
  <si>
    <t>SEP 28-OCT 02, 2008</t>
  </si>
  <si>
    <t>Queensland, AUSTRALIA</t>
  </si>
  <si>
    <t>impact; adaptation; vulnerability; policy; decision making; adaptive action</t>
  </si>
  <si>
    <t>The complexity, variability and vastness of the northern Australian rangelands make it difficult to assess the risks associated with climate change. In this paper we present a methodology to help industry and primary producers assess risks associated with climate change and to assess the effectiveness of adaptation options in managing those risks. Our assessment involved three steps. Initially, the impacts and adaptation responses were documented in matrices by 'experts' (rangeland and climate scientists). Then, a modified risk management framework was used to develop risk management matrices that identified important impacts, areas of greatest vulnerability ( combination of potential impact and adaptive capacity) and priority areas for action at the industry level. The process was easy to implement and useful for arranging and analysing large amounts of information ( both complex and interacting). Lastly, regional extension officers ( after minimal 'climate literacy' training) could build on existing knowledge provided here and implement the risk management process in workshops with rangeland land managers. Their participation is likely to identify relevant and robust adaptive responses that are most likely to be included in regional and property management decisions. The process developed here for the grazing industry could be modified and used in other industries and sectors. By 2030, some areas of northern Australia will experience more droughts and lower summer rainfall. This poses a serious threat to the rangelands. Although the impacts and adaptive responses will vary between ecological and geographic systems, climate change is expected to have noticeable detrimental effects: reduced pasture growth and surface water availability; increased competition from woody vegetation; decreased production per head ( beef and wool) and gross margin; and adverse impacts on biodiversity. Further research and development is needed to identify the most vulnerable regions, and to inform policy in time to facilitate transitional change and enable land managers to implement those changes.</t>
  </si>
  <si>
    <t>[Cobon, David H.; Toombs, Nathan R.; Zhang, Xike] US EPA, Queensland Climate Change Ctr Excellence, Toowoomba, Qld 4350, Australia; [Stone, Grant S.; Carter, John O.; Scanlan, Joe C.; McKeon, Greg M.] US EPA, Queensland Climate Change Ctr Excellence, Indooroopilly, Qld 4068, Australia; [Willcocks, Jacqui] US EPA, Off Climate Change, Brisbane, Qld 4000, Australia</t>
  </si>
  <si>
    <t>Cobon, DH (corresponding author), US EPA, Queensland Climate Change Ctr Excellence, 203 Tor St, Toowoomba, Qld 4350, Australia.</t>
  </si>
  <si>
    <t>David.Cobon@climatechange.qld.gov.au</t>
  </si>
  <si>
    <t>*ABS, 2008, FARM MAN CLIM 2007 0; *ABS, 2007, 52200 ABS; Adger WN, 2007, AR4 CLIMATE CHANGE 2007: IMPACTS, ADAPTATION, AND VULNERABILITY, P717; Allen Consulting Group, 2005, CLIM CHANG RISK VULN, P159; [Anonymous], PRACTICAL ADAPTATION; [Anonymous], 2005, CLIMATE CHANGE QUEEN; [Anonymous], NAT GREENH STRAT; [Anonymous], 2000, ASIA PACIFIC J ENV D; [Anonymous], P 17 INT GRASSL C PA; [Anonymous], AUSTR COMMODITIES; [Anonymous], 2002, EVALUATION POTENTIAL; ANSOFF HI, 1957, HARVARD BUS REV, V35, P113; *AUSTR GOV, 1992, NAT GREENH RESP STRA; BARDSLEY P, 1994, ECON J, V104, P1087, DOI 10.2307/2235066; Charles SP, 1999, CLIM RES, V12, P1, DOI 10.3354/cr012001; Cobon D. H., 2005, P557; COBON DH, 2008, MULTIFUNCTIONAL GRAS, V1, P877; COBON DH, 2006, P LAK EYR BAS C RENM, P62; *DAFF, 2007, TRAD FACTS; Daly J.J., 1983, QUEENSLAND AGR J, V109, P61; *DEP LOC GOV PLANN, 2007, REG PLANN TACKL CLIM; *DNRW, 2007, CLIM SMART AD 2007 1; *DPI F, 2008, PROSP QUEENSL PRIM I; Easterling W, 2007, AR4 CLIMATE CHANGE 2007: IMPACTS, ADAPTATION, AND VULNERABILITY, P273; Garnaut R, 2008, GARNAUT CLIMATE CHAN, P634; Hall W. B., 1998, Rangeland Journal, V20, P177, DOI 10.1071/RJ9980177; HEYHOE E, 2008, PRELIMINARY NATL ASS; Howden SM, 2007, P NATL ACAD SCI USA, V104, P19691, DOI 10.1073/pnas.0701890104; Howden SM, 2003, MODSIM 2003: INTERNATIONAL CONGRESS ON MODELLING AND SIMULATION, VOLS 1-4, P17; Howden SM, 1999, PEOPLE AND RANGELANDS BUILDING THE FUTURE, VOLS 1 AND 2, P41; Hughes L, 2003, AUSTRAL ECOL, V28, P423, DOI 10.1046/j.1442-9993.2003.01300.x; Jones RN, 2001, NAT HAZARDS, V23, P197, DOI 10.1023/A:1011148019213; Kriticos DJ, 2003, BIOL INVASIONS, V5, P147, DOI 10.1023/A:1026193424587; Kriticos DJ, 2003, J APPL ECOL, V40, P111, DOI 10.1046/j.1365-2664.2003.00777.x; Lu Lan, 2004, IMPACT 2002 03 DROUG; McKeon GM, 2009, RANGELAND J, V31, P1, DOI 10.1071/RJ08068; MCKEON GM, 2008, SIMULATION CLIMATE C, P32; National Land and Water Resources Audit (NLWRA), 2001, RANG TRACK CHANG AUS; Orr D. M., 1984, Management of Australia's rangelands., P241; PEARCE KB, 2007, CLIMATE CHANGE AUSTR, P148; Pill M., 2022, Climate change impacts and risk management, V35, P100391, DOI 10.1016/j.crm.2021.100391; Preston BL, 2008, ADV WATER RESOUR, V31, P758, DOI 10.1016/j.advwatres.2008.01.006; Raupach MR, 2007, P NATL ACAD SCI USA, V104, P10288, DOI 10.1073/pnas.0700609104; [Solomon S. IPCC IPCC], 2007, CLIMATE CHANGE 2007; *STAT QUEENSL, 2007, CLIMATESMART 2050 QU; Stern N, 2008, AM ECON REV, V98, P1, DOI 10.1257/aer.98.2.1; STOKES CJ, 2008, OVERVIEW CLIMATE CHA, P229; Sutherst RW, 2001, INT J PARASITOL, V31, P933, DOI 10.1016/S0020-7519(01)00203-X; TOTHILL JC, 1992, OCCASIONAL PUBLICATI, V5, P93; *TOUR QUEENSL, 2008, SUST CLIM CHANG; WOODHILL J, 1998, PARTICIPATORY EVALUA, P54</t>
  </si>
  <si>
    <t>CSIRO PUBLISHING</t>
  </si>
  <si>
    <t>CLAYTON</t>
  </si>
  <si>
    <t>UNIPARK, BLDG 1, LEVEL 1, 195 WELLINGTON RD, LOCKED BAG 10, CLAYTON, VIC 3168, AUSTRALIA</t>
  </si>
  <si>
    <t>1036-9872</t>
  </si>
  <si>
    <t>1834-7541</t>
  </si>
  <si>
    <t>RANGELAND J</t>
  </si>
  <si>
    <t>Rangeland J.</t>
  </si>
  <si>
    <t>10.1071/RJ08069</t>
  </si>
  <si>
    <t>425LT</t>
  </si>
  <si>
    <t>WOS:000264639900003</t>
  </si>
  <si>
    <t>Fonseca, X; Miguez-Macho, G; Cortes-Vazquez, JA; Vaamonde, A</t>
  </si>
  <si>
    <t>Fonseca, Xavier; Miguez-Macho, Gonzalo; Cortes-Vazquez, Jose A.; Vaamonde, Antonio</t>
  </si>
  <si>
    <t>A physical concept in the press: the case of the jet stream</t>
  </si>
  <si>
    <t>GEOSCIENCE COMMUNICATION</t>
  </si>
  <si>
    <t>CLIMATE-CHANGE; LITERACY; MEDIA</t>
  </si>
  <si>
    <t>In recent years, science has hardened the discourse on the emergency of global warming, pointing out that the next decades will be decisive to maintaining the stability of the climate system and, thus, avoiding a cascade effect of events that increase the average temperature above safe limits. The scientific community warns that there are different tipping points that could produce a chain reaction in the global climate. One of them is related to the jet stream. However, despite the importance of this air current in atmospheric dynamics in the Northern Hemisphere and the changes it is experiencing in the context of global warming, the public is still not familiar with this kind of physical concept nor with other much simpler concepts. As concerns about the climate crisis rise, climate literacy remains stagnant. To advance the learning of the science of climate change, in general, and of concepts such as the jet stream, in particular, specific scientific communication formats are required that can successfully tackle the difficult task of explaining such complex problems to the general public. These formats should be included in the media, as the characteristics of the formats (daily section, scientific dissemination, historic perspective, teleconnections and specialization) make them well suited to taking on the challenge of explaining the complexity of climate science. In this article, we present a communication proposal existent in a newspaper published in Spain. We argue that this communication format represents a good model to disseminate climate science, educate readers and even to make physical concepts such as the jet stream accessible. We believe that this format conforms to and complies with the enunciation of Article 12 of the Paris Agreement, which calls on the signatory countries to promote education and training on climate change.</t>
  </si>
  <si>
    <t>[Fonseca, Xavier; Miguez-Macho, Gonzalo] Univ Santiago de Compostela, CRETUS, Nonlinear Phys Grp, Santiago De Compostela, Spain; [Cortes-Vazquez, Jose A.] Univ A Coruna, Dept Sociol &amp; Commun, La Coruna, Spain; [Vaamonde, Antonio] Univ Vigo, Dept Stat &amp; Operat Res, Vigo, Spain</t>
  </si>
  <si>
    <t>Universidade de Santiago de Compostela; Universidade da Coruna; Universidade de Vigo</t>
  </si>
  <si>
    <t>Fonseca, X (corresponding author), Univ Santiago de Compostela, CRETUS, Nonlinear Phys Grp, Santiago De Compostela, Spain.</t>
  </si>
  <si>
    <t>xfonbla@gmail.com</t>
  </si>
  <si>
    <t>Allianz Research, 2021, Climate Literacy Survey: Time to leave climate Neverland; [Anonymous], 2009, What is Climate science literacy; [Anonymous], 2020, Integrating Action for Climate Empowerment Into Nationally Determined Contributions: A Short Guide for Countries; [Anonymous], 2017, UN News; Barnston A., 2014, How ENSO leads to a cascade of global impacts; Belenguer M., 2003, Estudios sobre el mensaje periodistico, V9, P43; Besley JC, 2013, PUBLIC UNDERST SCI, V22, P644, DOI 10.1177/0963662511418743; Boykoff M.T., 2007, Human Development Report, V2008, P3, DOI 10.1016/j.jenvp.2013.07.003; Bradshaw CJA, 2021, FRONT CONSERV SCI, V1, DOI 10.3389/fcosc.2020.615419; Buis A., 2020, Milankovitch (Orbital) Cycles and Their Role in Earth's Climate - Climate Change: Vital Signs of the Planet. Milankovitch (Orbital) Cycles and Their Role in Earth's Climate; Caesar L, 2021, NAT GEOSCI, V14, P118, DOI 10.1038/s41561-021-00699-z; Carrington D., 2019, WHY GUARDIAN IS CHAN; Cassia R, 2018, FRONT PLANT SCI, V9, DOI 10.3389/fpls.2018.00273; Cohen J, 2014, NAT GEOSCI, V7, P627, DOI [10.1038/ngeo2234, 10.1038/NGEO2234]; Cooper CB, 2011, BIOSCIENCE, V61, P231, DOI 10.1525/bio.2011.61.3.8; European Union, 2019, Special Eurobarometer 490: Climate change; Fonseca X., 2019, La Voz de Galicia; Fonseca X., 2020, La Voz de Galicia; Fonseca X., La Voz de Galicia; Fonseca X., La Edad de Hielo revoluciono Galicia, La Voz de Galicia; Fonseca X., 2021, La Voz de Galicia; Fonseca X., Cuando el jet streambombardeo a Estados Unidos, La Voz de Galicia; Francis JA, 2017, WIRES CLIM CHANGE, V8, DOI 10.1002/wcc.474; Gaudiano E J. G., 2009, Trayectorias, V11, P6; Gifford R, 2011, AM PSYCHOL, V66, P290, DOI 10.1037/a0023566; Goldberg M., For the first time, the Alarmed are now the largest of Global Warming's Six Americas; Hall R, 2015, INT J CLIMATOL, V35, P1697, DOI 10.1002/joc.4121; Hobson Kersty, 2013, Public Underst Sci, V22, P396, DOI 10.1177/0963662511430459; Howell EL, 2021, P NATL ACAD SCI USA, V118, DOI 10.1073/pnas.1912436117; IPCC, 2018, IPCC, DOI [DOI 10.1017/9781009157926.005, DOI 10.1017/CBO9781107415324]; Kelley CP, 2015, P NATL ACAD SCI USA, V112, P3241, DOI 10.1073/pnas.1421533112; Kravets D., 2010, Wired; Lenton TM, 2019, NATURE, V575, P592, DOI 10.1038/d41586-019-03595-0; Macsel R., 2018, Smithsonian Magazine; Mcloughlin N., 2018, Climate communication in practice: how are we engaging the UK public on climate change? Online; Milér T, 2011, PROCD SOC BEHV, V12, P150, DOI 10.1016/j.sbspro.2011.02.021; Muller MF, 2016, P NATL ACAD SCI USA, V113, P14932, DOI 10.1073/pnas.1614342113; Portner O., Contribution of Working Group II to the Sixth Assessment Report of the Intergovernmental Panel on Climate Change (IPCC); Quesada M., 2015, Le Monde, The Guardian y Frankfurter Allgemeine Zeitung, P523, DOI [10.5209/revESMP.2015.v21.n1.49109, DOI 10.5209/REVESMP.2015.V21.N1.49109]; Ripple WJ, 2020, BIOSCIENCE, V70, P8, DOI 10.1093/biosci/biz088; Rodrigo-Alsina M, 2019, CUAD INFO-SANTIAGO, P225, DOI 10.7764/cdi.44.1418; Rosales C., 2009, Revista de Medios y Educacion, V35, P21; Sabherwal A, 2021, J APPL SOC PSYCHOL, V51, P321, DOI 10.1111/jasp.12737; Sakellari M, 2015, PUBLIC UNDERST SCI, V24, P827, DOI 10.1177/0963662514537028; Salaverria R, 2020, El profesional de la informacion (EPI), V29, DOI [10.3145/epi.2020.may.15, DOI 10.3145/EPI.2020.MAY.15]; Steffen W, 2018, P NATL ACAD SCI USA, V115, P8252, DOI 10.1073/pnas.1810141115; Thunberg Greta, 2020, Our house is still on fire and you're fuelling the flames; U.S. Global Change Research Program, 2009, Conocimiento climatico; UN News, 2019, UN News; United Nation News, 2021, UN News; United Nations, 2015, Paris Agreeement; Wallace J.M., 2006, ATMOSPHERIC SCI INTR, DOI DOI 10.1016/C2009-0-00034-8; Wihbey J., 2016, Communicating About Climate Change with Journalists and Media Producers, DOI [10.1093/acrefore/9780190228620.013.407, DOI 10.1093/ACREFORE/9780190228620.013.407]; Wolfe J., 2000, Volcanoes and climate change; Wolff E., 2020, National Academy of Sciences, DOI [10.17226/25733, DOI 10.17226/25733]; World Meteorological Organization (WMO), 2020, WMO News; Xunta de Galicia, 2015, Informe de cambio climatico de Galicia 2012-2015</t>
  </si>
  <si>
    <t>COPERNICUS GESELLSCHAFT MBH</t>
  </si>
  <si>
    <t>GOTTINGEN</t>
  </si>
  <si>
    <t>BAHNHOFSALLEE 1E, GOTTINGEN, 37081, GERMANY</t>
  </si>
  <si>
    <t>2569-7102</t>
  </si>
  <si>
    <t>2569-7110</t>
  </si>
  <si>
    <t>GEOSCI COMMUN</t>
  </si>
  <si>
    <t>Geosci. Commun.</t>
  </si>
  <si>
    <t>JUL 7</t>
  </si>
  <si>
    <t>10.5194/gc-5-177-2022</t>
  </si>
  <si>
    <t>Education &amp; Educational Research; Education, Scientific Disciplines; Geosciences, Multidisciplinary</t>
  </si>
  <si>
    <t>Education &amp; Educational Research; Geology</t>
  </si>
  <si>
    <t>UW8P2</t>
  </si>
  <si>
    <t>WOS:001251196200001</t>
  </si>
  <si>
    <t>Ajani, YA; Tella, A; Enakrire, RT</t>
  </si>
  <si>
    <t>Ajani, Yusuf Ayodeji; Tella, Adeyinka; Enakrire, Rexwhite Tega</t>
  </si>
  <si>
    <t>The green library revolution: a catalyst for climate change action</t>
  </si>
  <si>
    <t>COLLECTION AND CURATION</t>
  </si>
  <si>
    <t>Green libraries; Revolution; Catalysts; Climate change; Action</t>
  </si>
  <si>
    <t>CHALLENGES</t>
  </si>
  <si>
    <t>Purpose - Libraries are currently undergoing a significant transformation, emerging as dynamic advocates for environmental sustainability, surpassing their conventional roles as mere repositories of knowledge. In today's world, dominated by the growing climate crisis, these evolving institutions are poised to play a pivotal role in addressing climate change. However, they confront a range of challenges, including the need to establish sustainable operations, provide accessible climate information, engage diverse audiences and uphold ethical standards. Design/methodology/approach - The research methodology used for this study involves an extensive review of literature. The authors analyze existing studies concerning green libraries and their role as catalysts for climate change action globally. This analysis draws from a variety of scholarly sources, encompassing articles, books and reports, to provide a comprehensive overview of the subject. Findings - The findings indicate that despite the aforementioned challenges, libraries in developed countries worldwide have demonstrated noteworthy success through initiatives such as green building projects, community engagement programs, collaborative partnerships, expansion of digital resources, innovative climate literacy initiatives and a commitment to ethical stewardship. These achievements serve as a source of inspiration, fostering hope and spurring action as libraries empower communities to embrace environmental stewardship. They showcase the potential of libraries as catalysts for positive environmental change. Originality/value - The originality and value of this research lie in its insights into the potential of green libraries initiative as a catalyst for climate change action. Ultimately, this study opens the door to untold literary exploration, revolutionizing the art of green library capacity in the ever-evolving technological landscape. To augment their impact, libraries are encouraged to broaden the scope of their climate education initiatives, expand their digital resources, cultivate strategic collaborations, prioritize ethical responsibility and implement thorough evaluation and communication practices.</t>
  </si>
  <si>
    <t>[Ajani, Yusuf Ayodeji; Tella, Adeyinka] Univ Ilorin, Dept Lib &amp; Informat Sci, Ilorin, Nigeria; [Ajani, Yusuf Ayodeji] Al Hikmah Univ, Dept Lib &amp; Informat Sci, Ilorin, Nigeria; [Tella, Adeyinka] Univ South Africa, Dept Informat Sci, Pretoria, South Africa; [Enakrire, Rexwhite Tega] Univ South Africa, Coll Law, Pretoria, South Africa</t>
  </si>
  <si>
    <t>University of Ilorin; University of South Africa; University of South Africa</t>
  </si>
  <si>
    <t>Ajani, YA (corresponding author), Univ Ilorin, Dept Lib &amp; Informat Sci, Ilorin, Nigeria.;Ajani, YA (corresponding author), Al Hikmah Univ, Dept Lib &amp; Informat Sci, Ilorin, Nigeria.</t>
  </si>
  <si>
    <t>ajaniyusuf@alhikmah.edu.ng; tellayinkaedu@yahoo.com; rexwhite.enakrire80@gmail.com</t>
  </si>
  <si>
    <t>Enakrire, Rexwhite Tega/V-5829-2019; Ajani, Yusuf Ayodeji/KFB-4060-2024</t>
  </si>
  <si>
    <t>Enakrire, Rexwhite Tega/0000-0001-6523-5669; Ajani, Yusuf Ayodeji/0000-0002-2786-4461</t>
  </si>
  <si>
    <t>Ackerman S, 2016, NEW LIB WORLD, V117, P688, DOI 10.1108/NLW-08-2016-0054; Adger WN, 2023, SCOT GEOGR J, V139, P142, DOI 10.1080/14702541.2023.2194285; Alibasic H, 2022, PUBLIC INTEGR, V24, P33, DOI 10.1080/10999922.2020.1838142; Appleton L, 2023, NEW REV ACAD LIBR, V29, P117, DOI 10.1080/13614533.2023.2230652; Aronson MFJ, 2017, FRONT ECOL ENVIRON, V15, P189, DOI 10.1002/fee.1480; Bangar M.S., 2018, NATL C TRANSFORMING, P222; Bennett Nathan., 2013, The Capacity to Adapt, Conserve and Thrive?: Marine Protected Area Communities and Social-Ecological Change in Coastal Thailand; Biemer J.R., 2021, OUR ENV HANDPRINTS R; Breyer C, 2022, IEEE ACCESS, V10, P78176, DOI 10.1109/ACCESS.2022.3193402; Buzbee WW, 2017, WISC LAW REV, P1037; Caney S., 2015, The Routledge Handbook of Global Ethics, P384; Cigarini A, 2021, LIBR INFORM SCI RES, V43, DOI 10.1016/j.lisr.2021.101090; Diffenbaugh NS, 2017, P NATL ACAD SCI USA, V114, P4881, DOI 10.1073/pnas.1618082114; Dougherty M., 2010, RESEARCHER ENGAGEMEN; Elia G, 2020, BUS STRATEG ENVIRON, V29, P2465, DOI 10.1002/bse.2514; Emanuel K, 2017, P NATL ACAD SCI USA, V114, P12681, DOI 10.1073/pnas.1716222114; Fedorowicz-Kruszewska M, 2023, LIBR MANAGE, V44, P111, DOI 10.1108/LM-04-2022-0041; Fedorowicz-Kruszewska M, 2021, J LIBR INF SCI, V53, P645, DOI 10.1177/0961000620980830; Feng ZA, 2020, ADV ENG INFORM, V46, DOI 10.1016/j.aei.2020.101134; Fisher S, 2015, GEOGR J, V181, P73, DOI 10.1111/geoj.12078; Fromstein M., 2017, THESIS U GUELPH; Garner J., 2022, GREENING LIB REPORT; George G, 2021, ENTREP THEORY PRACT, V45, P999, DOI 10.1177/1042258719899425; Gillingham PK, 2024, BIOL CONSERV, V289, DOI 10.1016/j.biocon.2023.110375; Gupta S., 2020, International Journal of Information Studies and Libraries, V5, P82; Hasan S., 2023, INT J INFORM STUDIES, V8, P38; Hassan Q, 2024, RENEW ENERG FOCUS, V48, DOI 10.1016/j.ref.2024.100545; Hawco C., 2019, TRANSFORMING PUBLIC; Kilgo DK, 2019, INT J PRESS/POLIT, V24, P508, DOI 10.1177/1940161219853517; Kopp RE, 2019, EARTHS FUTURE, V7, P1235, DOI 10.1029/2018EF001145; Kornfield M., 2022, WORLD LIB, V26, P1; Lin G., 2023, FRONTIERS BUSINESS E, V9, P256, DOI DOI 10.54097/FBEM.V9I2.9295; Lin J, 2024, SUSTAINABILITY-BASEL, V16, DOI 10.3390/su16052096; Liu TQ, 2022, SUSTAINABILITY-BASEL, V14, DOI 10.3390/su142114393; Mawa J., 2023, DIGITAL PRESERVATION, P105; Mees HLP, 2019, ENVIRON POLICY GOV, V29, P198, DOI 10.1002/eet.1847; Mehnert A, 2016, LIT CULT ENVIRON, P1, DOI 10.1007/978-3-319-40337-3; Okunlaya RO, 2022, LIBR HI TECH, V40, P1869, DOI 10.1108/LHT-07-2021-0242; Ortega-Martínez ED, 2021, DIGIT LIBR PERSPECT, V37, P3, DOI 10.1108/DLP-07-2020-0063; Pendergrass AG, 2020, NAT CLIM CHANGE, V10, P191, DOI 10.1038/s41558-020-0709-0; Ripple W J., 2022, World scientists' warning of a climate emergency 2022. In; Roberts JT, 2021, NAT CLIM CHANGE, V11, P180, DOI 10.1038/s41558-021-00990-2; Rosenzweig Cynthia., 2018, CLIMATE CHANGE CITIE; Samantaray M., 2017, J ADV LIB INFORM SCI, V6, P31; Sardanyes J., 2024, BIOL CONSERV, V290, P110433, DOI [10.1016/j.biocon.2023.110433, DOI 10.1016/J.BIOCON.2023.110433]; Secundo G, 2016, J INTELLECT CAP, V17, P298, DOI 10.1108/JIC-05-2015-0046; Sorensen CJ, 2020, ANN EMERG MED, V76, P168, DOI 10.1016/j.annemergmed.2020.03.010; Thomas CD, 2004, NATURE, V427, P145, DOI 10.1038/nature02121; THUNBERG G., 2023, The Climate Book: The Facts and the Solutions; Todaro NM, 2021, BUS STRATEG ENVIRON, V30, P1232, DOI 10.1002/bse.2681; Urquhart C, 2016, PERFORM MEAS METR, V17, P5, DOI 10.1108/PMM-01-2016-0001; Vilma Z., 2018, Profesinis Rengimas: tyrimai ir Realijos, V29, P19, DOI [10.2478/vtrr-2018-0003, DOI 10.2478/VTRR-2018-0003]; Williams-Cockfield K.C., 2023, PUBLIC LIB BUILD SUS, P245, DOI [10.1108/S0065-283020230000053022, DOI 10.1108/S0065-283020230000053022]</t>
  </si>
  <si>
    <t>2514-9326</t>
  </si>
  <si>
    <t>COLLECT CURATION</t>
  </si>
  <si>
    <t>Collect. Curation</t>
  </si>
  <si>
    <t>MAR 26</t>
  </si>
  <si>
    <t>10.1108/CC-10-2023-0032</t>
  </si>
  <si>
    <t>LR8T7</t>
  </si>
  <si>
    <t>WOS:001186305000001</t>
  </si>
  <si>
    <t>Cobon, D; Jarvis, C; Reardon-Smith, K; Guillory, L; Pudmenzky, C; Nguyen-Huy, T; Mushtaq, S; Stone, R</t>
  </si>
  <si>
    <t>Cobon, David; Jarvis, Chelsea; Reardon-Smith, Kate; Guillory, Laura; Pudmenzky, Christa; Nguyen-Huy, Thong; Mushtaq, Shahbaz; Stone, Roger</t>
  </si>
  <si>
    <t>Northern Australia Climate Program: supporting adaptation in rangeland grazing systems through more targeted climate forecasts, improved drought information and an innovative extension program</t>
  </si>
  <si>
    <t>agricultural climate risk management; barriers to adoption; climate variability; climate services; decision support; resilience; seasonal climate forecasts</t>
  </si>
  <si>
    <t>LOCAL KNOWLEDGE; FLASH DROUGHTS; PREDICTION; RAINFALL; ENSO; PASTORALISTS; VARIABILITY; IMPACTS</t>
  </si>
  <si>
    <t>The Northern Australia Climate Program (NACP) is a fully integrated research, development and extension (RDandE) program operating across extensive pastoral regions of northern Australia. The NACP aims to improve existing climate models and forecast tools, develop new products to meet user needs and build the capacity of rangeland producers to manage the challenges posed by droughts (or failed wet seasons) and climate variability. Climate information gaps identified through earlier surveys of graziers and communities in rural and remote Australia informed the design of the research component of the NACP, which aims to address the low and variable accuracy of seasonal climate forecasts in many regions, the need for proof of value of forecasts and relevance of existing forecast systems and technologies, and perceived lack of effective support from climate experts for the use of climate resources and technologies in agricultural decision making. The development and extension components of the program aim to improve climate literacy and the use of climate information. Building on the research program, they deliver a climate service that provides local extension and technical support, with a focus on building trust in climate information through locally sourced, industry connected NACP trained and supported extension advisers called Climate Mates. Two-way information flow between decision makers and researchers, facilitated by the Climate Mates, ensures that forecasts and decision- and discussion-support tools developed through the program are regionally relevant and targeted to the needs of end users. Monitoring and evaluation of the program indicates that this approach is contributing to positive outcomes in terms of awareness and knowledge of climate forecasting and products, and their adoption and use in decision making (i.e. practice change). In the longer term, the Climate Mates have potential for enduring impact beyond the program, leaving a knowledgeable and trusted climate resource across regional northern Australia.</t>
  </si>
  <si>
    <t>[Cobon, David; Jarvis, Chelsea; Reardon-Smith, Kate; Guillory, Laura; Pudmenzky, Christa; Nguyen-Huy, Thong; Mushtaq, Shahbaz; Stone, Roger] Univ Southern Queensland, Ctr Appl Climate Sci, Toowoomba, Qld, Australia; [Cobon, David; Jarvis, Chelsea; Reardon-Smith, Kate; Guillory, Laura; Pudmenzky, Christa; Nguyen-Huy, Thong; Mushtaq, Shahbaz; Stone, Roger] Inst Life Sci &amp; Environm, Toowoomba, Qld, Australia</t>
  </si>
  <si>
    <t>University of Southern Queensland</t>
  </si>
  <si>
    <t>Cobon, D (corresponding author), Univ Southern Queensland, Ctr Appl Climate Sci, Toowoomba, Qld, Australia.;Cobon, D (corresponding author), Inst Life Sci &amp; Environm, Toowoomba, Qld, Australia.</t>
  </si>
  <si>
    <t>David.Cobon@usq.edu.au</t>
  </si>
  <si>
    <t>Nguyen-Huy, Thong/AAC-9812-2020; Pudmenzky, Christa/I-6439-2016</t>
  </si>
  <si>
    <t>Nguyen-Huy, Thong/0000-0002-2201-6666; Stone, Roger/0000-0003-3931-2661; Reardon-Smith, Kathryn/0000-0002-0997-3058; Pudmenzky, Christa/0000-0003-0157-6178; Cobon, David/0000-0002-8034-6196; Guillory, Laura/0000-0002-7757-3654</t>
  </si>
  <si>
    <t>Meat and Livestock Australia Donor Co.; University of Southern Queensland; Queensland Department of Agriculture and Fisheries through the Drought and Climate Adaptation Program (DCAP)</t>
  </si>
  <si>
    <t>Meat and Livestock Australia Donor Co.(Meat &amp; Livestock Australia); University of Southern Queensland; Queensland Department of Agriculture and Fisheries through the Drought and Climate Adaptation Program (DCAP)</t>
  </si>
  <si>
    <t>The Northern Australia Climate Program is funded by the Meat and Livestock Australia Donor Co., the University of Southern Queensland and the Queensland Department of Agriculture and Fisheries through the Drought and Climate Adaptation Program (DCAP). We acknowledge the NACP Climate Mates, NACP staff at the Bureau of Meteorology and UK Met Office and those in NACP partner organisations in the Department of Agriculture and Fisheries Queensland, the Department of Primary Industries and Resources Northern Territory, the Department of Primary Industries and Resource Development Western Australia, Rangelands NRM Western Australia, Northern and Southern Gulf Resource Management Groups and Fitzroy Basin Association Inc.</t>
  </si>
  <si>
    <t>Ash A, 2007, AUST J AGR RES, V58, P952, DOI 10.1071/AR06188; Askarimarnani SS, 2021, INT J CLIMATOL, V41, pE912, DOI 10.1002/joc.6737; Aubault H, 2015, AEOLIAN RES, V17, P89, DOI 10.1016/j.aeolia.2014.12.005; Bowen MK, 2021, RANGELAND J, V43, P67, DOI 10.1071/RJ20058; Bureau of Meteorology, 2019, SPEC CLIM STAT 69 EX; Burke C., 2019, DROUGHT PROGRAM REV; Burns B., 2016, CASHCOW FINDINGS INS; Cafer A., 2017, Journal of Rural Social Sciences, V32, P77; Cai W, 2001, CLIM DYNAM, V17, P421, DOI 10.1007/PL00013738; Cai WJ, 2011, J CLIMATE, V24, P3910, DOI 10.1175/2011JCLI4129.1; Carlson TN, 1997, REMOTE SENS ENVIRON, V62, P241, DOI 10.1016/S0034-4257(97)00104-1; Childs I. R. W., 1991, Australian Meteorological Magazine, V39, P105; Chudleigh P., 2013, EC ANAL GRDCS INVEST; Clarke M., 2020, BENEFIT COST ANAL DR; Cliffe N, 2016, J AGRIC EDUC EXT, V22, P311, DOI 10.1080/1389224X.2016.1154473; Cobon DH, 2008, RANGELAND J, V30, P361, DOI 10.1071/RJ06030; Cobon DH, 2020, WEATHER CLIM SOC, V12, P3, DOI 10.1175/WCAS-D-19-0018.1; Cobon DH, 2020, EUR J AGRON, V114, DOI 10.1016/j.eja.2020.126002; Cobon DH, 2019, CROP PASTURE SCI, V70, P634, DOI 10.1071/CP18482; Counsell D., 2017, AFTER ACTION REV CON; Coutts J. R., 2017, PRELIMINARY BE UNPUB; Cowan T, 2019, WEATHER CLIM EXTREME, V26, DOI 10.1016/j.wace.2019.100232; Cowan T., 2021, WEATHER FORECAST; Cowan T, 2020, CLIM SERV, V19, DOI 10.1016/j.cliser.2020.100182; Crabb D. M., 2001, GEOSP INF AGR C EV N; CRRDC, 2018, CROSS RDC IMP ASS PR; Curtis A, 2014, AUSTRALAS J ENV MAN, V21, P175, DOI 10.1080/14486563.2014.935747; DAY KA, 2005, MONITORING PREDICTIN, P369; Department of Agriculture Fisheries and Forestry, 2013, RES CAS STUD FARM SC; Dowd AM, 2014, NAT CLIM CHANGE, V4, P558, DOI [10.1038/NCLIMATE2275, 10.1038/nclimate2275]; An-Vo DA, 2019, RANGELAND J, V41, P165, DOI 10.1071/RJ18004; Gislason MK, 2021, ENVIRON COMMUN, V15, P530, DOI 10.1080/17524032.2020.1869576; Guttman NB, 1999, J AM WATER RESOUR AS, V35, P311, DOI 10.1111/j.1752-1688.1999.tb03592.x; Hall TJ, 2020, Pasture recovery, land condition and some other observations after the monsoon flooding, chill event in north-west Queensland in Jan-Mar 2019; Hammer G, 2000, ATMOS OCEAN SCI LIB, V21, P51; Nguyen H, 2020, J HYDROMETEOROL, V21, P2309, DOI 10.1175/JHM-D-20-0042.1; Nguyen H, 2019, ENVIRON RES LETT, V14, DOI 10.1088/1748-9326/ab2103; Hawcroft M, 2021, MON WEATHER REV, V149, P2391, DOI 10.1175/MWR-D-20-0330.1; Heim RR, 2012, EARTH INTERACT, V16, DOI 10.1175/2012EI000446.1; Hewitt CD, 2017, NAT CLIM CHANGE, V7, P614, DOI 10.1038/nclimate3378; Hudson D, 2017, J SO HEMISPH EARTH, V67, P132, DOI 10.22499/3.6703.001; ICACS, 2017, OUTP 3A ID PROV UNP; Kath, 2016, SCOPING STUDY SUPPOR; Keogh DU, 2005, AUST J EXP AGR, V45, P1613, DOI 10.1071/EA04275; Kusunose Y, 2016, AGR SYST, V146, P103, DOI 10.1016/j.agsy.2016.04.006; Landman, 2018, AGROCLIMATOLOGY LINK; Larsen R, 2015, AGRIC FINANCE REV, V75, P368, DOI 10.1108/AFR-07-2014-0020; Leeuwis C., 2004, Journal of Agricultural Education and Extension, V10, P63, DOI DOI 10.1080/13892240485300111; Lim Y, 2018, J CLIMATE, V31, P4075, DOI 10.1175/JCLI-D-17-0545.1; Liu JY, 2018, J GEOPHYS RES-ATMOS, V123, P8708, DOI 10.1029/2017JD028197; MacLachlan C, 2015, Q J ROY METEOR SOC, V141, P1072, DOI 10.1002/qj.2396; Major T., 2019, ABC RURAL; Marsh SP, 2000, AUST J AGR RESOUR EC, V44, P605, DOI 10.1111/1467-8489.00126; Marshall NA, 2011, CLIMATIC CHANGE, V107, P511, DOI 10.1007/s10584-010-9962-y; Marshall NA, 2010, GLOBAL ENVIRON CHANG, V20, P36, DOI 10.1016/j.gloenvcha.2009.10.003; McCosker KD, 2023, ANIM PROD SCI, V63, P311, DOI 10.1071/AN17495; McCrea R, 2005, INT J CLIMATOL, V25, P1127, DOI 10.1002/joc.1164; Meinke H, 2005, CLIMATIC CHANGE, V70, P221, DOI 10.1007/s10584-005-5948-6; Naess LO, 2013, WIRES CLIM CHANGE, V4, P99, DOI 10.1002/wcc.204; Nguyen H, 2021, WEATHER CLIM EXTREME, V32, DOI 10.1016/j.wace.2021.100321; Nguyen-Huy T, 2020, AGRON SUSTAIN DEV, V40, DOI 10.1007/s13593-020-0605-z; Nicholls N, 1999, B AM METEOROL SOC, V80, P1385, DOI 10.1175/1520-0477(1999)080&lt;1385:CIHACP&gt;2.0.CO;2; Otkin JA, 2018, B AM METEOROL SOC, V99, P911, DOI 10.1175/BAMS-D-17-0149.1; Parlevliet, 1987, AUSTR AGR EXT C 21 O; Parton KA, 2019, AGR SYST, V174, P1, DOI 10.1016/j.agsy.2019.04.005; Pendergrass AG, 2020, NAT CLIM CHANGE, V10, P191, DOI 10.1038/s41558-020-0709-0; Phelps D.., 2014, CLIMATE SAVVY GRAZIN; Power S, 1999, CLIM DYNAM, V15, P319, DOI 10.1007/s003820050284; Prokopy LS, 2015, CLIMATIC CHANGE, V130, P261, DOI 10.1007/s10584-015-1339-9; Rennie L., 2017, DAF DCAP1 INTERIM M; Risbey JS, 2009, MON WEATHER REV, V137, P3233, DOI 10.1175/2009MWR2861.1; Rolfe J, 2021, RANGELAND J, V43, P173, DOI 10.1071/RJ20078; ROPELEWSKI CF, 1987, MON WEATHER REV, V115, P1606, DOI 10.1175/1520-0493(1987)115&lt;1606:GARSPP&gt;2.0.CO;2; Saji NH, 1999, NATURE, V401, P360, DOI 10.1038/43855; Schepen A, 2014, MON WEATHER REV, V142, P1758, DOI 10.1175/MWR-D-13-00248.1; Sharmila S, 2020, SCI REP-UK, V10, DOI 10.1038/s41598-020-61482-5; Shi L, 2012, MON WEATHER REV, V140, P3867, DOI 10.1175/MWR-D-12-00001.1; Siepen GL, 2002, RANGELAND J, V24, P170, DOI 10.1071/RJ02009; Sinclair FL, 1999, ADV AGROECOL, P245; Sohn SJ, 2016, SCI REP-UK, V6, DOI 10.1038/srep33790; Stone, 2017, NO AUSTR CLIMATE PRO; Stone R., 2019, P 3 INT TROP AGR C T; Svoboda M, 2002, B AM METEOROL SOC, V83, P1181, DOI 10.1175/1520-0477(2002)083&lt;1181:TDM&gt;2.3.CO;2; Syktus J., RANGELAND J; Tang YM, 2018, NATL SCI REV, V5, P826, DOI 10.1093/nsr/nwy105; Taylor M, 2018, J RURAL STUD, V64, P1, DOI 10.1016/j.jrurstud.2018.09.015; Ummenhofer CC, 2009, GEOPHYS RES LETT, V36, DOI 10.1029/2008GL036801; Vitart F, 2018, NPJ CLIM ATMOS SCI, V1, DOI 10.1038/s41612-018-0013-0; Wheeler MC, 2009, J CLIMATE, V22, P1482, DOI 10.1175/2008JCLI2595.1; White CJ, 2014, CLIM DYNAM, V43, P1791, DOI 10.1007/s00382-013-2007-2; WMO, 2014, 1129 WMO</t>
  </si>
  <si>
    <t>10.1071/RJ20074</t>
  </si>
  <si>
    <t>WO2IX</t>
  </si>
  <si>
    <t>WOS:000698968100001</t>
  </si>
  <si>
    <t>Liu, Y; Debeljak, P; Rembauville, M; Blain, S; Obernosterer, I</t>
  </si>
  <si>
    <t>Liu, Yan; Debeljak, Pavla; Rembauville, Mathieu; Blain, Stephane; Obernosterer, Ingrid</t>
  </si>
  <si>
    <t>Diatoms shape the biogeography of heterotrophic prokaryotes in early spring in the Southern Ocean</t>
  </si>
  <si>
    <t>ENVIRONMENTAL MICROBIOLOGY</t>
  </si>
  <si>
    <t>NATURAL IRON FERTILIZATION; DISSOLVED ORGANIC-CARBON; BACTERIAL COMMUNITY; RIBOSOMAL-RNA; MARINE BACTERIOPLANKTON; PHYTOPLANKTON BLOOM; SINGLE CELLS; DIVERSITY; PLANKTON; MATTER</t>
  </si>
  <si>
    <t>The interplay among microorganisms profoundly impacts biogeochemical cycles in the ocean. Culture-based work has illustrated the diversity of diatom-prokaryote interactions, but the question of whether these associations can affect the spatial distribution of microbial communities is open. Here, we investigated the relationship between assemblages of diatoms and of heterotrophic prokaryotes in surface waters of the Indian sector of the Southern Ocean in early spring. The community composition of diatoms and that of total and active prokaryotes were different among the major ocean zones investigated. We found significant relationships between compositional changes of diatoms and of prokaryotes. In contrast, spatial changes in the prokaryotic community composition were not related to geographic distance and to environmental parameters when the effect of diatoms was accounted for. Diatoms explained 30% of the variance in both the total and the active prokaryotic community composition in early spring in the Southern Ocean. Using co-occurrence analyses, we identified a large number of highly significant correlations between abundant diatom species and prokaryotic taxa. Our results show that key diatom species of the Southern Ocean are each associated with a distinct prokaryotic community, suggesting that diatom assemblages contribute to shaping the habitat type for heterotrophic prokaryotes.</t>
  </si>
  <si>
    <t>[Liu, Yan; Debeljak, Pavla; Rembauville, Mathieu; Blain, Stephane; Obernosterer, Ingrid] Sorbonne Univ, CNRS, Lab Oceanog Microbienne LOMIC, F-66650 Banyuls Sur Mer, France; [Debeljak, Pavla] Univ Vienna, Dept Limnol &amp; Biooceanog, A-1090 Vienna, Austria</t>
  </si>
  <si>
    <t>Centre National de la Recherche Scientifique (CNRS); Sorbonne Universite; University of Vienna</t>
  </si>
  <si>
    <t>Obernosterer, I (corresponding author), Sorbonne Univ, CNRS, Lab Oceanog Microbienne LOMIC, F-66650 Banyuls Sur Mer, France.</t>
  </si>
  <si>
    <t>ingrid.obernosterer@obs-banyuls.fr</t>
  </si>
  <si>
    <t>Obernosterer, Ingrid/A-5434-2011; blain, stephane/F-6917-2010</t>
  </si>
  <si>
    <t>Obernosterer, Ingrid/0000-0002-2530-8111; Liu, Yan/0000-0001-8653-6321; blain, stephane/0000-0002-5234-2446; Debeljak, Pavla/0000-0002-5542-0358</t>
  </si>
  <si>
    <t>Climate Initiative of the BNP Paribas Foundation; French Polar Institute (Institut Polaire Emile Victor); French program LEFE-CYBER of the CNRS-INSU; China Scholarship Council (CSC) [201606330072]</t>
  </si>
  <si>
    <t>Climate Initiative of the BNP Paribas Foundation; French Polar Institute (Institut Polaire Emile Victor); French program LEFE-CYBER of the CNRS-INSU; China Scholarship Council (CSC)(China Scholarship Council)</t>
  </si>
  <si>
    <t>We thank the captain and the crew of the R/V Marion Dufresne for their support aboard. We thank Olivier Crispi for sampling and analyses of inorganic nutrients, Jocelyne Caparros for the analyses of dissolved organic carbon and Philippe Catala for flow cytometry analyses. Chlorophyll a concentrations were determined by HPLC analyses at the SAPIGH analytical platform at IMEV, Villefranche-sur-Mer, by Josefine Ras and Celine Dimier. The detailed comments from two anonymous reviewers helped improve previous versions of the manuscript. The project SOCLIM (Southern Ocean and Climate) is supported by the Climate Initiative of the BNP Paribas Foundation, the French Polar Institute (Institut Polaire Emile Victor), and the French program LEFE-CYBER of the CNRS-INSU. This work is part of the PhD thesis of Y.L. supported by the China Scholarship Council (CSC; NO. 201606330072).</t>
  </si>
  <si>
    <t>Amin SA, 2015, NATURE, V522, P98, DOI 10.1038/nature14488; Amin SA, 2012, MICROBIOL MOL BIOL R, V76, P667, DOI 10.1128/MMBR.00007-12; Amin SA, 2009, P NATL ACAD SCI USA, V106, P17071, DOI 10.1073/pnas.0905512106; Aminot A., 2007, DOSAGE AUTOMATIQUE N; [Anonymous], 2016, Vegan: Community Ecology Package (v. 2.5-7).; [Anonymous], 2014, BIOGEOSCIENCES DISCU; [Anonymous], APPL ENV MICROB; Arrieta JM, 2004, LIMNOL OCEANOGR, V49, P799, DOI 10.4319/lo.2004.49.3.0799; Assmy P, 2013, P NATL ACAD SCI USA, V110, P20633, DOI 10.1073/pnas.1309345110; Beier S, 2015, ENVIRON MICROBIOL, V17, P3466, DOI 10.1111/1462-2920.12434; BENNER R, 1993, MAR CHEM, V41, P153, DOI 10.1016/0304-4203(93)90113-3; Biddanda B, 1997, DEEP-SEA RES PT I, V44, P2069, DOI 10.1016/S0967-0637(97)00045-9; Blain S, 2007, NATURE, V446, P1070, DOI 10.1038/nature05700; Blazewicz SJ, 2013, ISME J, V7, P2061, DOI 10.1038/ismej.2013.102; Buchan A, 2014, NAT REV MICROBIOL, V12, P686, DOI 10.1038/nrmicro3326; Bunse C, 2017, TRENDS MICROBIOL, V25, P494, DOI 10.1016/j.tim.2016.12.013; Christaki U, 2014, BIOGEOSCIENCES, V11, P6739, DOI 10.5194/bg-11-6739-2014; Chun H, 2010, J R STAT SOC B, V72, P3, DOI 10.1111/j.1467-9868.2009.00723.x; Church MJ, 2000, APPL ENVIRON MICROB, V66, P455, DOI 10.1128/AEM.66.2.455-466.2000; Ciais P, 2014, CLIMATE CHANGE 2013: THE PHYSICAL SCIENCE BASIS, P465; Dadaglio L, 2019, AQUAT MICROB ECOL, V82, P59, DOI 10.3354/ame01883; Delmont TO, 2014, FRONT MICROBIOL, V5, DOI 10.3389/fmicb.2014.00646; Dinasquet J, 2017, ENVIRON MICROBIOL, V19, P2453, DOI 10.1111/1462-2920.13769; Ducklow HW, 2006, DEEP-SEA RES PT II, V53, P834, DOI 10.1016/j.dsr2.2006.02.009; Durham BP, 2015, P NATL ACAD SCI USA, V112, P453, DOI 10.1073/pnas.1413137112; Edgar R. C., 2016, BIORXIV, DOI [10.1101/081257, DOI 10.1101/081257]; Edgar RC, 2013, NAT METHODS, V10, P996, DOI [10.1038/NMETH.2604, 10.1038/nmeth.2604]; FLARDH K, 1992, J BACTERIOL, V174, P6780, DOI 10.1128/JB.174.21.6780-6788.1992; Fourquez M, 2015, BIOGEOSCIENCES, V12, P1893, DOI 10.5194/bg-12-1893-2015; Gilbert JA, 2012, ISME J, V6, P298, DOI 10.1038/ismej.2011.107; Guindon S, 2003, SYST BIOL, V52, P696, DOI 10.1080/10635150390235520; Hanson CA, 2012, NAT REV MICROBIOL, V10, P497, DOI 10.1038/nrmicro2795; Johnson WM, 2016, ISME J, V10, P2304, DOI 10.1038/ismej.2016.6; Katoh K, 2019, BRIEF BIOINFORM, V20, P1160, DOI 10.1093/bib/bbx108; KERKHOF L, 1993, APPL ENVIRON MICROB, V59, P1303, DOI 10.1128/AEM.59.5.1303-1309.1993; Klindworth A, 2014, MAR GENOM, V18, P185, DOI 10.1016/j.margen.2014.08.007; Landa M, 2016, ISME J, V10, P39, DOI 10.1038/ismej.2015.105; Lasbleiz M, 2016, FEMS MICROBIOL ECOL, V92, DOI 10.1093/femsec/fiw171; Legendre P, 2001, OECOLOGIA, V129, P271, DOI 10.1007/s004420100716; Lennon JT, 2011, NAT REV MICROBIOL, V9, P119, DOI 10.1038/nrmicro2504; Li DX, 2018, ENVIRON MICROBIOL, V20, P632, DOI 10.1111/1462-2920.13986; Lima-Mendez G, 2015, SCIENCE, V348, DOI 10.1126/science.1262073; Lindström ES, 2012, ENV MICROBIOL REP, V4, P1, DOI 10.1111/j.1758-2229.2011.00257.x; Luria CM, 2017, FRONT MICROBIOL, V8, DOI 10.3389/fmicb.2017.02117; Luria CM, 2016, FRONT MICROBIOL, V7, DOI 10.3389/fmicb.2016.01731; Malviya S, 2016, P NATL ACAD SCI USA, V113, pE1516, DOI 10.1073/pnas.1509523113; Marie D., 2000, SPRING LAB MAN, P421; Milici M, 2016, FRONT MICROBIOL, V7, DOI 10.3389/fmicb.2016.00649; Myklestad SM, 2000, HANDB ENVIRON CHEM, V5, P111; Needham DM, 2016, NAT MICROBIOL, V1, DOI [10.1038/nmicrobiol.2016.5, 10.1038/NMICROBIOL.2016.5]; Obernosterer I, 2015, BIOGEOSCIENCES, V12, P1983, DOI 10.5194/bg-12-1983-2015; Obernosterer I, 2008, DEEP-SEA RES PT II, V55, P777, DOI 10.1016/j.dsr2.2007.12.005; Paerl RW, 2017, ISME J, V11, P753, DOI 10.1038/ismej.2016.145; Parada AE, 2016, ENVIRON MICROBIOL, V18, P1403, DOI 10.1111/1462-2920.13023; POULSEN LK, 1993, APPL ENVIRON MICROB, V59, P1354, DOI 10.1128/AEM.59.5.1354-1360.1993; Quast C, 2013, NUCLEIC ACIDS RES, V41, pD590, DOI 10.1093/nar/gks1219; Quéguiner B, 2013, DEEP-SEA RES PT II, V90, P43, DOI 10.1016/j.dsr2.2012.07.024; Rembauville M, 2017, J GEOPHYS RES-OCEANS, V122, P8278, DOI 10.1002/2017JC013067; Rinta-Kanto JM, 2012, ENVIRON MICROBIOL, V14, P228, DOI 10.1111/j.1462-2920.2011.02602.x; Rohart F, 2017, PLOS COMPUT BIOL, V13, DOI 10.1371/journal.pcbi.1005752; Sallée JB, 2015, ICES J MAR SCI, V72, P1985, DOI 10.1093/icesjms/fsv069; Sarmento H, 2016, ISME J, V10, P2582, DOI 10.1038/ismej.2016.66; Sarmento H, 2012, ENVIRON MICROBIOL, V14, P2348, DOI 10.1111/j.1462-2920.2012.02787.x; Sheik CS, 2014, ENVIRON MICROBIOL, V16, P304, DOI 10.1111/1462-2920.12165; SINNOTT RW, 1984, SKY TELESCOPE, V68, P159; Smetacek V, 2004, ANTARCT SCI, V16, P541, DOI 10.1017/S0954102004002317; Sowell SM, 2009, ISME J, V3, P93, DOI 10.1038/ismej.2008.83; Swan BK, 2013, P NATL ACAD SCI USA, V110, P11463, DOI 10.1073/pnas.1304246110; Swan BK, 2011, SCIENCE, V333, P1296, DOI 10.1126/science.1203690; Tada Y, 2017, J EXP MAR BIOL ECOL, V495, P119, DOI 10.1016/j.jembe.2017.06.006; Teeling H, 2012, SCIENCE, V336, P608, DOI 10.1126/science.1218344; Thompson AW, 2012, SCIENCE, V337, P1546, DOI 10.1126/science.1222700; Uitz J, 2009, DEEP-SEA RES PT I, V56, P541, DOI 10.1016/j.dsr.2008.11.006; van Tol HM, 2017, ISME J, V11, P31, DOI 10.1038/ismej.2016.112; West NJ, 2008, ENVIRON MICROBIOL, V10, P738, DOI 10.1111/j.1462-2920.2007.01497.x; Wilkins D, 2013, NAT COMMUN, V4, DOI 10.1038/ncomms3457; Williams TJ, 2013, ENVIRON MICROBIOL, V15, P1302, DOI 10.1111/1462-2920.12017; Yooseph S, 2010, NATURE, V468, P60, DOI 10.1038/nature09530; Zehr JP, 2015, SCIENCE, V349, P1163, DOI 10.1126/science.aac9752; Zhou J, 2018, MICROB ECOL, V76, P592, DOI 10.1007/s00248-018-1150-z</t>
  </si>
  <si>
    <t>1462-2912</t>
  </si>
  <si>
    <t>1462-2920</t>
  </si>
  <si>
    <t>ENVIRON MICROBIOL</t>
  </si>
  <si>
    <t>Environ. Microbiol.</t>
  </si>
  <si>
    <t>10.1111/1462-2920.14579</t>
  </si>
  <si>
    <t>Microbiology</t>
  </si>
  <si>
    <t>HT2DI</t>
  </si>
  <si>
    <t>WOS:000464373000021</t>
  </si>
  <si>
    <t>Ramakreshnan, L; Aghamohammadi, N; Fong, CS; Ghaffarianhoseini, A; Wong, LP; Sulaiman, NM</t>
  </si>
  <si>
    <t>Ramakreshnan, Logaraj; Aghamohammadi, Nasrin; Fong, Chng Saun; Ghaffarianhoseini, Amirhosein; Wong, Li Ping; Sulaiman, Nik Meriam</t>
  </si>
  <si>
    <t>Empirical study on temporal variations of canopy-level Urban Heat Island effect in the tropical city of Greater Kuala Lumpur</t>
  </si>
  <si>
    <t>SUSTAINABLE CITIES AND SOCIETY</t>
  </si>
  <si>
    <t>Greater Kuala Lumpur; Monsoon; Temporal variations; Urban climate; Urban Heat Island; Urbanization</t>
  </si>
  <si>
    <t>LAND USE/LAND COVER; LOCAL CLIMATE ZONES; SURFACE-TEMPERATURE; SPATIAL VARIABILITY; WRF MODEL; IMPACT; AREA; URBANIZATION; INTENSITY; SIMULATION</t>
  </si>
  <si>
    <t>A very few studies have evaluated and understood the temporal dynamics of UHI in many expanding tropical cities. Hence, this study investigated the temporal variations of canopy-level UHI in selected urban stations, namely Petaling Jaya (PJ) and Subang (SUB), of Greater Kuala Lumpur (GKL) using 2016's hourly data set obtained from meteorological observatories. The association between meteorological factors and UHI Intensity (UHII) is evaluated using linear regression models and Pearson correlation analysis. The findings revealed positive thermal contrasts between urban and sub-urban stations with maximum UHII during dry, southwest monsoon season in PJ (June: 1.68 degrees C) and SUB (August 1.29 degrees C) stations respectively. PJ station exhibited a distinct diurnal cycle with the maximum nocturnal UHII of 1.71 degrees C at about 8 p.m. after sunset under ideal meteorological conditions. The results also demonstrated that UHI events occurred more frequently at nights in urban stations in the magnitude range of 0-2 degrees C. Cooling at all urban sites starts around 2-3 p.m. with the highest rate of 0.73 degrees C/h and 0.96 degrees C/h in PJ and SUB stations. Meanwhile, relative humidity displayed a low positive correlation (r = 0.37, p 0.05) and a high negative correlation (r = - 0.79, p &lt; 0.05) with UHII in PJ and SUB stations respectively. The influence of wind speed on UHII is weak (r = -0.44, p &lt; 0.05) in PJ station and strong (r = 0.83, p &lt; 0.05) in SUB station. Overall, this study can be regarded as one of the comprehensive observational investigations of canopy-level UHI in a tropical city that provide vital inputs to enrich the tropical urban climate literacy.</t>
  </si>
  <si>
    <t>[Ramakreshnan, Logaraj; Aghamohammadi, Nasrin; Fong, Chng Saun] Univ Malaya, Fac Med, Ctr Occupat &amp; Environm Hlth, Dept Social &amp; Prevent Med, Kuala Lumpur 50603, Malaysia; [Ghaffarianhoseini, Amirhosein] Auckland Univ Technol, Sch Engn Comp &amp; Math Sci, Dept Built Environm Engn, Auckland, New Zealand; [Aghamohammadi, Nasrin; Wong, Li Ping] Univ Malaya, Fac Med, Ctr Epidemiol &amp; Evidence Based Practice, Dept Social &amp; Prevent Med, Kuala Lumpur 50603, Malaysia; [Sulaiman, Nik Meriam] Univ Malaya, Fac Engn, Dept Chem Engn, Kuala Lumpur 50603, Malaysia</t>
  </si>
  <si>
    <t>Universiti Malaya; Auckland University of Technology; Universiti Malaya; Universiti Malaya</t>
  </si>
  <si>
    <t>Aghamohammadi, N (corresponding author), Univ Malaya, Fac Med, Ctr Occupat &amp; Environm Hlth, Dept Social &amp; Prevent Med, Kuala Lumpur 50603, Malaysia.</t>
  </si>
  <si>
    <t>nasrin@ummc.edu.my</t>
  </si>
  <si>
    <t>Ramakreshnan, Logaraj/AAG-8597-2019; WONG, Li Ping/B-2782-2010; Aghamohammadi, Nasrin/L-5822-2013; Sulaiman, Nik Meriam Nik/B-9244-2010; Fong, Chng Saun/P-5554-2017</t>
  </si>
  <si>
    <t>Ramakreshnan, Logaraj/0000-0001-7105-8435; WONG, Li Ping/0000-0002-0107-0532; Aghamohammadi, Nasrin/0000-0002-7063-1671; Fong, Chng Saun/0000-0002-7068-2284</t>
  </si>
  <si>
    <t>University of Malaya Grand Challenges Research Grant [GC002A-15SUS]</t>
  </si>
  <si>
    <t>University of Malaya Grand Challenges Research Grant</t>
  </si>
  <si>
    <t>The authors would like to express their sincere appreciation to Malaysian Meteorological Department (MetMalaysia) for providing the required data set for this study. The authors are grateful to Sustainable Science Cluster, University of Malaya as this work is financially supported by University of Malaya Grand Challenges Research Grant (GC002A-15SUS).</t>
  </si>
  <si>
    <t>Acero JA, 2013, THEOR APPL CLIMATOL, V113, P137, DOI 10.1007/s00704-012-0774-z; Aflaki A, 2017, CITIES, V62, P131, DOI 10.1016/j.cities.2016.09.003; Ahmed AQ, 2015, THEOR APPL CLIMATOL, V119, P493, DOI 10.1007/s00704-014-1122-2; Akasah ZA., 2014, Journal of Scientific Research and Development, V2, P53; Amanollahi J, 2016, ATMOS RES, V167, P175, DOI 10.1016/j.atmosres.2015.07.019; [Anonymous], 2010, Tenth Malaysia Plan 2011-2015.; Bassett R, 2016, Q J ROY METEOR SOC, V142, P2434, DOI 10.1002/qj.2836; Bejarán RA, 2003, THEOR APPL CLIMATOL, V74, P93, DOI 10.1007/s00704-002-0714-4; Bhati S, 2016, THEOR APPL CLIMATOL, V126, P385, DOI 10.1007/s00704-015-1589-5; Bottyán Z, 2003, THEOR APPL CLIMATOL, V75, P233, DOI 10.1007/s00704-003-0735-7; Buyadi SNA, 2013, PROCD SOC BEHV, V101, P516, DOI 10.1016/j.sbspro.2013.07.225; Buyadi SNA, 2013, PROCD SOC BEHV, V105, P547, DOI 10.1016/j.sbspro.2013.11.058; Camilloni I, 2012, THEOR APPL CLIMATOL, V107, P47, DOI 10.1007/s00704-011-0459-z; Ceplová N, 2017, LANDSCAPE URBAN PLAN, V159, P15, DOI 10.1016/j.landurbplan.2016.11.004; Chow WTL, 2006, INT J CLIMATOL, V26, P2243, DOI 10.1002/joc.1364; Chuen OC, 2014, SCI WORLD J, DOI 10.1155/2014/394587; Chun B, 2014, LANDSCAPE URBAN PLAN, V125, P76, DOI 10.1016/j.landurbplan.2014.01.016; Amorim MCDT, 2017, CLIMATE, V5, DOI 10.3390/cli5040091; de Lucena AJ, 2013, THEOR APPL CLIMATOL, V111, P497, DOI 10.1007/s00704-012-0668-0; Elsayed I.S., 2012, Journal of King Abdulaziz University, V23, P121, DOI DOI 10.4197/MET.23-2-8; Ezber Y, 2007, INT J CLIMATOL, V27, P667, DOI 10.1002/joc.1420; Fujibe F, 2011, INT J CLIMATOL, V31, P162, DOI 10.1002/joc.2142; Gedzelman SD, 2003, THEOR APPL CLIMATOL, V75, P29, DOI 10.1007/s00704-002-0724-2; Guo GH, 2015, LANDSCAPE URBAN PLAN, V135, P1, DOI 10.1016/j.landurbplan.2014.11.007; Hart M, 2009, THEOR APPL CLIMATOL, V95, P397, DOI 10.1007/s00704-008-0017-5; Hashim N., 2007, Journal-The Institution of Engineers, Malaysia, V68, P25; Ivajnsic D, 2014, APPL GEOGR, V53, P341, DOI 10.1016/j.apgeog.2014.07.001; Jarraud M., 2008, 8 WMO, P29, DOI DOI 10.25607/OBP-1528; Jauregui E., 1986, 652 WMO; Kim YH, 2005, J APPL METEOROL, V44, P591, DOI 10.1175/JAM2226.1; Kim YH, 2002, J APPL METEOROL, V41, P651, DOI 10.1175/1520-0450(2002)041&lt;0651:MUHIII&gt;2.0.CO;2; Klysik K, 1999, ATMOS ENVIRON, V33, P3885; Kolokotroni M, 2008, SOL ENERGY, V82, P986, DOI 10.1016/j.solener.2008.05.004; Kotharkar R, 2018, LANDSCAPE URBAN PLAN, V169, P92, DOI 10.1016/j.landurbplan.2017.08.009; Liu W, 2007, THEOR APPL CLIMATOL, V87, P213, DOI 10.1007/s00704-005-0192-6; Liu WD, 2009, THEOR APPL CLIMATOL, V96, P201, DOI 10.1007/s00704-008-0024-6; Masson V, 2006, THEOR APPL CLIMATOL, V84, P35, DOI 10.1007/s00704-005-0142-3; Mathew A, 2016, SUSTAIN CITIES SOC, V26, P264, DOI 10.1016/j.scs.2016.06.018; Memon RA, 2011, THEOR APPL CLIMATOL, V103, P441, DOI 10.1007/s00704-010-0310-y; Memon RA, 2010, J ENVIRON SCI-CHINA, V22, P1903, DOI 10.1016/S1001-0742(09)60337-5; Met Office, 2016, BEAUF WIND FORC SCAL; Mirzaei PA, 2015, SUSTAIN CITIES SOC, V19, P200, DOI 10.1016/j.scs.2015.04.001; Morris CJG, 2001, J APPL METEOROL, V40, P169, DOI 10.1175/1520-0450(2001)040&lt;0169:QOTIOW&gt;2.0.CO;2; Morris KI, 2017, APPL GEOGR, V79, P50, DOI 10.1016/j.apgeog.2016.12.007; Morris KI, 2016, URBAN CLIM, V16, P1, DOI 10.1016/j.uclim.2016.02.001; Morris KI, 2015, SUSTAIN CITIES SOC, V19, P359, DOI 10.1016/j.scs.2015.04.010; Mukaka MM, 2012, MALAWI MED J, V24, P69; Oke T.R, 2004, INITIAL GUIDANCE OBT; OKE TR, 1982, Q J ROY METEOR SOC, V108, P1, DOI 10.1002/qj.49710845502; OKE TR, 1991, BOUND-LAY METEOROL, V56, P339, DOI 10.1007/BF00119211; OKE TR, 1988, PROG PHYS GEOG, V12, P471, DOI 10.1177/030913338801200401; Ooi MCG, 2017, J GEOPHYS RES-ATMOS, V122, P11499, DOI 10.1002/2017JD026690; Othman M, 2016, IOP C SER EARTH ENV, V37, DOI 10.1088/1755-1315/37/1/012072; PARK HS, 1986, ATMOS ENVIRON, V20, P1859, DOI 10.1016/0004-6981(86)90326-4; Peel MC, 2007, HYDROL EARTH SYST SC, V11, P1633, DOI 10.5194/hess-11-1633-2007; Pólrolniczak M, 2017, THEOR APPL CLIMATOL, V127, P611, DOI 10.1007/s00704-015-1654-0; Ramakreshnan L, 2018, SUSTAIN CITIES SOC, V39, P99, DOI 10.1016/j.scs.2018.02.005; Salleh SA, 2013, PROCD SOC BEHV, V105, P840, DOI 10.1016/j.sbspro.2013.11.086; Sang JG, 2000, J WIND ENG IND AEROD, V87, P243, DOI 10.1016/S0167-6105(00)00040-4; SANI S, 1991, ENERG BUILDINGS, V15, P105, DOI 10.1016/0378-7788(90)90121-X; Sani S., 1984, Jurnal Teknologi, V5, P27; Sani S., 1972, W MALAYSIA AKAD, V1, P85; Sani S., 1986, TEMPERATURES KUALA L; Sani S., 1987, Urbanization and the atmospheric environment in the low tropics; Santamouris M, 2015, ENERG BUILDINGS, V91, P43, DOI 10.1016/j.enbuild.2015.01.027; Satari SZ, 2015, SAINS MALAYS, V44, P1521; Shaharuddin A., 2014, GJPAAS, V2, P01; Shaharuddin A., 2009, Geografia: Malaysian Journal of Society and Space, V5, P57; Siu LW, 2013, ENVIRON MONIT ASSESS, V185, P4383, DOI 10.1007/s10661-012-2876-6; [Solomon S. Intergovernmental Panel of Climate Chaange (IPCC) Intergovernmental Panel of Climate Chaange (IPCC)], 2007, Contribution of Working Group I to the Fourth Assessment Report of the IPCC, P1056; Stewart ID, 2012, B AM METEOROL SOC, V93, P1879, DOI 10.1175/BAMS-D-11-00019.1; Thani SKSO, 2013, PROCD SOC BEHV, V85, P356, DOI 10.1016/j.sbspro.2013.08.365; The Star, 2016, THE STAR 0604; UN (United Nations), 2016, UN DAIL NEWS 2016 PA; van Hove LWA, 2015, BUILD ENVIRON, V83, P91, DOI 10.1016/j.buildenv.2014.08.029; Velazquez-Lozada A, 2006, ATMOS ENVIRON, V40, P1731, DOI 10.1016/j.atmosenv.2005.09.074; Voogt JA, 2003, REMOTE SENS ENVIRON, V86, P370, DOI 10.1016/S0034-4257(03)00079-8; Wang J, 2016, APPL GEOGR, V70, P26, DOI 10.1016/j.apgeog.2016.02.010; Wong PPY, 2016, BUILD ENVIRON, V95, P199, DOI 10.1016/j.buildenv.2015.09.024; Yang B, 2012, ASIA-PAC J ATMOS SCI, V48, P227, DOI 10.1007/s13143-012-0023-5; Yusuf YA, 2014, J INDIAN SOC REMOTE, V42, P829, DOI 10.1007/s12524-013-0342-8; Zhang H, 2013, APPL GEOGR, V44, P121, DOI 10.1016/j.apgeog.2013.07.021; Zhou LM, 2004, P NATL ACAD SCI USA, V101, P9540, DOI 10.1073/pnas.0400357101</t>
  </si>
  <si>
    <t>2210-6707</t>
  </si>
  <si>
    <t>2210-6715</t>
  </si>
  <si>
    <t>SUSTAIN CITIES SOC</t>
  </si>
  <si>
    <t>Sust. Cities Soc.</t>
  </si>
  <si>
    <t>10.1016/j.scs.2018.10.039</t>
  </si>
  <si>
    <t>Construction &amp; Building Technology; Green &amp; Sustainable Science &amp; Technology; Energy &amp; Fuels</t>
  </si>
  <si>
    <t>Construction &amp; Building Technology; Science &amp; Technology - Other Topics; Energy &amp; Fuels</t>
  </si>
  <si>
    <t>HC4DZ</t>
  </si>
  <si>
    <t>WOS:000451754200060</t>
  </si>
  <si>
    <t>Mazeikiene, N; Norkute, O</t>
  </si>
  <si>
    <t>Mazeikiene, Natalija; Norkute, Odeta</t>
  </si>
  <si>
    <t>TOWARD A NEW ENERGY PARADIGM IN GEOGRAPHY: REVISITING THE CURRICULUM AND TEACHING PRACTICES</t>
  </si>
  <si>
    <t>JOURNAL OF EDUCATION CULTURE AND SOCIETY</t>
  </si>
  <si>
    <t>energy geography; energy literacy; geography curriculum; geography textbooks; nuclear energy; school geography</t>
  </si>
  <si>
    <t>LITERACY</t>
  </si>
  <si>
    <t>Aim. The aim of the article is to investigate how energy topics are presented in the geography curriculum in Lithuania and how school geography becomes an educational response to the current global challenges related to energy production and consumption. Methods. The article presents research using several methods: review of literature on energy geography and energy literacy, analysis of Lithuanian national curriculum for geography, content analysis of 32 geography textbooks for forms 6-12, expert interviews with 9 geography teachers. Results. The empirical research reveals that the national curriculum and textbooks still represent the old energy paradigm with a profound focus on fossil fuel and nuclear energy resources. Meanwhile, the new energy paradigm is realised in the teaching of experienced and qualified teachers who, in addition to the new green energy economy, emphasise environmental and social issues of energy use. Conclusions. The conclusions include observations on necessary changes in teaching energy geography: on the one hand, by revising the formal curriculum and textbooks and integrating concepts of energy literature and new energy developments; on the other hand, by initiating changes in primary and continuous teacher education. Professional development of teachers could include new energy topics, new teaching and learning sources (political debates in media, TV, strategic energy development documents), new teaching and learning strategies and methods.</t>
  </si>
  <si>
    <t>[Mazeikiene, Natalija] Vytautas Magnus Univ, Fac Social Sci, Jonavos Str 66, LT-44191 Kaunas, Lithuania; [Norkute, Odeta] Vytautas Magnus Univ, Educ Acad, Inst Educ Res, Jonavos Str 66, LT-44191 Kaunas, Lithuania</t>
  </si>
  <si>
    <t>Vytautas Magnus University; Vytautas Magnus University</t>
  </si>
  <si>
    <t>Mazeikiene, N (corresponding author), Vytautas Magnus Univ, Fac Social Sci, Jonavos Str 66, LT-44191 Kaunas, Lithuania.</t>
  </si>
  <si>
    <t>natalija.mazeikiene@vdu.lt; odeta.norkute@vdu.lt</t>
  </si>
  <si>
    <t>Mazeikiene, Natalija/AAA-1845-2020</t>
  </si>
  <si>
    <t>Mazeikiene, Natalija/0000-0001-8029-4907; Norkute, Odeta/0000-0001-7265-8029</t>
  </si>
  <si>
    <t>European Regional Development Fund [01.2.2-LMT-K-718, 01.2.2 -LMT-K-718-01-0084/232]</t>
  </si>
  <si>
    <t>European Regional Development Fund(European Union (EU))</t>
  </si>
  <si>
    <t>This article presents findings of the research project 'The Didactical Technology for the Development of Nuclear Educational Tourism in the Ignalina Nuclear Power Plant (INPP) Region (EDUATOM)'. This research is funded by the European Regional Development Fund according to the supported activity 'Research Projects Implemented by World -class Researcher Groups' under Measure No. 01.2.2-LMT-K-718 grant (No. 01.2.2 -LMT-K-718-01-0084/232).</t>
  </si>
  <si>
    <t>Bodzin A, 2012, INT J SCI EDUC, V34, P1255, DOI 10.1080/09500693.2012.661483; Calvert K, 2016, PROG HUM GEOG, V40, P105, DOI 10.1177/0309132514566343; Day T, 2012, PROG PHYS GEOG, V36, P305, DOI 10.1177/0309133312442521; DeWaters J, 2013, J ENVIRON EDUC, V44, P56, DOI 10.1080/00958964.2012.682615; Gilbert JK, 2006, INT J SCI EDUC, V28, P957, DOI 10.1080/09500690600702470; Graybill JK, 2016, J GEOGR HIGHER EDUC, V40, P55, DOI 10.1080/03098265.2015.1089474; Huber M, 2016, J GEOGR HIGHER EDUC, V40, P77, DOI 10.1080/03098265.2015.1089476; Nilsson P, 2010, EDUC STUD MATH, V74, P241, DOI 10.1007/s10649-010-9236-7; Solomon B.D., 2004, Geography in America at the Dawn of the 21st Century; Thoyre A, 2016, J GEOGR HIGHER EDUC, V40, P31, DOI 10.1080/03098265.2016.1132539; van der Horst D, 2016, J GEOGR HIGHER EDUC, V40, P67, DOI 10.1080/03098265.2015.1089477; Vidurinio ugdymo bendrosios programos: socialinis ugdymas, 2010, VIDURINIO UGDYMO BEN</t>
  </si>
  <si>
    <t>UNIV WROCLAW</t>
  </si>
  <si>
    <t>WROCLAW</t>
  </si>
  <si>
    <t>INST PEDAGOGY, UNIV WROCLAW REDYCKA 37, WROCLAW, 59-169, POLAND</t>
  </si>
  <si>
    <t>2081-1640</t>
  </si>
  <si>
    <t>J EDUC CULT SOC</t>
  </si>
  <si>
    <t>J. Educ. Cult. Soc.</t>
  </si>
  <si>
    <t>10.15503/jecs2021.1.131.150</t>
  </si>
  <si>
    <t>SU7LL</t>
  </si>
  <si>
    <t>WOS:000663313900010</t>
  </si>
  <si>
    <t>Herrmann, MR; Brumby, DP; Oreszczyn, T</t>
  </si>
  <si>
    <t>Herrmann, Melanie R.; Brumby, Duncan P.; Oreszczyn, Tadj</t>
  </si>
  <si>
    <t>Watts your usage? A field study of householders' literacy for residential electricity data</t>
  </si>
  <si>
    <t>Electricity feedback; Behavior change; Energy literacy; Data visualization; Disaggregation</t>
  </si>
  <si>
    <t>REPRESENTATIONS; DIAGRAMS</t>
  </si>
  <si>
    <t>Smart metering studies typically focus on quantifying behavior change. However, little is known about how users understand energy information and analyze and interpret feedback from energy data visualizations. To investigate this, we gave 13 participants from nine UK households an electricity power clamp meter. Prior to installing and using the device, we conducted interviews with participants to gauge their understanding of their home electricity consumption and found that participants varied considerably from limited to substantial energy literacy. Two weeks after the clamp meter had been installed, we conducted a contextual inquiry in which we asked participants to explain the web-based time series visualization of their recorded electricity data. We found that the visualization proved unfit: participants relied on memories and suggested likely routines, while widely being unable to reliably identify specific events in the data visualization. In follow-up interviews 3months later, we found that participants' understanding of their home electricity consumption had hardly changed. Finally, we invited participants to generate ideas how smart electricity feedback could be optimized. They named different forms of disaggregation, higher temporal resolution, and interactivity as design requirements. In summary, these results suggest that people find home energy data very difficult to understand and link to everyday actions and behaviors.</t>
  </si>
  <si>
    <t>[Herrmann, Melanie R.; Brumby, Duncan P.] UCL, Fac Engn, Dept Comp Sci, Interact Ctr, 66-72 Gower St, London WC1E B 6BT, England; [Oreszczyn, Tadj] UCL, Fac Built Environm, Bartlett Sch Environm Energy &amp; Resources, Energy Inst, 14 Upper Woburn Pl, London WC1H 0NN, England</t>
  </si>
  <si>
    <t>University of London; University College London; University of London; University College London</t>
  </si>
  <si>
    <t>Herrmann, MR (corresponding author), UCL, Fac Engn, Dept Comp Sci, Interact Ctr, 66-72 Gower St, London WC1E B 6BT, England.</t>
  </si>
  <si>
    <t>melanie.herrmann.14@ucl.ac.uk</t>
  </si>
  <si>
    <t>EPSRC; EDF Energy RD UK</t>
  </si>
  <si>
    <t>EPSRC(UK Research &amp; Innovation (UKRI)Engineering &amp; Physical Sciences Research Council (EPSRC)); EDF Energy RD UK</t>
  </si>
  <si>
    <t>This work is supported by EPSRC and EDF Energy R&amp;D UK. We would like to thank Rayoung Yang for comments that greatly improved the manuscript.</t>
  </si>
  <si>
    <t>Alvarez P, 2009, REV PSICODIDACT, V14, P245; [Anonymous], 1993, Participatory Design: Principles and Practice; [Anonymous], THESIS; [Anonymous], THESIS; Aronson J., 1995, The Qualitative Report, V2, P1, DOI 10.46743/2160-3715/1995.2069; Baur D., 2012, Proceedings of the 2012 ACM international conference on Interactive tabletops and surfaces, P255; Blandford A, 2004, INT J HUM-COMPUT ST, V61, P421, DOI 10.1016/j.ijhcs.2003.12.012; Blandford Ann, 2016, Synthesis Lectures on Human-Centered Informatics, DOI [DOI 10.1007/978-3-031-02217-3, 10.2200/S00706ED1V01Y201602HCI034, DOI 10.2200/S00706ED1V01Y201602HCI034]; Boy J, 2014, IEEE T VIS COMPUT GR, V20, P1963, DOI 10.1109/TVCG.2014.2346984; Braun V, 2006, QUAL RES PSYCHOL, V3, P77, DOI [DOI 10.1191/1478088706QP063OA, 10.1191/1478088706qp063oa]; Brewer S. R., 2013, THESIS; Buxton B., 2007, SKETCHING USER EXPER; Cheng PCH, 2014, J VISUAL LANG COMPUT, V25, P170, DOI 10.1016/j.jvlc.2013.08.008; Cheng PCH, 2011, TOP COGN SCI, V3, P475, DOI 10.1111/j.1756-8765.2009.01065.x; Chisik Y, 2011, LECT NOTES COMPUT SC, V6949, P100, DOI 10.1007/978-3-642-23768-3_9; CLEVELAND WS, 1984, J AM STAT ASSOC, V79, P531, DOI 10.2307/2288400; Costanza E., 2012, UNDERSTANDING DOMEST, DOI [10.1145/2370216.2370251, DOI 10.1145/2370216.2370251]; Darby S., 2006, A Review for DEFRA of the Literature on Metering, Billing and direct Displays; Department of Energy and Climate Change DECC, 2012, SMART MET EQ TECHN S; DeWaters J., 2007, AGE, V12, P1; DeWaters JE, 2011, ENERG POLICY, V39, P1699, DOI 10.1016/j.enpol.2010.12.049; Ehrhardt-Martinez K., 2010, Energy, P202; Ellegård K, 2011, APPL ENERG, V88, P1920, DOI 10.1016/j.apenergy.2010.11.019; Epstein DA, 2015, PROCEEDINGS OF THE 2015 ACM INTERNATIONAL JOINT CONFERENCE ON PERVASIVE AND UBIQUITOUS COMPUTING (UBICOMP 2015), P731, DOI 10.1145/2750858.2804250; Fischer C, 2008, ENERG EFFIC, V1, P79, DOI 10.1007/s12053-008-9009-7; Fischer J. E., 2016, JUST WHACK IT IT GET; Froehlich JE, 2014, PROCEEDINGS OF THE 2014 ACM INTERNATIONAL JOINT CONFERENCE ON PERVASIVE AND UBIQUITOUS COMPUTING (UBICOMP'14 ADJUNCT), P673, DOI 10.1145/2638728.2641315; FRY E, 1981, J READING, V24, P383; Gabe-Thomas E, 2016, PLOS ONE, V11, DOI 10.1371/journal.pone.0158949; Galesic M, 2011, MED DECIS MAKING, V31, P444, DOI 10.1177/0272989X10373805; Greenberg Saul, 2012, Interactions, V19, P64, DOI 10.1145/2065327.2065340; Harrison D, 2015, PROCEEDINGS OF THE 2015 ACM INTERNATIONAL JOINT CONFERENCE ON PERVASIVE AND UBIQUITOUS COMPUTING (UBICOMP 2015), P617, DOI 10.1145/2750858.2805832; Hekler E. B., 2013, Proceedings of the SIGCHI Conference on Human Factors in Computing Systems-CHI 13, P3307, DOI [DOI 10.1145/2470654, DOI 10.1145/2470654.2466452, 10.1145/2470654]; Hofman H., 1980, School Science and Mathematics, V80, P467; Kelly J., 2016, IS DISAGGREGAT UNPUB; Kirsh D, 2010, AI SOC, V25, P441, DOI 10.1007/s00146-010-0272-8; LARKIN JH, 1987, COGNITIVE SCI, V11, P65, DOI 10.1016/S0364-0213(87)80026-5; Lazar A, 2015, PROCEEDINGS OF THE 2015 ACM INTERNATIONAL JOINT CONFERENCE ON PERVASIVE AND UBIQUITOUS COMPUTING (UBICOMP 2015), P635, DOI 10.1145/2750858.2804288; Lewis C., 1993, TASK CENTERED USER I; Li I, 2010, CHI2010: PROCEEDINGS OF THE 28TH ANNUAL CHI CONFERENCE ON HUMAN FACTORS IN COMPUTING SYSTEMS, VOLS 1-4, P557; Munzner T, 2014, VISUALIZATION ANAL D; Murugesan L. K., 2014, INT J INNOVATIVE RES, V3, P2725; Pereira L., 2013, Understanding the limitations of eco-feedback: a one-year long-term study; Pinker S., 1990, Artif. Intell. Future Testing, V73, P73; PROCHASKA JO, 1994, HEALTH EDUC QUART, V21, P471, DOI 10.1177/109019819402100410; Rego Teixeira A, 2014, SMART METERING SUISS; Roberts S, 2003, IMPROVING CONSUMER F; Rooksby J, 2014, 32ND ANNUAL ACM CONFERENCE ON HUMAN FACTORS IN COMPUTING SYSTEMS (CHI 2014), P1163, DOI 10.1145/2556288.2557039; Sokoloski R, 2015, DISAGGREGATED ELECTR; Tong X., 2015, PERSONAL VISUALIZATI, P1; Tufte E. R., 1985, TLS-TIMES LIT SUPPL, V7; Tversky B, 2008, LECT NOTES ARTIF INT, V5223, P242, DOI 10.1007/978-3-540-87730-1_23; Wallenborn G, 2011, INT J CONSUM STUD, V35, P146, DOI 10.1111/j.1470-6431.2010.00985.x; Walny J, 2015, COMPUT GRAPH FORUM, V34, P231, DOI 10.1111/cgf.12635; Yang R, 2014, 32ND ANNUAL ACM CONFERENCE ON HUMAN FACTORS IN COMPUTING SYSTEMS (CHI 2014), P823, DOI 10.1145/2556288.2557380; Yun T. J., 2010, ACEEE SUMMER STUDY E; ZHANG JJ, 1994, COGNITIVE SCI, V18, P87, DOI 10.1207/s15516709cog1801_3</t>
  </si>
  <si>
    <t>10.1007/s12053-017-9555-y</t>
  </si>
  <si>
    <t>GX8MJ</t>
  </si>
  <si>
    <t>WOS:000448039600011</t>
  </si>
  <si>
    <t>Cloke, J; Mohr, A; Brown, E</t>
  </si>
  <si>
    <t>Cloke, Jonathan; Mohr, Alison; Brown, Ed</t>
  </si>
  <si>
    <t>Imagining renewable energy: Towards a Social Energy Systems approach to community renewable energy projects in the Global South</t>
  </si>
  <si>
    <t>Renewable energy; Energy literacy; Community energy; Global South; RETs; Sociotechnical transitions; SE4All</t>
  </si>
  <si>
    <t>RURAL ELECTRIFICATION EXPERIENCES; ECONOMIC-GROWTH; SOCIOTECHNICAL IMAGINARIES; POWER; TRANSITIONS; DESIGN; ACCESS; IMPLEMENTATION; PERSPECTIVE; TECHNOLOGY</t>
  </si>
  <si>
    <t>Rural community energy projects in the Global South have too frequently been framed within a top-down technologically-driven framework that limits their ability to provide sustainable solutions to energy poverty and improving livelihoods. This framing is linked to how energy interventions are being imagined and constructed by key actors in the sector, via particular sociotechnical imaginaries through which a set of increasingly universalised energy futures for rural communities is prescribed. Projects are too frequently reverse-engineered through the lens of particular combinations of technologies, financial models and delivery mechanisms, rather than by attending to the particular energy needs/aspirations of individual communities. Assumptions over the association between energy access and livelihood enhancement have also reinforced a technocratic determination of appropriate system scale and a search for universalised 'scaleable' delivery models. There is, however, no necessary causation between scaleability and outcomes - appropriate implementation scales are not purely determined by technical or financial considerations, rather it is the social scale via which optimum forms of local participation and ownership can be achieved. To operationalise this concern for social space we propose a Social Energy Systems (SES) approach that is advanced via exploration of the interactions between three distinct but mutually edifying variants of energy literacy - energy systems literacy, project community literacy and political literacy.</t>
  </si>
  <si>
    <t>[Cloke, Jonathan; Brown, Ed] Loughborough Univ, Dept Geog, Loughborough LE11 3TU, Leics, England; [Mohr, Alison] Univ Nottingham, Inst Sci &amp; Soc, Sch Sociol Social Policy, Nottingham, England</t>
  </si>
  <si>
    <t>Loughborough University; University of Nottingham</t>
  </si>
  <si>
    <t>Brown, E (corresponding author), Loughborough Univ, Dept Geog, Loughborough LE11 3TU, Leics, England.</t>
  </si>
  <si>
    <t>e.d.brown@lboro.ac.uk</t>
  </si>
  <si>
    <t>Brown, Edward/0000-0002-0722-9348; Mohr, Alison/0000-0002-9297-6021</t>
  </si>
  <si>
    <t>Leverhulme Trust under the Making Science Public: Challenges and Opportunities grant [RP2011-SP-013]; Engineering and Physical Sciences Research Council (EPSRC); Department for International Development (DFID) under Understanding Sustainable Energy Solutions (USES) programme; Department of Energy and Climate Change (DECC) under Understanding Sustainable Energy Solutions (USES) programme [EP/L002612/1]; EPSRC [EP/L002612/1] Funding Source: UKRI; Divn Of Social and Economic Sciences; Direct For Social, Behav &amp; Economic Scie [1257246] Funding Source: National Science Foundation</t>
  </si>
  <si>
    <t>Leverhulme Trust under the Making Science Public: Challenges and Opportunities grant; Engineering and Physical Sciences Research Council (EPSRC)(UK Research &amp; Innovation (UKRI)Engineering &amp; Physical Sciences Research Council (EPSRC)); Department for International Development (DFID) under Understanding Sustainable Energy Solutions (USES) programme; Department of Energy and Climate Change (DECC) under Understanding Sustainable Energy Solutions (USES) programme; EPSRC(UK Research &amp; Innovation (UKRI)Engineering &amp; Physical Sciences Research Council (EPSRC)); Divn Of Social and Economic Sciences; Direct For Social, Behav &amp; Economic Scie(National Science Foundation (NSF)NSF - Directorate for Social, Behavioral &amp; Economic Sciences (SBE))</t>
  </si>
  <si>
    <t>This work was supported by the Leverhulme Trust under the Making Science Public: Challenges and Opportunities grant (RP2011-SP-013) and the Engineering and Physical Sciences Research Council (EPSRC), the Department for International Development (DFID) and the Department of Energy and Climate Change (DECC) [grant number EP/L002612/1] under the jointly-funded Understanding Sustainable Energy Solutions (USES) programme.</t>
  </si>
  <si>
    <t>Ahlborg H, 2015, ENERGY RES SOC SCI, V5, P20, DOI 10.1016/j.erss.2014.12.017; Akinlo AE, 2009, J POLICY MODEL, V31, P681, DOI 10.1016/j.jpolmod.2009.03.004; Alfaro J, 2014, RENEW SUST ENERG REV, V30, P903, DOI 10.1016/j.rser.2013.11.017; [Anonymous], 2013, WHICH PUBLICS EXPLOR; [Anonymous], 2006, STATES KNOWLEDGE COP; [Anonymous], 61 STEPS CTR; [Anonymous], 2011, 42 OPHI; [Anonymous], 2007, Policy Research Working Paper, WPS4436; [Anonymous], 2011, RENEWABLES 2011 GLOB, P115; Baker L, 2014, NEW POLIT ECON, V19, P791, DOI 10.1080/13563467.2013.849674; Barua D., 2008, GRAMEEN SHAKTI INTEG; Berkhout F, 2010, ENVIRON SCI POLICY, V13, P261, DOI 10.1016/j.envsci.2010.03.010; Bhattacharyya S., 2016, EC MODELING ANAL POL; Bhattacharyya SC, 2016, ENERG POLICY, V94, P166, DOI 10.1016/j.enpol.2016.04.010; Blunck M, 2007, THESIS; Brew-Hammond A, 2010, ENERG POLICY, V38, P2291, DOI 10.1016/j.enpol.2009.12.016; Bridge G, 2013, ENERG POLICY, V53, P331, DOI 10.1016/j.enpol.2012.10.066; Brown E., 2015, GOVERNANCE DECENTRAL; Brown E, 2017, PROG DEV STUD, V17, DOI 10.1177/1464993416688790; Bryan J., 2002, DECENTRALISED CONTRO; Bulkeley H, 2005, POLIT GEOGR, V24, P875, DOI 10.1016/j.polgeo.2005.07.002; Burke A., 2011, POLITICAL EC RENEWAB; Byrne R. P, 2011, THESIS; Chattopadhyay Debabrata, 2015, Electricity Journal, V28, P41, DOI 10.1016/j.tej.2015.03.009; Chaurey A, 2010, ENERG POLICY, V38, P3118, DOI 10.1016/j.enpol.2010.01.052; CHIKOFSKY EJ, 1990, IEEE SOFTWARE, V7, P13, DOI 10.1109/52.43044; Coenen L, 2012, RES POLICY, V41, P968, DOI 10.1016/j.respol.2012.02.014; Cook P, 2011, ENERGY SUSTAIN DEV, V15, P304, DOI 10.1016/j.esd.2011.07.008; Díaz P, 2011, ENERGY, V36, P2509, DOI 10.1016/j.energy.2011.01.043; Eaton WM, 2014, RURAL SOCIOL, V79, P227, DOI 10.1111/ruso.12027; GAILEY A, 1989, FOLKLORE, V100, P143, DOI 10.1080/0015587X.1989.9715762; Geels FW, 2011, ENVIRON INNOV SOC TR, V1, P24, DOI 10.1016/j.eist.2011.02.002; Geels FW, 2002, RES POLICY, V31, P1257, DOI 10.1016/S0048-7333(02)00062-8; Goldthau A, 2012, GLOB POLICY, V3, P198, DOI 10.1111/j.1758-5899.2011.00145.x; Gunningham N, 2013, ENERG POLICY, V54, P184, DOI 10.1016/j.enpol.2012.11.018; Hackett M., 2011, OUTSKIRTS ONLINE J, V25; Hess DJ, 2005, SCI TECHNOL HUM VAL, V30, P515, DOI 10.1177/0162243905276499; Hirsch E.D., 1988, Cultural literacy: What every American needs to know; Holland R., 2002, DECENTRALISED RURAL; Hoque SMN, 2013, J RENEW SUSTAIN ENER, V5, DOI 10.1063/1.4812993; IDCOL, 2011, SOL HOM SYST MOD OFF; IED, 2013, ID GAPS BUILD EV BAS; Islam MS., 2011, J Chem Eng, V26, P9; Jacobson A, 2007, WORLD DEV, V35, P144, DOI 10.1016/j.worlddev.2006.10.001; Jasanoff S, 2013, SCI CULT-UK, V22, P189, DOI 10.1080/09505431.2013.786990; Jasanoff S, 2009, MINERVA, V47, P119, DOI 10.1007/s11024-009-9124-4; Kandpal TC, 1998, RENEW ENERG, V14, P393, DOI 10.1016/S0960-1481(98)00095-0; Kaundinya DP, 2009, RENEW SUST ENERG REV, V13, P2041, DOI 10.1016/j.rser.2009.02.002; Kirubi C, 2009, WORLD DEV, V37, P1208, DOI 10.1016/j.worlddev.2008.11.005; Laufer D, 2011, ENERGY SUSTAIN DEV, V15, P330, DOI 10.1016/j.esd.2011.07.002; Leach M., 2007, Pathways to Sustainability: an overview of the STEPS Centre approach; Lehtonen M, 2009, ENERG CLIM ENVIRON, P103; Makhabane T., 2002, Gender and Development, V10, P84, DOI DOI 10.1080/13552070215909; Mala K, 2009, RENEW ENERG, V34, P358, DOI 10.1016/j.renene.2008.05.013; Meadowcroft J, 2009, POLICY SCI, V42, P323, DOI 10.1007/s11077-009-9097-z; Miller CA, 2015, ENERGY RES SOC SCI, V5, P67, DOI 10.1016/j.erss.2014.12.013; Mondal MAH, 2010, ENERG POLICY, V38, P4626, DOI 10.1016/j.enpol.2010.04.018; Murphy D.J., 2014, Scaling up access to electricity : the case of lighting Africa; Mustonen SM, 2010, ENERG POLICY, V38, P1040, DOI 10.1016/j.enpol.2009.10.056; Newell P, 2016, GEOFORUM, V74, P39, DOI 10.1016/j.geoforum.2016.05.009; Nordman B., 2013, NANOGRIDS EVOLVING O; Ockwell D., 2016, Sustainable energy for all: Innovation, technology and pro-poor green transformations; Odhiambo NM, 2009, ENERG ECON, V31, P635, DOI 10.1016/j.eneco.2009.01.005; Organisation for Economic Co-operation and Development (OECD)/International Energy Agency (IEA), 2011, OECD GREEN GROWTH ST; Palit D, 2013, ENERGY SUSTAIN DEV, V17, P270, DOI 10.1016/j.esd.2013.01.002; Palit D, 2011, ENERGY SUSTAIN DEV, V15, P266, DOI 10.1016/j.esd.2011.07.004; Pape H., 2013, IDENTIFYING GAPS BUI; Rezende MAP, 2014, VERNACULAR HERITAGE AND EARTHEN ARCHITECTURE: CONTRIBUTIONS FOR SUSTAINABLE DEVELOPMENT, P147; Rip A., 1998, HUMAN CHOICE CLIMATE, V2; Rolffs P, 2015, ENVIRON PLANN A, V47, P2609, DOI 10.1177/0308518X15615368; Schäfer M, 2011, ENERGY SUSTAIN DEV, V15, P324, DOI 10.1016/j.esd.2011.07.001; Schot J, 2008, TECHNOL ANAL STRATEG, V20, P537, DOI 10.1080/09537320802292651; Scott A., 2012, ODI DEV PROGR BLOG; SIYAMBALAPITIYA DJT, 1991, IEEE T POWER SYST, V6, P332, DOI 10.1109/59.131080; Smith A., 2007, J ENVIRON POL PLAN, V9, P351, DOI [DOI 10.1080/15239080701622873, 10.1080/15239080701622873]; Smits M, 2010, ENERG POLICY, V38, P116, DOI 10.1016/j.enpol.2009.08.058; Sovacool BK, 2012, ENERG ENVIRON SCI, V5, P9157, DOI 10.1039/c2ee22468b; Sovacool BK, 2012, ENERGY SUSTAIN DEV, V16, P272, DOI 10.1016/j.esd.2012.05.006; Sovacool BK, 2011, ENERGY, V36, P4445, DOI 10.1016/j.energy.2011.03.077; Stirling A, 2008, SCI TECHNOL HUM VAL, V33, P262, DOI 10.1177/0162243907311265; Ulsrud K, 2015, ENERGY RES SOC SCI, V5, P34, DOI 10.1016/j.erss.2014.12.009; Ulsrud K, 2011, ENERGY SUSTAIN DEV, V15, P293, DOI 10.1016/j.esd.2011.06.004; Wamukonya N., 2001, Energy for Sustainable Development, V5, P5, DOI DOI 10.1016/S0973-0826(08)60272-0; Watson J., 2012, What are the major barriers to increased use of modern energy services among the world's poorest people, and are interventions to overcome these effective?; Welle-Strand A, 2012, ENERGY SUSTAIN DEV, V16, P26, DOI 10.1016/j.esd.2011.11.001; Wolde-Rufael Y, 2006, ENERG POLICY, V34, P1106, DOI 10.1016/j.enpol.2004.10.008; Wolde-Rufael Y, 2005, J POLICY MODEL, V27, P891, DOI 10.1016/j.jpolmod.2005.06.003; Wolde-Rufael Y, 2009, ENERG ECON, V31, P217, DOI 10.1016/j.eneco.2008.11.005; Wyman O., 2014, WORLD ENERGY TRILEMM; Yadoo A, 2010, ENERG POLICY, V38, P2941, DOI 10.1016/j.enpol.2010.01.031</t>
  </si>
  <si>
    <t>10.1016/j.erss.2017.06.023</t>
  </si>
  <si>
    <t>FL6BH</t>
  </si>
  <si>
    <t>WOS:000414329700030</t>
  </si>
  <si>
    <t>Meira, D; Guerra-Mota, M; Cunha, R</t>
  </si>
  <si>
    <t>Soares, I; Silva, S</t>
  </si>
  <si>
    <t>Meira, Deolinda; Guerra-Mota, Marta; Cunha, Ricardo</t>
  </si>
  <si>
    <t>Energy communities in cooperative form as an ideal scenario in the fight against energy poverty</t>
  </si>
  <si>
    <t>TECHNOLOGIES, MARKETS AND POLICIES: BRINGING TOGETHER ECONOMICS AND ENGINEERING</t>
  </si>
  <si>
    <t>ICEE International Conference on Energy &amp; Environment</t>
  </si>
  <si>
    <t>5th International Conference on Energy and Environment - bringing together Economics and Engineering (ICEE)</t>
  </si>
  <si>
    <t>JUN 02-03, 2022</t>
  </si>
  <si>
    <t>Univ Porto, Sch Econ, Porto, PORTUGAL</t>
  </si>
  <si>
    <t>Univ Porto, Sch Econ</t>
  </si>
  <si>
    <t>Cooperatives; Energy communities; Energy Poverty</t>
  </si>
  <si>
    <t>It is estimated that around 760 million people worldwide do not have access to electricity and that approximately two billion people do not have clean energy for cooking. The awareness of this reality has formally awakened the interest of the European Union, which, over the last decade, has produced a set of directives in which it establishes a set of measures and policies to be implemented by its Member States to combat and mitigate energy poverty. The primary objective of this study is to assess to what extent and in which way the cooperative energy communities can contribute to the fight against energy poverty. To achieve this goal, a case study was conducted on Coopernico Cooperative, a social economy entity, operating in the energy sector. The results show that the role of Coopernico in decreasing energy poverty is significant, through the promotion of decentralized renewable energy production, in partnership with several Private Institutions of Social Solidarity, which in most cases, have scarce financial resources. It is also noteworthy, the contribution the cooperative gives to the community by implementing and disseminating programs to support energy literacy and thus materializes its action on strategic principle in cooperatives, as education, training, and information.</t>
  </si>
  <si>
    <t>[Meira, Deolinda; Guerra-Mota, Marta] ISCAP Polytech Porto, CEOS IPP, Porto, Portugal; [Guerra-Mota, Marta] Univ Maia, Dept Management Sci, Maia, Portugal</t>
  </si>
  <si>
    <t>Universidade do Porto; Centre for Organisational &amp; Social Studies of the Polytechnic Institute of Porto (CEOS.PP); Instituto Politecnico do Porto; Instituto Universitario da Maia (ISMAI)</t>
  </si>
  <si>
    <t>Meira, D (corresponding author), ISCAP Polytech Porto, CEOS PP, R Jaime Lopes Amorim, S Mamede De Inf, Portugal.</t>
  </si>
  <si>
    <t>meira@iscap.ipp.pt</t>
  </si>
  <si>
    <t>Meira, Deolinda/AAH-5051-2019; Mota, Marta Guerra/CAF-4002-2022</t>
  </si>
  <si>
    <t>Meira, Deolinda/0000-0002-2301-4881; Mota, Marta Guerra/0000-0002-3528-4985</t>
  </si>
  <si>
    <t>[Anonymous], 2013, Blueprint for a Co-operative Decade; Fajardo-Garc??a G., 2017, PRINCIPLES EUROPEAN, DOI [10.1017/9781780686073, DOI 10.1017/9781780686073]; Hiez D, 2019, INT J COOPERATIVE LA, V2, P8; ILO, 2019, TRANSF OUR WORLD COO; Maxim A, 2016, SUSTAINABILITY-BASEL, V8, DOI 10.3390/su8050483; Meira D., 2020, Boletin de la Asociacion de Derecho Cooperativo, V57, P71, DOI [DOI 10.18543/BAIDC-57-2020PP71-94, 10.18543/baidc-57-2020pp71-94]; Meira D., 2019, Direito Cooperativo e Identidade Cooperativa, P71; MUNKNER HANS, 2012, MAKING COOPERATIVE P; Sokolowski M.M., 2018, EUROPEAN ENERGY ENV, V27, P60, DOI DOI 10.54648/EELR2018006</t>
  </si>
  <si>
    <t>UNIV PORTO, FAC ECONOMICS</t>
  </si>
  <si>
    <t>PORTO</t>
  </si>
  <si>
    <t>RUA DR. ROBERTO FRIAS, PORTO, 4200-464, PORTUGAL</t>
  </si>
  <si>
    <t>2183-3982</t>
  </si>
  <si>
    <t>978-989-54471-2-1</t>
  </si>
  <si>
    <t>ICEE INT C ENERG</t>
  </si>
  <si>
    <t>BT7QB</t>
  </si>
  <si>
    <t>WOS:000850447400023</t>
  </si>
  <si>
    <t>Tarabieh, KA; Elnabarawy, IO; Mashaly, IA; Rashed, YM</t>
  </si>
  <si>
    <t>Zhu, Y; Lam, KP; Tao, Y</t>
  </si>
  <si>
    <t>Tarabieh, Khaled A.; Elnabarawy, Islam O.; Mashaly, Islam A.; Rashed, Yussra M.</t>
  </si>
  <si>
    <t>The Power of Data Visualization: A Prototype Energy Performance Map for a University Campus</t>
  </si>
  <si>
    <t>SUSTAINABLE HUMAN-BUILDING ECOSYSTEMS</t>
  </si>
  <si>
    <t>1st International Symposium on Sustainable Human-Building Ecosystems</t>
  </si>
  <si>
    <t>OCT 05-06, 2015</t>
  </si>
  <si>
    <t>Pittsburgh, PA</t>
  </si>
  <si>
    <t>BUILDINGS; SYSTEM</t>
  </si>
  <si>
    <t>A key factor to promote energy efficiency across campus and buildings is through education and clarity of information. Energy data is complex to understand and difficult to comprehend for the majority of users. Higher education institutions consists of building groups that usually operate according to strategies pre-set by the operation teams that respond to a specific energy demand condition. The purpose of this research is to design a data friendly interface to simplify and assist in the implementation of energy literacy across campus. The research method utilized available energy metered and simulated data at the campus level provided by the university operations. A web based data visualization interface is developed and an energy map is created to inform the campus community on the status of energy consumption. In addition to visualization, the proposed interface helps operators to benchmark campus buildings, promote energy efficiency across campus and disseminate the resulting information in a simple, clear and concise way to the campus community. The interface is a great step towards change of behavior through education, a questionnaire to measure user actions and understanding is distributed to measure the effectiveness of this new approach and the results are compiled to advance the interface design and user experience.</t>
  </si>
  <si>
    <t>[Tarabieh, Khaled A.] Amer Univ Cairo, Sch Sci &amp; Engn, Sustainable Design Construct &amp; Architectural Engn, AUC Ave,POB 74, New Cairo 11835, Egypt; [Elnabarawy, Islam O.] Missouri Univ Sci &amp; Technol, Dept Comp Sci, Rolla, MO 65409 USA; [Mashaly, Islam A.; Rashed, Yussra M.] Amer Univ Cairo, Construct &amp; Architecture Engn Dept, Sch Sci &amp; Engn, New Cairo 11835, Egypt</t>
  </si>
  <si>
    <t>Egyptian Knowledge Bank (EKB); American University Cairo; University of Missouri System; Missouri University of Science &amp; Technology; Egyptian Knowledge Bank (EKB); American University Cairo</t>
  </si>
  <si>
    <t>Tarabieh, KA (corresponding author), Amer Univ Cairo, Sch Sci &amp; Engn, Sustainable Design Construct &amp; Architectural Engn, AUC Ave,POB 74, New Cairo 11835, Egypt.</t>
  </si>
  <si>
    <t>ktarabieh@aucegypt.edu; ie3md@mst.edu; islammashaly@aucegypt.edu; yussra.mer@aucegypt.edu</t>
  </si>
  <si>
    <t>Tarabieh, Khaled Aly/A-3864-2017; Elnabarawy, Islam/AAI-1419-2019</t>
  </si>
  <si>
    <t>Tarabieh, Khaled Aly/0000-0002-6873-2609; Elnabarawy, Islam/0000-0002-9821-2268; Mashaly, Islam/0000-0002-4021-4308</t>
  </si>
  <si>
    <t>Domínguez M, 2013, ENERG BUILDINGS, V59, P152, DOI 10.1016/j.enbuild.2012.12.020; Dong B, 2014, ENERG BUILDINGS, V76, P316, DOI 10.1016/j.enbuild.2014.02.064; Emeakaroha A, 2014, ENERGY, V76, P357, DOI 10.1016/j.energy.2014.08.027; Gulbinas R, 2014, APPL ENERG, V136, P1076, DOI 10.1016/j.apenergy.2014.07.034; Jain RK, 2012, ENERG BUILDINGS, V48, P8, DOI 10.1016/j.enbuild.2011.12.033; Malkawi A., 2007, P BUILDING SIMULATIO; Yarbrough I, 2015, ENERG BUILDINGS, V91, P10, DOI 10.1016/j.enbuild.2014.11.052</t>
  </si>
  <si>
    <t>AMER SOC CIVIL ENGINEERS</t>
  </si>
  <si>
    <t>UNITED ENGINEERING CENTER, 345 E 47TH ST, NEW YORK, NY 10017-2398 USA</t>
  </si>
  <si>
    <t>978-0-7844-7968-1</t>
  </si>
  <si>
    <t>Green &amp; Sustainable Science &amp; Technology; Engineering, Multidisciplinary; Engineering, Civil; Social Sciences, Interdisciplinary</t>
  </si>
  <si>
    <t>Science &amp; Technology - Other Topics; Engineering; Social Sciences - Other Topics</t>
  </si>
  <si>
    <t>BF4IZ</t>
  </si>
  <si>
    <t>WOS:000381033000021</t>
  </si>
  <si>
    <t>Motz, A</t>
  </si>
  <si>
    <t>Motz, Alessandra</t>
  </si>
  <si>
    <t>Consumer acceptance of the energy transition in Switzerland: The role of attitudes explained through a hybrid discrete choice model</t>
  </si>
  <si>
    <t>Consumer attitudes; Consumer preferences; Energy transition; Hybrid discrete choice model; Latent variables</t>
  </si>
  <si>
    <t>While several countries progress in the energy transition, the social acceptance of new infrastructures becomes increasingly important. We focus on market acceptance, and study the preferences of Swiss households with respect to selected energy sources used for electricity generation. By applying a hybrid discrete choice model with latent variables on stated preference data, we assess households' preferences with respect to the price, origin, and reliability of their electricity supply, and evaluate the impact of demographic, behavioural, and attitudinal drivers thereon. Latent variables representing attitudes allow us to explicitly model psychological traits otherwise unobservable from the data, evaluate their impact on individual choices, and connect them with demographic or behavioural variables. We find that households evaluate variations in the price and reliability of supply differently, depending on the energy source used. Environmental concern is associated to a stronger interest in a generic 100% renewable-based supply, informed optimism to a higher acceptance of nuclear generation. Energy illiteracy and environmental-friendly habits are more frequent among environmentally conscious households, less so among the informed optimists. Measures to foster energy literacy and ensure transparency of energy supply contracts are recommended in order to elicit or maintain consensus, and achieve the desired energy policy goals.</t>
  </si>
  <si>
    <t>[Motz, Alessandra] Univ Svizzera Italiana, Via Buffi 13, CH-6900 Lugano, Switzerland</t>
  </si>
  <si>
    <t>Universita della Svizzera Italiana</t>
  </si>
  <si>
    <t>Motz, A (corresponding author), Univ Svizzera Italiana, Via Buffi 13, CH-6900 Lugano, Switzerland.</t>
  </si>
  <si>
    <t>alessandra.motz@usi.ch</t>
  </si>
  <si>
    <t>Motz, Alessandra/0000-0001-7645-6088</t>
  </si>
  <si>
    <t>Swiss National Science Foundation [CR12I1_140740]; Swiss National Science Foundation (SNF) [CR12I1_140740] Funding Source: Swiss National Science Foundation (SNF)</t>
  </si>
  <si>
    <t>Swiss National Science Foundation(Swiss National Science Foundation (SNSF)); Swiss National Science Foundation (SNF)(Swiss National Science Foundation (SNSF))</t>
  </si>
  <si>
    <t>I am deeply grateful to Prof. Rico Maggi for his guidance and insightful comments. This research received financial support from the Swiss National Science Foundation, Grant CR12I1_140740.</t>
  </si>
  <si>
    <t>Abou-Zeid M., 2014, Handbook of Choice Modelling, P383, DOI DOI 10.4337/9781781003152.00025; AJZEN I, 1991, ORGAN BEHAV HUM DEC, V50, P179, DOI 10.1016/0749-5978(91)90020-T; Alvarez-Farizo B, 2002, ENERG POLICY, V30, P107, DOI 10.1016/S0301-4215(01)00063-5; Andor MA, 2020, ENERG J, V41, P83, DOI 10.5547/01956574.41.1.mand; [Anonymous], 2018, IN DEPTH AN SUPP COM; [Anonymous], 2001, EXTENDED DISCRETE CH; Batel S, 2020, ENERGY RES SOC SCI, V68, DOI 10.1016/j.erss.2020.101544; Batley SL, 2001, ENERG POLICY, V29, P479, DOI 10.1016/S0301-4215(00)00142-7; Bauwens T, 2016, ENERG POLICY, V93, P278, DOI 10.1016/j.enpol.2016.03.017; Ben-Akiva M. E., 1985, DISCRETE CHOICE ANAL; Ben-Akiva M, 2012, MARKET LETT, V23, P439, DOI 10.1007/s11002-012-9180-7; Bergmann A, 2006, ENERG POLICY, V34, P1004, DOI 10.1016/j.enpol.2004.08.035; BFE-Bundesamt fuer Energie, 2018, CHRON EN 2050; BFE-Bundesamt fuer Energie, 2019, ZEITR SCHWEIZ EL; BFE-Bundesamt fur Energie, 2019, EN 2050 MON BER 2019; BFE-Bundesamt fur Energie, 2018, STRAT EN 2050 DOP EN; Bierlaire M., 2016, Series on Biogeme; Bolduc D, 2010, CHOICE MODELLING: THE STATE-OF-THE-ART AND THE STATE-OF-PRACTICE, P259; Bollino CA, 2009, ENERG J, V30, P81; Borchers AM, 2007, ENERG POLICY, V35, P3327, DOI 10.1016/j.enpol.2006.12.009; Burkhalter A., 2009, Zeitschrift fur Energiewirtschaft, V33, P161, DOI DOI 10.1007/S12398-009-0019-8; Chorus CG, 2014, TRANSPORT POLICY, V36, P217, DOI 10.1016/j.tranpol.2014.09.001; Chung JB, 2018, ENERG POLICY, V116, P137, DOI 10.1016/j.enpol.2018.02.007; Cici G, 2012, ENERG POLICY, V42, P59, DOI 10.1016/j.enpol.2011.11.030; Cohen JJ, 2016, RESOUR ENERGY ECON, V45, P124, DOI 10.1016/j.reseneeco.2016.06.003; Conte MN, 2016, ENERG ECON, V60, P122, DOI 10.1016/j.eneco.2016.09.001; Contu D, 2020, ENERG POLICY, V136, DOI 10.1016/j.enpol.2019.111032; Contu D, 2016, ECOL ECON, V127, P37, DOI 10.1016/j.ecolecon.2016.03.008; Cousse Julia, 2020, 10 CONSUMER BAROMETE; Dong CG, 2019, ENERG POLICY, V129, P100, DOI 10.1016/j.enpol.2019.02.017; Ek K, 2005, ENERG POLICY, V33, P1677, DOI 10.1016/j.enpol.2004.02.005; Foster H., 2017, CONTINGENT VALUATION, P270, DOI DOI 10.4337/9781786434692.00016; Goett AA, 2000, ENERGY J, V21, P1; Grösche P, 2011, ENERG ECON, V33, P363, DOI 10.1016/j.eneco.2010.10.002; Hansla A, 2008, ENERG POLICY, V36, P768, DOI 10.1016/j.enpol.2007.10.027; Hansla A, 2011, ENERG EFFIC, V4, P185, DOI 10.1007/s12053-010-9096-0; Huijts NMA, 2012, RENEW SUST ENERG REV, V16, P525, DOI 10.1016/j.rser.2011.08.018; Amador FJ, 2013, ENERG ECON, V40, P953, DOI 10.1016/j.eneco.2013.06.007; Jun E, 2010, ENERG POLICY, V38, P1470, DOI 10.1016/j.enpol.2009.11.028; Kaenzig J, 2013, ENERG POLICY, V53, P311, DOI 10.1016/j.enpol.2012.10.061; Kim J, 2018, ENERG POLICY, V120, P761, DOI 10.1016/j.enpol.2018.04.062; Kotchen MJ, 2007, J ENVIRON ECON MANAG, V53, P1, DOI 10.1016/j.jeem.2006.06.003; Koto PS, 2019, ENERG POLICY, V129, P80, DOI 10.1016/j.enpol.2019.02.009; Litvine D, 2011, ECOL ECON, V70, P462, DOI 10.1016/j.ecolecon.2010.10.005; Ma CB, 2016, J ENVIRON ECON MANAG, V78, P106, DOI 10.1016/j.jeem.2016.03.003; Ma CB, 2015, RESOUR ENERGY ECON, V42, P93, DOI 10.1016/j.reseneeco.2015.07.003; Mah DNY, 2014, ENERG POLICY, V73, P368, DOI 10.1016/j.enpol.2014.05.019; Mariel P, 2016, SCI TOTAL ENVIRON, V568, P433, DOI 10.1016/j.scitotenv.2016.06.019; McFadden D, 2017, contingent valuation of environmental goods, P153; Menges R, 2005, ENVIRON RESOUR ECON, V31, P431, DOI 10.1007/s10640-005-3365-y; Merk C, 2019, ENERG ECON, V84, DOI 10.1016/j.eneco.2019.104528; Mewton RT, 2011, ENERG POLICY, V39, P377, DOI 10.1016/j.enpol.2010.10.013; Nomura N, 2004, APPL ENERG, V78, P453, DOI 10.1016/j.apenergy.2003.10.001; Oliver H, 2011, ENERG POLICY, V39, P544, DOI 10.1016/j.enpol.2010.10.012; Petrovich B, 2019, ECOL ECON, V164, DOI 10.1016/j.ecolecon.2019.106353; Plum C, 2019, ENERG POLICY, V130, P181, DOI 10.1016/j.enpol.2019.03.054; Roe B, 2001, ENERG POLICY, V29, P917, DOI 10.1016/S0301-4215(01)00006-4; Siegrist M, 2013, ENERG POLICY, V59, P112, DOI 10.1016/j.enpol.2012.07.051; Siyaranamual M, 2020, ENERGY REP, V6, P562, DOI 10.1016/j.egyr.2020.02.018; Stadelman-Steffen I., 2019, AKZEPTANZ ERNEUERBAR; Stoutenborough JW, 2016, ENERG POLICY, V96, P206, DOI 10.1016/j.enpol.2016.05.031; Stoutenborough JW, 2013, ENERG POLICY, V62, P176, DOI 10.1016/j.enpol.2013.06.098; Strazzera E, 2012, ENERG POLICY, V48, P334, DOI 10.1016/j.enpol.2012.05.037; Sun CW, 2014, ENERG POLICY, V69, P397, DOI 10.1016/j.enpol.2014.03.011; Sundt S, 2015, ENERG ECON, V51, P1, DOI 10.1016/j.eneco.2015.06.005; TRAIN KE, 1987, REV ECON STAT, V69, P383, DOI 10.2307/1925525; Vij A, 2016, TRANSPORT RES B-METH, V90, P192, DOI 10.1016/j.trb.2016.04.021; Visschers VHM, 2013, J ENVIRON PSYCHOL, V36, P77, DOI 10.1016/j.jenvp.2013.07.007; Visschers VHM, 2013, RISK ANAL, V33, P333, DOI 10.1111/j.1539-6924.2012.01861.x; Visschers VHM, 2011, ENERG POLICY, V39, P3621, DOI 10.1016/j.enpol.2011.03.064; Whitmarsh L, 2010, J ENVIRON PSYCHOL, V30, P305, DOI 10.1016/j.jenvp.2010.01.003; Wüstenhagen R, 2007, ENERG POLICY, V35, P2683, DOI 10.1016/j.enpol.2006.12.001; Wüstenhagen R, 2003, ENERG POLICY, V31, P621, DOI 10.1016/S0301-4215(02)00147-7; Yoo J, 2014, ENERG ECON, V42, P101, DOI 10.1016/j.eneco.2013.12.007; Zarnikau J, 2003, ENERG POLICY, V31, P1661, DOI 10.1016/S0301-4215(02)00232-X; Zoric J, 2012, ENERG POLICY, V47, P180, DOI 10.1016/j.enpol.2012.04.055</t>
  </si>
  <si>
    <t>10.1016/j.enpol.2021.112152</t>
  </si>
  <si>
    <t>RH5PK</t>
  </si>
  <si>
    <t>WOS:000636270200012</t>
  </si>
  <si>
    <t>Sherren, K; Parkins, JR; Owen, T; Terashima, M</t>
  </si>
  <si>
    <t>Sherren, Kate; Parkins, John R.; Owen, Taylor; Terashima, Mikiko</t>
  </si>
  <si>
    <t>Does noticing energy infrastructure influence public support for energy development? Evidence from a national survey in Canada</t>
  </si>
  <si>
    <t>Conventional energy; Renewable energy transitions; Exposure; Energy landscape</t>
  </si>
  <si>
    <t>RENEWABLE ENERGY; WIND ENERGY; ACCEPTANCE RESEARCH; SOCIAL ACCEPTANCE; ATTITUDES; LANDSCAPES; POWER; TECHNOLOGIES; TURBINES; BELIEFS</t>
  </si>
  <si>
    <t>A gap exists in cross-technology and large-scale research about public support for energy infrastructure, particularly the influence of exposure on attitudes. We used a national panel sample of Canadians to explore drivers of support across ten energy technologies, comparing predictors such as exposure, political views, environmental values and sectoral employment with controls for demographics and geography. Exposure to a specific infrastructure was associated with support for four technologies, only one of which was renewable (solar); the others were nuclear, oil from non-tar sand sources and coal, the last of which had the strongest effect with exposure doubling the likelihood of support. However, noticing any infrastructure at all boosted support for all renewable technologies included, as well as natural gas, increasing the likelihood of support for key renewables (wind, hydroelectricity, and solar) by 61-76%. Beyond the importance of noticing infrastructure, our results demonstrate that energy technology support follows relatively predictable lines in Canada, save for a general lack of urban-rural divide in attitudes. Results suggest that hiding energy infrastructure may be a barrier to renewable energy transitions, but first we need: more nuanced measurements of exposure and noticing, to understand the direction of causality between such variables and support; and, to explore the roles of energy literacy and gender.</t>
  </si>
  <si>
    <t>[Sherren, Kate; Owen, Taylor] Dalhousie Univ, Sch Resource &amp; Environm Studies, Suite 5010,6100 Univ Ave, Halifax, NS B3H 4R2, Canada; [Parkins, John R.] Univ Alberta, Dept Resource Econ &amp; Environm Sociol, Edmonton, AB T6G 2H1, Canada; [Terashima, Mikiko] Dalhousie Univ, Sch Planning, Halifax, NS B3H 4R2, Canada</t>
  </si>
  <si>
    <t>Dalhousie University; University of Alberta; Dalhousie University</t>
  </si>
  <si>
    <t>Sherren, K (corresponding author), Dalhousie Univ, Sch Resource &amp; Environm Studies, Suite 5010,6100 Univ Ave, Halifax, NS B3H 4R2, Canada.</t>
  </si>
  <si>
    <t>kate.sherren@dal.ca</t>
  </si>
  <si>
    <t>Parkins, John/M-2702-2016</t>
  </si>
  <si>
    <t>Parkins, John/0000-0002-8005-0934; Sherren, Kate/0000-0003-1576-9878</t>
  </si>
  <si>
    <t>Social Sciences and Humanities Research Council of Canada (SSHRC) Insight Grant [435-2012-0636]; 2015-16 Godsoe Scholarship from the School for Resource and Environmental Studies, Dalhousie University; 2016-2017 SSHRC Joseph-Armand Bombardier Canada Graduate (Master's) Scholarship</t>
  </si>
  <si>
    <t>Social Sciences and Humanities Research Council of Canada (SSHRC) Insight Grant(Social Sciences and Humanities Research Council of Canada (SSHRC)); 2015-16 Godsoe Scholarship from the School for Resource and Environmental Studies, Dalhousie University; 2016-2017 SSHRC Joseph-Armand Bombardier Canada Graduate (Master's) Scholarship</t>
  </si>
  <si>
    <t>This research was funded by a Social Sciences and Humanities Research Council of Canada (SSHRC) Insight Grant (435-2012-0636, 2012-2017) (Parkins PI, Sherren CI), a 2015-16 Godsoe Scholarship from the School for Resource and Environmental Studies, Dalhousie University and a 2016-2017 SSHRC Joseph-Armand Bombardier Canada Graduate (Master's) Scholarship (both to Owen). The survey was approved by ethics boards overseeing research involving humans at the University of New Brunswick and/or the University of Alberta. Thanks to Drs Tom Beckley and Louise Comeau, and Corporate Research Associates Inc., for survey design and implementation, Richard Stedman and Dylan Bugden for early discussions, and four anonymous reviewers for excellent feedback on earlier versions of the article.</t>
  </si>
  <si>
    <t>Aldrich DP, 2013, JPN J POLIT SCI, V14, P261, DOI 10.1017/S1468109913000066; AMR Interactive, 2010, COMM ATT WIND FARMS; [Anonymous], 2012, 98310XWE2011002 STAT; Axsen J, 2014, ENERG POLICY, V75, P255, DOI 10.1016/j.enpol.2014.10.023; Barrow L., 1989, Journal of Environmental Education, V20, P22, DOI [10.1080/00958964.1989.9943027, DOI 10.1080/00958964.1989.9943027]; Batel S, 2013, ENERG POLICY, V58, P1, DOI 10.1016/j.enpol.2013.03.018; Baxter J, 2013, ENERG POLICY, V61, P931, DOI 10.1016/j.enpol.2013.06.050; Bazerman MaxH., 2014, POWER NOTICING WHAT; Blaschke T, 2013, BIOMASS BIOENERG, V55, P3, DOI 10.1016/j.biombioe.2012.11.022; Boudet H, 2016, ENVIRON POLIT, V25, P593, DOI 10.1080/09644016.2016.1153771; Bruce Bertram., 1998, Handbook of Literacy and Technology: Transformations in a Post-Typographic World, P269; Brulle RJ, 2012, CLIMATIC CHANGE, V114, P169, DOI 10.1007/s10584-012-0403-y; Calvert K., 2010, J ECON BUS RES, V16, P13; Carmichael JT, 2017, ENVIRON POLIT, V26, P232, DOI 10.1080/09644016.2016.1263433; Cici G, 2012, ENERG POLICY, V42, P59, DOI 10.1016/j.enpol.2011.11.030; Clarke CE, 2016, ENERG POLICY, V97, P301, DOI 10.1016/j.enpol.2016.07.032; Coad L., 2017, The Cost of a Cleaner Future: Examining the Economic Impacts of Reducing GHG Emissions; Cohen JJ, 2014, ENERGY, V76, P4, DOI 10.1016/j.energy.2013.12.056; Colton J., 2016, SPP RES PAP, V9; Crowe S., 1958, The Landscape of Power; del Río P, 2008, RENEW SUST ENERG REV, V12, P1325, DOI 10.1016/j.rser.2007.03.004; Devine-Wright H, 2009, BRIT J SOC PSYCHOL, V48, P357, DOI 10.1348/014466608X349504; Devine-Wright P, 2005, LOCAL ENVIRON, V10, P57, DOI 10.1080/1354983042000309315; Devine-Wright P, 2013, ENVIRON BEHAV, V45, P761, DOI 10.1177/0013916512440435; Devine-Wright P, 2010, ENERG POLICY, V38, P4127, DOI 10.1016/j.enpol.2010.03.039; Dougherty EM, 2003, SOC NATUR RESOUR, V16, P603, DOI 10.1080/08941920309187; Dunlap RE, 2008, J ENVIRON EDUC, V40, P3, DOI 10.3200/JOEE.40.1.3-18; Edwards PN, 2003, MODERNITY AND TECHNOLOGY, P185; Fast S, 2016, NAT ENERGY, V1, DOI 10.1038/NENERGY.2015.28; Fergen J, 2016, ENERGY RES SOC SCI, V11, P133, DOI 10.1016/j.erss.2015.09.003; Firestone J, 2015, LAND USE POLICY, V46, P241, DOI 10.1016/j.landusepol.2015.02.015; French Daniel., 2017, THEY HID FIRE HIST E; FREUDENBURG WR, 1992, RURAL SOCIOL, V57, P305, DOI 10.1111/j.1549-0831.1992.tb00467.x; Gaede J, 2018, ENERGY RES SOC SCI, V40, P142, DOI 10.1016/j.erss.2017.12.006; Groothuis PA, 2008, ENERG POLICY, V36, P1545, DOI 10.1016/j.enpol.2008.01.018; Gross C, 2007, ENERG POLICY, V35, P2727, DOI 10.1016/j.enpol.2006.12.013; Haggerty J. H., 2018, W RESOUR POLICY; Heidenreich S, 2016, SCI CULT-UK, V25, P449, DOI 10.1080/09505431.2016.1183609; Hirsh RF, 2013, TECHNOL CULT, V54, P705, DOI 10.1353/tech.2013.0131; Hoen B., 2018, DO WIND TURBINES MAK; Jacquet JB, 2014, J ENVIRON PLANN MAN, V57, P1285, DOI 10.1080/09640568.2013.820174; Jacquet JB, 2012, ENERG POLICY, V50, P677, DOI 10.1016/j.enpol.2012.08.011; Janke JR, 2010, RENEW ENERG, V35, P2228, DOI 10.1016/j.renene.2010.03.014; Karlstrom H, 2014, ENERG POLICY, V67, P656, DOI 10.1016/j.enpol.2013.11.049; Ladenburg J, 2014, ENERGY, V76, P542, DOI 10.1016/j.energy.2014.08.050; Ladenburg J, 2013, ENERGY, V54, P45, DOI 10.1016/j.energy.2013.02.021; Lambert RJ, 2012, RENEW SUST ENERG REV, V16, P4667, DOI 10.1016/j.rser.2012.03.072; Lewin PhilipG., 2017, Social Problems, pspx030; MacNeil R, 2018, ENVIRON POLIT, V27, P379, DOI 10.1080/09644016.2018.1414747; Mayer A, 2018, RURAL SOCIOL, V83, P532, DOI 10.1111/ruso.12198; Mildenberger M, 2016, PLOS ONE, V11, DOI 10.1371/journal.pone.0159774; National Energy Board, 2016, CAN EN FUT 2016; Natural Resources Canada, 2017, EN FACT BOOK 2016 17; Olive A, 2016, CAN GEOGR-GEOGR CAN, V60, P32, DOI 10.1111/cag.12257; Olson-Hazboun SK, 2018, ENERG POLICY, V123, P117, DOI 10.1016/j.enpol.2018.08.044; Olson-Hazboun SK, 2016, ENERGY RES SOC SCI, V21, P167, DOI 10.1016/j.erss.2016.07.002; Parkins JR, 2018, ENERG POLICY, V114, P114, DOI 10.1016/j.enpol.2017.11.050; Parkins JR, 2017, SOC NATUR RESOUR, V30, P934, DOI 10.1080/08941920.2017.1283076; Pasqualetti MJ, 2011, ANN ASSOC AM GEOGR, V101, P907, DOI 10.1080/00045608.2011.568879; Rand J, 2017, ENERGY RES SOC SCI, V29, P135, DOI 10.1016/j.erss.2017.05.019; Ribeiro F, 2014, ENERGY, V69, P39, DOI 10.1016/j.energy.2013.10.074; Selman P, 2010, LANDSCAPE RES, V35, P157, DOI 10.1080/01426390903560414; Shaw K, 2015, ENERGY RES SOC SCI, V8, P41, DOI 10.1016/j.erss.2015.04.003; Sherren K., 2017, WATER ALTERNATIVES, V10; Sherren K, 2016, ENERGY RES SOC SCI, V14, P102, DOI 10.1016/j.erss.2016.02.003; Soini K, 2011, LAND USE POLICY, V28, P294, DOI 10.1016/j.landusepol.2010.06.009; Sovacool BK, 2014, ENERGY RES SOC SCI, V1, P1, DOI 10.1016/j.erss.2014.02.003; Stirling A, 2014, ENERGY RES SOC SCI, V1, P83, DOI 10.1016/j.erss.2014.02.001; Stokes LC, 2016, AM J POLIT SCI, V60, P958, DOI 10.1111/ajps.12220; Stokes LC, 2013, ENERG POLICY, V56, P490, DOI 10.1016/j.enpol.2013.01.009; Swofford J, 2010, ENERG POLICY, V38, P2508, DOI 10.1016/j.enpol.2009.12.046; Thomas M, 2017, WIRES CLIM CHANGE, V8, DOI 10.1002/wcc.450; Turcotte A., 2012, U CALGARY SCH PUBLIC, V5; Voivontas D, 1998, RENEW ENERG, V13, P333, DOI 10.1016/S0960-1481(98)00006-8; Walker C, 2017, ENERGY RES SOC SCI, V29, P160, DOI 10.1016/j.erss.2017.05.016; Walker C, 2014, ENVIRON PLANN A, V46, P730, DOI 10.1068/a130004p; Warren C.R., 2005, J. Environ. Plan. Manag, V48, P853, DOI DOI 10.1080/09640560500294376; Wolsink M, 2000, RENEW ENERG, V21, P49, DOI 10.1016/S0960-1481(99)00130-5; Wolsink M, 2007, RENEW SUST ENERG REV, V11, P1188, DOI 10.1016/j.rser.2005.10.005; Wüstenhagen R, 2007, ENERG POLICY, V35, P2683, DOI 10.1016/j.enpol.2006.12.001; Xiao CY, 2015, ENVIRON BEHAV, V47, P17, DOI 10.1177/0013916513491571; 2018, J ENVIRON EDUC, P1</t>
  </si>
  <si>
    <t>10.1016/j.erss.2019.01.014</t>
  </si>
  <si>
    <t>HU5JW</t>
  </si>
  <si>
    <t>WOS:000465315300019</t>
  </si>
  <si>
    <t>Coles, T; Dinan, C; Warren, N</t>
  </si>
  <si>
    <t>Coles, Tim; Dinan, Claire; Warren, Neil</t>
  </si>
  <si>
    <t>Energy practices among small- and medium-sized tourism enterprises: a case of misdirected effort?</t>
  </si>
  <si>
    <t>Tourism; Climate change; SMEs; Energy literacy; Generation; Fuel mix</t>
  </si>
  <si>
    <t>CLIMATE-CHANGE MITIGATION; ACCOMMODATION PROVIDERS; FEASIBILITY ANALYSIS; SUPPLY OPTIONS; SMALL FIRMS; HOTELS; PERFORMANCE; POLICY; BENCHMARKING; MANAGEMENT</t>
  </si>
  <si>
    <t>Discussion of sustainable tourism has become dominated by the issue of climate change. As a major source of emissions, the tourism sector has a vital role to play in efforts to mitigate the effects of climate change. Within the current body of knowledge and among major policy discourses, the prevailing paradigm has been to encourage action: reduced emissions will follow innovations in managerial practices and the uptake of the latest, most resource-efficient technologies. This paper examines energy practices among small- and medium-sized tourism enterprises (SMTEs), reporting empirical research conducted as part of a five-year programme. Although energy was a significant cost of production, it did not feature prominently in the business administration of most SMTEs. A major knowledge gap was exposed regarding how energy was consumed and administered by individual businesses. The paper argues for a major shift in thinking away from the number of actions as the key success criterion. Action alone is no guarantee of emissions reductions in a sector where growth is the dominant imperative. Instead, a crucial reorientation towards stimulating higher levels of energy literacy among SMTEs is necessary in parallel to rebalancing of attention towards energy generation. (c) 2014 Elsevier Ltd. All rights reserved.</t>
  </si>
  <si>
    <t>[Coles, Tim; Dinan, Claire; Warren, Neil] Univ Exeter, Sch Business, Exeter EX4 4PU, Devon, England; [Warren, Neil] Univ Exeter, Innovat Ctr, Ctr Business &amp; Climate Solut, Exeter EX4 4RN, Devon, England</t>
  </si>
  <si>
    <t>University of Exeter; University of Exeter</t>
  </si>
  <si>
    <t>Coles, T (corresponding author), Univ Exeter, Sch Business, Streatham Court,Rennes Dr, Exeter EX4 4PU, Devon, England.</t>
  </si>
  <si>
    <t>t.e.coles@ex.ac.uk; c.dinan@ex.ac.uk; n.warren@ex.ac.uk</t>
  </si>
  <si>
    <t>Benetto, Enrico/H-3234-2012</t>
  </si>
  <si>
    <t>Benetto, Enrico/0000-0003-1159-9162; Coles, Timothy/0000-0002-3142-3183</t>
  </si>
  <si>
    <t>ESRC [RES-185-31-0094] Funding Source: UKRI</t>
  </si>
  <si>
    <t>[Anonymous], 2007, HOSPITALITY MANAGEME, DOI DOI 10.1016/J.IJHM.2006.08.003; [Anonymous], CONV FACT EN CARB CO; [Anonymous], 2014, WHAT IS AN SME; [Anonymous], 2009, International Business and Global Climate Change; [Anonymous], 2006, TOURISM GLOBAL ENV C; [Anonymous], 2014, Case study research: Design and methods; [Anonymous], SCOTT KU; Barbour R., 2008, Introducing qualitative research; Barr S, 2011, GLOBAL ENVIRON CHANG, V21, P1234, DOI 10.1016/j.gloenvcha.2011.07.011; Beccali M, 2009, RENEW ENERG, V34, P82, DOI 10.1016/j.renene.2008.04.029; Becken S, 2013, TOUR MANAG PERSPECT, V6, P53, DOI 10.1016/j.tmp.2012.11.006; Becken Susanne., 2012, Climate Change and Tourism: From Policy to Practice; BIS, 2013, BUS POP EST UK REG 2; Bode S, 2003, TOURISM MANAGE, V24, P257, DOI 10.1016/S0261-5177(02)00067-5; Bohdanowicz P, 2007, ENERG BUILDINGS, V39, P82, DOI 10.1016/j.enbuild.2006.05.005; Bohdanowicz P, 2012, NEW DIRECT TOUR ANAL, P93; Butler R., 1999, TOURISM GEOGR, V1, P7, DOI [10.1080/14616689908721291, DOI 10.1080/14616689908721291]; Chan ESW, 2011, J HOSP TOUR RES, V35, P3, DOI 10.1177/1096348010370857; Chan WW, 2008, J SUSTAIN TOUR, V16, P563, DOI 10.1080/09669580802159636; Claver-Cortes E., 2007, Journal of Sustainable Tourism, V15, P663, DOI 10.2167/jost640.0; Cohen SA, 2013, J SUSTAIN TOUR, V21, P982, DOI 10.1080/09669582.2013.809092; Cohen SA, 2011, ANN TOURISM RES, V38, P1070, DOI 10.1016/j.annals.2011.01.013; Coles T, 2014, TOURISM GEOGR, V16, P382, DOI 10.1080/14616688.2013.851270; Coles T, 2013, J POLICY RES TOUR LE, V5, P1, DOI 10.1080/19407963.2012.734991; Coles T, 2011, TOUR HOSP RES, V11, P117, DOI 10.1057/thr.2011.5; Dalton GJ, 2008, RENEW ENERG, V33, P1475, DOI 10.1016/j.renene.2007.09.014; Dalton GJ, 2007, RENEW ENERG, V32, P567, DOI 10.1016/j.renene.2006.02.006; Dalton GJ, 2009, RENEW ENERG, V34, P1134, DOI 10.1016/j.renene.2008.06.018; Deng SM, 2003, ENERG BUILDINGS, V35, P775, DOI 10.1016/S0378-7788(02)00238-4; Deng SM, 2000, ENERG BUILDINGS, V31, P7, DOI 10.1016/S0378-7788(98)00067-X; Doward J., 2013, GUARD NEWSP 1116; Filimonau V, 2011, J CLEAN PROD, V19, P1917, DOI 10.1016/j.jclepro.2011.07.002; Giddens Anthony., 2009, POLITICS CLIMATE CHA; Gossling S, 2011, ROUT INT SER TOUR BU, P1; Gössling S, 2013, ENERG POLICY, V59, P433, DOI 10.1016/j.enpol.2013.03.058; Gössling S, 2012, ANN TOURISM RES, V39, P36, DOI 10.1016/j.annals.2011.11.002; Gössling S, 2010, TOUR RECREAT RES, V35, P119, DOI 10.1080/02508281.2010.11081628; Green Tourism Business Scheme (GTBS), 2008, GREEN TOUR BUS SCHEM; Hall C.M., 2005, TOURISM RECREATION C; Hall CM, 2013, J SUSTAIN TOUR, V21, P1091, DOI 10.1080/09669582.2013.815764; Hall CM, 2011, TOUR RECREAT RES, V36, P298, DOI 10.1080/02508281.2011.11081675; Hamele H., 2006, Environmental initiatives by European tourism businesses: Instruments, indicators and practical examples; Hares A, 2010, J TRANSP GEOGR, V18, P466, DOI 10.1016/j.jtrangeo.2009.06.018; Higham J, 2013, J SUSTAIN TOUR, V21, P949, DOI 10.1080/09669582.2013.828733; HITCHINGS Russell., 2013, Sustainable Practices: Social Theory and Climate Change, P103; Hotel Energy Solutions (HES), 2011, EN EFF REN EN APPL H; Johnston I., 2014, SOME IT HOT SURVEY S; Kaján E, 2013, CURR ISSUES TOUR, V16, P167, DOI 10.1080/13683500.2013.774323; Karagiorgas M, 2006, RENEW SUST ENERG REV, V10, P198, DOI 10.1016/j.rser.2004.09.012; Leask A, 2013, CURR ISSUES TOUR, V16, P240, DOI 10.1080/13683500.2012.667070; Legoherel P., 2013, Revenue Management for Hospitality Tourism; Mair J, 2013, J SUSTAIN TOUR, V21, P1113, DOI 10.1080/09669582.2012.756494; McKercher B, 2014, J SUSTAIN TOUR, V22, P685, DOI 10.1080/09669582.2013.864661; Michalena E, 2009, ENERGY SUSTAIN DEV, V13, P129, DOI 10.1016/j.esd.2009.06.001; Michalena E, 2010, RENEW ENERG, V35, P667, DOI 10.1016/j.renene.2009.08.016; Önüt S, 2006, ENERG BUILDINGS, V38, P964, DOI 10.1016/j.enbuild.2005.11.006; Palmer J., 2013, United Kingdom housing energy fact file 2012; Peeters PM, 2014, TOURISM MANAGE, V40, P15, DOI 10.1016/j.tourman.2013.05.001; Priyadarsini R, 2009, ENERG BUILDINGS, V41, P1319, DOI 10.1016/j.enbuild.2009.07.028; Oreja-Rodríguez JR, 2012, J CLEAN PROD, V29-30, P64, DOI 10.1016/j.jclepro.2012.02.012; Rosselló-Batle B, 2010, ENERG BUILDINGS, V42, P547, DOI 10.1016/j.enbuild.2009.10.024; Sampaio AR, 2012, INT J TOUR RES, V14, P235, DOI 10.1002/jtr.849; Sampaio AR, 2012, J SUSTAIN TOUR, V20, P179, DOI 10.1080/09669582.2011.602193; SCOTT D., 2012, TOURISM CLIMATE CHAN; Scott D, 2010, J SUSTAIN TOUR, V18, P393, DOI 10.1080/09669581003653542; Scott D, 2010, J SUSTAIN TOUR, V18, P283, DOI 10.1080/09669581003668540; Singal M, 2014, CORNELL HOSP Q, V55, P19, DOI 10.1177/1938965513505700; Stern N, 2008, AM ECON REV, V98, P1, DOI 10.1257/aer.98.2.1; Thomas R, 2011, TOURISM MANAGE, V32, P963, DOI 10.1016/j.tourman.2011.02.003; Tzschentke NA, 2008, INT J HOSP MANAG, V27, P126, DOI 10.1016/j.ijhm.2007.07.010; Wang JC, 2012, ENERG BUILDINGS, V49, P268, DOI 10.1016/j.enbuild.2012.02.016; Warnken J, 2005, TOURISM MANAGE, V26, P367, DOI 10.1016/j.tourman.2003.11.017; Wilson CM, 2010, OXFORD ECON PAP, V62, P647, DOI 10.1093/oep/gpq006</t>
  </si>
  <si>
    <t>JAN 16</t>
  </si>
  <si>
    <t>B</t>
  </si>
  <si>
    <t>10.1016/j.jclepro.2014.09.028</t>
  </si>
  <si>
    <t>DA5SF</t>
  </si>
  <si>
    <t>WOS:000367862100011</t>
  </si>
  <si>
    <t>Satre-Meloy, A</t>
  </si>
  <si>
    <t>Satre-Meloy, Aven</t>
  </si>
  <si>
    <t>Investigating structural and occupant drivers of annual residential electricity consumption using regularization in regression models</t>
  </si>
  <si>
    <t>ENERGY</t>
  </si>
  <si>
    <t>Residential electricity demand; Multiple linear regression; Regularization; Dwelling characteristics; Occupant factors; California</t>
  </si>
  <si>
    <t>HOUSEHOLD ENERGY-CONSUMPTION; VARIABLE SELECTION; KEY VARIABLES; LIFE-STYLE; BEHAVIOR; DETERMINANTS; PREDICTION; FEEDBACK; DEMAND; SECTOR</t>
  </si>
  <si>
    <t>Achieving further reductions in building electricity usage requires a detailed characterization of electricity consumption in homes. Understanding drivers of consumption can inform strategies for promoting conservation and efficiency. While there exist numerous approaches for modeling building energy demand, the use of regularization methods in statistical models can address challenges inherent to building energy modeling while also enabling more accurate predictions and better identification of variables that influence consumption. This paper applies five regularization techniques to regression models of original survey and electricity consumption data for more than one thousand households in California. It finds that of these, elastic net and two extensions of the lasso-group lasso and adaptive lasso-outperform other approaches in terms of prediction accuracy and model interpretability. These findings contribute to methodological approaches for modeling energy consumption in buildings as well as to our understanding of key drivers of consumption. The paper shows that while structural factors predominate in explaining annual electricity consumption patterns, habitual actions taken to save energy in the home are important for reducing consumption while pro-environmental attitudes and energy literacy are not. Implications for improving building energy modeling and for informing demand reduction strategies are discussed in the context of the low-carbon transition. (C) 2019 Elsevier Ltd. All rights reserved.</t>
  </si>
  <si>
    <t>[Satre-Meloy, Aven] Univ Oxford, Environm Change Inst, South Parks Rd, Oxford OX1 3QY, England</t>
  </si>
  <si>
    <t>Satre-Meloy, A (corresponding author), Univ Oxford, Environm Change Inst, South Parks Rd, Oxford OX1 3QY, England.</t>
  </si>
  <si>
    <t>aven.satremeloy@ouce.ox.ac.uk</t>
  </si>
  <si>
    <t>City of Palo Alto Utilities; University of Oxford's Environmental Change Institute; Sir Peter Elworthy fund</t>
  </si>
  <si>
    <t>The author gratefully acknowledges financial support for this research from the City of Palo Alto Utilities, the University of Oxford's Environmental Change Institute, and the Sir Peter Elworthy fund. The author declares no competing interests.</t>
  </si>
  <si>
    <t>ABAG, 2015, TECHNICAL REPORT; Abrahamse W, 2007, J ENVIRON PSYCHOL, V27, P265, DOI 10.1016/j.jenvp.2007.08.002; Abrahamse W, 2009, J ECON PSYCHOL, V30, P711, DOI 10.1016/j.joep.2009.05.006; Amasyali K, 2018, RENEW SUST ENERG REV, V81, P1192, DOI 10.1016/j.rser.2017.04.095; [Anonymous], 2010, J. Target. Meas. Anal. Mark., DOI [DOI 10.1057/JT.2009.26, 10.1057/jt.2009.26]; [Anonymous], 2017, TECHNICAL REPORT; [Anonymous], TECHNICAL REPORT; ASSIMAKOPOULOS V, 1992, ENERG ECON, V14, P57, DOI 10.1016/0140-9883(92)90025-9; Barr S, 2005, ENERG POLICY, V33, P1425, DOI 10.1016/j.enpol.2003.12.016; Bartiaux Francoise e., 2005, ECEEE SUMMER STUDY, V6, P1313; Bedir M, 2013, ENERG BUILDINGS, V58, P194, DOI 10.1016/j.enbuild.2012.10.016; Belaïd F, 2019, ENERG POLICY, V125, P277, DOI 10.1016/j.enpol.2018.11.007; Brandon G, 1999, J ENVIRON PSYCHOL, V19, P75, DOI 10.1006/jevp.1998.0105; Brohus H, 2010, WILEY SERIES PROBABI; Brounen D, 2013, ENERG ECON, V38, P42, DOI 10.1016/j.eneco.2013.02.008; Brounen D, 2012, EUR ECON REV, V56, P931, DOI 10.1016/j.euroecorev.2012.02.007; Cayla JM, 2011, ENERG POLICY, V39, P7874, DOI 10.1016/j.enpol.2011.09.036; CEC, 2017, TOT EL SYST GEN; City of Palo Alto, 2016, TECHNICAL REPORT; Coyle K., 2005, ENV LITERACY AM WHAT; CRAMER JC, 1985, ENERGY, V10, P1283, DOI 10.1016/0360-5442(85)90139-2; Darby Sarah., 2006, A Review for DEFRA of the Literature on Metering, Billing and direct Displays, V486, P26; Davis LW, 2015, P NATL ACAD SCI USA, V112, P5962, DOI 10.1073/pnas.1423558112; Deb C, 2018, ENERG BUILDINGS, V159, P228, DOI 10.1016/j.enbuild.2017.11.007; Deng HF, 2018, ENERG BUILDINGS, V163, P34, DOI 10.1016/j.enbuild.2017.12.031; DeWaters J, 2013, J ENVIRON EDUC, V44, P56, DOI 10.1080/00958964.2012.682615; DeWaters J, 2013, J ENVIRON EDUC, V44, P38, DOI 10.1080/00958964.2012.711378; Diamantopoulos A, 2006, J MODEL MANAG, V1, P7, DOI 10.1108/17465660610667775; Dietz T, 2009, P NATL ACAD SCI USA, V106, P18452, DOI 10.1073/pnas.0908738106; Djuric N, 2012, ENERG BUILDINGS, V45, P91, DOI 10.1016/j.enbuild.2011.10.031; DOE, 2014, TECHNICAL REPORT; EIA, 2016, MUCH EL DOES AM HOM; EPA, 2015, EPA -452/R-15-003; Fan JQ, 2001, J AM STAT ASSOC, V96, P1348, DOI 10.1198/016214501753382273; FARRAR DE, 1967, REV ECON STAT, V49, P92, DOI 10.2307/1937887; Filippín C, 2013, ENERG BUILDINGS, V66, P571, DOI 10.1016/j.enbuild.2013.07.054; Fischer C, 2008, ENERG EFFIC, V1, P79, DOI 10.1007/s12053-008-9009-7; FISHER RJ, 1993, J CONSUM RES, V20, P303, DOI 10.1086/209351; Friedman J, 2010, J STAT SOFTW, V33, P1, DOI 10.18637/jss.v033.i01; Fumo N, 2015, RENEW SUST ENERG REV, V47, P332, DOI 10.1016/j.rser.2015.03.035; Gadenne D, 2011, ENERG POLICY, V39, P7684, DOI 10.1016/j.enpol.2011.09.002; Gardner GT, 2009, ENV MAGAZINE; Gram-Hanssen K, 2014, ARCHIT ENG DES MANAG, V10, P91, DOI 10.1080/17452007.2013.837251; Gram-Hanssen K, 2013, ENERG EFFIC, V6, P447, DOI 10.1007/s12053-012-9184-4; Grubler A, 2018, NAT ENERGY, V3, P515, DOI 10.1038/s41560-018-0172-6; Guerra-Santin O, 2010, BUILD RES INF, V38, P318, DOI 10.1080/09613211003661074; Guo YB, 2018, APPL ENERG, V221, P16, DOI 10.1016/j.apenergy.2018.03.125; HALVORSEN R, 1980, AM ECON REV, V70, P474; Harrell Jr, 2001, REGRESSION MODELING; Hastie Trevor, 2009, ELEMENTS STAT LEARNI; Heinze G, 2018, BIOMETRICAL J, V60, P431, DOI 10.1002/bimj.201700067; HIRST E, 1985, BUILD ENVIRON, V20, P1, DOI 10.1016/0360-1323(85)90024-1; HOERL AE, 1970, TECHNOMETRICS, V12, P55, DOI 10.1080/00401706.1970.10488634; Hoffman IM, 2018, 1457014 LAWR BERK NA; Honaker J, 2010, AM J POLIT SCI, V54, P561, DOI 10.1111/j.1540-5907.2010.00447.x; Honaker James, 2015, AMELIA 2 PROGRAM MIS; Hsu D, 2015, ENERGY, V83, P144, DOI 10.1016/j.energy.2015.02.008; Huang SS, 2012, ENERG POLICY, V49, P442, DOI 10.1016/j.enpol.2012.06.039; Huddart E, 2009, HUM ECOL REV, V16, P151; Huebner G, 2016, APPL ENERG, V177, P692, DOI 10.1016/j.apenergy.2016.04.075; Huebner GM, 2013, ENERG BUILDINGS, V66, P626, DOI 10.1016/j.enbuild.2013.07.043; Jain R. K., 2014, 2014 International Conference on Computing in Civil and Building Engineering. Proceedings, P1675; Jain RK, 2014, APPL ENERG, V123, P168, DOI 10.1016/j.apenergy.2014.02.057; Jones RV, 2015, RENEW SUST ENERG REV, V43, P901, DOI 10.1016/j.rser.2014.11.084; Kavgic M, 2010, BUILD ENVIRON, V45, P1683, DOI 10.1016/j.buildenv.2010.01.021; Kavousian A, 2013, ENERGY, V55, P184, DOI 10.1016/j.energy.2013.03.086; Kelly S, 2011, ENERGY, V36, P5610, DOI 10.1016/j.energy.2011.07.009; Kialashaki A, 2013, APPL ENERG, V108, P271, DOI 10.1016/j.apenergy.2013.03.034; King G, 2001, AM POLIT SCI REV, V95, P49, DOI 10.1017/S0003055401000235; Lam JC, 2008, ENERG BUILDINGS, V40, P828, DOI 10.1016/j.enbuild.2007.06.001; LBNL, 2004, P50004057 LBNL; Lee JD, 2016, ANN STAT, V44, P907, DOI 10.1214/15-AOS1371; Linden AL, 2006, ENERG POLICY, V34, P1918, DOI 10.1016/j.enpol.2005.01.015; Lockhart R, 2014, ANN STAT, V42, P413, DOI 10.1214/13-AOS1175; Mansouri I, 1996, APPL ENERG, V54, P211, DOI 10.1016/0306-2619(96)00001-3; Max K, 2018, CARET CLASSIFICATION; McLoughlin F, 2012, ENERG BUILDINGS, V48, P240, DOI 10.1016/j.enbuild.2012.01.037; Meinshausen N, 2006, ANN STAT, V34, P1436, DOI 10.1214/009053606000000281; Mundaca L, 2018, ENERGY EFFICIENCY; Ndiaye D, 2011, ENERG BUILDINGS, V43, P446, DOI 10.1016/j.enbuild.2010.10.008; NEETF &amp; RoperASW, 2002, TECHNICAL REPORT; Nejat P, 2015, RENEW SUST ENERG REV, V43, P843, DOI 10.1016/j.rser.2014.11.066; Pampaka M, 2016, INT J RES METHOD EDU, V39, P19, DOI 10.1080/1743727X.2014.979146; Pao HT, 2009, ENERGY, V34, P1438, DOI 10.1016/j.energy.2009.04.026; Pisillo J, 2012, PALO ALTO RESIDENTS; Pournelle G. H., 1953, Journal of Mammalogy, V34, P133, DOI 10.1890/0012-9658(2002)083[1421:SDEOLC]2.0.CO;2; Reyna JL, 2017, NAT COMMUN, V8, DOI 10.1038/ncomms14916; Ripley B., 2018, MASS SUPPORT FUNCTIO; Roberts N, 2009, DATA BASE ADV INF SY, V40, P9; Robinson C, 2017, APPL ENERG, V208, P889, DOI 10.1016/j.apenergy.2017.09.060; Rubin DB, 1996, J AM STAT ASSOC, V91, P473, DOI 10.1080/01621459.1996.10476908; Sanquist TF, 2012, ENERG POLICY, V42, P354, DOI 10.1016/j.enpol.2011.11.092; Schultz PW, 2015, ENERGY, V90, P351, DOI 10.1016/j.energy.2015.06.130; Shmueli G, 2010, STAT SCI, V25, P289, DOI 10.1214/10-STS330; Sidhu I, 2009, TECHNICAL REPORT; Sorrell S, 2009, ENERG POLICY, V37, P1356, DOI 10.1016/j.enpol.2008.11.026; Southwell B, 2012, TECHNICAL REPORT; Steemers K, 2009, BUILD RES INF, V37, P625, DOI 10.1080/09613210903186661; Suryanarayana G, 2018, ENERGY, V157, P141, DOI 10.1016/j.energy.2018.05.111; Swan LG, 2009, RENEW SUST ENERG REV, V13, P1819, DOI 10.1016/j.rser.2008.09.033; Takahashi M., 2017, Data Sci. J., V16, DOI [DOI 10.5334/DSJ-2017-037, 10.5334/dsj-2017-037]; Taylor J, 2015, P NATL ACAD SCI USA, V112, P7629, DOI 10.1073/pnas.1507583112; Thogersen J, 2010, ENERG POLICY, V38, P7732, DOI 10.1016/j.enpol.2010.08.025; Tibshirani R, 1996, J ROY STAT SOC B, V58, P267, DOI 10.1111/j.2517-6161.1996.tb02080.x; Tiwari P, 2000, J POLICY MODEL, V22, P81, DOI 10.1016/S0161-8938(98)00003-9; Tso GKF, 2007, ENERGY, V32, P1761, DOI 10.1016/j.energy.2006.11.010; Tso GKF, 2014, ENERGY, V66, P722, DOI 10.1016/j.energy.2014.01.056; U.S. Census Bureau, 2020, 2011 2015 AM COMM SU; U.S. EIA, 2018, TECHNICAL REPORT; Uniejewski B, 2016, ENERGIES, V9, DOI 10.3390/en9080621; VANHOUWELINGEN JH, 1989, J CONSUM RES, V16, P98, DOI 10.1086/209197; Vringer K, 2007, ENERG POLICY, V35, P553, DOI 10.1016/j.enpol.2005.12.025; Wahlström MH, 2015, ENERG BUILDINGS, V102, P58, DOI 10.1016/j.enbuild.2015.05.008; Wallis H, 2016, ENERG POLICY, V94, P224, DOI 10.1016/j.enpol.2016.03.046; Wang MC, 2016, ENERG BUILDINGS, V127, P313, DOI 10.1016/j.enbuild.2016.05.065; Wang ZY, 2018, ENERG BUILDINGS, V171, P11, DOI 10.1016/j.enbuild.2018.04.008; Wei YX, 2018, RENEW SUST ENERG REV, V82, P1027, DOI 10.1016/j.rser.2017.09.108; Wiesmann D, 2011, ENERG POLICY, V39, P2772, DOI 10.1016/j.enpol.2011.02.047; Wilhite H., P 2000 ACEEE SUMM ST, P435; WRCC, 2006, PAL ALT CAL PER REC; Wyatt P, 2013, ENERG POLICY, V60, P540, DOI 10.1016/j.enpol.2013.05.037; Yang Y, 2017, GROUP LASSO PENALIZE; Yohanis YG, 2008, ENERG BUILDINGS, V40, P1053, DOI 10.1016/j.enbuild.2007.09.001; Yu Z, 2010, ENERG BUILDINGS, V42, P1637, DOI 10.1016/j.enbuild.2010.04.006; Yuan M., 2006, Journal of the Royal Statistical Society, Series B, V68, P49; Zhao HX, 2010, J ALGORITHMS COMPUT, V4, P231, DOI 10.1260/1748-3018.4.2.231; Zhao HX, 2012, RENEW SUST ENERG REV, V16, P3586, DOI 10.1016/j.rser.2012.02.049; Zhao P, 2006, J MACH LEARN RES, V7, P2541; Zou H, 2005, J R STAT SOC B, V67, P301, DOI 10.1111/j.1467-9868.2005.00503.x; Zou H, 2006, J AM STAT ASSOC, V101, P1418, DOI 10.1198/016214506000000735</t>
  </si>
  <si>
    <t>0360-5442</t>
  </si>
  <si>
    <t>1873-6785</t>
  </si>
  <si>
    <t>Energy</t>
  </si>
  <si>
    <t>MAY 1</t>
  </si>
  <si>
    <t>10.1016/j.energy.2019.01.157</t>
  </si>
  <si>
    <t>Thermodynamics; Energy &amp; Fuels</t>
  </si>
  <si>
    <t>IA1HF</t>
  </si>
  <si>
    <t>WOS:000469309200014</t>
  </si>
  <si>
    <t>Cotton, D; Miller, W; Winter, J; Bailey, I; Sterling, S</t>
  </si>
  <si>
    <t>Cotton, Debby; Miller, Wendy; Winter, Jennie; Bailey, Ian; Sterling, Stephen</t>
  </si>
  <si>
    <t>Knowledge, agency and collective action as barriers to energy-saving behaviour</t>
  </si>
  <si>
    <t>LOCAL ENVIRONMENT</t>
  </si>
  <si>
    <t>energy literacy; higher education; knowledge; trust; agency; behaviour</t>
  </si>
  <si>
    <t>ECOLOGICAL PARADIGM; SUSTAINABILITY; SCALE; NEP</t>
  </si>
  <si>
    <t>Energy saving is becoming a rising priority as a response to climate change and fossil fuel depletion in recent years. However, despite energy-related behaviour change being an important part of many environmental education initiatives, energy literacy among citizens remains patchy in both the USA and the UK, with evidence of strong positive attitudes but less consistent knowledge. Whilst it is clear that increasing knowledge does not automatically produce behaviour changes, potential questions must be asked about the logic of focusing solely on behaviour without simultaneously exploring and enhancing understanding of energy issues. This research, undertaken at a higher education institution with a strong focus on sustainability, illustrates the potential risks of targeting behaviour change and individual action at the expense of increasing knowledge, or encouraging collaborative and democratic endeavours. Results from an online survey indicate widespread misconceptions about energy which may reduce the effectiveness of energy-saving behaviours, alongside variable levels of motivation and engagement with energy issues. Respondents report a strong belief in the efficacy of personal changes, yet uncertainty about their capacity to influence business and government alongside a persistent faith in science to provide solutions to energy issues. The paper concludes by reflecting on the challenges arising from these findings for understanding agency and effectiveness in energy relationships.</t>
  </si>
  <si>
    <t>[Cotton, Debby; Miller, Wendy; Winter, Jennie] Univ Plymouth, Pedag Res Inst &amp; Observ, Plymouth, Devon, England; [Bailey, Ian] Univ Plymouth, Sch Geog Earth &amp; Environm Sci, Plymouth, Devon, England; [Sterling, Stephen] Univ Plymouth, Ctr Sustainable Futures, Plymouth, Devon, England</t>
  </si>
  <si>
    <t>Cotton, D (corresponding author), Univ Plymouth, Pedag Res Inst &amp; Observ, Plymouth, Devon, England.</t>
  </si>
  <si>
    <t>Bailey, Ian/0000-0002-6865-8306; Cotton, Debby/0000-0001-7675-8211; Winter, Jennie/0000-0003-1713-3988</t>
  </si>
  <si>
    <t>Adger WN, 2003, ECON GEOGR, V79, P387; Ajzen I, 2011, BASIC APPL SOC PSYCH, V33, P101, DOI 10.1080/01973533.2011.568834; Almers E, 2013, J ENVIRON EDUC, V44, P116, DOI 10.1080/00958964.2012.719939; Amburgey JW, 2012, ENVIRON BEHAV, V44, P235, DOI 10.1177/0013916511402064; [Anonymous], P 10 INT C UB COMP; [Anonymous], IEEE FRONT ED C SAN; [Anonymous], DEV ENERGY LITERACY; [Anonymous], ENV ED RES; [Anonymous], PERSONAL POLITICS DE; [Anonymous], 2015, BBC NEWS; [Anonymous], 2014, CLIMATE CHANGE 2014, V80, P1; [Anonymous], ENERGY KNOWLEDGE ATT; [Anonymous], INT J SUSTAINABILITY; [Anonymous], 2013, SUSTAINABLE U PROGR; [Anonymous], 0602 U E ANGL CTR EN; [Anonymous], 44 HAW INT C SYST SC; [Anonymous], J ASIAN BEHAV STUDI; [Anonymous], ANN M ASS AM GEOGR T; [Anonymous], 2005001 MIT LFEE; [Anonymous], 1999, Local Environment, DOI [DOI 10.1080/13549839908725599, 10.1080/13549839908725599]; Attari SZ, 2010, P NATL ACAD SCI USA, V107, P16054, DOI 10.1073/pnas.1001509107; Barr S, 2005, APPL GEOGR, V25, P226, DOI 10.1016/j.apgeog.2005.03.007; Barr S, 2014, GEOGR ANN B, V96, P231, DOI 10.1111/geob.12048; Barth M., 2012, Journal of Education for Sustainable Development, V6, P301, DOI DOI 10.1177/0973408212475266; Bodzin A, 2012, INT J SCI EDUC, V34, P1255, DOI 10.1080/09500693.2012.661483; Brounen D, 2012, EUR ECON REV, V56, P931, DOI 10.1016/j.euroecorev.2012.02.007; Butt L, 2014, STUD HIGH EDUC, V39, P786, DOI 10.1080/03075079.2012.754861; CARTER R, 1985, STUD HIGH EDUC, V10, P135, DOI 10.1080/03075078512331378559; DeWaters JE, 2011, ENERG POLICY, V39, P1699, DOI 10.1016/j.enpol.2010.12.049; Drayson R., 2012, Student attitudes towards and skills for sustainable development; Du Plessis A.J., 2012, WORLD REV BUSINESS R, V2, P43; Dunlap RE, 2000, J SOC ISSUES, V56, P425, DOI 10.1111/0022-4537.00176; Faiers A, 2007, ENERG POLICY, V35, P4381, DOI 10.1016/j.enpol.2007.01.003; Gardner GT, 2008, ENVIRONMENT, V50, P12, DOI 10.3200/ENVT.50.5.12-25; Geller E.S., 2002, Handbook of Environmental Psychology, P525; Geller H, 2006, ENERG POLICY, V34, P556, DOI 10.1016/j.enpol.2005.11.010; Hammersley M., 1998, Reading ethnographic research: A critical guide, V2nd; Hards SK, 2013, LOCAL ENVIRON, V18, P438, DOI 10.1080/13549839.2012.748731; Harraway J, 2012, J ENVIRON EDUC, V43, P177, DOI 10.1080/00958964.2011.634450; Hawcroft LJ, 2010, J ENVIRON PSYCHOL, V30, P143, DOI 10.1016/j.jenvp.2009.10.003; HOLDEN CC, 1984, J RES SCI TEACH, V21, P187, DOI 10.1002/tea.3660210209; Jensen B.B., 1997, Environ. Educ. Res., V3, P163, DOI [DOI 10.1080/1350462970030205, 10.1080/1350462970030205, 10.1080/13504620600943053, DOI 10.1080/13504620600943053]; Kenis A, 2012, ENVIRON EDUC RES, V18, P45, DOI 10.1080/13504622.2011.576315; Klein N., 2014, THIS CHANGES EVERYTH; Kollmuss A., 2012, Environmental Education Research, V8, P239; Lorenzoni I, 2007, GLOBAL ENVIRON CHANG, V17, P445, DOI 10.1016/j.gloenvcha.2007.01.004; Lundmark C., 2007, ENVIRON EDUC RES, V13, P329, DOI [DOI 10.1080/13504620701430448, https://doi.org/10.1080/13504620701430448]; Marcell K., 2004, INT J SUST HIGHER ED, V5, P169, DOI DOI 10.1108/14676370410526251; Newman I., 1998, CONDUCTING SURVEY RE; O'Riordan T., 1981, Environmentalism; Robelia B., 2011, ENVIRON EDUC RES, V17, P553, DOI DOI 10.1080/13504622.2011.565118; Stake R.E., 1995, THOUSAND OAKS CA; Stibbe Arran., 2009, The Handbook of Sustainability Literacy: Skills for a Changing World; Syzmanowicz A, 2011, LEARN INDIVID DIFFER, V21, P493, DOI 10.1016/j.lindif.2011.07.001; Thogersen J, 2004, J ENVIRON PSYCHOL, V24, P93, DOI 10.1016/S0272-4944(03)00039-2; Whitmarsh L, 2011, GLOBAL ENVIRON CHANG, V21, P56, DOI 10.1016/j.gloenvcha.2010.07.011; Winter J, 2012, ENVIRON EDUC RES, V18, P783, DOI 10.1080/13504622.2012.670207; Zelezny L., 1999, The Journal of Environmental Education, V31, P5, DOI [DOI 10.1080/00958969909598627, https://doi.org/10.1080/00958969909598627]</t>
  </si>
  <si>
    <t>1354-9839</t>
  </si>
  <si>
    <t>1469-6711</t>
  </si>
  <si>
    <t>LOCAL ENVIRON</t>
  </si>
  <si>
    <t>Local Environ.</t>
  </si>
  <si>
    <t>10.1080/13549839.2015.1038986</t>
  </si>
  <si>
    <t>Green &amp; Sustainable Science &amp; Technology; Environmental Studies; Geography; Regional &amp; Urban Planning; Urban Studies</t>
  </si>
  <si>
    <t>Science &amp; Technology - Other Topics; Environmental Sciences &amp; Ecology; Geography; Public Administration; Urban Studies</t>
  </si>
  <si>
    <t>EG7UZ</t>
  </si>
  <si>
    <t>WOS:000391263200006</t>
  </si>
  <si>
    <t>Marques, AC; Migotto, AE; Kitahara, MV; Dias, GM; Costa, TM; Oliveira, MC</t>
  </si>
  <si>
    <t>Marques, Antonio C.; Migotto, Alvaro E.; Kitahara, Marcelo, V; Dias, Gustavo Muniz; Costa, Tania Marcia; Oliveira, Mariana C.</t>
  </si>
  <si>
    <t>Marine and coastal biodiversity studies, 60 years of research funding from FAPESP, what we have learned and future challenges</t>
  </si>
  <si>
    <t>BIOTA NEOTROPICA</t>
  </si>
  <si>
    <t>BIOTA-FAPESP Program; Oceanographic Vessels; Research Development; S?o Paulo State; Ocean Biodiversity</t>
  </si>
  <si>
    <t>SPECIES RICHNESS; CONSERVATION; OCEAN</t>
  </si>
  <si>
    <t>In this study we survey and analyze 300 projects related to marine biodiversity funded by FAPESP from 1972 to 2021, of which 46 were nested in the BIOTA Program. From a unique project in the 1970???s, the number gradually increased until 2009, when BIOTA promoted a call on marine biodiversity, which led to a boost in the number of funded projects in the subsequent years. The geographical range of the projects expanded over the years and, from studies based on the coast of S??o Paulo State, the focus gradually shifted to broader areas of the Brazilian coast, then to other areas of the Atlantic, and eventually became global. The majority of projects focused on coastal benthic organisms living on hard-bottom. In terms of taxa, six groups accounted for about 60% of the projects (viz. Crustacea, Actinopterygii, Mollusca, Chondrichthyes, Cnidaria, and Rhodophyta), but it is observed an increase in the number of groups studied over the decades. The 300 projects refer to a set of 82 different topics, of which the top five are taxonomy, phylogeny, community, ???omics???, and pollution. The analyses show a long-standing effort in marine biodiversity surveys, with ongoing updated approaches regarding scope and methods. Research on strategic areas is discussed, including deep-sea and marine microbiota. Climate change and the increasing pressure of human activity on the ocean, including pollution, acidification and invasive species, are among the main challenges for the future. Projects producing and using basic research data in an integrative and transdisciplinary way offer multiple perspectives in understanding changes in ecosystem functioning and, consequently, are essential to support public policies for the conservation and sustainable use of marine biodiversity at different scales. UNESCO???s Decade of Ocean (starting 2021) is a window of opportunity to strengthen marine research, to promote national and international collaboration, to build up networks involving the public and private sector, but particularly to draw society???s attention to the importance of knowing marine environments and using ocean resources in a sustainable way. The advancement of ocean literacy is one of the main legacies for future generations promoted by integrated research programs such as BIOTA-FAPESP.</t>
  </si>
  <si>
    <t>[Marques, Antonio C.; Oliveira, Mariana C.] Univ Sao Paulo, Inst Biociencias, BR-05508090 Sao Paulo, SP, Brazil; [Migotto, Alvaro E.; Kitahara, Marcelo, V] Univ Sao Paulo, Ctr Biol Marinha, BR-11612109 Sao Sebastiao, SP, Brazil; [Dias, Gustavo Muniz] Univ Fed ABC, Ctr Ciencias Nat &amp; Humanas, Grp Ecol Expt Marinha, BR-09606070 Sao Bernardo Do Campo, SP, Brazil; [Costa, Tania Marcia] Univ Estadual Paulista, Inst Biociencias, BR-11330900 Sao Vicente, SP, Brazil</t>
  </si>
  <si>
    <t>Universidade de Sao Paulo; Universidade de Sao Paulo; Universidade Estadual Paulista</t>
  </si>
  <si>
    <t>Oliveira, MC (corresponding author), Univ Sao Paulo, Inst Biociencias, BR-05508090 Sao Paulo, SP, Brazil.</t>
  </si>
  <si>
    <t>mcdolive@ib.usp.br</t>
  </si>
  <si>
    <t>Costa, Tânia Marcia/AAC-6750-2019; Kitahara, Marcelo Visentini/D-5560-2011; Marques, Antonio/E-8049-2011; C Oliveira, Mariana/G-2512-2012</t>
  </si>
  <si>
    <t>Costa, Tânia Marcia/0000-0003-0230-8431; Kitahara, Marcelo Visentini/0000-0003-4011-016X; Marques, Antonio/0000-0002-2884-0541; C Oliveira, Mariana/0000-0001-8495-2962</t>
  </si>
  <si>
    <t>CNPq [316095/2021-4, 308268/2019-9, 305687/2018-2, 305274/2021-0, 311266/2018-5]; FAPESP [19/15628-1, 20/09406-3, 2021/06866-6, 20/03171-4]; Fundacao de Amparo a Pesquisa do Estado de Sao Paulo (FAPESP) [20/09406-3, 20/03171-4] Funding Source: FAPESP</t>
  </si>
  <si>
    <t>CNPq(Conselho Nacional de Desenvolvimento Cientifico e Tecnologico (CNPQ)); FAPESP(Fundacao de Amparo a Pesquisa do Estado de Sao Paulo (FAPESP)); Fundacao de Amparo a Pesquisa do Estado de Sao Paulo (FAPESP)(Fundacao de Amparo a Pesquisa do Estado de Sao Paulo (FAPESP))</t>
  </si>
  <si>
    <t>The authors are grateful to Carlos A. Joly for reviewing the manuscript, and to Paulo Y. Sumida and Ronaldo B. Francini-Filho for providing photographs. Authors received research funds from by CNPq (316095/2021-4 to ACM; 308268/2019-9 to GMD; 305687/2018-2 to MCO; 305274/2021-0 to MK; 311266/2018-5 to TMC) and FAPESP (19/15628-1 to GMD; 20/09406-3 to MCO; 2021/06866-6 to MK; 20/03171-4 to TMC).</t>
  </si>
  <si>
    <t>BIOTA-FAPESP, 2021, BIOT FAPESP; Chbel Asmaa, 2021, European Journal of Biological Research, V11, P122, DOI 10.5281/zenodo.4384158; Costello MJ, 2012, SYST BIOL, V61, P871, DOI 10.1093/sysbio/syr080; Cullen JM, 2011, ENVIRON SCI TECHNOL, V45, P1711, DOI 10.1021/es102641n; Falkowski PG, 2003, GLO CH IGBP, P99; FAPESP, 2014, 2 WORKSH BIOTA FAPES; FAPESP, 2013, MARINE ALGAE BIODIVE; FAPESP, 2016, 3 WORKSH BIOTA FAPES; FAPESP, 2020, 4 BIOT WEB; FAPESP, 2011, CHAM PROP BIOT FAPES; FAPESP, 2012, MAR DAT MAN PERSP RE; FAPESP, 2009, BIOTA FAPESP LANC CH; FAPESP, 1999, REL AT 1999; FAPESP, 2010, WORKSH MAR BIOD; FAPESP, 2021, SAO PAUL RES FDN; FAPESP BIBLIOTECA VIRTUAL, 2021, BIBL VIRT FAPESP; FAPESP MUDANCAS CLIMATICAS, 2021, NOVIDADES; FAPESP RESEARCH GRANTS, 2021, RES GRANTS; GRASSLE JF, 1992, AM NAT, V139, P313, DOI 10.1086/285329; Hearn CJ, 1999, J GEOPHYS RES-OCEANS, V104, P30007, DOI 10.1029/1999JC900262; Hoegh-Guldberg O, 2010, SCIENCE, V328, P1523, DOI 10.1126/science.1189930; Jackson JBC, 2001, SCIENCE, V293, P629, DOI 10.1126/science.1059199; Joly C A., 2011, Revista USP, P114; Joly CA, 2010, SCIENCE, V328, P1358, DOI 10.1126/science.1188639; Laffoley D, 2022, AQUAT CONSERV, V32, P217, DOI 10.1002/aqc.3751; Marques Antonio Carlos, 2006, Pap. Avulsos Zool. (São Paulo), V46, P139, DOI 10.1590/S0031-10492006001300001; McCauley DJ, 2015, SCIENCE, V347, DOI 10.1126/science.1255641; Menéndez P, 2020, SCI REP-UK, V10, DOI 10.1038/s41598-020-61136-6; Miles EL, 2009, ANNU REV ENV RESOUR, V34, P17, DOI 10.1146/annurev.environ.33.041707.110117; Mora C, 2011, PLOS BIOL, V9, DOI 10.1371/journal.pbio.1001127; Moran MA, 2015, SCIENCE, V350, DOI 10.1126/science.aac8455; OTHMAN MA, 1994, HYDROBIOLOGIA, V285, P277, DOI 10.1007/BF00005674; Sterling EJ, 2010, BIOESSAYS, V32, P1090, DOI 10.1002/bies.201000049; UNESCO, 2021, The Ocean Decade; United Nations, 2015, Transforming our world: the 2030 agenda for sustainable development, DOI DOI 10.1201/B20466-7; Worm B, 2006, SCIENCE, V314, P787, DOI 10.1126/science.1132294; WoRMS Editorial Board, 2022, World Register of Marine Species</t>
  </si>
  <si>
    <t>REVISTA BIOTA NEOTROPICA</t>
  </si>
  <si>
    <t>CAMPINAS</t>
  </si>
  <si>
    <t>AV. DR. ROMEU TORTIMA, 388 - BARAO GERALDO, CEP 13084-520, CAMPINAS, SP, BRAZIL</t>
  </si>
  <si>
    <t>1676-0603</t>
  </si>
  <si>
    <t>1676-0611</t>
  </si>
  <si>
    <t>BIOTA NEOTROP</t>
  </si>
  <si>
    <t>Biota Neotrop.</t>
  </si>
  <si>
    <t>e20221385</t>
  </si>
  <si>
    <t>10.1590/1676-0611-BN-2022-1385</t>
  </si>
  <si>
    <t>5T3YH</t>
  </si>
  <si>
    <t>WOS:000875805900001</t>
  </si>
  <si>
    <t>Dalby, O; Sinha, I; Unsworth, RKF; McKenzie, LJ; Jones, BL; Cullen-Unsworth, LC</t>
  </si>
  <si>
    <t>Dalby, Oliver; Sinha, Isadora; Unsworth, Richard K. F.; McKenzie, Len J.; Jones, Benjamin L.; Cullen-Unsworth, Leanne C.</t>
  </si>
  <si>
    <t>Citizen Science Driven Big Data Collection Requires Improved and Inclusive Societal Engagement</t>
  </si>
  <si>
    <t>citizen science; big marine data; seagrass monitoring; inclusivity; community engagement</t>
  </si>
  <si>
    <t>ALPHA</t>
  </si>
  <si>
    <t>Marine ecosystems are in a state of crisis worldwide due to anthropogenic stressors, exacerbated by generally diminished ocean literacy. In other sectors, big data and technological advances are opening our horizons towards improved knowledge and understanding. In the marine environment the opportunities afforded by big data and new technologies are limited by a lack of available empirical data on habitats, species, and their ecology. This limits our ability to manage these systems due to poor understanding of the processes driving loss and recovery. For improved chances of achieving sustainable marine systems, detailed local data is required that can be connected regionally and globally. Citizen Science (CS) is a potential tool for monitoring and conserving marine ecosystems, particularly in the case of shallow nearshore habitats, however, limited understanding exists as to the effectiveness of CS programmes in engaging the general public or their capacity to collect marine big data. This study aims to understand and identify pathways for improved engagement of citizen scientists. We investigated the motivations and barriers to engagement of participants in CS using two major global seagrass CS programmes. Programme participants were primarily researchers in seagrass science or similar fields which speak to a more general problem of exclusivity across CS. Altruistic motivations were demonstrated, whilst deterrence was associated with poor project organisation and a lack of awareness of specified systems and associated CS projects. Knowledge of seagrass ecosystems from existing participants was high and gains because of participation consequently minimal. For marine CS projects to support big data, we need to expand and diversify their current user base. We suggest enhanced outreach to stakeholders using cooperatively identified ecological questions, for example situated within the context of maintaining local ecosystem services. Dissemination of information should be completed with a variety of media types and should stress the potential for knowledge transfer, novel social interactions, and stewardship of local environments. Although our research confirms the potential for CS to foster enhanced collection of big data for improved marine conservation and management, we illustrate the need to improve and expand approaches to user engagement to reach required data targets.</t>
  </si>
  <si>
    <t>[Dalby, Oliver] Deakin Univ, Ctr Integrat Ecol, Sch Life &amp; Environm Sci, Geelong, Vic, Australia; [Dalby, Oliver; Sinha, Isadora; Unsworth, Richard K. F.; Jones, Benjamin L.; Cullen-Unsworth, Leanne C.] Project Seagrass, Bridgend, Wales; [Sinha, Isadora; Cullen-Unsworth, Leanne C.] Sustainable Pl Res Inst, Cardiff, Wales; [Unsworth, Richard K. F.] Swansea Univ, Coll Sci, Swansea, W Glam, Wales; [McKenzie, Len J.] James Cook Univ, Ctr Trop Water &amp; Aquat Ecosyst Res TropWATER, Cairns, Qld, Australia; [Jones, Benjamin L.] Stockholm Univ, Dept Ecol Environm &amp; Plant Sci, Stockholm, Sweden</t>
  </si>
  <si>
    <t>Deakin University; Swansea University; James Cook University; Stockholm University</t>
  </si>
  <si>
    <t>Cullen-Unsworth, LC (corresponding author), Project Seagrass, Bridgend, Wales.;Cullen-Unsworth, LC (corresponding author), Sustainable Pl Res Inst, Cardiff, Wales.</t>
  </si>
  <si>
    <t>cullen-unsworthlc@cardiff.ac.uk</t>
  </si>
  <si>
    <t>Unsworth, Richard K.F./C-1266-2009; Jones, Benjamin L. H./J-1875-2019; Cullen-Unsworth, Leanne C/A-6810-2011</t>
  </si>
  <si>
    <t>Jones, Benjamin L. H./0000-0002-6058-9692; Sinha, Isadora/0000-0002-6776-1547</t>
  </si>
  <si>
    <t>Agbo AA, 2010, J PSYCHOL AFR, V20, P233, DOI 10.1080/14330237.2010.10820371; Andrews D, 2003, INT J HUM-COMPUT INT, V16, P185, DOI 10.1207/S15327590IJHC1602_04; [Anonymous], 2013, R BOOK 2 EDITION; [Anonymous], 2013, Core. R: A Language and Environment for Statistical Computing; August T, 2015, BIOL J LINN SOC, V115, P731, DOI 10.1111/bij.12534; Barbier EB, 2011, ECOL MONOGR, V81, P169, DOI 10.1890/10-1510.1; Bela G, 2016, CONSERV BIOL, V30, P990, DOI 10.1111/cobi.12762; Bradshaw B, 2003, CAN GEOGR-GEOGR CAN, V47, P137, DOI 10.1111/1541-0064.t01-1-00001; Brammer JR, 2016, CONSERV BIOL, V30, P1277, DOI 10.1111/cobi.12727; Bruyere B, 2007, J ENVIRON PLANN MAN, V50, P503, DOI 10.1080/09640560701402034; Carifio J, 2008, MED EDUC, V42, P1150, DOI 10.1111/j.1365-2923.2008.03172.x; Cigliano JA, 2015, OCEAN COAST MANAGE, V115, P77, DOI 10.1016/j.ocecoaman.2015.06.012; Conrad CT, 2008, ENVIRON MANAGE, V41, P358, DOI 10.1007/s00267-007-9042-x; Conrad CC, 2011, ENVIRON MONIT ASSESS, V176, P273, DOI 10.1007/s10661-010-1582-5; Cronbach LJ, 1951, PSYCHOMETRIKA, V16, P297; Danielsen F, 2014, CONSERV LETT, V7, P12, DOI 10.1111/conl.12024; Díaz S, 2006, PLOS BIOL, V4, P1300, DOI 10.1371/journal.pbio.0040277; Drew JA, 2005, CONSERV BIOL, V19, P1286, DOI 10.1111/j.1523-1739.2005.00158.x; Driscoll DA, 2018, NAT ECOL EVOL, V2, P775, DOI 10.1038/s41559-018-0504-8; Duffy JE, 2019, FRONT MAR SCI, V6, DOI 10.3389/fmars.2019.00317; Ellwood ER, 2017, BIOL CONSERV, V208, P1, DOI 10.1016/j.biocon.2016.10.014; Elo S, 2008, J ADV NURS, V62, P107, DOI 10.1111/j.1365-2648.2007.04569.x; Etikan I., 2016, American Journal of Theoretical and Applied Statistics, V5, P1, DOI [DOI 10.11648/J.AJTAS.20160501.11, 10.11648/j.ajtas.20160501]; Franzoni C, 2014, RES POLICY, V43, P1, DOI 10.1016/j.respol.2013.07.005; Friedman WR, 2020, FRONT MAR SCI, V7, DOI 10.3389/fmars.2020.00005; Geoghegan H., 2016, UNDERSTANDING MOTIVA; Halpern BS, 2008, SCIENCE, V319, P948, DOI 10.1126/science.1149345; Hausmann A, 2016, ENVIRON CONSERV, V43, P117, DOI 10.1017/S0376892915000314; Haywood BK, 2014, SCI EDUC, V98, P64, DOI 10.1002/sce.21087; Hind-Ozan EJ, 2018, MAR POLLUT BULL, V134, P223, DOI 10.1016/j.marpolbul.2017.08.017; Hsieh HF, 2005, QUAL HEALTH RES, V15, P1277, DOI 10.1177/1049732305276687; Hyder K, 2015, MAR POLICY, V59, P112, DOI 10.1016/j.marpol.2015.04.022; Jones BL, 2018, MAR POLLUT BULL, V134, P210, DOI 10.1016/j.marpolbul.2017.11.005; Jordan R.C., 2012, FRONT ECOL ENVIRON, V10, P307, DOI DOI 10.1890/110280; Jordan RC, 2011, CONSERV BIOL, V25, P1148, DOI 10.1111/j.1523-1739.2011.01745.x; Keniger LE, 2013, INT J ENV RES PUB HE, V10, P913, DOI 10.3390/ijerph10030913; Kitchin R, 2016, BIG DATA SOC, V3, P1, DOI 10.1177/2053951716631130; Kobori H, 2016, ECOL RES, V31, P1, DOI 10.1007/s11284-015-1314-y; Kullenberg C, 2016, PLOS ONE, V11, DOI 10.1371/journal.pone.0147152; Lance CE, 2006, ORGAN RES METHODS, V9, P202, DOI 10.1177/1094428105284919; Liu YJ, 2017, PERS UBIQUIT COMPUT, V21, P55, DOI 10.1007/s00779-016-0980-2; Martin V, 2016, SCI COMMUN, V38, P495, DOI 10.1177/1075547016656191; Martin VY, 2016, JCOM-J SCI COMMUN, V15; McClure EC, 2020, PATTERNS, V1, DOI 10.1016/j.patter.2020.100109; McKenzie L., 2012, Proceedings of the 12th International Coral Reef Symposium, V15B_4, P1; McKenzie L., 2017, 1735 TROPWATER J COO; McKenzie L.J., 2000, Biologia Marina Mediterranea, V7, P393; McKenzie LJ, 2021, MAR POLLUT BULL, V167, DOI 10.1016/j.marpolbul.2021.112307; McKenzie LJ, 2020, ENVIRON RES LETT, V15, DOI 10.1088/1748-9326/ab7d06; Murray J., 2013, International Journal of Business and Social Science, V4, P258; Newman G, 2011, ECOL INFORM, V6, P217, DOI 10.1016/j.ecoinf.2011.03.002; Osborne J., 2005, PRACTICAL ASSESSMENT, V10, P7, DOI [DOI 10.7275/JYJ1-4868, 10.4135/9781412995627, DOI 10.4135/9781412995627]; Pretty J, 2004, CONSERV BIOL, V18, P631, DOI 10.1111/j.1523-1739.2004.00126.x; Qualtrics, 2018, QUALTR SURV DES SOFT; Raymond CM, 2010, J ENVIRON MANAGE, V91, P1766, DOI 10.1016/j.jenvman.2010.03.023; Revelle W., 2020, USE PSYCH PACKAGE FA, V8; Roder C. A., 2001, SEAGRASS WATCH MANUA; Rotman D., 2014, ICONFERENCE 2014 P, P110, DOI DOI 10.9776/14054; Saunders MI, 2014, NAT CLIM CHANGE, V4, P724, DOI 10.1038/NCLIMATE2274; Schuttler SG, 2018, FRONT ECOL ENVIRON, V16, P405, DOI 10.1002/fee.1826; Schwartz SH, 2012, J PERS SOC PSYCHOL, V103, P663, DOI 10.1037/a0029393; Short FT, 2011, BIOL CONSERV, V144, P1961, DOI 10.1016/j.biocon.2011.04.010; Sullivan Gail M, 2013, J Grad Med Educ, V5, P541, DOI 10.4300/JGME-5-4-18; Thiel M, 2014, OCEANOGR MAR BIOL, V52, P257; Trizano-Hermosilla I, 2016, FRONT PSYCHOL, V7, DOI 10.3389/fpsyg.2016.00769; Unsworth RKF, 2019, AMBIO, V48, P801, DOI 10.1007/s13280-018-1115-y; van Keulen M, 2018, MAR POLLUT BULL, V134, P1, DOI 10.1016/j.marpolbul.2018.08.046; Van Selm M, 2006, QUAL QUANT, V40, P435, DOI 10.1007/s11135-005-8081-8; Waycott M, 2009, P NATL ACAD SCI USA, V106, P12377, DOI 10.1073/pnas.0905620106; Wickham H., 2016, USE R, DOI DOI 10.1007/978-0-387-98141-3_1; Worm B, 2006, SCIENCE, V314, P787, DOI 10.1126/science.1132294; Yaakub S. M., 2018, P WORLD SEAGR C 2018</t>
  </si>
  <si>
    <t>MAY 7</t>
  </si>
  <si>
    <t>10.3389/fmars.2021.610397</t>
  </si>
  <si>
    <t>SD4TH</t>
  </si>
  <si>
    <t>Green Published, gold, Green Accepted</t>
  </si>
  <si>
    <t>WOS:000651365600004</t>
  </si>
  <si>
    <t>Zhang, L; Yuan, J; Kim, CS</t>
  </si>
  <si>
    <t>Zhang, Longlong; Yuan, Jingwen; Kim, Chul Soo</t>
  </si>
  <si>
    <t>The Theme Space Design of Marine Elements Based on Computer Vision-Taking Busan Oceanographic Museum as an Example</t>
  </si>
  <si>
    <t>2022 EURO-ASIA CONFERENCE ON FRONTIERS OF COMPUTER SCIENCE AND INFORMATION TECHNOLOGY, FCSIT</t>
  </si>
  <si>
    <t>Euro-Asia Conference on Frontiers of Computer Science and Information Technology (FCSIT)</t>
  </si>
  <si>
    <t>DEC 16-18, 2022</t>
  </si>
  <si>
    <t>Computer Vision; Marine Elements; Theme Space Design; Maritime Museum</t>
  </si>
  <si>
    <t>The construction of the Oceanographic Museum is an important symbol of a country's cultural progress, as well as an important business card for a country and a city. Computer vision techniques use machines instead of humans to detect, track and measure objects, and further process detailed images and analysis. The purpose of this paper is to take the Busan Oceanographic Museum as an example to study the theme space design of marine elements based on computer vision, and to study the design and application of marine culture in the theme museum based on marine culture. Combined with the research on the current situation of theme museums at home and abroad, the theories and cases related to theme museums and marine culture are analyzed, and ocean culture is adopted as the theme of museum design. The marine culture theme museum introduces a large number of marine elements and marine art features to create a charming marine palace. Based on the above research and analysis, it is concluded that the space design of the marine culture theme museum covers space modeling, modern materials, decoration, color, elements, lighting and other design elements; finally, it is practiced according to the design elements and principles of the marine museum - taking Busan Marine Museum as an example to show the characteristics of marine culture further strengthen the argument of this paper.</t>
  </si>
  <si>
    <t>[Zhang, Longlong; Yuan, Jingwen] Pukyong Natl Univ, Dept Marine Design Convergence Engn, Busan, South Korea; [Kim, Chul Soo] Pukyong Natl Univ, Dept Ind Design, Busan, South Korea</t>
  </si>
  <si>
    <t>Pukyong National University; Pukyong National University</t>
  </si>
  <si>
    <t>Zhang, L (corresponding author), Pukyong Natl Univ, Dept Marine Design Convergence Engn, Busan, South Korea.</t>
  </si>
  <si>
    <t>zhanglonglong@naver.com; yuanjingwen@naver.corn; bosen@pukyong.ac.kr</t>
  </si>
  <si>
    <t>Brain Korea 21 Program for Leading Universities and Students (BK21 FOUR) MADEC Marine Designeering Education Research Group</t>
  </si>
  <si>
    <t>This work was supported by a grant from Brain Korea 21 Program for Leading Universities and Students (BK21 FOUR) MADEC Marine Designeering Education Research Group.</t>
  </si>
  <si>
    <t>Baghdadi A, 2018, J UROLOGY, V199, pE1134; Dihoru L, 2019, NUCL ENG DES, V344, P1, DOI 10.1016/j.nucengdes.2019.01.017; Hartley R., 2003, Multiple view geometry in computer vision, DOI [DOI 10.1017/CBO9780511811685, 10.1016/S0143-8166(01)00145-2]; Jeyaraj PR, 2019, INT J CLOTH SCI TECH, V31, P510, DOI 10.1108/IJCST-11-2018-0135; Khan S., 2018, SYNTHESIS LECT COMPU, V8, P1, DOI DOI 10.2200/S00822ED1V01Y201712COV015; Mogensen JE, 2018, TEXTILE, V16, P8, DOI 10.1080/14759756.2017.1332908; Schultebraucks Katharina, 2021, Digit Biomark, V5, P16, DOI 10.1159/000512394; Tomasevic I, 2019, BRIT FOOD J, V121, P1078, DOI 10.1108/BFJ-06-2018-0376</t>
  </si>
  <si>
    <t>IEEE COMPUTER SOC</t>
  </si>
  <si>
    <t>LOS ALAMITOS</t>
  </si>
  <si>
    <t>10662 LOS VAQUEROS CIRCLE, PO BOX 3014, LOS ALAMITOS, CA 90720-1264 USA</t>
  </si>
  <si>
    <t>978-1-6654-6353-9</t>
  </si>
  <si>
    <t>10.1109/FCSIT57414.2022.00019</t>
  </si>
  <si>
    <t>Computer Science, Artificial Intelligence; Computer Science, Information Systems; Computer Science, Interdisciplinary Applications</t>
  </si>
  <si>
    <t>BV1HY</t>
  </si>
  <si>
    <t>WOS:000986715000008</t>
  </si>
  <si>
    <t>Srinivasan, M; Leben, R</t>
  </si>
  <si>
    <t>ieee</t>
  </si>
  <si>
    <t>Societal benefits of ocean altimetry data</t>
  </si>
  <si>
    <t>IGARSS 2004: IEEE INTERNATIONAL GEOSCIENCE AND REMOTE SENSING SYMPOSIUM PROCEEDINGS, VOLS 1-7: SCIENCE FOR SOCIETY: EXPLORING AND MANAGING A CHANGING PLANET</t>
  </si>
  <si>
    <t>IEEE International Symposium on Geoscience and Remote Sensing IGARSS</t>
  </si>
  <si>
    <t>IEEE International Geoscience and Remote Sensing Symposium</t>
  </si>
  <si>
    <t>SEP 20-24, 2004</t>
  </si>
  <si>
    <t>Anchorage, AK</t>
  </si>
  <si>
    <t>altimetry; applications; ocean surface topography; sea surface height; TOPEV/Poseidon; Jason-1; operational oceanography</t>
  </si>
  <si>
    <t>The NASA/CNES Jason satellite, follow-on to the highly successful TOPEX/Poseidon mission, continues to provide oceanographers and marine operators across the globe with a continuous twelve-year, high quality stream of sea surface height data. The mission is expected to extend through 2007, when the NASA/NOAA/CNES follow-on mission, OSTM, will be launched with the wide-swath ocean altimeter on board. This unprecedented resource of valuable ocean data is being used to map sea surface height, geostrophic velocity, significant wave height, and wind speed over the global oceans. Altimeter data products are currently used by hundreds of researchers, and operational users to monitor ocean circulation and improve our understanding of the role of the oceans in climate and weather. Ocean altimeter data has many societal benefits and has proven invaluable in many practical applications including; Ocean forecasting systems, Climate research and forecasting, Ship routing, Precision marine operations such as cable-laying and oil production, Fisheries management, Marine mammal habitat monitoring, Hurricane forecasting and tracking, Debris tracking The data has been cited in nearly 2,000 research and popular articles since the launch of TOPEX/Poseidon in 1992, and almost 200 scientific users receive the global coverage altimeter data on a monthly basis. In addition to the scientific and operational uses of the data, the educational community has seized the unique concepts highlighted by these altimeter missions as a resource for teaching ocean science to students from grade school through college. This presentation will highlight societal benefits of ocean altimetry data in the areas of climate studies, marine operations, marine research, and non-ocean investigations.</t>
  </si>
  <si>
    <t>CALTECH, Jet Prop Lab, Pasadena, CA 91125 USA</t>
  </si>
  <si>
    <t>National Aeronautics &amp; Space Administration (NASA); NASA Jet Propulsion Laboratory (JPL); California Institute of Technology</t>
  </si>
  <si>
    <t>CALTECH, Jet Prop Lab, 4800 Oak Grove Dr, Pasadena, CA 91125 USA.</t>
  </si>
  <si>
    <t>POICHEL WG, 2003, P 30 INT S REM SENS; POLOVINA J, FISHERIES B, V97, P132; SRINIVASAN M, 2002, IGARSS ANN M TOR CAN; SRINIVASSAN M, 2002, AGU FALL M SAN FRANC</t>
  </si>
  <si>
    <t>2153-6996</t>
  </si>
  <si>
    <t>0-7803-8742-2</t>
  </si>
  <si>
    <t>INT GEOSCI REMOTE SE</t>
  </si>
  <si>
    <t>Geosciences, Multidisciplinary; Instruments &amp; Instrumentation; Remote Sensing; Imaging Science &amp; Photographic Technology</t>
  </si>
  <si>
    <t>Geology; Instruments &amp; Instrumentation; Remote Sensing; Imaging Science &amp; Photographic Technology</t>
  </si>
  <si>
    <t>BBP98</t>
  </si>
  <si>
    <t>WOS:000227006900174</t>
  </si>
  <si>
    <t>Strang, C; Dorph, R; Halversen, C</t>
  </si>
  <si>
    <t>Strang, Craig; Dorph, Rena; Halversen, Catherine</t>
  </si>
  <si>
    <t>Communicating ocean sciences:: A course that improves education &amp; public outreach</t>
  </si>
  <si>
    <t>Among all disciplines of science and geoscience, ocean/marine/aquatic sciences are inexplicably and idiosyncratically underrepresented in K-16 education. Concepts and topics about the ocean are hardly taught in K-12 schools, and hardly appear in K-12 curriculum materials, textbooks, assessments or standards. The NSF-funded Center for Ocean Sciences Education Excellence-California (COSEE CA) has brought together educators at the Lawrence Hall of Science, UC Berkeley with faculty at UCB to address this issue. Together educators and ocean scientists have developed and teach a university course entitled Communicating Ocean Sciences that is now being taught in several institutions of higher education nationwide. The course is designed for undergraduate and graduate science students interested in improving their teaching skills, or simply interested in improving their ability to communicate about complex science concepts. The goals of the course are to: 1) introduce diverse future scientists to the importance of K-12 education, public outreach and the broader impact of their research in ocean sciences; 2) introduce diverse students in science majors to possible careers in K-12 teaching; 3) encourage thoughtful, mutually beneficial collaborations between ocean scientists and educators co-teaching the course; 4) provide significant ocean sciences instruction and college-age role models for under-represented K-12 students. The course involves university students in a semester of seminars and six weeks of teaching Ocean Sciences to elementary and middle school students under the supervision of experienced classroom teachers. To date, approximately 100 students have taken this course at the University of California, Berkeley and three other campuses. By academic year 2005-06, we expect that a dozen colleges and universities will be offering the course.</t>
  </si>
  <si>
    <t>Univ Calif Berkeley, Berkeley, CA 94720 USA</t>
  </si>
  <si>
    <t>Strang, C (corresponding author), Univ Calif Berkeley, Lawrence Hall Sci, Berkeley, CA 94720 USA.</t>
  </si>
  <si>
    <t>Dorph, Rena/AAI-6187-2021</t>
  </si>
  <si>
    <t>Dorph, Rena/0000-0003-4022-3789</t>
  </si>
  <si>
    <t>WOS:000238978702131</t>
  </si>
  <si>
    <t>Heinonen, J; Olson, S; Czepkiewicz, M; Arnadóttir, A; Ottelin, J</t>
  </si>
  <si>
    <t>Heinonen, Jukka; Olson, Sarah; Czepkiewicz, Michal; Arnadottir, Arora; Ottelin, Juudit</t>
  </si>
  <si>
    <t>Too much consumption or too high emissions intensities? Explaining the high consumption-based carbon footprints in the Nordic countries</t>
  </si>
  <si>
    <t>ENVIRONMENTAL RESEARCH COMMUNICATIONS</t>
  </si>
  <si>
    <t>consumption-based carbon footprint; carbon intensity; mitigation pathway; low-carbon lifestyle</t>
  </si>
  <si>
    <t>HOUSEHOLD CONSUMPTION; ENVIRONMENTAL-IMPACT; TRAVEL; SUBURBANIZATION; LCA; KEY</t>
  </si>
  <si>
    <t>Consumption-based carbon footprints have been widely used to examine how different demand-side solutions can reduce the emissions from personal consumption. This study not only utilized consumption-based carbon footprints to examine how people living in affluent nations like the Nordic countries can live 1.5 degree warming compatible lifestyles, but it also expanded on this analysis by focusing on which level of GHG intensity per monetary unit of expenditure it is possible to remain below a 1.5-degree compatible target level at different levels of consumption expenditure. To analyze the GHG intensity per monetary unit of consumption, first, the consumption-based carbon footprints from around 8,000 survey responses from the Nordic countries were calculated. Then the average carbon intensity per unit of monetary spending was calculated across the income deciles in each country and compared to target levels that align with the 1.5-degree compatible reduction pathways by 2030. Finally, the intensities for selected low-carbon consumption choices (vegan/vegetarian diet, driving an EV, renewable electricity for the home, not owning a car, and no air travel) were calculated and compared to the same baseline targets. Our results showed that all of the average carbon footprints and GHG intensities were above the target levels in all of the countries. However, when comparing respondents having adopted two or more low-carbon consumption choices, there were examples of average intensities that met the target levels. The adoption rates of these low-carbon consumption choices were low though, which illustrates the necessity for high adoption rates of multiple low-carbon consumption choices in order to materialize the potential of demand-side climate change mitigation options. Our findings highlight the importance of examining the GHG intensity of per monetary unit expenditure to inform future policies on demand-side solutions and to improve the climate-literacy of consumers, so they can make more informed decisions on consumption choices.</t>
  </si>
  <si>
    <t>[Heinonen, Jukka; Olson, Sarah; Arnadottir, Arora] Univ Iceland, Fac Civil &amp; Environm Engn, Hjardarhagi 2-6, IS-107 Reykjavik, Iceland; [Czepkiewicz, Michal] Adam Mickiewicz Univ, Woj Wielkopolskie 293, Poznan, Poland; [Ottelin, Juudit] Norwegian Univ Sci &amp; Technol, Realfagbygget E4-154, Trondheim, Norway</t>
  </si>
  <si>
    <t>University of Iceland; Adam Mickiewicz University; Norwegian University of Science &amp; Technology (NTNU)</t>
  </si>
  <si>
    <t>Heinonen, J (corresponding author), Univ Iceland, Fac Civil &amp; Environm Engn, Hjardarhagi 2-6, IS-107 Reykjavik, Iceland.</t>
  </si>
  <si>
    <t>heinonen@hi.is</t>
  </si>
  <si>
    <t>Ottelin, Juudit/AAA-8887-2019; Heinonen, Jukka/K-6952-2015</t>
  </si>
  <si>
    <t>Ottelin, Juudit/0000-0003-0878-5108; Heinonen, Jukka/0000-0002-7298-4999; Olson, Sarah Christine/0009-0003-3262-1303; Arnadottir, Arora/0000-0002-2345-5919</t>
  </si>
  <si>
    <t>Icelandic Centre for Research RANNIS [207195-052]</t>
  </si>
  <si>
    <t>Icelandic Centre for Research RANNIS</t>
  </si>
  <si>
    <t>AcknowledgmentsThe authors thank the Icelandic Centre for Research RANNIS for funding this study (grant number 207195-052).</t>
  </si>
  <si>
    <t>Aamaas B, 2013, ENVIRON SCI POLICY, V33, P273, DOI 10.1016/j.envsci.2013.06.009; Afionis S, 2017, WIRES CLIM CHANGE, V8, DOI 10.1002/wcc.438; Akenji L., 2021, DEGREE LIFESTYLES FA, V1, P5; Ala-Mantila S, 2016, J CLEAN PROD, V135, P356, DOI 10.1016/j.jclepro.2016.05.156; Alhola K., 2019, SUOMEN YMP RIST KESK, V15, P33; [Anonymous], 2017, NORDIC EXPERIENCES S; Arnadóttir A, 2021, TRAVEL BEHAV SOC, V24, P282, DOI 10.1016/j.tbs.2021.05.002; Barros B, 2021, SUSTAINABILITY-SCI P, V17, P316, DOI 10.1080/15487733.2021.1949847; Baynes TM, 2012, CURR OPIN ENV SUST, V4, P458, DOI 10.1016/j.cosust.2012.09.003; Chen GW, 2018, J CLEAN PROD, V172, P287, DOI 10.1016/j.jclepro.2017.10.161; Cherubini F, 2009, RESOUR CONSERV RECY, V53, P434, DOI 10.1016/j.resconrec.2009.03.013; Chester MV, 2009, ENVIRON RES LETT, V4, DOI 10.1088/1748-9326/4/2/024008; Clarke J, 2017, J CLEAN PROD, V166, P1175, DOI 10.1016/j.jclepro.2017.08.108; Claudelin A, 2020, SUSTAIN DEV, V28, P1689, DOI 10.1002/sd.2117; Creutzig F., 2022, IPCC 2022 CLIMATE CH; Creutzig F, 2022, NAT CLIM CHANGE, V12, P36, DOI 10.1038/s41558-021-01219-y; Czepkiewicz M, 2019, SUSTAINABILITY-BASEL, V11, DOI 10.3390/su11226340; Czepkiewicz M, 2018, J TRANSP GEOGR, V68, P130, DOI 10.1016/j.jtrangeo.2018.02.008; Dubois G, 2019, ENERGY RES SOC SCI, V52, P144, DOI 10.1016/j.erss.2019.02.001; Eurostat, 2022, STAT EXPLAINED RETRI, V7, P2022; Girod B, 2014, GLOBAL ENVIRON CHANG, V25, P5, DOI 10.1016/j.gloenvcha.2014.01.004; Gossling S., 2022, WIRES COMPUT STAT, pe802, DOI [10.1002/wcc.802, DOI 10.1002/WCC.802]; Gram-Hanssen K, 2012, ENERG BUILDINGS, V53, P64, DOI 10.1016/j.enbuild.2012.06.023; Green F, 2022, ONE EARTH, V5, P635, DOI 10.1016/j.oneear.2022.05.005; Hasegawa R, 2015, J EC STRUCT, V4, P1, DOI [DOI 10.1186/S40008-015-0015-6, 10.1186/s40008-015-0015-6]; Heinonen J, 2022, ENVIRON RES COMMUN, V4, DOI 10.1088/2515-7620/ac5489; Heinonen J, 2020, J CLEAN PROD, V256, DOI 10.1016/j.jclepro.2020.120335; Heinonen J, 2013, ENVIRON RES LETT, V8, DOI 10.1088/1748-9326/8/2/025003; Heinonen J, 2011, ENVIRON RES LETT, V6, DOI 10.1088/1748-9326/6/3/034034; Heinonen J, 2011, ENVIRON RES LETT, V6, DOI 10.1088/1748-9326/6/1/014018; Herrera-Camacho J., 2017, US, DOI [10.20944/preprints201707.0004.v1, DOI 10.20944/PREPRINTS201707.0004.V1]; Hertwich EG, 2009, ENVIRON SCI TECHNOL, V43, P6414, DOI 10.1021/es803496a; Hubacek K, 2017, ENERGY ECOL ENVIRON, V2, P361, DOI 10.1007/s40974-017-0072-9; Institute for Global Environmental Strategies (IGES) Aalto University and D-mat Ltd, 2019, TECHNICAL REPORT; Intergovernmental Panel on Climate Change, 2021, CLIMATE CHANGE 2021, DOI [10.1017/9781009157896.003, DOI 10.1017/9781009157896.003]; Ivanova D, 2020, ENVIRON RES LETT, V15, DOI 10.1088/1748-9326/ab8589; Ivanova D, 2016, J IND ECOL, V20, P526, DOI 10.1111/jiec.12371; Jaccard IS, 2021, ENVIRON RES LETT, V16, DOI 10.1088/1748-9326/abfb2f; Jokinen J., 2020, STATE NORDIC REGION; Jones C, 2014, ENVIRON SCI TECHNOL, V48, P895, DOI 10.1021/es4034364; Kanemoto K, 2014, GLOBAL ENVIRON CHANG, V24, P52, DOI 10.1016/j.gloenvcha.2013.09.008; Koide R, 2021, SUSTAIN SCI, V16, P2087, DOI 10.1007/s11625-021-01018-6; Koide R, 2021, ENVIRON RES LETT, V16, DOI 10.1088/1748-9326/ac0e64; Lee DS, 2021, ATMOS ENVIRON, V244, DOI 10.1016/j.atmosenv.2020.117834; Mach R, 2018, ECOL ECON, V149, P62, DOI 10.1016/j.ecolecon.2018.02.015; Mattioli G, 2020, ENERGY RES SOC SCI, V66, DOI 10.1016/j.erss.2020.101486; Maxim A, 2016, SUSTAINABILITY-BASEL, V8, DOI 10.3390/su8050483; Minx J, 2013, ENVIRON RES LETT, V8, DOI 10.1088/1748-9326/8/3/035039; Mundaca L, 2019, ENERG EFFIC, V12, P343, DOI 10.1007/s12053-018-9722-9; Ottelin J., 2016, THESIS; Ottelin J, 2020, ENVIRON RES LETT, V15, DOI 10.1088/1748-9326/abaa78; Ottelin J, 2019, ENVIRON RES LETT, V14, DOI 10.1088/1748-9326/ab2212; Ottelin J, 2015, ENVIRON SCI TECHNOL, V49, P9574, DOI 10.1021/acs.est.5b02140; Research Centre of Finland Ltd LIPASTO unit, 2021, EM DAT; Saarinen M, 2019, Effects of dietary change and policy mix supporting the change: end report of the FoodMin project; Salo M., 2017, US; Seibert MK, 2021, ENERGIES, V14, DOI 10.3390/en14154508; Shukla P.R, 2022, Contribution of Working Group III to the Sixth Assessment Report of the Intergovernmental Panel on Climate Change, DOI [DOI 10.1017/9781009157926.001, 10.1017/9781009157926, DOI 10.1017/9781009157926]; Sörqvist P, 2019, FRONT PSYCHOL, V10, DOI 10.3389/fpsyg.2019.00348; Sorrell S, 2020, ENERGY RES SOC SCI, V64, DOI 10.1016/j.erss.2020.101439; Stadler K, 2018, J IND ECOL, V22, P502, DOI 10.1111/jiec.12715; United Nations, 2018, STAT PAPERS DEP EC S, V99, P265; van Vuuren DP, 2018, NAT CLIM CHANGE, V8, P391, DOI 10.1038/s41558-018-0119-8; Vimpari J, 2021, ENVIRON RES LETT, V16, DOI 10.1088/1748-9326/abfeee; Vita G, 2019, ECOL ECON, V164, DOI 10.1016/j.ecolecon.2019.05.002; Wiedenhofer D, 2017, NAT CLIM CHANGE, V7, P75, DOI [10.1038/NCLIMATE3165, 10.1038/nclimate3165]; Wiedmann T, 2020, NAT COMMUN, V11, DOI 10.1038/s41467-020-16941-y; Wood R, 2018, J IND ECOL, V22, P553, DOI 10.1111/jiec.12735; Wynes S, 2017, ENVIRON RES LETT, V12, DOI 10.1088/1748-9326/aa7541; Yavor KM, 2020, SUSTAINABILITY-BASEL, V12, DOI 10.3390/su12083394</t>
  </si>
  <si>
    <t>IOP Publishing Ltd</t>
  </si>
  <si>
    <t>TEMPLE CIRCUS, TEMPLE WAY, BRISTOL BS1 6BE, ENGLAND</t>
  </si>
  <si>
    <t>2515-7620</t>
  </si>
  <si>
    <t>ENVIRON RES COMMUN</t>
  </si>
  <si>
    <t>Environ. Res. Commun.</t>
  </si>
  <si>
    <t>DEC 1</t>
  </si>
  <si>
    <t>10.1088/2515-7620/aca871</t>
  </si>
  <si>
    <t>8B2IK</t>
  </si>
  <si>
    <t>WOS:000916752200001</t>
  </si>
  <si>
    <t>Plets, G; Kuijt, M</t>
  </si>
  <si>
    <t>Plets, Gertjan; Kuijt, Marin</t>
  </si>
  <si>
    <t>Gas, Oil and Heritage Well-oiled Histories and Corporate Sponsorship in Dutch Museums (1990-2021)</t>
  </si>
  <si>
    <t>BMGN-THE LOW COUNTRIES HISTORICAL REVIEW</t>
  </si>
  <si>
    <t>CLIMATE-CHANGE; ART</t>
  </si>
  <si>
    <t>How does corporate sponsorship shape the narration and curation of Dutch history in public museums? This article evaluates the significance and impact of private funding in the Dutch heritage and museum sector. By focusing on three museums that have received funding from Dutch oil and gas companies we foreground specifically the nexus heritage, oil, and funding. We show how a particular type of 'energy literacy' is promoted, a narrative that is favourable to the agenda of the gas and oil sector. Our explorations are based on interviews with museum officials, an analysis of policy documents, and a close reading of exhibitions. By describing the impact of oil and gas money on the Dutch heritage sector, this article charts the growing influence of corporate players in the Dutch public cultural sector. Following neoliberal reforms in 2011-2012 promoting cultural entrepreneurship and self-sufficiency, museums and heritage sites had to act even more like businesses and attract sponsorships and gifts from private players. This development is part of a global retraction of the state in the public sector. Our discussion of the intricacies of corporate heritage funding in the Netherlands shows that through a fairly limited investment, enterprises acquire disproportionate outreach and influence in the cultural heritage field, an environment that is generally perceived by the public as reliable and independent.</t>
  </si>
  <si>
    <t>[Plets, Gertjan] Univ Utrecht, Dept Hist &amp; Art Hist, Cultural Heritage Studies &amp; Archaeol, Utrecht, Netherlands; [Kuijt, Marin] Univ Utrecht, Hist &amp; Philosophy, Utrecht, Netherlands</t>
  </si>
  <si>
    <t>Utrecht University; Utrecht University</t>
  </si>
  <si>
    <t>Plets, G (corresponding author), Univ Utrecht, Dept Hist &amp; Art Hist, Cultural Heritage Studies &amp; Archaeol, Utrecht, Netherlands.</t>
  </si>
  <si>
    <t>g.f.j.plets@uu.nl; m.w.kuijt@umail.leidenuniv.nl</t>
  </si>
  <si>
    <t>Plets, Gertjan/0000-0002-9858-3464</t>
  </si>
  <si>
    <t>UGLOBE centre for global challenges</t>
  </si>
  <si>
    <t>The authors wish to thank the editors of bmgn -Low Countries Historical Review for their interest in this paper and their suggestions. We would also like to praise the two anonymous reviewers who provided encouraging feedback and relevant literature recommendations. Throughout the course of this paper different interlocutors provided us with documentation, insights, gossip, and confidential information. A big thank you goes out to all of our interlocutors. None of the confidential information is shared here. This research has been financed by UGLOBE centre for global challenges. Kees Muller redacted the final version of this paper.</t>
  </si>
  <si>
    <t>Alexander VD, 2014, ANTHROPOL FORUM, V24, P364, DOI 10.1080/00664677.2014.947917; AM, 2011, AARDG KLAS; [Anonymous], 2016, MUSEUM BOERHAAVEBIS; [Anonymous], 2006, BMGN; [Anonymous], 1999, Myths and Memories of the Nation; [Anonymous], 1997, KLEIN LAND 20E EEUW; [Anonymous], LCHR 2 SEPTEMBER 202; [Anonymous], GASW UIT KLEIN GASV; [Anonymous], 2020, GAS VERHAAL NEDERLAN; [Anonymous], 2006, COUNTRIES HIST REV, V121, P99, DOI [10.18352/bmgn-lchr.6343, DOI 10.18352/BMGN-LCHR.6343]; [Anonymous], 2020, RIJKSOVERHEID 1124; [Anonymous], 2019, Interview 151 (male, chemistry, agnostic)June 13; [Anonymous], ONLINE 1 ARTICLE PRO; [Anonymous], THIS ARTICLE WAS 1 P, DOI [10.51769/bmgn-lchr.11658, DOI 10.51769/BMGN-LCHR.11658]; [Anonymous], 2014, PENING JAKNIKKER OPE; [Anonymous], COMMUNICATION, DOI [10.51769/bmgn-lchr.11667, DOI 10.51769/BMGN-LCHR.11667]; [Anonymous], 2019, AARDG UIT GASW BIJN; [Anonymous], 2013, PEARL PERIL FIONA ST; Archief Drents, 1997, PROVINCIAAL MUSEUM D; Archief Drents, 1997, DRAFT SPONSOR AGREEM, P523; Barrett J., 2010, Museums and the Public Sphere; Bennett Tony., 1995, BIRTH MUSEUM; Bijl P, 2012, J GENOCIDE RES, V14, P441, DOI 10.1080/14623528.2012.719375; Brulle RJ, 2020, CLIMATIC CHANGE, V159, P87, DOI 10.1007/s10584-019-02582-8; Chong D., 2015, The International Handbooks of Museum Studies: Museum Practice, V2, P179; Coombe Rosemary., 2016, A Companion to Heritage Studies, P337; De Cesari Chiara, 2014, TRANSNATIONAL MEMORY, V19, P1, DOI [10.1515/9783110359107.1, DOI 10.1515/9783110359107.1]; de Klerck Hanneke., 2011, DE VOLKSKRANT; Edwards PN, 2003, MODERNITY AND TECHNOLOGY, P185; Elshout Douwe Joost., 2016, MODERNE MUSEUMWERELD, P153; GELLNER Ernest., 1993, NATIONS NATL; Janneke van Reenen-Hak, 2011, BEELD NAM REFORMATOR, P4; Jellema Botte, 2011, VPRO 1006; Knegjens Kiki, 2017, THESIS RADBOUD U NIJ; Latour Bruno, 1993, WE HAVE NEVER BEEN M; Lindqvist K, 2012, MUS MANAGE CURATOR, V27, P1, DOI 10.1080/09647775.2012.644693; Luke, 2019, PEARL PERIL HERITAGE, DOI [10.1093/oso/9780190498870.001.0001, DOI 10.1093/OSO/9780190498870.001.0001]; Maas Ad, AD MAAS ONE AUTHORS, DOI [10.51769/bmgn-lchr.11658, DOI 10.51769/BMGN-LCHR.11658]; Maas Ad, 2011, VERBORGEN KRACHTEN N; Mauss M., 2000, GIFT FORM REASON EXC; Metze T, 2018, J CLEAN PROD, V197, P1737, DOI 10.1016/j.jclepro.2017.04.158; Motion J, 2019, ENVIRON POLIT, V28, P727, DOI 10.1080/09644016.2017.1416904; Mouter N, 2018, ENERG POLICY, V122, P639, DOI 10.1016/j.enpol.2018.08.020; NAM, 2011, KIND BOORD EN AARDG; NAM, AARDG BIJ JOU THUIS; Netherlands Open Air Museum, JAKN OP BEW GEZ; Netherlands Open Air Museum, 2015, JAARV 2015; opteam Energie, 2012, TOPSECTOR ENERG 0205; Pijnenburg RPJ, 2019, J GEOPHYS RES-SOL EA, V124, P5254, DOI 10.1029/2019JB017366; Plets G, 2019, POST-SOV AFF, V35, P308, DOI 10.1080/1060586X.2019.1617574; Plets G, 2016, J FIELD ARCHAEOL, V41, P368, DOI 10.1080/00934690.2016.1184534; Pots Roel., 2000, Cultuur, koningen, en democraten: Overheid en cultuur in Nederland; Proteau J, 2018, MUS MANAGE CURATOR, V33, P235, DOI 10.1080/09647775.2018.1467274; Rectanus MarkW., 2002, CULTURE INCORPORATED; Rekenkamer Algemene., 2014, ALGEMENE REKENK 1007; Schiller Herbert, 1989, CULTURE INC THE CORP; Schuyt Kees, 2000, WELVAART ZWART WIT; Silber Ilana., MODERN PHILANTHROPY; Steenbergen R., 2009, NIEUWE MECENAS CULTU; Van Sas N, 2009, BMGN, V124, P419; van Vilsteren, 1997, COMMUNICATION 0721; van Zijverden Jan., 2017, DRENTS MUSEUM MAGAZI, V35, P24; Wimmer A., 2002, Global Networks, V2, P301, DOI [10.1111/1471-0374.00043, DOI 10.1111/1471-0374.00043]; Woud A. van der, 2013, NIEUWE WERELD ONTSTA; Zijlstra Halbe., TWEEDE KAMER STATEN, P32820</t>
  </si>
  <si>
    <t>KONINKLIJK NEDERLANDS HISTORISCH GENOOTSCHAP</t>
  </si>
  <si>
    <t>HAGUE</t>
  </si>
  <si>
    <t>PO BOX 90406, HAGUE, 2509 LK, NETHERLANDS</t>
  </si>
  <si>
    <t>0165-0505</t>
  </si>
  <si>
    <t>2211-2898</t>
  </si>
  <si>
    <t>BMGN</t>
  </si>
  <si>
    <t>BMGN-LCHR</t>
  </si>
  <si>
    <t>10.51769/bmgn-lchr.7028</t>
  </si>
  <si>
    <t>History</t>
  </si>
  <si>
    <t>2U8FQ</t>
  </si>
  <si>
    <t>gold, Green Published, Green Submitted</t>
  </si>
  <si>
    <t>WOS:000823390800006</t>
  </si>
  <si>
    <t>Numminen, S; Ruggiero, S; Jalas, M</t>
  </si>
  <si>
    <t>Numminen, Sini; Ruggiero, Salvatore; Jalas, Mikko</t>
  </si>
  <si>
    <t>Locked in flat tariffs? An analysis of electricity retailers? dynamic price offerings and attitudes to consumer engagement in demand response</t>
  </si>
  <si>
    <t>APPLIED ENERGY</t>
  </si>
  <si>
    <t>Energy retail; Electricity; Demand response; Dynamic pricing; Energy democracy</t>
  </si>
  <si>
    <t>BUSINESS MODEL; ENERGY; TRANSITION; ROLES</t>
  </si>
  <si>
    <t>Matching electricity supply and demand is crucial for deploying renewable energy sources. Tools such as dy-namic and market-based pricing help engage energy end-users in this effort and enable demand response. Moving away from a predominant focus on the technical aspects of demand response, in this article, we explore dynamic pricing offerings in the light of energy democracy and retailers' views on making electricity provision less inconspicuous. To this end, we examine the market offers of 59 Finnish electricity retailers, including their customer segmentation and understanding of the barriers to broader uptake of dynamic pricing. Our findings indicate that markets are in ferment; the electricity retailers are innovating and trialling new electricity products, but there are also significant concerns over vulnerable energy end-users. We also find evidence that a move towards more dynamic pricing is not a general trend. On the contrary, electricity retailers have diverse portfolios, and an increasing number of them promote products such as 'super-flat' tariffs, in which prices are detached from both the timing and volume of consumption. Dynamic pricing and transparency in energy balancing can contribute to increased energy literacy and energy democracy. However, current market offerings are not organised, and they are not developing in ways that would be conducive to the broad utilisation of these demand response tools among domestic end-users of electricity.</t>
  </si>
  <si>
    <t>[Numminen, Sini; Jalas, Mikko] Aalto Univ, Dept Design, Otaniementie 14, Espoo 02150, Finland; [Ruggiero, Salvatore] Univ Helsinki, Ctr Consumer Soc Res, Helsinki, Finland</t>
  </si>
  <si>
    <t>Aalto University; University of Helsinki</t>
  </si>
  <si>
    <t>Numminen, S (corresponding author), Aalto Univ, Dept Design, Otaniementie 14, Espoo 02150, Finland.</t>
  </si>
  <si>
    <t>sini.numminen@aalto.fi</t>
  </si>
  <si>
    <t>Numminen, Sini/0000-0003-4419-1032</t>
  </si>
  <si>
    <t>Strategic research council at the Academy of Finland; [327771]</t>
  </si>
  <si>
    <t>Strategic research council at the Academy of Finland;</t>
  </si>
  <si>
    <t>The authors are grateful to Mii Vuorensalmi for her dedicated work with data compilation and analysis of retailers? market offerings in spring/summer 2021. Funding: This work was supported by the Strategic research council at the Academy of Finland (project name Kohti eko-hyvinvointivaltiota. Yhteiskunnallisen vaikuttavuuden orkestrointi; grant number 327771) and Tekniikan Edista ? missa ? a ? tio ? (personal postdoctoral researcher grant for S. Numminen) .</t>
  </si>
  <si>
    <t>[Anonymous], 2020, WORLD EN MARK OBS 20; ARA, 2022, AV; ASSIST, 2018, VULN; Bidmon CM, 2018, J CLEAN PROD, V178, P903, DOI 10.1016/j.jclepro.2017.12.198; Bloem S, 2021, ENERGY RES SOC SCI, V72, DOI 10.1016/j.erss.2020.101906; Blue S, 2020, TIME SOC, V29, P923, DOI 10.1177/0961463X20905479; Borenstein S, 2013, REV IND ORGAN, V42, P127, DOI 10.1007/s11151-012-9367-3; Burke MJ, 2017, ENERGY RES SOC SCI, V33, P35, DOI 10.1016/j.erss.2017.09.024; Campos I, 2020, ENERGY RES SOC SCI, V69, DOI 10.1016/j.erss.2020.101718; CEER, 2020, RE; Darby SJ, 2020, ENERG POLICY, V143, DOI 10.1016/j.enpol.2020.111573; Ebeling F, 2015, NAT CLIM CHANGE, V5, P868, DOI [10.1038/NCLIMATE2681, 10.1038/nclimate2681]; Energiavirasto-the Energy Authority, 2021, SA; Energiavirasto-the Energy Authority, 2021, SAHK MYYNN JA JAK YH; Energy Authority, 2021, NAT REP AG COOP EN R; Energy Authority Finland., 2018, NAT REP 2019 AG COOP; European Commission, 2019, EN PRIC COSTS EUR 4; European Commission REKK. VaasaETT. MRC. The Advisory House, 2021, EUROPEAN BARRIERS RE, DOI [10.2833/692554, DOI 10.2833/692554]; Eurostat, 2021, EL PRIC INCL TAX HOU; FINLEX, 2013, SAHKO; FINLEX, 2020, LAK; Hackbarth A, 2020, ENERG POLICY, V138, DOI 10.1016/j.enpol.2020.111238; Hargreaves T, 2010, ENERG POLICY, V38, P6111, DOI 10.1016/j.enpol.2010.05.068; Hast A, 2015, RENEW SUST ENERG REV, V42, P1370, DOI 10.1016/j.rser.2014.10.104; Hobson K, 2006, ETHICS POLICY ENV, V9, P317, DOI 10.1080/13668790600902375; Honkapuro S., 2015, 2015 12 INT C EUROPE, P1, DOI DOI 10.1109/EEM.2015.7216652; Kahma N, 2017, ENERGY RES SOC SCI, V34, P27, DOI 10.1016/j.erss.2017.05.024; Kangas HL, 2021, ENERGY RES SOC SCI, V76, DOI 10.1016/j.erss.2021.102051; Marres N, 2013, SOC STUD SCI, V43, P417, DOI 10.1177/0306312712475255; Metelinen S., 2019, ELAMANMUUTOKSEN EMPI; Milchram C, 2018, APPL ENERG, V229, P1244, DOI 10.1016/j.apenergy.2018.08.053; Moezzi M, 2014, ENERGY RES SOC SCI, V1, P30, DOI 10.1016/j.erss.2014.03.014; Nyborg S, 2013, ENERG EFFIC, V6, P655, DOI 10.1007/s12053-013-9210-1; Nye M, 2010, ENVIRON PLANN A, V42, P697, DOI 10.1068/a4245; Odyssee-Mure, 2018, EL CONS DWELL; Parviainen A, 2020, MIKSI YHA VAIN HARVA; Pitkanen V., 2017, SUOMALAISTEN ASENTEE; Fernández JMR, 2017, ENERG POLICY, V102, P41, DOI 10.1016/j.enpol.2016.11.040; Ruggiero S, 2021, ENVIRON INNOV SOC TR, V39, P1, DOI 10.1016/j.eist.2021.02.002; Ruostetsaari I, 2020, INT J ENERGY SECT MA, V14, P1157, DOI 10.1108/IJESM-11-2019-0001; Ryghaug M, 2018, SOC STUD SCI, V48, P283, DOI 10.1177/0306312718770286; Schick L, 2013, SCI TECHNOL STUD, V26, P82; Schick L, 2015, ENERGY RES SOC SCI, V9, P51, DOI 10.1016/j.erss.2015.08.013; Silvast A, 2018, SUSTAINABILITY-BASEL, V10, DOI 10.3390/su10103738; Skjolsvold TM, 2018, ENERGY RES SOC SCI, V46, P252, DOI 10.1016/j.erss.2018.07.035; smartEn, 2020, SMARTEN MAP PROS 202; Sovacool BK, 2021, GLOBAL ENVIRON CHANG, V68, DOI 10.1016/j.gloenvcha.2021.102272; Sovacool BK, 2017, ENERG POLICY, V109, P767, DOI 10.1016/j.enpol.2017.07.037; Strengers Yolande., 2013, Smart Energy Technologies in Everyday Life: Smart Utopia?; Szulecki K, 2020, ENERGY RES SOC SCI, V69, DOI 10.1016/j.erss.2020.101768; Szulecki K, 2018, ENVIRON POLIT, V27, P21, DOI 10.1080/09644016.2017.1387294; Throndsen W, 2015, ENERGY RES SOC SCI, V9, P157, DOI 10.1016/j.erss.2015.08.012; Wahlund M, 2022, ENERGY RES SOC SCI, V87, DOI 10.1016/j.erss.2021.102482; Welton S, 2018, MICH LAW REV, V116, P581</t>
  </si>
  <si>
    <t>0306-2619</t>
  </si>
  <si>
    <t>1872-9118</t>
  </si>
  <si>
    <t>APPL ENERG</t>
  </si>
  <si>
    <t>Appl. Energy</t>
  </si>
  <si>
    <t>10.1016/j.apenergy.2022.120002</t>
  </si>
  <si>
    <t>Energy &amp; Fuels; Engineering, Chemical</t>
  </si>
  <si>
    <t>5A4IU</t>
  </si>
  <si>
    <t>WOS:000862853200004</t>
  </si>
  <si>
    <t>Niepold, F; Herring, D; McConville, D</t>
  </si>
  <si>
    <t>Niepold, Frank; Herring, David; McConville, David</t>
  </si>
  <si>
    <t>THE ROLE OF NARRATIVE AND GEOSPATIAL VISUALIZATION IN FOSTERING CLIMATE LITERATE CITIZENS</t>
  </si>
  <si>
    <t>climate; climate change; global warming; Earth science; climate literacy; science literacy; education; visualization; storytelling</t>
  </si>
  <si>
    <t>SCIENCE; CONSENSUS</t>
  </si>
  <si>
    <t>The advent of the Internet and evolutionary advances in geospatial data browsers, virtual globes, and immersive visualization displays have significantly increased the potential for a more climate science literate public. At the same time, space-based Earth-observing agencies like NASA and NOAA in the United States have geometrically increased the volume of data they collect everyday over the entire globe. Fortunately, Moore's Law held true during that same time span, so that the processing capacity of modern computers has exponentially increased, enabling scientists to collect, process, and share these data with increasing efficiency and turnaround time. Since 1980, the combination of these technologies has substantially increased public access to cutting-edge climate science data and information. But has there been a corresponding increase in public climate science literacy? Has there also been a corresponding improvement in public attitudes and opinions about climate science research? In this paper, we review current research about public awareness, understanding, and opinions about existing climate research. We also review several initiatives that our agencies (NASA and NOAA) have taken to help improve climate science literacy. Our research coincides with others' findings in, suggesting that it is possible to improve climate science literacy and positive attitudes about modern climate research, via particular methods of communication. We conclude with a call for collaborators to work with NASA and NOAA in the assembly of a synergetic new climate science communications and education infrastructure, as articulated by the late R. Buckminster Fuller, in which the whole works together much more effectively than the sum of the individual parts. We argue that the inherent difficulty of improving public climate science literacy, much less addressing the problems that stem from illiteracy and negative attitudes toward climate science, render the problem too great for any one agency or effort to tackle alone. Addressing the problem synergistically through transdisciplinary collaborations increases the potential for success while enriching all those involved in climate literacy efforts.</t>
  </si>
  <si>
    <t>[Niepold, Frank] NOAA, UCAR Climate Program Off, Natl Ocean &amp; Atmospher Adm, Silver Spring, MD 20910 USA; [Herring, David] NASA, Goddard Space Flight Ctr, Div Earth Sci, Greenbelt, MD 20771 USA; [McConville, David] Elumenati, Asheville, NC 28806 USA</t>
  </si>
  <si>
    <t>National Oceanic Atmospheric Admin (NOAA) - USA; National Aeronautics &amp; Space Administration (NASA); NASA Goddard Space Flight Center</t>
  </si>
  <si>
    <t>Niepold, F (corresponding author), NOAA, UCAR Climate Program Off, Natl Ocean &amp; Atmospher Adm, 1315 East West Highway,SSMC 3,Room 12117, Silver Spring, MD 20910 USA.</t>
  </si>
  <si>
    <t>AAAS American Association for the Advancement of Science, 2007, COMM LEARN GLOB CLIM; *ABC, 2006, ABC NEWS TIME STANFO; *AM ASS ADV SOC, 2007, LONG TERM AAAS IN AD; [Anonymous], 2002, SCI ENG IND; BORCHELT R, 2002, COMMUNICATING FUTURE; Boykoff MT, 2004, GLOBAL ENVIRON CHANG, V14, P125, DOI 10.1016/j.gloenvcha.2003.10.001; Brewer TL, 2005, CLIM POLICY, V4, P359, DOI 10.3763/cpol.2004.0427; BRUNER J, 1992, J PIAGET SY, P229; Corbett JB, 2004, SCI COMMUN, V26, P129, DOI 10.1177/1075547004270234; Feynman RP., 1986, Personal observations on reliability of shuttle; Fuller R.B., 1981, CRITICAL PATH; Fuller R.Buckminster., 1962, Education Automation; HAVEN K, 2005, NASA GODD SPAC FLIGH; IPCC, 2007, PHYS SCI BAS SUMM PO; *IPCC, 2007, IMP ADP VULN SUMM PO; IPCC C.W. T., 2007, CLIMATE CHANGE 2007; Krosnick JA, 2006, CLIMATIC CHANGE, V77, P7, DOI 10.1007/s10584-006-9068-8; Kuhn RL, 2003, AM SCI, V91, P388, DOI 10.1511/2003.5.388; Launius RD, 2003, ACTA ASTRONAUT, V53, P823, DOI 10.1016/S0094-5765(03)00119-X; Leiserowitz A, 2006, CLIMATIC CHANGE, V77, P45, DOI 10.1007/s10584-006-9059-9; McCright AM, 2007, CREATING A CLIMATE FOR CHANGE: COMMUNICATING CLIMATE CHANGE AND FACILITATING SOCIAL CHANGE, P200, DOI 10.1017/CBO9780511535871.015; Michaels D, 2005, SCI AM, V292, P96, DOI 10.1038/scientificamerican0605-96; Miller JD, 2004, SPACE POLICY LEADERS; Nowotny H, 2005, SCIENCE, V308, P1117, DOI 10.1126/science.1113825; Oreskes N, 2004, SCIENCE, V306, P1686, DOI 10.1126/science.1103618; Pinker Steven., 2000, LANGUAGE INSTINCT; Trefil J., 2008, Why science?</t>
  </si>
  <si>
    <t>10.2747/0272-3646.29.6.529</t>
  </si>
  <si>
    <t>WOS:000264488400005</t>
  </si>
  <si>
    <t>Olsthoorn, M; Schleich, J; Guetlein, MC; Durand, A; Faure, C</t>
  </si>
  <si>
    <t>Olsthoorn, Mark; Schleich, Joachim; Guetlein, Marie -Charlotte; Durand, Antoine; Faure, Corinne</t>
  </si>
  <si>
    <t>Beyond energy efficiency: Do consumers care about life-cycle properties of household appliances?</t>
  </si>
  <si>
    <t>Energy efficiency; Life cycle; Label; Appliance; Choice experiment; Consumer preferences; Circular economy</t>
  </si>
  <si>
    <t>CHOICE; LITERACY; LOGIT; MODEL</t>
  </si>
  <si>
    <t>Legislative proposals intend to require that manufacturers provide consumers with information on product life -cycle impacts. Yet, little is known about how consumers value such life-cycle information and who would be most sensitive to it. In this paper, we employ data from a demographically representative household survey among the adult population in Germany (N = 404), which elicits individuals' preferences for energy-related attributes of refrigerators. Based on mixed logit analysis of a discrete choice experiment, we find that con-sumers, on average, dislike refrigerators with much higher embodied energy, value the highest energy class, and prefer refrigerators with longer warranty periods. Latent class models distinguish three consumer classes: 'price sensitives' (36%), 'quality seekers' (24%) and 'energy savers' (40%). 'Energy savers' are characterized by a higher environmental identity, energy literacy, and more patience than the other classes. Rating scales reveal that consumers consider life-cycle properties with direct, private benefits much more strongly than properties with mainly indirect, social benefits. Results from ordered logit models suggest that women with more patience and high environmental identity consider all life-cycle properties more strongly, while durability appears to also be valued more by low-income and more energy literate consumers. The results support ongoing policy initia-tives that require the provision of life-cycle information and call for instruments to help consumers select ap-pliances based on life-cycle costs.</t>
  </si>
  <si>
    <t>[Olsthoorn, Mark; Schleich, Joachim; Guetlein, Marie -Charlotte; Faure, Corinne] Grenoble Ecole Management, 12 Rue Pierre Semard, F-38000 Grenoble, France; [Schleich, Joachim; Durand, Antoine] Fraunhofer Inst Syst &amp; Innovat Res, Breslauer Str 48, D-76139 Karlsruhe, Germany; [Schleich, Joachim] Virginia Polytech Inst &amp; State Univ, Blacksburg, VA USA</t>
  </si>
  <si>
    <t>Grenoble Ecole Management; Fraunhofer Gesellschaft; Virginia Polytechnic Institute &amp; State University</t>
  </si>
  <si>
    <t>Olsthoorn, M (corresponding author), Grenoble Ecole Management, 12 Rue Pierre Semard, F-38000 Grenoble, France.</t>
  </si>
  <si>
    <t>mark.olsthoorn@grenoble-em.com</t>
  </si>
  <si>
    <t>Olsthoorn, Mark/0000-0003-3789-8611; Durand, Antoine/0000-0003-2045-9989; Schleich, Joachim/0000-0001-6079-7240; Faure, Corinne/0000-0002-1629-132X</t>
  </si>
  <si>
    <t>European Union's Horizon 2020 Framework Programme under the project CHEETAH -CHanging Energy Efficient Technology Adoption in Households [723716]; H2020 Societal Challenges Programme [723716] Funding Source: H2020 Societal Challenges Programme</t>
  </si>
  <si>
    <t>European Union's Horizon 2020 Framework Programme under the project CHEETAH -CHanging Energy Efficient Technology Adoption in Households; H2020 Societal Challenges Programme(Horizon 2020European Union (EU)H2020 Societal Challenges Programme)</t>
  </si>
  <si>
    <t>This research benefitted from funding by the European Union's Horizon 2020 Framework Programme under the project CHEETAH -CHanging Energy Efficient Technology Adoption in Households (Grant agreement ID: 723716). We thank Gengyang Tu (University of Exeter, United Kingdom) for his contribution in designing the choice experiment. We further thank participants of the 2022 European council for an energy efficient economy (eceee) summer study in Hyeres, France, for their insightful comments.</t>
  </si>
  <si>
    <t>Andor MA, 2019, ENERG ECON, V84, DOI 10.1016/j.eneco.2019.104527; Andor MA, 2020, ENERG J, V41, P83, DOI 10.5547/01956574.41.1.mand; [Anonymous], 2017, Off. J. Eur. Union, VL198, P1; Bangsa AB, 2020, J CLEAN PROD, V245, DOI 10.1016/j.jclepro.2019.118902; Berenguer J, 2005, EUR J PSYCHOL ASSESS, V21, P128, DOI 10.1027/1015-5759.21.2.128; Blasch J, 2021, ECON ENERGY ENV POL, V10, P149, DOI 10.5547/2160-5890.10.2.jbla; Blasch J, 2019, RESOUR ENERGY ECON, V56, P39, DOI 10.1016/j.reseneeco.2017.06.001; Blasch J, 2017, ENERG ECON, V68, P89, DOI 10.1016/j.eneco.2017.12.004; Blasch JE, 2022, APPL ECON, V54, P3598, DOI 10.1080/00036846.2021.2014395; BRANT R, 1990, BIOMETRICS, V46, P1171, DOI 10.2307/2532457; Chevalier JA, 2006, J MARKETING RES, V43, P345, DOI 10.1509/jmkr.43.3.345; Choi S, 2014, AM ECON REV, V104, P1518, DOI 10.1257/aer.104.6.1518; ChoiceMetrics, 2018, Ngene 1.2 User Manual and Reference Guide; d'Adda G, 2022, NAT ENERGY, V7, P360, DOI 10.1038/s41560-022-01002-z; Davis LW, 2016, J ASSOC ENVIRON RESO, V3, P589, DOI 10.1086/686252; European Commission, 2020, COM2020798FINAL; European Commission, 2022, COM2022142FINAL; European Commission, 2019, COM2019640FINAL; European Commission, 2009, OJ L 191 53 68; European Commission, 2022, COMM REG LAYING EC R; European Union, 2008, DIR 2009 125 EC EUR, P10; European Union, 2019, ORKESTERJOURNALEN L, V315, P102; Falk A., 2016, PREFERENCE SURVEY MO, DOI [DOI 10.2139/SSRN.2725874, 10.2139/ssrn.2725874]; Falk A, 2018, Q J ECON, V133, P1645, DOI 10.1093/qje/qjy013; Faure C, 2021, ENERG POLICY, V156, DOI 10.1016/j.enpol.2021.112439; Greene WH, 2003, TRANSPORT RES B-METH, V37, P681, DOI 10.1016/S0191-2615(02)00046-2; Heinzle SL, 2012, BUS STRATEG ENVIRON, V21, P60, DOI 10.1002/bse.722; Hensher DA, 2010, TRANSPORT RES B-METH, V44, P735, DOI 10.1016/j.trb.2009.12.012; Houde S, 2018, RAND J ECON, V49, P453, DOI 10.1111/1756-2171.12231; Jacobs K, 2022, BUS STRATEG ENVIRON, V31, P1275, DOI 10.1002/bse.2954; Johnston RJ, 2017, J ASSOC ENVIRON RESO, V4, P319, DOI 10.1086/691697; Kallbekken S, 2013, J CONSUM POLICY, V36, P1, DOI 10.1007/s10603-012-9211-z; Li XG, 2016, ENVIRON RESOUR ECON, V63, P1, DOI 10.1007/s10640-014-9833-5; Liu TT, 2016, RENEW SUST ENERG REV, V53, P68, DOI 10.1016/j.rser.2015.08.050; Louviere JordanJ., 1992, Journal of Business Research, V24, P89, DOI [DOI 10.1016/0148-2963(92)90054-F, 10.1016/0148-2963(92)90054-F]; Marcon A, 2022, SUSTAIN PROD CONSUMP, V32, P76, DOI 10.1016/j.spc.2022.04.012; McFadden Daniel, 1974, J. Public Econ., V3, P303, DOI [DOI 10.1016/0047-2727(74)90003-6, 10.1016/0047-2727(74)90003-6]; Moe WW, 2011, J MARKETING RES, V48, P444, DOI 10.1509/jmkr.48.3.444; Newell RG, 2014, J ASSOC ENVIRON RESO, V1, P555, DOI 10.1086/679281; Nylund KL, 2007, STRUCT EQU MODELING, V14, P535, DOI 10.1080/10705510701575396; Reale F., 2019, 29758 EUR EN PUBL OF, DOI [10.2760/964701,JRC116704, DOI 10.2760/964701,JRC116704]; Republique Francaise, 2020, J OFFICIEL RE PUBLIQ, V35; Revelt D, 1998, REV ECON STAT, V80, P647, DOI 10.1162/003465398557735; Saidur R, 2005, ENERG POLICY, V33, P611, DOI 10.1016/j.enpol.2003.09.005; Sándor Z, 2001, J MARKETING RES, V38, P430, DOI 10.1509/jmkr.38.4.430.18904; Schleich J, 2019, ENERG ECON, V80, P377, DOI 10.1016/j.eneco.2018.12.018; Shen J, 2009, J ENVIRON MANAGE, V90, P3561, DOI 10.1016/j.jenvman.2009.06.010; Train KE, 2009, DISCRETE CHOICE METHODS WITH SIMULATION, 2ND EDITION, P1, DOI 10.1017/CBO9780511805271; VHK, 2016, PREP REV STUD EX EC; Ward DO, 2011, ENERG POLICY, V39, P1450, DOI 10.1016/j.enpol.2010.12.017; Whitmarsh L, 2010, J ENVIRON PSYCHOL, V30, P305, DOI 10.1016/j.jenvp.2010.01.003; Yoo HI, 2020, STATA J, V20, P405, DOI 10.1177/1536867X20931003; Zha DL, 2020, ENERG ECON, V90, DOI 10.1016/j.eneco.2020.104839; Zhou H, 2016, ENERG POLICY, V91, P12, DOI 10.1016/j.enpol.2015.12.040</t>
  </si>
  <si>
    <t>10.1016/j.enpol.2023.113430</t>
  </si>
  <si>
    <t>8Q2TU</t>
  </si>
  <si>
    <t>WOS:000927065900001</t>
  </si>
  <si>
    <t>Walker, I; Hope, A</t>
  </si>
  <si>
    <t>Walker, Ian; Hope, Aimie</t>
  </si>
  <si>
    <t>Householders' readiness for demand-side response: A qualitative study of how domestic tasks might be shifted in time</t>
  </si>
  <si>
    <t>Demand-side response; Energy literacy; Households; Social practices</t>
  </si>
  <si>
    <t>HOME ENERGY; PERCEPTIONS; BEHAVIOR; DRIVERS</t>
  </si>
  <si>
    <t>Domestic demand-side response (DSR) involves having householders shift energy-consumptive behaviours forwards or backwards in time to avoid peak-demand periods. Time of Use tariffs, which vary the cost of energy depending on when it is used, are a proposed mechanism for DSR. However, we do not know which behaviours, if any, are amenable to being brought forward or postponed, nor what information people would need to do this. Here we presented people with hypothetical variable financial costs and, for the first time, carbon costs for future energy consumption. People's think-aloud decisions about when they would perform consumptive activities were qualitatively analysed. We show that non-daily high-consumption activities (e.g., ironing, vacuuming) are perceived as moveable in response to price changes or, notably, information about environmental consequences; but barriers to moving other activities, even in the face of higher costs or environmental harm, include household dynamics (difficulties negotiating consumption across cohabitants), social roles, community living (not wishing to disturb neighbours), lack of energy literacy and the routine nature of many tasks. This study provides a framework for understanding which behaviours might or might not be shifted and what guidance and information may be needed by householders if tariffs are to provide effective DSR. (C) 2020 Elsevier B.V. All rights reserved.</t>
  </si>
  <si>
    <t>[Walker, Ian] Univ Bath, Dept Psychol, Bath BA2 7AY, Avon, England; [Hope, Aimie] Univ East Anglia, Sch Hlth Sci, Norwich Res Pk, Norwich NR4 7TJ, Norfolk, England</t>
  </si>
  <si>
    <t>University of Bath; University of East Anglia</t>
  </si>
  <si>
    <t>Walker, I (corresponding author), Univ Bath, Dept Psychol, Bath BA2 7AY, Avon, England.</t>
  </si>
  <si>
    <t>Engineering and Physical Sciences Research Council [EP/K036211/1]; EPSRC [EP/K036211/1] Funding Source: UKRI</t>
  </si>
  <si>
    <t>Engineering and Physical Sciences Research Council(UK Research &amp; Innovation (UKRI)Engineering &amp; Physical Sciences Research Council (EPSRC)); EPSRC(UK Research &amp; Innovation (UKRI)Engineering &amp; Physical Sciences Research Council (EPSRC))</t>
  </si>
  <si>
    <t>This work was supported by the Engineering and Physical Sciences Research Council grant EP/K036211/1, High Energy And Power Density (HEAPD) Solutions to Large Energy Deficits.</t>
  </si>
  <si>
    <t>Chiang T, 2014, ENERG BUILDINGS, V70, P507, DOI 10.1016/j.enbuild.2013.10.035; Chiang T, 2012, ENERG BUILDINGS, V55, P471, DOI 10.1016/j.enbuild.2012.07.026; DECC, 2012, EN SEC STRAT; DeWaters JE, 2011, ENERG POLICY, V39, P1699, DOI 10.1016/j.enpol.2010.12.049; Faruqui A, 2010, J REGUL ECON, V38, P193, DOI 10.1007/s11149-010-9127-y; Fell M., 2015, IS IT TIME CONSUMERS; Fell MJ, 2014, ENERG POLICY, V65, P351, DOI 10.1016/j.enpol.2013.10.003; Gallagher E., 2018, THESIS; Gifford R, 2011, AM PSYCHOL, V66, P290, DOI 10.1037/a0023566; Glaser B. G., 2009, DISCOV GROUNDED THEO; Goater A., 2014, ELECT DEM SIDE RESPO; Hamidi V, 2009, ELECTR POW SYST RES, V79, P1722, DOI 10.1016/j.epsr.2009.07.013; Hope A, 2018, ENERGY RES SOC SCI, V44, P362, DOI 10.1016/j.erss.2018.05.032; lander F., 1995, J. Consum Policy, V18, P345, DOI DOI 10.1007/BF01024160; Li R, 2016, APPL ENERG, V162, P1530, DOI 10.1016/j.apenergy.2015.02.063; Nicholls L., 2015, Technical Report January; Nicholls L, 2015, ENERGY RES SOC SCI, V9, P116, DOI 10.1016/j.erss.2015.08.018; Ofgem, 2016, DEM SID RESP; Palmer J., 2013, United Kingdom housing energy fact file 2012; Sæle H, 2011, IEEE T SMART GRID, V2, P102, DOI 10.1109/TSG.2010.2104165; Schultz PW, 2007, PSYCHOL SCI, V18, P429, DOI 10.1111/j.1467-9280.2007.01917.x; Southerton D., 2012, International Journal of Sociology of Agriculture and Food, V19, P19; Spence A, 2015, NAT CLIM CHANGE, V5, P550, DOI 10.1038/nclimate2610; Strauss A.L., 1990, BASICS QUALITATIVE R; Thomas GO, 2014, TRANSPORT RES F-TRAF, V26, P72, DOI 10.1016/j.trf.2014.06.009; Trickett S.B., 2009, The PSI Handbook of Virtual Environments for Training and Education, V1, P332; van den Broek KL, 2019, J ENVIRON PSYCHOL, V62, P95, DOI 10.1016/j.jenvp.2019.02.008; van den Broek KL, 2019, ENERG POLICY, V129, P1297, DOI 10.1016/j.enpol.2019.03.033; Walker I., 2014, PEOPLE UNDERSTAND EN; Walker I, 2016, PLOS ONE, V11, DOI 10.1371/journal.pone.0150516; Wang ZM, 2013, IEEE T SMART GRID, V4, P1888, DOI 10.1109/TSG.2013.2258046</t>
  </si>
  <si>
    <t>MAY 15</t>
  </si>
  <si>
    <t>10.1016/j.enbuild.2020.109888</t>
  </si>
  <si>
    <t>LL3QJ</t>
  </si>
  <si>
    <t>WOS:000531469500008</t>
  </si>
  <si>
    <t>Maczionsek, MIJH; Dillman, KJ; Heinonen, J</t>
  </si>
  <si>
    <t>Maczionsek, Mara Isabella J. H.; Dillman, Kevin Joseph; Heinonen, Jukka</t>
  </si>
  <si>
    <t>Linking perception and reality: Climate-sustainability perception and carbon footprints in the Nordic countries</t>
  </si>
  <si>
    <t>GREENHOUSE-GAS EMISSIONS; DIOXIDE EMISSIONS; CONSUMPTION; ENERGY; BEHAVIOR; IMPACT; KNOWLEDGE; LITERACY; TRAVEL; LEVEL</t>
  </si>
  <si>
    <t>Nordic countries are often recognized as leaders in climate-sustainability. A potential dissonance exists, however, between this perception and the measured sustainability of their lifestyles. In global terms, they are highly affluent countries spreading their climate impact beyond their borders by importing a large share of the energy and resources used by their residents. In this research, we focus on the potential dissonance between the selfperceived climate-sustainability of the lifestyles in the Nordic countries and the actual consumption-based carbon footprints (CBCF), estimated through a survey-based CBCF calculator with -8000 respondents across Sweden, Norway, Denmark, Finland and Iceland. Using bivariate and regression analysis, the study found that across all levels of climate-sustainability perception the CBCF the respondents ranged from 6.3 to 11.3 tCO2-eq/ capita, representing a significant difference (79%) between the highest emitting (very low perception) and lowest emitting groups (high perception). A general negative correlation between elevated levels of climatesustainability perception and CBCF was found, predominantly in the areas of diet, vehicle possession, and consumption of goods and services. Intriguingly, a counterintuitive increase in CBCF at extremely high levels of climate-sustainability perception was seen. Additional factors that contribute to higher climate-sustainability perception are explored, such as age, climate literacy, and pro-climate attitude (PCA). Conversely, individuals with high incomes or belonging to households with children display lower levels of climate-sustainability perception. Across all perception groups, however, the results confront the perception of the Nordics as climate leaders as Nordic CBCFs were still far above the average CBCF for the lowest global 50% of Earth's population and were far above (-2-4x) suggested 2030 targets to remain below 1.5 degrees C warming. The findings of this study serve as an invaluable resource for policymakers aiming to align public perception with effective sustainability measures, thereby assisting in reducing CBCF and achieving global climate goals.</t>
  </si>
  <si>
    <t>[Maczionsek, Mara Isabella J. H.; Dillman, Kevin Joseph; Heinonen, Jukka] Univ Iceland, Fac Civil &amp; Environm Engn, Hjardarhagi 2-6, IS-107 Reykjavik, Iceland; [Dillman, Kevin Joseph] Univ Iceland, Sch Engn &amp; Nat Sci, Dept Environm &amp; Nat Resources, IS-107 Reykjavik, Iceland</t>
  </si>
  <si>
    <t>University of Iceland; University of Iceland</t>
  </si>
  <si>
    <t>Heinonen, Jukka/K-6952-2015</t>
  </si>
  <si>
    <t>Heinonen, Jukka/0000-0002-7298-4999</t>
  </si>
  <si>
    <t>Icelandic Centre for Research (Rannis) [207195-053]</t>
  </si>
  <si>
    <t>Icelandic Centre for Research (Rannis)</t>
  </si>
  <si>
    <t>The authors thank the Icelandic Centre for Research (Rannis) , Grant Number: 207195-053, for funding the study.</t>
  </si>
  <si>
    <t>Aamaas B, 2013, ENVIRON SCI POLICY, V33, P273, DOI 10.1016/j.envsci.2013.06.009; Abdirova T., 2022, The reflection of the pro-climate attitudes of Nordic consumers in their carbon footprints; Afionis S, 2017, WIRES CLIM CHANGE, V8, DOI 10.1002/wcc.438; Akenji L., 2021, Hot or Cool; Ala-Mantila S, 2023, ENVIRON RES LETT, V18, DOI 10.1088/1748-9326/acabd8; [Anonymous], 2023, Synthesis Report of the IPCC Sixth Assessment Report, Summary for Policymakers; Arnadóttir A, 2021, TRAVEL BEHAV SOC, V24, P282, DOI 10.1016/j.tbs.2021.05.002; Athanassiadis A, 2018, J CLEAN PROD, V173, P112, DOI 10.1016/j.jclepro.2016.10.068; Azevedo J, 2017, INT J GLOBAL WARM, V12, P414, DOI 10.1504/IJGW.2017.10005893; Baiocchi G, 2010, J IND ECOL, V14, P50, DOI 10.1111/j.1530-9290.2009.00216.x; BAKER P, 1989, ECON J, V99, P720, DOI 10.2307/2233767; Böhringer C, 2022, NAT CLIM CHANGE, V12, P22, DOI 10.1038/s41558-021-01250-z; Boucher J.L., 2016, SOCIJALNA EKOLOGIJA, V25, P53, DOI DOI 10.17234/SOCEKOL.25.1.3; Bülbül H, 2020, ENVIRON SCI POLLUT R, V27, P25009, DOI 10.1007/s11356-020-08813-1; Buns M.A., 2022, Nordic Media Histories of Propaganda and Persuasion, P243; Chancel L, 2022, NAT SUSTAIN, V5, P931, DOI 10.1038/s41893-022-00955-z; Cherubini F, 2009, RESOUR CONSERV RECY, V53, P434, DOI 10.1016/j.resconrec.2009.03.013; Chester MV, 2009, ENVIRON RES LETT, V4, DOI 10.1088/1748-9326/4/2/024008; Chuvieco E, 2021, SUSTAINABILITY-BASEL, V13, DOI 10.3390/su13148088; Clarke J, 2017, J CLEAN PROD, V166, P1175, DOI 10.1016/j.jclepro.2017.08.108; Conrad CC, 2011, ENVIRON MONIT ASSESS, V176, P273, DOI 10.1007/s10661-010-1582-5; Csutora M, 2012, J CONSUM POLICY, V35, P145, DOI 10.1007/s10603-012-9187-8; de Vries GJ, 2017, ECOL ECON, V132, P213, DOI 10.1016/j.ecolecon.2016.11.001; Dimitrova T, 2022, ADM SCI, V12, DOI 10.3390/admsci12040155; Dupigny-Giroux L.A.L., 2016, Climate Literacy. International Encyclopedia of Geography: People, the Earth, Environment and Technology: People, the Earth, P1; Eurostat, 2016, Degree of Urbanisation; Finnish VTT Technical Research Center, 2021, VTT Technical Research Centre of Finnland Ltd. LIPASTO unit emissions-database; Frederiks ER, 2015, ENERGIES, V8, P573, DOI 10.3390/en8010573; Ghaffar A, 2024, KYBERNETES, V53, P2574, DOI 10.1108/K-12-2022-1675; Girod B, 2010, J IND ECOL, V14, P31, DOI 10.1111/j.1530-9290.2009.00202.x; Giudici G, 2019, SMALL BUS ECON, V52, P815, DOI 10.1007/s11187-017-9936-9; Heinonen J, 2022, ENVIRON RES COMMUN, V4, DOI 10.1088/2515-7620/aca871; Heinonen J, 2022, ENVIRON RES COMMUN, V4, DOI 10.1088/2515-7620/ac5489; Herrera-Camacho J., 2017, Environmental Footprint of Domestic Dogs and Cats; Hertwich EG, 2009, ENVIRON SCI TECHNOL, V43, P6414, DOI 10.1021/es803496a; Hertwich EG, 2005, J IND ECOL, V9, P85, DOI 10.1162/1088198054084635; Hickel J, 2020, NEW POLIT ECON, V25, P469, DOI 10.1080/13563467.2019.1598964; Hoff J, 2017, The Routledge Handbook of Scandinavian Politics; Hong SH, 2006, ENERG BUILDINGS, V38, P1171, DOI 10.1016/j.enbuild.2006.01.007; Hubacek K, 2017, NAT COMMUN, V8, DOI 10.1038/s41467-017-00919-4; IPCC, 2021, CLIMATE CHANGE 2021, DOI [DOI 10.1017/9781009157896, 10.1017/9781009157940.001, DOI 10.1017/9781009157940.001, 10.1017/9781009157896]; Ivanova D, 2016, J IND ECOL, V20, P526, DOI 10.1111/jiec.12371; Kennedy EH, 2015, LOCAL ENVIRON, V20, P220, DOI 10.1080/13549839.2013.837039; Kirsten F, 2023, SUSTAINABILITY-BASEL, V15, DOI 10.3390/su15064847; Koide R, 2021, SUSTAIN SCI, V16, P2087, DOI 10.1007/s11625-021-01018-6; Kolenaty M, 2022, SUSTAINABILITY-BASEL, V14, DOI 10.3390/su141610365; Kollmuss A., 2002, ENVIRON EDUC RES, V8, P239, DOI [10.1080/13504620220145401, DOI 10.1080/13504620220145401]; Kristjansdottir Sigriour, 2017, Rebound effects for reduced car ownership and driving. Chapter in a book Nordic Experiences of Sustainable Planning: Policy and Pract; Leferink EK, 2023, ENVIRON RES COMMUN, V5, DOI 10.1088/2515-7620/acda80; Li XY, 2021, J CLEAN PROD, V279, DOI 10.1016/j.jclepro.2020.123734; Magacho G, 2024, CLIM POLICY, V24, P243, DOI 10.1080/14693062.2023.2200758; Maji P.K., 2015, Indian J. Educ. Res, V4, P17; Marquart-Pyatt ST, 2019, INT J SOCIOL, V49, P1, DOI 10.1080/00207659.2018.1560979; Milne G, 2000, ENERG POLICY, V28, P411, DOI 10.1016/S0301-4215(00)00019-7; Minx J, 2013, ENVIRON RES LETT, V8, DOI 10.1088/1748-9326/8/3/035039; Murray CK, 2013, ENERG POLICY, V54, P240, DOI 10.1016/j.enpol.2012.11.025; Nässén J, 2015, J IND ECOL, V19, P480, DOI 10.1111/jiec.12168; Ottelin J, 2020, ENVIRON RES LETT, V15, DOI 10.1088/1748-9326/abaa78; Ottelin J, 2015, ENVIRON SCI TECHNOL, V49, P9574, DOI 10.1021/acs.est.5b02140; Oxford Dictionary, 2021, Oxford Learner's Dictionaries; Peisker J, 2023, GLOBAL ENVIRON CHANG, V79, DOI 10.1016/j.gloenvcha.2023.102636; Poortinga W, 2019, GLOBAL ENVIRON CHANG, V55, P25, DOI 10.1016/j.gloenvcha.2019.01.007; Ratinen I, 2023, SUSTAIN DEV, V31, P1593, DOI 10.1002/sd.2469; Rockström J, 2009, NATURE, V461, P472, DOI 10.1038/461472a; Saari UA, 2021, ECOL ECON, V189, DOI 10.1016/j.ecolecon.2021.107155; Saarinen M., 2019, Publications of the Government's Analysis, Assessment and Research Activities, V47; Shafer MA, 2008, PHYS GEOGR, V29, P561, DOI 10.2747/0272-3646.29.6.561; Siegrist M, 2019, APPETITE, V132, P196, DOI 10.1016/j.appet.2018.09.016; Stadler K, 2018, J IND ECOL, V22, P502, DOI 10.1111/jiec.12715; Steffen W, 2015, SCIENCE, V347, DOI 10.1126/science.1259855; Su F, 2021, ECOSYST HEALTH SUST, V7, DOI 10.1080/20964129.2021.1942996; Tabi A, 2013, ENERG POLICY, V63, P972, DOI 10.1016/j.enpol.2013.08.049; Tolppanen S, 2021, J CLEAN PROD, V282, DOI 10.1016/j.jclepro.2020.124524; United Nations, 2018, UnitedNations Publication) SeriesMNo, V99; Van Bussel LM, 2022, J CLEAN PROD, V341, DOI 10.1016/j.jclepro.2022.130904; Vimpari J, 2021, ENVIRON RES LETT, V16, DOI 10.1088/1748-9326/abfeee; Vivanco DF, 2016, ECOL ECON, V125, P60, DOI 10.1016/j.ecolecon.2016.02.006; Whitmarsh L, 2010, J ENVIRON PSYCHOL, V30, P305, DOI 10.1016/j.jenvp.2010.01.003; Wiedmann T, 2020, NAT COMMUN, V11, DOI 10.1038/s41467-020-16941-y; Wolf M. J., 2022, ENV PERFORMANCE INDE, P2022; Wood R, 2018, J IND ECOL, V22, P553, DOI 10.1111/jiec.12735; Xiang P, 2019, FRONT PSYCHOL, V10, DOI 10.3389/fpsyg.2019.00187; Yavor KM, 2020, SUSTAINABILITY-BASEL, V12, DOI 10.3390/su12083394; Zeng ZC, 2023, SUSTAINABILITY-BASEL, V15, DOI 10.3390/su15064791</t>
  </si>
  <si>
    <t>DEC 10</t>
  </si>
  <si>
    <t>10.1016/j.jclepro.2023.139750</t>
  </si>
  <si>
    <t>Z9EF2</t>
  </si>
  <si>
    <t>WOS:001115024400001</t>
  </si>
  <si>
    <t>Merritt, EG; Weinberg, AE; Archambault, L</t>
  </si>
  <si>
    <t>Merritt, Eileen G.; Weinberg, Andrea E.; Archambault, Leanna</t>
  </si>
  <si>
    <t>Exploring Energy Through the Lens of Equity: Funds of Knowledge Conveyed Through Video-Based Discussion</t>
  </si>
  <si>
    <t>INTERNATIONAL JOURNAL OF SCIENCE AND MATHEMATICS EDUCATION</t>
  </si>
  <si>
    <t>Funds of knowledge; Energy literacy; Higher education; STEM education; Culturally responsive pedagogy; Video-based discussion</t>
  </si>
  <si>
    <t>3RD SPACE; STUDENTS; LITERACY; SCIENCE; JUSTICE; CONNECTIONS; CURRICULUM; DISCOURSES; COMMUNITY; FRAMEWORK</t>
  </si>
  <si>
    <t>Energy literacy is critical for all undergraduate students, particularly for future teachers, as they will guide the next generation toward more just and equitable energy systems. Many pre-service teachers have funds of knowledge (FoK) about energy that can enhance critical thinking about energy systems and inequities. This qualitative study explored pre-service teachers' funds of knowledge in online discussions about energy. Our students (n = 38) were older than typical undergraduates (mean age = 28), and most (75%) had transferred from community colleges prior to attending Arizona State University. These students were enrolled in an online Sustainability Science for Teachers course. We analyzed student assignments from a 3-week energy unit designed to elicit student perspectives on energy injustices and equitable energy solutions. Overall, we found that many students drew from rich life experiences in their video-based discussions. Students shared FoK in the following content areas: energy sources, energy impacts, agriculture, conservation, energy industry perspectives, and energy consumption. Three exemplary cases are included to illustrate how students conveyed their FoK throughout the energy unit. These students brought pluralistic perspectives to online Flipgrid discussions focused on energy inequities. In the discussion, we highlight the importance of integrating social justice topics when teaching about energy, to bring more relevance to energy education. We also describe how video-based discussion can be utilized to create more equitable and culturally responsive online learning environments.</t>
  </si>
  <si>
    <t>[Merritt, Eileen G.] Virginia Tech, Coll Nat Resources &amp; Environm, Blacksburg, VA 24061 USA; [Weinberg, Andrea E.; Archambault, Leanna] Arizona State Univ, Mary Lou Fulton Teachers Coll, Tempe, AZ USA</t>
  </si>
  <si>
    <t>Virginia Polytechnic Institute &amp; State University; Arizona State University; Arizona State University-Tempe</t>
  </si>
  <si>
    <t>Merritt, EG (corresponding author), Virginia Tech, Coll Nat Resources &amp; Environm, Blacksburg, VA 24061 USA.</t>
  </si>
  <si>
    <t>egmerritt@vt.edu; andrea.weinberg@asu.edu; Leanna.Archambault@asu.edu</t>
  </si>
  <si>
    <t>Archambault, Leanna/G-7005-2017</t>
  </si>
  <si>
    <t>Archambault, Leanna/0000-0002-1652-4680; Merritt, Eileen/0000-0001-8405-5225</t>
  </si>
  <si>
    <t>Aguirre JM, 2013, J TEACH EDUC, V64, P178, DOI 10.1177/0022487112466900; Aguirre-Bielschowsky I, 2017, ENVIRON EDUC RES, V23, P832, DOI 10.1080/13504622.2015.1054267; Alvaré BT, 2017, ETHNOGR EDUC, V12, P33, DOI 10.1080/17457823.2015.1109466; Andrews J, 2006, EDUC REV, V58, P435, DOI 10.1080/00131910600971909; [Anonymous], 2012, Set Res Inform Teach; Arslan HO, 2012, INT J SCI EDUC, V34, P1667, DOI 10.1080/09500693.2012.680618; Arvaja M, 2012, INT J COMP-SUPP COLL, V7, P85, DOI 10.1007/s11412-011-9137-5; Barton AC, 2009, J RES SCI TEACH, V46, P50, DOI 10.1002/tea.20269; Bodzin A, 2012, INT J SCI EDUC, V34, P1255, DOI 10.1080/09500693.2012.661483; Bodzin AM, 2013, INT J SCI EDUC, V35, P1561, DOI 10.1080/09500693.2013.769139; Borgerding LA., 2017, PHYS REV LETT, V22, P1; Brand B., 2014, Multicultural science education: Preparing teachers for equity and social justice, P61, DOI DOI 10.1007/978-94-007-7651-7_5; Brown J., 2018, INT J DESIGNS LEARNI, V9, P14, DOI [10.14434/ijdl.v9i1.23297, DOI 10.14434/IJDL.V9I1.23297]; Chen CF, 2022, ENERGY RES SOC SCI, V91, DOI 10.1016/j.erss.2022.102713; Clycq N, 2014, BRIT EDUC RES J, V40, P796, DOI 10.1002/berj.3109; Cotton DRE, 2015, INT J SUST HIGHER ED, V16, P456, DOI 10.1108/IJSHE-12-2013-0166; Dawson SE, 2011, HEALTH PHYS, V101, P618, DOI 10.1097/HP.0b013e3182243a7a; Delima D.G., 2019, College Teaching, V67, P205, DOI [10.1080/87567555.2019.1630355, DOI 10.1080/87567555.2019.1630355]; DELPIT LD, 1988, HARVARD EDUC REV, V58, P280, DOI 10.17763/haer.58.3.c43481778r528qw4; Denton M., 2021, Studies in engineering education, V1, P71, DOI DOI 10.21061/SEE.19; DeWaters JE, 2011, ENERG POLICY, V39, P1699, DOI 10.1016/j.enpol.2010.12.049; Dias RA, 2021, RENEW SUST ENERG REV, V141, DOI 10.1016/j.rser.2021.110845; Drewes A, 2018, INT J SCI EDUC, V40, P67, DOI 10.1080/09500693.2017.1397798; Duffin, 2022, SHARE FEDERAL PELL G; Esteban-Guitart M, 2014, CULT PSYCHOL, V20, P31, DOI 10.1177/1354067X13515934; Freire P., 2003, RACE HIGHER ED RETHI, P189; Gallivan H., 2017, Mathematics Teacher Educator, V5, P94, DOI DOI 10.5951/MATHTEACEDUC.5.2.0094; Gilchrist G, 2005, ECOL SOC, V10; Gladwin D, 2022, J ENVIRON EDUC, V53, P251, DOI 10.1080/00958964.2022.2113019; González N, 2002, EDUC POLICY, V16, P623, DOI 10.1177/0895904802016004009; Gonzalez N., 2005, FUNDS KNOWLEDGE, P1; Gruenewald DA, 2003, AM EDUC RES J, V40, P619, DOI 10.3102/00028312040003619; Hagevik R, 2015, ASTE SER SCI EDUC, P17, DOI 10.1007/978-3-319-16411-3_2; Hall SM, 2013, LOCAL ENVIRON, V18, P413, DOI 10.1080/13549839.2012.759337; Handa VC, 2013, INT J SCI MATH EDUC, V11, P237, DOI 10.1007/s10763-012-9364-x; Hernandez Diana, 2016, J Child Poverty, V22, P77; Hernández D, 2016, SOC SCI MED, V167, P1, DOI 10.1016/j.socscimed.2016.08.029; Hernandez J, 2022, ENVIRON JUSTICE, V15, P108, DOI 10.1089/env.2021.0042; Hogg L, 2011, TEACH TEACH EDUC, V27, P666, DOI 10.1016/j.tate.2010.11.005; Irish T, 2018, INT J SCI MATH EDUC, V16, P1227, DOI 10.1007/s10763-017-9836-0; Kiyama J M., 2018, Funds of knowledge in higher education: Honoring students' cultural experiences and resources as strengths, V1st, DOI DOI 10.4324/9781315447322; Lacy SJ, 2022, SCI EDUC, V106, P27, DOI 10.1002/sce.21684; LADSONBILLINGS G, 1995, AM EDUC RES J, V32, P465, DOI 10.2307/1163320; Lowenthal PR, 2020, ONLINE LEARN, V24, P28, DOI 10.24059/olj.v24i4.2335; Malin SA, 2020, ENERGY RES SOC SCI, V70, DOI 10.1016/j.erss.2020.101720; McLaughlin DS, 2013, J SCI TEACH EDUC, V24, P13, DOI 10.1007/s10972-012-9284-1; Memmott T, 2021, NAT ENERGY, V6, P186, DOI 10.1038/s41560-020-00763-9; Merritt EG, 2019, RENEW ENERG, V138, P1078, DOI 10.1016/j.renene.2019.02.047; Moje EB, 2004, READ RES QUART, V39, P38, DOI 10.1598/RRQ.39.1.4; Moll L.C., 1990, Community knowledge and classroom practice: Combining resources for literacy instruction; Moll L. C., 1992, THEOR PRACT, V31, P132, DOI [DOI 10.1080/00405849209543534, 10.1080/00405849209543534]; Müller-Christ G, 2014, J CLEAN PROD, V62, P134, DOI 10.1016/j.jclepro.2013.02.029; Nieto S., 1999, LIGHT THEIR EYES; Nieto S., 2007, Multicultural education: Issues and perspectives, P425; Nowell LS, 2017, INT J QUAL METH, V16, DOI 10.1177/1609406917733847; Paço A, 2017, J ENVIRON MANAGE, V197, P384, DOI 10.1016/j.jenvman.2017.03.100; Paul KL, 2020, HUM BIOL, V92, P27, DOI 10.13110/humanbiology.92.1.04; Reames TG, 2016, ENERG POLICY, V97, P549, DOI 10.1016/j.enpol.2016.07.048; Ryu M, 2019, INT J TECHNOL DES ED, V29, P493, DOI 10.1007/s10798-018-9440-9; Santamouris M, 2007, ENERG BUILDINGS, V39, P893, DOI 10.1016/j.enbuild.2006.11.001; Smith Jessica M., 2016, Journal of Women and Minorities in Science and Engineering, V22, P199; Sovacool BK, 2017, ENERG POLICY, V105, P677, DOI 10.1016/j.enpol.2017.03.005; Stoehr KJ, 2019, J LAT EDUC, DOI 10.1080/15348431.2019.1653300; Sullivan S.M. B., 2014, Journal of Geoscience Education, V62, P550, DOI DOI 10.5408/12-304.1; Trott CD, 2018, SUSTAINABILITY-BASEL, V10, DOI 10.3390/su10093332; United States Department of Education, 2016, STAT RAC DIV WORKF; US Department of Energy, 2017, Energy literacy: Essential principles and fundamental concepts for energy education; Valencia R.R., 2010, Research Gate, DOI [10.4324/9780203853214, DOI 10.4324/9780203853214]; Vygotsky L. S., 1978, MIND SOC DEV HIGHER, DOI 10.2307/j.ctvjf9vz4; Warren A., 2014, Journal of Sustainability Education, V6, P23; Weinberg AE, 2020, SUSTAIN SCI, V15, P1767, DOI 10.1007/s11625-020-00831-9; Whittington K, 2022, INT J SCI EDUC, V44, P48, DOI 10.1080/09500693.2021.2012850; Wiek A, 2011, SUSTAIN SCI, V6, P203, DOI 10.1007/s11625-011-0132-6; Williams JJ, 2020, URBAN EDUC, V55, P476, DOI 10.1177/0042085916654523; Wilson-Lopez A, 2016, J ENG EDUC, V105, P278, DOI 10.1002/jee.20117; Wolbring G., 2012, Can. J. Disabil. Stud, V1, P66, DOI DOI 10.15353/CJDS.V1I3.58</t>
  </si>
  <si>
    <t>1571-0068</t>
  </si>
  <si>
    <t>1573-1774</t>
  </si>
  <si>
    <t>INT J SCI MATH EDUC</t>
  </si>
  <si>
    <t>Int. J. Sci. Math. Educ.</t>
  </si>
  <si>
    <t>10.1007/s10763-023-10352-3</t>
  </si>
  <si>
    <t>X2AB9</t>
  </si>
  <si>
    <t>WOS:000928551800001</t>
  </si>
  <si>
    <t>Sitas, N; Selomane, O; Atkins, F; Homewood, C</t>
  </si>
  <si>
    <t>Sitas, Nadia; Selomane, Odirilwe; Atkins, Ffion; Homewood, Claire</t>
  </si>
  <si>
    <t>HC360Crew</t>
  </si>
  <si>
    <t>Youth Visions in a Changing Climate: Emerging Lessons from Using Immersive and Arts-Based Methods for Strengthening Community-Engaged Research with Urban Youth</t>
  </si>
  <si>
    <t>GATEWAYS-INTERNATIONAL JOURNAL OF COMMUNITY RESEARCH AND ENGAGEMENT</t>
  </si>
  <si>
    <t>Urban; Knowledge Co-production; Arts-Based Practice; Nature; Plastic Pollution; Resilience</t>
  </si>
  <si>
    <t>Despite increasing efforts, youth perspectives remain largely excluded from decision -making processes concerning their future and the social-ecological challenges they are set to inherit. While youth are a critical and powerful force for social change, many youths in underserved communities have limited access to appropriate information on the root causes and consequences of environmental change, in addition to an array of other complex social injustices. To address this, we embarked on a participatory action research process which focused on democratising research, science and the arts by facilitating experiential, immersive learning opportunities with the intention of eventually co-producing artifacts (in the form of participatory murals) in public spaces to facilitate longer term engagement with human nature futures. This article outlines and shares reflections on our process and offers insights for future engagement activities that seek to mobilise youth imaginaries and agency. We found participants were better engaged when conversations were (1) facilitated by other participants; (2) were outdoors and centred on public art; and (3) were happening in parallel with a hands-on activity. This contrasted with asking interview-type questions, or asking participants to write down their answers, which felt more like a test than a conversation, minimising participation. Key learnings included: the need to co-develop knowledge around enhancing climate literacy that is based on local realities; that multiple capacities and hives of activity already exist in communities and need to be mobilised and not built; that creative visioning and futuring can help identify options for change; and that many youths are seeking creative, immersive and safe spaces for co-learning and connection. Initiatives that aim to engage diverse voices should therefore be well-resourced so as to carefully co-design processes that start by acknowledging contextual differences and capacities within those contexts, and co-create immersive dialogues, in order to move away from test-like engagements which perpetuate power imbalances and discourage participation.</t>
  </si>
  <si>
    <t>[Sitas, Nadia; Selomane, Odirilwe] Stellenbosch Univ, Ctr Sustainabil Transit CST, Stellenbosch, South Africa; [Atkins, Ffion] Univ Cape Town, Rondebosch, South Africa; [Atkins, Ffion] Beach Coop, Beach, ND USA; [Homewood, Claire] Amava Oluntu, Cape Town, South Africa; [Homewood, Claire] CareCreative, Cape Town, South Africa</t>
  </si>
  <si>
    <t>Stellenbosch University; University of Cape Town</t>
  </si>
  <si>
    <t>Sitas, N (corresponding author), Stellenbosch Univ, Ctr Sustainabil Transit CST, Stellenbosch, South Africa.</t>
  </si>
  <si>
    <t>Atkins, Ffion/KWU-8191-2024</t>
  </si>
  <si>
    <t>Selomane, Odirilwe/0000-0002-6892-4221</t>
  </si>
  <si>
    <t>Anguelovski I, 2016, J PLAN LIT, V31, P23, DOI 10.1177/0885412215610491; Bai XM, 2018, NATURE, V555, P19, DOI 10.1038/d41586-018-02409-z; Ballard H.L., 2013, Resilience in Social-Ecological Systems, P152; Bentz J, 2019, ELEMENTA-SCI ANTHROP, V7, DOI 10.1525/elementa.390; Brownlee MTJ, 2013, ENVIRON EDUC RES, V19, P1, DOI 10.1080/13504622.2012.683389; Champine RB, 2022, J CHILD FAM STUD, V31, P459, DOI 10.1007/s10826-021-02195-9; Chirisa I, 2018, CLIM CHANG MANAG, P1, DOI 10.1007/978-3-319-69838-0_1; Coombes B, 2014, PROG HUM GEOG, V38, P845, DOI 10.1177/0309132513514723; du Toit MJ, 2018, LANDSCAPE URBAN PLAN, V180, P249, DOI 10.1016/j.landurbplan.2018.06.001; Elmqvist T, 2019, NAT SUSTAIN, V2, P267, DOI 10.1038/s41893-019-0250-1; Enqvist JP, 2019, SUSTAIN SCI, V14, P589, DOI 10.1007/s11625-019-00660-5; Galafassi D, 2018, ELEMENTA-SCI ANTHROP, V6, DOI 10.1525/elementa.330; Haverkamp J, 2021, GATEWAYS, V14, DOI 10.5130/ijcre.v14i2.7782; Hebinck A, 2021, NPJ URBAN SUSTAIN, V1, DOI 10.1038/s42949-021-00041-x; IPBES, 2019, SUMMARY POLICYMAKERS; Jorgensen B, 2021, SUSTAIN SCI, V16, P153, DOI 10.1007/s11625-020-00841-7; Jose S, 2017, INT J SCI EDUC PART, V7, P269, DOI 10.1080/21548455.2016.1272144; Keeler BL, 2019, NAT SUSTAIN, V2, P29, DOI 10.1038/s41893-018-0202-1; Leck H, 2011, OVERCOMING BARRIERS, P61; Lorde Audre., 1988, A BURST OF LIGHT; Lotz-Sisitka H, 2015, CURR OPIN ENV SUST, V16, P73, DOI 10.1016/j.cosust.2015.07.018; Macintyre T, 2018, CURR OPIN ENV SUST, V31, P80, DOI 10.1016/j.cosust.2017.12.003; Nagendra H, 2018, NAT SUSTAIN, V1, P341, DOI 10.1038/s41893-018-0101-5; Nkula-Wenz L, 2019, ENVIRON PLANN A, V51, P581, DOI 10.1177/0308518X18796503; O'Farrell P, 2019, GLOB SUSTAIN, V2, DOI 10.1017/sus.2019.16; Pereira L, 2019, ELEMENTA-SCI ANTHROP, V7, DOI 10.1525/elementa.374; Rigolon A, 2020, URBAN STUD, V57, P402, DOI 10.1177/0042098019849380; Rosenberg H, 2022, INT J ENV RES PUB HE, V19, DOI 10.3390/ijerph19031723; Rousell D, 2020, CHILD GEOGR, V18, P191, DOI 10.1080/14733285.2019.1614532; Shackleton CM, 2021, FRONT ECOL EVOL, V8, DOI 10.3389/fevo.2020.579813; Sitas N., 2021, Urban Ecology in the Global South, P325, DOI [10.1007/978-3-030-67650-6_13, DOI 10.1007/978-3-030-67650-6_13]; Sitas R, 2020, URBAN FORUM, V31, P157, DOI 10.1007/s12132-020-09387-4; Sitas R, 2013, THIRD TEXT, V27, P327, DOI 10.1080/09528822.2013.798183; Temper L, 2019, ECOL ECON, V164, DOI 10.1016/j.ecolecon.2019.106379; UN Habitat, WORLD CIT REP 2020; United Nations Department of Economic and Social Affairs Population Division, 2018, WORLDS CIT 2018 DAT; Venter ZS, 2020, LANDSCAPE URBAN PLAN, V203, DOI 10.1016/j.landurbplan.2020.103889; Ziervogel G, 2019, AMBIO, V48, P494, DOI 10.1007/s13280-018-1141-9</t>
  </si>
  <si>
    <t>UNIV TECHNOLOGY, SYDNEY-UTS EPRESS</t>
  </si>
  <si>
    <t>SYDNEY</t>
  </si>
  <si>
    <t>BROADWAY, PO BOX 123, SYDNEY, NSW 2007, AUSTRALIA</t>
  </si>
  <si>
    <t>1836-3393</t>
  </si>
  <si>
    <t>GATEWAYS</t>
  </si>
  <si>
    <t>Gateways</t>
  </si>
  <si>
    <t>10.5130/ijcre.v15i2.8318</t>
  </si>
  <si>
    <t>7K4RH</t>
  </si>
  <si>
    <t>WOS:000905271300005</t>
  </si>
  <si>
    <t>Park, H; Jung, D; Lee, J; Kim, P; Cho, Y; Jung, I; Kim, ZH; Lim, SM; Lee, CG</t>
  </si>
  <si>
    <t>Park, Hanwool; Jung, Daewoo; Lee, Jongchan; Kim, Philhan; Cho, Yonghee; Jung, Injae; Kim, Z-Hun; Lim, Sang-Min; Lee, Choul-Gyun</t>
  </si>
  <si>
    <t>Improvement of biomass and fatty acid productivity in ocean cultivation of Tetraselmis sp using hypersaline medium</t>
  </si>
  <si>
    <t>JOURNAL OF APPLIED PHYCOLOGY</t>
  </si>
  <si>
    <t>6th Congress of the International-Society-for-Applied-Phycology (ISAP)</t>
  </si>
  <si>
    <t>JUN, 2017</t>
  </si>
  <si>
    <t>Nantes, FRANCE</t>
  </si>
  <si>
    <t>Hyposalinity shock; Marine photobioreactor; Ocean culture systems; Salinity shift; Two-stage cultivation; Contamination</t>
  </si>
  <si>
    <t>LIPID PRODUCTIVITY; MARINE MICROALGAE; MASS-CULTURE; WASTE-WATER; GROWTH; SALINITY; ACCUMULATION; PHOTOBIOREACTOR; RESPONSES; SUECICA</t>
  </si>
  <si>
    <t>In this study, hypersaline media were used for ocean cultivation of the marine microalga Tetraselmis sp. KCTC12432BP for enhanced biomass and fatty acid (FA) productivity. Hypersaline media (55, 80, and 105PSU) were prepared without sterilization by addition of NaCl to seawater obtained from Incheon, Korea. The highest biomass productivity was obtained at 55PSU (0.16gL(-1)day(-1)) followed by 80PSU (0.15gL(-1)day(-1)). Although the specific growth rate of Tetraselmis decreased at salinities higher than 55PSU, prevention of contamination led to higher biomass productivity at 80PSU than at 30PSU (0.03gL(-1)day(-1)). FA content of algal biomass increased as salinity increased to 80PSU, above which it declined, and FA productivity was highest at 80PSU. Ocean cultivation of Tetraselmis was performed using 50-L tubular module photobioreactors and 2.5-kL square basic ponds, closed- and open-type ocean culture systems, respectively. Culturing microalgae in hypersaline medium (80PSU) improved biomass productivities by 89 and 152% in closed and open cultures, respectively, compared with cultures with regular salinity. FA productivity was greatly improved by 369% in the closed cultures. The efficacy of salinity shift and N-deficiency to enhance FA productivity was also investigated. Lowering salinity to 30PSU with N-starvation following cultivation at 80PSU improved FA productivity by 19% in comparison with single-stage culture without N-deficiency at 30PSU. The results show that salinity manipulation could be an effective strategy to improve biomass and FA productivity in ocean cultivation of Tetraselmis sp.</t>
  </si>
  <si>
    <t>[Park, Hanwool; Jung, Daewoo; Lee, Jongchan; Kim, Philhan; Jung, Injae; Lim, Sang-Min; Lee, Choul-Gyun] Inha Univ, Dept Marine Sci &amp; Biol Engn, Incheon 22212, South Korea; [Park, Hanwool; Jung, Daewoo; Lee, Jongchan; Kim, Philhan; Cho, Yonghee; Jung, Injae; Lim, Sang-Min; Lee, Choul-Gyun] Inha Univ, Natl Marine Bioenergy R&amp;D Ctr, Incheon 22212, South Korea; [Kim, Z-Hun] Nakdonggang Natl Inst Biol Resources, Culture Tech Div, Freshwater Bioresources Culture Res Div, Sangju 37242, South Korea</t>
  </si>
  <si>
    <t>Inha University; Inha University</t>
  </si>
  <si>
    <t>Lee, CG (corresponding author), Inha Univ, Dept Marine Sci &amp; Biol Engn, Incheon 22212, South Korea.;Lee, CG (corresponding author), Inha Univ, Natl Marine Bioenergy R&amp;D Ctr, Incheon 22212, South Korea.</t>
  </si>
  <si>
    <t>leecg@inha.ac.kr</t>
  </si>
  <si>
    <t>Park, Hanwool/0000-0003-4679-8217; Lee, Choul-Gyun/0000-0002-4684-7990</t>
  </si>
  <si>
    <t>Marine Biotechnology Program - Ministry of Oceans and Fisheries, Korea [20090267]; Manpower Development Program for Marine Energy from Ministry of Oceans and Fisheries, Korea [201405502]; NRF (National Research Foundation of Korea) Grant - Korean Government [NRF-2013H1A2A1032623]</t>
  </si>
  <si>
    <t>Marine Biotechnology Program - Ministry of Oceans and Fisheries, Korea; Manpower Development Program for Marine Energy from Ministry of Oceans and Fisheries, Korea; NRF (National Research Foundation of Korea) Grant - Korean Government</t>
  </si>
  <si>
    <t>This research was supported by a grant from the Marine Biotechnology Program (Project No.: 20090267, Development of Marine Microalgal Biofuel Production Technology) funded by the Ministry of Oceans and Fisheries, Korea. Authors are also grateful to the Manpower Development Program for Marine Energy from the same ministry (Project No.: 201405502). Hanwool Park was also supported by a NRF (National Research Foundation of Korea) Grant funded by the Korean Government (NRF-2013H1A2A1032623).</t>
  </si>
  <si>
    <t>AL-HASAN R H, 1990, Journal of Applied Phycology, V2, P215, DOI 10.1007/BF02179778; Bartley ML, 2013, BIOMASS BIOENERG, V54, P83, DOI 10.1016/j.biombioe.2013.03.026; Borowitzka MA, 1999, J BIOTECHNOL, V70, P313, DOI 10.1016/S0168-1656(99)00083-8; Carney LT, 2014, ALGAL RES, V4, P52, DOI 10.1016/j.algal.2013.11.006; Das P, 2011, RENEW ENERG, V36, P2524, DOI 10.1016/j.renene.2011.02.002; Fanesi A, 2014, PLANT CELL ENVIRON, V37, P512, DOI 10.1111/pce.12176; Fon-Sing S, 2016, J APPL PHYCOL, V28, P1, DOI 10.1007/s10811-015-0560-2; Gleason FH, 2014, MAR FRESHW BOTANY, P279; Gu N, 2012, ENG LIFE SCI, V12, P631, DOI 10.1002/elsc.201100204; Hagemann M, 2016, DEVEL APPL PHYCOL, V6, P359, DOI 10.1007/978-3-319-24945-2_16; HELLEBUST JA, 1985, PLANT SOIL, V89, P69, DOI 10.1007/BF02182234; Ho SH, 2014, BIOTECHNOL BIOFUELS, V7, DOI 10.1186/1754-6834-7-97; Hoffman Y, 2008, MYCOL RES, V112, P70, DOI 10.1016/j.mycres.2007.09.002; Karpov SA, 2014, PROTIST, V165, P512, DOI 10.1016/j.protis.2014.05.003; Khatoon H, 2014, INT BIODETER BIODEGR, V95, P11, DOI 10.1016/j.ibiod.2014.06.022; Kim G, 2016, KOREAN J CHEM ENG, V33, P230, DOI 10.1007/s11814-015-0089-8; Kim ZH, 2016, J MICROBIOL BIOTECHN, V26, P1285, DOI 10.4014/jmb.1601.01082; Kim ZH, 2016, J MICROBIOL BIOTECHN, V26, P1098, DOI 10.4014/jmb.1601.01031; Kim ZH, 2016, BIOPROC BIOSYST ENG, V39, P713, DOI 10.1007/s00449-016-1552-6; Kim ZH, 2015, J APPL PHYCOL, V27, P1763, DOI 10.1007/s10811-015-0556-y; Klok AJ, 2014, TRENDS BIOTECHNOL, V32, P521, DOI 10.1016/j.tibtech.2014.07.004; Moheimani NR, 2013, J APPL PHYCOL, V25, P387, DOI 10.1007/s10811-012-9873-6; Norsker NH, 2011, BIOTECHNOL ADV, V29, P24, DOI 10.1016/j.biotechadv.2010.08.005; Novoveská L, 2016, ALGAL RES, V18, P86, DOI 10.1016/j.algal.2016.05.033; Park H, 2016, BIOTECHNOL J, V11, P1461, DOI 10.1002/biot.201600041; PRETORIUS J, 1980, WATER SA, V6, P181; RENAUD SM, 1994, J APPL PHYCOL, V6, P347, DOI 10.1007/BF02181949; Richardson JW, 2014, ALGAL RES, V4, P96, DOI 10.1016/j.algal.2013.12.003; Rodolfi L, 2009, BIOTECHNOL BIOENG, V102, P100, DOI 10.1002/bit.22033; Saadaoui I, 2016, ALGAL RES, V14, P39, DOI 10.1016/j.algal.2015.12.019; Sing SF, 2014, BIORESOURCE TECHNOL, V161, P47, DOI 10.1016/j.biortech.2014.03.010; Su CH, 2011, J APPL PHYCOL, V23, P903, DOI 10.1007/s10811-010-9609-4; Suh IS, 2006, J BIOTECHNOL, V125, P540, DOI 10.1016/j.jbiotec.2006.03.027; Takagi M, 2006, J BIOSCI BIOENG, V101, P223, DOI 10.1263/jbb.101.223; Tran HL, 2009, BIOTECHNOL BIOPROC E, V14, P187, DOI 10.1007/s12257-008-0171-8; Wang DM, 2016, J OCEAN U CHINA, V15, P1094, DOI 10.1007/s11802-016-2848-5; Wiley P., 2013, Journal of Sustainable Bioenergy Systems, V3, P18, DOI DOI 10.4236/JSBS.2013.31003; Xia L, 2013, BIORESOURCE TECHNOL, V144, P261, DOI 10.1016/j.biortech.2013.06.112; Zakhozhii IG, 2012, RUSS J PLANT PHYSL+, V59, P42, DOI 10.1134/S1021443712010189; Zeng MT, 1998, COMP BIOCHEM PHYS A, V120, P113, DOI 10.1016/S1095-6433(98)10018-1</t>
  </si>
  <si>
    <t>0921-8971</t>
  </si>
  <si>
    <t>1573-5176</t>
  </si>
  <si>
    <t>J APPL PHYCOL</t>
  </si>
  <si>
    <t>J. Appl. Phycol.</t>
  </si>
  <si>
    <t>10.1007/s10811-018-1388-3</t>
  </si>
  <si>
    <t>Biotechnology &amp; Applied Microbiology; Marine &amp; Freshwater Biology</t>
  </si>
  <si>
    <t>GY6LR</t>
  </si>
  <si>
    <t>WOS:000448700700002</t>
  </si>
  <si>
    <t>Cha, MK; Struthers, CL; Brown, MA; Kale, S; Chapman, O</t>
  </si>
  <si>
    <t>Cha, Min-kyeong; Struthers, Cory L.; Brown, Marilyn A.; Kale, Snehal; Chapman, Oliver</t>
  </si>
  <si>
    <t>Toward residential decarbonization: Analyzing social-psychological drivers of household co-adoption of rooftop solar, electric vehicles, and efficient HVAC systems in Georgia, US</t>
  </si>
  <si>
    <t>PRO-ENVIRONMENTAL BEHAVIOR; CLIMATE-CHANGE; POLITICAL-IDEOLOGY; PUBLIC PERCEPTIONS; HEATING-SYSTEMS; ENERGY LITERACY; UNITED-STATES; CONSERVATION; GREEN; PV</t>
  </si>
  <si>
    <t>The marketplace of climate solutions has grown considerably. Three technologies, in particular, exhibit strong potential for disruptive change and advancement in the residential sector: electric vehicles (EVs), rooftop photovoltaics (RPVs), and efficient heating, ventilation, and air conditioning (HVAC) systems. Many scholars have studied the adoption of these technologies; we address their co -adoption . Using a survey conducted in Georgia, we examine pro -environmental behavior, risk tolerance, and energy -related knowledge as social -psychological drivers for the co -adoption of RPVs, EVs, and efficient HVACs (including heat pumps). We conclude that some but not all of these drivers are relevant to the adoption and co -adoption of the three transformational climate solutions. Pro -environmental behaviors, for instance, appear to create conditions for positive spillover, propelling consumers toward adopting multiple climate solutions, whereas energy knowledge has no clear relationship with co -adoption. At the same time, the = influence of these drivers are unique to different combinations of technologies - one notable example is the significance of risk tolerance when RPV is added to technology bundles. Our paper contributes to the literature by broadening the understanding of the adoption of bundled (or co -adopted) climate solutions.</t>
  </si>
  <si>
    <t>[Cha, Min-kyeong; Brown, Marilyn A.; Kale, Snehal; Chapman, Oliver] Georgia Inst Technol, Sch Publ Policy, Atlanta, GA 30332 USA; [Struthers, Cory L.] Univ Washington, Evans Sch Publ Policy &amp; Governance, Seattle, WA USA</t>
  </si>
  <si>
    <t>University System of Georgia; Georgia Institute of Technology; University of Washington; University of Washington Seattle</t>
  </si>
  <si>
    <t>Cha, MK (corresponding author), Georgia Inst Technol, Sch Publ Policy, Atlanta, GA 30332 USA.</t>
  </si>
  <si>
    <t>mcha39@gatech.edu</t>
  </si>
  <si>
    <t>Chapman, Oliver Spencer Leonard/0000-0003-3786-5000</t>
  </si>
  <si>
    <t>UGA Busbee Endowment; Ray C. Anderson Foundation; Brook Byers Institute for Sustainable Systems</t>
  </si>
  <si>
    <t>Funding for this research was provided by UGA Busbee Endowment, the Ray C. Anderson Foundation, and the Brook Byers Institute for Sustainable Systems and is gratefully acknowledged. Several individuals provided valuable feedback on the survey instrument, including Sanya Carley, Megan Mullin, Chris Hare, and Cale Reeves and his class. Tam- mya Ayu Purnomo supported data management. Dynata's responsive- ness and attention to our project is appreciated. Finally, we appreciate the reviewers whose comments helped improve this paper.</t>
  </si>
  <si>
    <t>AJZEN I, 1991, ORGAN BEHAV HUM DEC, V50, P179, DOI 10.1016/0749-5978(91)90020-T; Ameli N, 2015, ENVIRON RES LETT, V10, DOI 10.1088/1748-9326/10/4/044015; [Anonymous], Alternative fueling station counts by state; [Anonymous], NASA SEDAC population estimator; [Anonymous], US ENERGY INFORM ADM; Araújo K, 2019, J CLEAN PROD, V216, P99, DOI 10.1016/j.jclepro.2018.12.208; Aronson Elliot., 1984, ENERGY USE HUMAN DIM, DOI DOI 10.17226/9259; Arpan LM, 2018, ENERGY RES SOC SCI, V46, P321, DOI 10.1016/j.erss.2018.08.007; Attari SZ, 2010, P NATL ACAD SCI USA, V107, P16054, DOI 10.1073/pnas.1001509107; Axsen J, 2013, ENVIRON RES LETT, V8, DOI 10.1088/1748-9326/8/1/014045; Barr S, 2005, ENERG POLICY, V33, P1425, DOI 10.1016/j.enpol.2003.12.016; Baumgartner H, 2001, J MARKETING RES, V38, P143, DOI 10.1509/jmkr.38.2.143.18840; Behnke C., 2022, Blocking Out the Sun: Restricting Rooftop Solar in, DOI [10.57709/32472596, DOI 10.57709/32472596]; Beppler RC, 2023, ECON INQ, V61, P58, DOI 10.1111/ecin.13031; Bergquist P, 2020, PROG ENERGY, V2, DOI 10.1088/2516-1083/ab9592; Bernards R, 2018, IEEE T SUSTAIN ENERG, V9, P1540, DOI 10.1109/TSTE.2018.2794579; Bertoldi Paolo., 2012, Energy Efficiency Status Report 2012 - Electricity Consumption and Efficiency Trends in the EU-27; Bertrand M, 2001, AM ECON REV, V91, P67, DOI 10.1257/aer.91.2.67; Besley T, 2023, Q J ECON, V138, P1863, DOI 10.1093/qje/qjad006; Brick C, 2017, J ENVIRON PSYCHOL, V51, P226, DOI 10.1016/j.jenvp.2017.04.004; Brockway PE, 2017, ENERGIES, V10, DOI 10.3390/en10010051; Brounen D, 2013, ENERG ECON, V38, P42, DOI 10.1016/j.eneco.2013.02.008; Brown MA, 2023, ENERGY RES SOC SCI, V106, DOI 10.1016/j.erss.2023.103308; Brown MA, 2023, APPL ENERG, V338, DOI 10.1016/j.apenergy.2023.120791; Brown MA, 2021, P NATL ACAD SCI USA, V118, DOI 10.1073/pnas.2100008118; Capstick S, 2015, WIRES CLIM CHANGE, V6, P35, DOI 10.1002/wcc.321; Carley S, 2013, TRANSPORT RES D-TR E, V18, P39, DOI 10.1016/j.trd.2012.09.007; Coffman M, 2017, TRANSPORT POLICY, V53, P30, DOI 10.1016/j.tranpol.2016.08.008; Cousse J., 2019, 9th Consumer Barometer of Renewable Energy; Curran-Everett D, 2017, J APPL PHYSIOL, V122, P91, DOI 10.1152/japplphysiol.00937.2016; Curtis J, 2018, ENERG POLICY, V120, P183, DOI 10.1016/j.enpol.2018.05.036; Delmas MA, 2017, RES ECON, V71, P225, DOI 10.1016/j.rie.2016.12.002; Denholm P, 2013, J POWER SOURCES, V236, P350, DOI 10.1016/j.jpowsour.2012.10.007; DeWaters J, 2013, J ENVIRON EDUC, V44, P38, DOI 10.1080/00958964.2012.711378; DeWaters JE, 2011, ENERG POLICY, V39, P1699, DOI 10.1016/j.enpol.2010.12.049; Dietz T, 2010, P NATL ACAD SCI USA, V107, P16007, DOI 10.1073/pnas.1010651107; Dietz T, 2009, P NATL ACAD SCI USA, V106, P18452, DOI 10.1073/pnas.0908738106; Doerr J., 2021, Speed Scale: An action plan for solving our climate crisis now; Dütschke E, 2018, FRONT ENERGY RES, V6, DOI 10.3389/fenrg.2018.00038; Eby B, 2019, CLIMATIC CHANGE, V155, P563, DOI 10.1007/s10584-019-02501-x; Feinberg M, 2013, PSYCHOL SCI, V24, P56, DOI 10.1177/0956797612449177; Foster AD, 2010, ANNU REV ECON, V2, P395, DOI 10.1146/annurev.economics.102308.124433; Freese J., 2000, Stata Technical Bulletin, V10, P1; Gao X, 2022, P NATL ACAD SCI USA, V119, DOI 10.1073/pnas.2106201119; Gelman A, 2007, STAT SCI, V22, P153, DOI 10.1214/088342306000000691; Georgia Gas Authority, Georgia gas authority coverage; Ghosh NK, 2014, ECOL ECON, V105, P55, DOI 10.1016/j.ecolecon.2014.05.002; Greene W.H., 2012, ECONOMETRIC ANAL; Griskevicius V, 2010, J PERS SOC PSYCHOL, V98, P392, DOI 10.1037/a0017346; Gromet DM, 2013, P NATL ACAD SCI USA, V110, P9314, DOI 10.1073/pnas.1218453110; GTM Creative Strategies, 2018, Bundled energy is (finally) ready for prime time in the U.s; Hafner R, 2019, J ENVIRON PSYCHOL, V63, P26, DOI 10.1016/j.jenvp.2019.03.004; Hamilton LC, 2015, SAGE OPEN, V5, DOI 10.1177/2158244015602752; Hardman S, 2016, TRANSPORT RES REC, P20, DOI 10.3141/2572-03; Hawken P., 2017, Drawdown: The most comprehensive plan ever proposed to reverse global warming; Hidrue MK, 2011, RESOUR ENERGY ECON, V33, P686, DOI 10.1016/j.reseneeco.2011.02.002; Hoogland K, 2022, ENVIRON RES COMMUN, V4, DOI 10.1088/2515-7620/ac8397; Howe PD, 2015, NAT CLIM CHANGE, V5, P596, DOI 10.1038/nclimate2583; Jansson J, 2011, BUS STRATEG ENVIRON, V20, P192, DOI 10.1002/bse.690; Jenn A, 2020, TRANSPORT RES A-POL, V132, P97, DOI 10.1016/j.tra.2019.11.004; Karlin B, 2014, ENVIRON BEHAV, V46, P423, DOI 10.1177/0013916512467532; Kaufmann RK, 2021, NAT ENERGY, V6, P143, DOI 10.1038/s41560-020-00746-w; Krzywinski M, 2013, NAT METHODS, V10, P1139, DOI 10.1038/nmeth.2738; LABAY DG, 1981, J CONSUM RES, V8, P271, DOI 10.1086/208865; Lacasse K, 2016, J ENVIRON PSYCHOL, V48, P149, DOI 10.1016/j.jenvp.2016.09.006; Lagomarsino M, 2023, ISCIENCE, V26, DOI 10.1016/j.isci.2023.107815; Laitner J.A., 2009, Examining the scale of the behaviour energy efficiency continuum; Lazzarin R, 2020, INT J REFRIG, V116, P146, DOI 10.1016/j.ijrefrig.2020.03.031; Liang J, 2022, ENERG ECON, V112, DOI 10.1016/j.eneco.2022.106170; Long J. S., 2006, Regression Models for Categorical Dependent Variables Using STATA, V7; Long J. Scott., 1997, REGRESSION MODELS CA; Lukanov BR, 2019, ENERG POLICY, V134, DOI 10.1016/j.enpol.2019.110935; Mahapatra K, 2008, ENERG POLICY, V36, P577, DOI 10.1016/j.enpol.2007.10.006; Marlon J., 2019, SSRN Journal, DOI [10.2139/SSRN.3453287, DOI 10.2139/SSRN.3453287, 10.2139/ssrn.3453287]; Martins A, 2020, ENERGY REP, V6, P454, DOI 10.1016/j.egyr.2019.09.007; McCright AM, 2016, ENERGY RES SOC SCI, V21, P180, DOI 10.1016/j.erss.2016.08.003; McCright AM, 2016, ENVIRON POLIT, V25, P338, DOI 10.1080/09644016.2015.1090371; Michelsen CC, 2012, ENERG ECON, V34, P1271, DOI 10.1016/j.eneco.2012.06.009; Mildenberger M, 2019, NAT ENERGY, V4, P1033, DOI 10.1038/s41560-019-0498-8; Min YH, 2023, ENERGY RES SOC SCI, V105, DOI 10.1016/j.erss.2023.103292; Nadel S., 2018, Report A1803; Nash N, 2017, WIRES CLIM CHANGE, V8, DOI 10.1002/wcc.481; Nicole D, 2020, ENERGY RES SOC SCI, V68, DOI 10.1016/j.erss.2020.101576; Nunes P, 2015, ENERGY, V87, P10, DOI 10.1016/j.energy.2015.04.044; Nyborg S, 2015, ENERGY RES SOC SCI, V9, P166, DOI 10.1016/j.erss.2015.08.021; Ostergaard PA, 2020, RENEW ENERG, V146, P2430, DOI 10.1016/j.renene.2019.08.094; Palm A, 2020, RENEW SUST ENERG REV, V133, DOI 10.1016/j.rscr.2020.110142; Rai V, 2016, RENEW ENERG, V89, P498, DOI 10.1016/j.renene.2015.11.080; Robinson SB., 2018, Designing quality survey questions; Rogers E. M., 2003, DIFFUSION INNOVATION, DOI DOI 10.2307/2573300; Schelly C, 2014, ENERGY RES SOC SCI, V2, P183, DOI 10.1016/j.erss.2014.01.001; Sexton SE, 2014, J ENVIRON ECON MANAG, V67, P303, DOI 10.1016/j.jeem.2013.11.004; Sharda S, 2024, RENEW SUST ENERG REV, V191, DOI 10.1016/j.rser.2023.114172; Solar CrowdSource, 2017, Archive of past solarize campaigns, solarize campaigns; Sovacool BK, 2015, ENVIRON SCI POLICY, V54, P304, DOI 10.1016/j.envsci.2015.07.011; Sovacool BenjaminK., 2016, Fact and Fiction in Global Energy Policy: Fifteen Contentious Questions; State of Georgia Public Service Commission, Natural gas; Stauch A, 2021, ENERGY RES SOC SCI, V75, DOI 10.1016/j.erss.2021.102006; Steg L, 2009, J ENVIRON PSYCHOL, V29, P309, DOI 10.1016/j.jenvp.2008.10.004; Stern PC, 2016, NAT ENERGY, V1, DOI 10.1038/NENERGY.2016.43; Straub ET, 2009, REV EDUC RES, V79, P625, DOI 10.3102/0034654308325896; Sunter DA, 2019, NAT SUSTAIN, V2, P71, DOI 10.1038/s41893-018-0204-z; Tempelaar D, 2020, PLOS ONE, V15, DOI 10.1371/journal.pone.0233977; The National Environmental Education &amp; Training Foundation, 2002, A Risk to Our Energy Future; Thogersen J, 2012, ENERG POLICY, V51, P854, DOI 10.1016/j.enpol.2012.09.044; Truelove HB, 2018, GLOBAL ENVIRON CHANG, V49, P175, DOI 10.1016/j.gloenvcha.2018.02.009; Truelove HB, 2014, GLOBAL ENVIRON CHANG, V29, P127, DOI 10.1016/j.gloenvcha.2014.09.004; Vandenbergh M.P., 2010, Environmental Law Reporter, V40, P10545; Vasseur V, 2015, RENEW SUST ENERG REV, V41, P483, DOI 10.1016/j.rser.2014.08.020; Weber E.U., 1997, Psychological Perspectives to Environmental and Ethical Issues in Management, P314; Wolske KS, 2020, NAT ENERGY, V5, P202, DOI 10.1038/s41560-019-0541-9; Wolske KS, 2017, ENERGY RES SOC SCI, V25, P134, DOI 10.1016/j.erss.2016.12.023; Zhai P, 2012, RENEW ENERG, V41, P350, DOI 10.1016/j.renene.2011.11.041</t>
  </si>
  <si>
    <t>10.1016/j.renene.2024.120382</t>
  </si>
  <si>
    <t>RB1X3</t>
  </si>
  <si>
    <t>WOS:001225132200001</t>
  </si>
  <si>
    <t>Bastardie, F; Feary, DA; Brunel, T; Kell, LT; Doering, R; Metz, S; Eigaard, OR; Basurko, OC; Bartolino, V; Bentley, J; Berges, B; Bossier, S; Brooks, ME; Caballero, A; Citores, L; Daskalov, G; Depestele, J; Gabina, G; Aranda, M; Hamon, KG; Hidalgo, M; Katsanevakis, S; Kempf, A; Kuehn, B; Nielsen, JR; Puets, M; Taylor, M; Triantaphyllidis, G; Tsagarakis, K; Urtizberea, A; van Hoof, L; van Vlasselaer, J</t>
  </si>
  <si>
    <t>Bastardie, Francois; Feary, David A.; Brunel, Thomas; Kell, Laurence T.; Doering, Ralf; Metz, Sebastien; Eigaard, Ole R.; Basurko, Oihane C.; Bartolino, Valerio; Bentley, Jacob; Berges, Benoit; Bossier, Sieme; Brooks, Mollie E.; Caballero, Ainhoa; Citores, Leire; Daskalov, Georgi; Depestele, Jochen; Gabina, Gorka; Aranda, Martin; Hamon, Katell G.; Hidalgo, Manuel; Katsanevakis, Stelios; Kempf, Alexander; Kuehn, Bernhard; Nielsen, J. Rasmus; Puets, Miriam; Taylor, Marc; Triantaphyllidis, George; Tsagarakis, Konstantinos; Urtizberea, Agurtzane; van Hoof, Luc; van Vlasselaer, Jasper</t>
  </si>
  <si>
    <t>Ten lessons on the resilience of the EU common fisheries policy towards climate change and fuel efficiency - A call for adaptive, flexible and well-informed fisheries management</t>
  </si>
  <si>
    <t>blue economy; decarbonization; fisheries economics; fisheries management; resilience; climate change; EU green deal</t>
  </si>
  <si>
    <t>RECRUITMENT DYNAMICS; GADUS-MORHUA; REGIME SHIFT; BALTIC SEA; BLACK-SEA; FISH; COD; IMPACT; CONSEQUENCES; PERFORMANCE</t>
  </si>
  <si>
    <t>To effectively future-proof the management of the European Union fishing fleets we have explored a suite of case studies encompassing the northeast and tropical Atlantic, the Mediterranean, Baltic and Black Seas. This study shows that European Union (EU) fisheries are likely resilient to climate-driven short-term stresses, but may be negatively impacted by long-term trends in climate change. However, fisheries' long-term stock resilience can be improved (and therefore be more resilient to increasing changes in climate) by adopting robust and adaptive fisheries management, provided such measures are based on sound scientific advice which includes uncertainty. Such management requires regular updates of biological reference points. Such updates will delineate safe biological limits for exploitation, providing both high long-term yields with reduced risk of stock collapse when affected by short-term stresses, and enhanced compliance with advice to avoid higher than intended fishing mortality. However, high resilience of the exploited ecosystem does not necessarily lead to the resilience of the economy of EU fisheries from suffering shocks associated with reduced yields, neither to a reduced carbon footprint if fuel use increases from lower stock abundances. Fuel consumption is impacted by stock development, but also by changes in vessel and gear technologies, as well as fishing techniques. In this respect, energy-efficient fishing technologies already exist within the EU, though implementing them would require improving the uptake of innovations and demonstrating to stakeholders the potential for both reduced fuel costs and increased catch rates. A transition towards reducing fuel consumption and costs would need to be supported by the setup of EU regulatory instruments. Overall, to effectively manage EU fisheries within a changing climate, flexible, adaptive, well-informed and well-enforced management is needed, with incentives provided for innovations and ocean literacy to cope with the changing conditions, while also reducing the dependency of the capture fishing industry on fossil fuels. To support such management, we provide 10 lessons to characterize 'win-win' fishing strategies for the European Union, which develop leverages in which fishing effort deployed corresponds to Maximum Sustainable Yield targets and Common Fisheries Policy minimal effects objectives. In these strategies, higher catch is obtained in the long run, less fuel is spent to attain the catch, and the fisheries have a higher resistance and resilience to shock and long-term factors to face climate-induced stresses.</t>
  </si>
  <si>
    <t>[Bastardie, Francois; Eigaard, Ole R.; Bossier, Sieme; Brooks, Mollie E.; Nielsen, J. Rasmus] Danish Tech Univ, Natl Inst Aquat Resources, Lyngby, Denmark; [Feary, David A.] MRAG Ltd, London, England; [Brunel, Thomas; Berges, Benoit] Wageningen Univ &amp; Res, Wagenningen Marine Res, Ijmuiden, Netherlands; [Kell, Laurence T.] Imperial Coll London, Ctr Environm Policy, London, England; [Doering, Ralf; Kempf, Alexander; Kuehn, Bernhard; Puets, Miriam; Taylor, Marc] Thuenen Inst Sea Fisheries, Bremerhaven, Germany; [Metz, Sebastien] Sakana Consultants, Brest, France; [Basurko, Oihane C.; Caballero, Ainhoa; Citores, Leire; Gabina, Gorka; Aranda, Martin; Urtizberea, Agurtzane] Basque Res &amp; Technol Alliance BRTA, Ciencia &amp; tecnol marina &amp; alimentaria AZTI, Marine Res, Pasaia, Spain; [Bartolino, Valerio] Swedish Univ Agr Sci, Dept Aquat Resources, Lysekil, Sweden; [Bentley, Jacob] Nat England, London, England; [Daskalov, Georgi] Bulgarian Acad Sci IBER BAS, Inst Biodivers &amp; Ecosyst Res, Div Funct Ecol &amp; Bioresources Marine &amp; Coastal Eco, Sofia, Bulgaria; [Depestele, Jochen] Flanders Res Inst Agr Fisheries &amp; Food ILVO, Fisheries &amp; Aquat Prod, Oostende, Belgium; [Hamon, Katell G.] Wageningen Univ &amp; Res, Wageningen Econ Res, The Hague, Netherlands; [Hidalgo, Manuel; van Vlasselaer, Jasper] Spanish Inst Oceanog IEO CSIC Palma, Ecosyst Oceanog Grp GRECO, Palma De Mallorca, Spain; [Katsanevakis, Stelios; van Hoof, Luc] Univ Aegean, Dept Marine Sci, Mitilini, Greece; [Triantaphyllidis, George] Blue Bio Consulting, Vyronas, Greece; [Tsagarakis, Konstantinos] Hellen Ctr Marine Res, Inst Marine Biol Resources &amp; Inland Waters, Anavyssos, Greece</t>
  </si>
  <si>
    <t>Technical University of Denmark; Wageningen University &amp; Research; Imperial College London; Johann Heinrich von Thunen Institute; Swedish University of Agricultural Sciences; Bulgarian Academy of Sciences; Institute For Agricultural &amp; Fisheries Research; Wageningen University &amp; Research; University of Aegean; Hellenic Centre for Marine Research</t>
  </si>
  <si>
    <t>Bastardie, F (corresponding author), Danish Tech Univ, Natl Inst Aquat Resources, Lyngby, Denmark.;Feary, DA (corresponding author), MRAG Ltd, London, England.</t>
  </si>
  <si>
    <t>fba@aqua.dtu.dk; d.feary@mrag.co.uk</t>
  </si>
  <si>
    <t>Tsagarakis, Konstantinos/A-1283-2012; Taylor, Marc/IRZ-2938-2023; Feary, David/ABE-6273-2020; Nielsen, J. Rasmus/AAG-2647-2021; Katsanevakis, Stelios/AGR-7012-2022; Hamon, Katell G/C-7206-2011; Hidalgo, Manuel/B-8023-2015; Metz, Sebastien/N-2908-2015</t>
  </si>
  <si>
    <t>Tsagarakis, Konstantinos/0000-0003-2408-0220; Nielsen, J. Rasmus/0000-0002-2833-3873; Katsanevakis, Stelios/0000-0002-5137-7540; Depestele, Jochen/0000-0001-7554-553X; Van Vlasselaer, Jasper/0000-0002-0508-0252; Bossier, Sieme/0000-0003-2548-0410; Hidalgo, Manuel/0000-0002-3494-9658; Van Hoof, Luc/0000-0002-9152-9801; Metz, Sebastien/0000-0003-4216-4583; Eigaard, Ole Ritzau/0000-0003-4213-2397; Triantaphyllidis, George/0000-0002-4005-6354; Hamon, Katell G./0000-0002-6419-8947; Bastardie, Francois/0000-0002-2669-6179; Caballero, Ainhoa/0000-0003-1004-8908</t>
  </si>
  <si>
    <t>European Union; CINEA (The European Climate, Infrastructure and Environment Executive Agency) [EASME/EMFF/2020/3.2.6/Lot1/S07, EASME/EMFF/2020/3.2.6/Lot2/SC08]</t>
  </si>
  <si>
    <t>European Union(European Union (EU)); CINEA (The European Climate, Infrastructure and Environment Executive Agency)</t>
  </si>
  <si>
    <t>The preparation of this paper has been supported by the European Union. The information and views set out in this article were based on scientific data and information collected under the Specific Contracts EASME/EMFF/2020/3.2.6/Lot1/S07 and EASME/EMFF/2020/3.2.6/Lot2/SC08, signed with the CINEA (The European Climate, Infrastructure and Environment Executive Agency) and funded by the European Union. The information and views set out in this publication were those of the authors and do not necessarily reflect the official opinion of CINEA or of the European Commission. Neither CINEA, nor the European Commission can guarantee the accuracy of the scientific data/information collected under the above Specific Contract or the data/information included in this publication. Neither CINEA nor the European Commission or any person acting on their behalf may be held responsible for the use which may be made of the informat ion contained therein.</t>
  </si>
  <si>
    <t>Adger WN, 2005, SCIENCE, V309, P1036, DOI 10.1126/science.1112122; Bahri T., 2021, ADAPTIVE MANAGEMENT, DOI DOI 10.4060/CB3095EN; Bartelings H, 2015, ENVIRON MODELL SOFTW, V74, P156, DOI 10.1016/j.envsoft.2015.09.013; Bartolino V, 2008, FISH RES, V92, P277, DOI 10.1016/j.fishres.2008.01.007; Bastardie F, 2022, FRONT MAR SCI, V9, DOI 10.3389/fmars.2022.817335; Bastardie F, 2021, FRONT MAR SCI, V7, DOI 10.3389/fmars.2020.629186; Bastardie F, 2020, FISH RES, V230, DOI 10.1016/j.fishres.2020.105681; Bastardie F, 2014, CAN J FISH AQUAT SCI, V71, P366, DOI 10.1139/cjfas-2013-0126; Basurko OC, 2013, J CLEAN PROD, V54, P30, DOI 10.1016/j.jclepro.2013.05.024; Baudron AR, 2020, ECOGRAPHY, V43, P494, DOI 10.1111/ecog.04864; Beare DJ, 2004, MAR ECOL PROG SER, V284, P269, DOI 10.3354/meps284269; Beaugrand G, 2004, PROG OCEANOGR, V60, P245, DOI 10.1016/j.pocean.2004.02.018; Begley J, 2017, MARINE RES I REPORT; Bentley JW, 2021, FRONT MAR SCI, V8, DOI 10.3389/fmars.2021.602072; Bjornstad ON, 2001, SCIENCE, V293, P638, DOI 10.1126/science.1062226; Boyes SJ, 2014, MAR POLLUT BULL, V86, P39, DOI 10.1016/j.marpolbul.2014.06.055; Brosset P, 2017, PROG OCEANOGR, V151, P149, DOI 10.1016/j.pocean.2016.12.002; Brunel T, 2010, MAR ECOL PROG SER, V405, P15, DOI 10.3354/meps08491; Byrne C, 2021, MAR POLICY, V127, DOI 10.1016/j.marpol.2021.104448; Caveen A., 2015, The controversy over marine protected areas, P51, DOI DOI 10.1007/978-3-319-10957-2_5; CHRISTENSEN V, 1992, ECOL MODEL, V61, P169, DOI 10.1016/0304-3800(92)90016-8; Ciannelli L, 2013, MAR ECOL PROG SER, V480, P227, DOI 10.3354/meps10067; CINEA, 2022, PEND REF; Clausen LW, 2018, J APPL ECOL, V55, P1092, DOI 10.1111/1365-2664.13038; Cvitanovic C, 2021, ENVIRON SCI POLICY, V123, P179, DOI 10.1016/j.envsci.2021.05.020; Daskalov GM, 2017, GLOBAL CHANGE BIOL, V23, P1486, DOI 10.1111/gcb.13508; Drinkwater KF, 2005, ICES J MAR SCI, V62, P1327, DOI 10.1016/j.icesjms.2005.05.015; Druon JN, 2015, PROG OCEANOGR, V130, P188, DOI 10.1016/j.pocean.2014.11.005; Earle M, 2021, ICES J MAR SCI, V78, P2173, DOI 10.1093/icesjms/fsab037; Eigaard OR, 2014, REV FISH SCI AQUAC, V22, P156, DOI 10.1080/23308249.2014.899557; Eigaard OR, 2011, FISH RES, V110, P39, DOI 10.1016/j.fishres.2011.03.010; EP, 2013, FUEL SUBSIDIES EU FI, DOI [10.2861/33430, DOI 10.2861/33430]; Erauskin-Extramiana M, 2019, DEEP-SEA RES PT II, V159, P169, DOI 10.1016/j.dsr2.2018.07.007; EU, 2013, DIRECTIVE 201339EU E, DOI DOI 10.5040/9781782258674.0032; EU, 2019, OFF J EUR UNION; EU, 2021, SYNTH LAND OBL MEAS, DOI [10.2826/176808, DOI 10.2826/176808]; EU, 2021, COM2021559; EU, 2013, Regulation (EU) No 1380/2013 of the European Parliament and of the COUNCIL of 11 December 2013 on the Common Fisheries Policy, Amending Council Regulations (EC) No 1954/2003 and (EC) No 1224/2009 and Repealing Council Regulations (EC) No 2371/2002 and (EC) No 639/2004 and Council Decision 2004/ 585/EC; EU, 2020, COUNC REG EU 2020 12; EU, 2021, COM2021563; EU, 2021, PUBLICATIONS OFFICE, DOI [10.2826/634795, DOI 10.2826/634795]; European Commission, 2017, Commission Decision (EU) 2017/848 of 17 May 2017 Laying Down Criteria and Methodological Standards on Good Environmental Status of Marine Waters and Specifications and Standardised Methods for Monitoring and Assessment, and Repealing Decision 2010/477/EU; FAO, 2015, FAO FISHERIES AQUACU, P107; FAO, 2020, The State of Mediterranean and Black Sea Fisheries 2020, P172, DOI [10.4060/cb2429en, DOI 10.4060/CB2429-N]; Fiorella KJ, 2021, SCI ADV, V7, DOI 10.1126/sciadv.abc7425; Free CM, 2019, SCIENCE, V363, P979, DOI 10.1126/science.aau1758; Freire-Gonzalez J., 2015, International Journal of Energy Economics and Policy, V5, P69; Fulton EA, 2011, FISH FISH, V12, P171, DOI 10.1111/j.1467-2979.2011.00412.x; Gaines SD, 2018, SCI ADV, V4, DOI 10.1126/sciadv.aao1378; Garcia D, 2017, SOFTWAREX, V6, P141, DOI 10.1016/j.softx.2017.06.001; GFCM, 2019, REC GFCM 43 2019 5 M; Gücü AC, 2017, REV FISH SCI AQUAC, V25, P230, DOI 10.1080/23308249.2016.1276152; Guillen J, 2016, J IND ECOL, V20, P145, DOI 10.1111/jiec.12272; Hamon KG, 2021, FRONT MAR SCI, V8, DOI 10.3389/fmars.2021.578516; Harfoot MBJ, 2014, PLOS BIOL, V12, DOI 10.1371/journal.pbio.1001841; Hidalgo M, 2011, MAR ECOL PROG SER, V426, P1, DOI 10.3354/meps09077; Hidalgo M, 2022, ICES J MAR SCI, V79, P457, DOI 10.1093/icesjms/fsac014; Hidalgo M, 2012, ECOGRAPHY, V35, P637, DOI 10.1111/j.1600-0587.2011.07314.x; Hilborn R, 2010, MAR POLICY, V34, P193, DOI 10.1016/j.marpol.2009.04.013; Hoefnagel E, 2015, MAR POLICY, V57, P111, DOI 10.1016/j.marpol.2015.03.012; Holland DS, 2017, P NATL ACAD SCI USA, V114, P9302, DOI 10.1073/pnas.1702382114; Holsman KK, 2019, ICES J MAR SCI, V76, P1368, DOI 10.1093/icesjms/fsz031; Hornborg S, 2020, ICES J MAR SCI, V77, P1666, DOI 10.1093/icesjms/fsaa077; Howell D, 2021, FRONT MAR SCI, V7, DOI 10.3389/fmars.2020.607831; Hsieh CH, 2010, AQUAT SCI, V72, P165, DOI 10.1007/s00027-009-0122-2; ICES, 2020, ICES Advice, DOI DOI 10.17895/ICES.ADVICE.7648; ICES, 2021, Report of the ICES Advisory Committee, 2021. ICES Advice 2021, DOI [10.17895/ices.advice.7720, DOI 10.17895/ICES.ADVICE.7720]; ICES, 2022, ICES SCI REPORTS, DOI [10.17895/ices.pub.9822, DOI 10.17895/ICES.PUB.9822]; ICES, 2022, INT COUNCIL EXPLORAT, DOI [10.17895/ices.pub.9822, DOI 10.17895/ICES.PUB.9822]; Jafarzadeh S, 2016, J CLEAN PROD, V112, P3616, DOI 10.1016/j.jclepro.2015.06.114; Jungclaus JH, 2013, J ADV MODEL EARTH SY, V5, P422, DOI 10.1002/jame.20023; Kell LT, 2007, ICES J MAR SCI, V64, P640, DOI 10.1093/icesjms/fsm012; Kjesbu OS, 2022, FISH FISH, V23, P601, DOI 10.1111/faf.12635; Köster FW, 2020, FISH RES, V227, DOI 10.1016/j.fishres.2020.105553; Kühn B, 2021, MAR ECOL PROG SER, V664, P1, DOI 10.3354/meps13689; Mackenzie BR, 2007, GLOBAL CHANGE BIOL, V13, P1348, DOI 10.1111/j.1365-2486.2007.01369.x; Marshall NA, 2007, ECOL SOC, V12, DOI 10.5751/es-01940-120101; Maynou F, 2014, CLIMATIC CHANGE, V126, P175, DOI 10.1007/s10584-014-1194-0; Mouquet N, 2015, J APPL ECOL, V52, P1293, DOI 10.1111/1365-2664.12482; O'Leary CA, 2022, ICES J MAR SCI, V79, P1063, DOI 10.1093/icesjms/fsac046; Parker RWR, 2018, NAT CLIM CHANGE, V8, P333, DOI 10.1038/s41558-018-0117-x; Parker RWR, 2015, J CLEAN PROD, V103, P517, DOI 10.1016/j.jclepro.2014.05.017; Parker RWR, 2015, FISH FISH, V16, P684, DOI 10.1111/faf.12087; Peck Myron, 2018, FAO Fisheries and Aquaculture Technical Paper, V627, P87; Peck MA, 2021, PROG OCEANOGR, V191, DOI 10.1016/j.pocean.2020.102494; Pécuchet L, 2015, ICES J MAR SCI, V72, P1323, DOI 10.1093/icesjms/fsu220; Pelletier N, 2014, GLOBAL ENVIRON CHANG, V24, P30, DOI 10.1016/j.gloenvcha.2013.11.014; Pinsky ML, 2018, SCIENCE, V360, P1189, DOI 10.1126/science.aat2360; Planque B, 2010, J MARINE SYST, V79, P403, DOI 10.1016/j.jmarsys.2008.12.018; Plikshs M, 2015, ACTA ICHTHYOL PISCAT, V45, P247, DOI 10.3750/AIP2015.45.3.04; Poos JJ, 2013, ICES J MAR SCI, V70, P675, DOI 10.1093/icesjms/fss196; Punt AE, 2016, FISH FISH, V17, P303, DOI 10.1111/faf.12104; Rak D, 2020, OCEANOLOGIA, V62, P525, DOI 10.1016/j.oceano.2020.08.005; Rijnsdorp AD, 2021, FISH RES, V243, DOI 10.1016/j.fishres.2021.106104; Rijnsdorp AD, 2020, PLOS ONE, V15, DOI 10.1371/journal.pone.0228528; Rindorf A, 2017, ICES J MAR SCI, V74, P475, DOI 10.1093/icesjms/fsw071; Sakalli A, 2018, INT J CLIMATOL, V38, P4687, DOI 10.1002/joc.5688; Sala A., 2012, JRC SCI POLICY REPOR, P132; Sala A, 2011, OCEAN ENG, V38, P804, DOI 10.1016/j.oceaneng.2011.02.004; Saraiva S, 2019, FRONT EARTH SC-SWITZ, V6, DOI 10.3389/feart.2018.00244; Schau EM, 2009, J CLEAN PROD, V17, P325, DOI 10.1016/j.jclepro.2008.08.015; Sein DV, 2015, J ADV MODEL EARTH SY, V7, P268, DOI 10.1002/2014MS000357; STECF, 2020, STECF2116, V2020; STECF, 2017, SCI TECHNICAL EC COM, DOI [10.2760/759034, DOI 10.2760/759034]; STECF, 2021, Scientific, technical and economic committee for fisheries (STECF) The 2021 annual economic report on the EU fishing fleet (STECF2108), DOI [10.2760/60996, DOI 10.2760/60996]; STECF, 2022, SCI TECHNICAL EC COM, DOI [10.2760/566544, DOI 10.2760/566544]; STECF, 2022, PLEN2201 EUR COMM, DOI [10.2760/192738, DOI 10.2760/192738]; Strubberg A, 1916, PETERMANNS MITT, V62, P350; Suuronen P, 2012, FISH RES, V119, P135, DOI 10.1016/j.fishres.2011.12.009; Svedang H, 2022, ICES J MAR SCI, V79, P689, DOI 10.1093/icesjms/fsac017; Taylor KE, 2012, B AM METEOROL SOC, V93, P485, DOI 10.1175/BAMS-D-11-00094.1; van de Wolfshaar KE, 2022, ICES J MAR SCI, V79, P495, DOI 10.1093/icesjms/fsab025; van der Veer HW, 2000, MAR ECOL PROG SER, V199, P255, DOI 10.3354/meps199255; Vert-pre KA, 2013, P NATL ACAD SCI USA, V110, P1779, DOI 10.1073/pnas.1214879110; Villasante S, 2022, MAR POLICY, V136, DOI 10.1016/j.marpol.2021.104884; Wåhlström I, 2020, LIMNOL OCEANOGR, V65, P2170, DOI 10.1002/lno.11446; Woods PJ, 2022, ICES J MAR SCI, V79, P463, DOI 10.1093/icesjms/fsab146; Wu YL, 2020, DEEP-SEA RES PT II, V175, DOI 10.1016/j.dsr2.2020.104808; Ziegler F, 2003, J CLEAN PROD, V11, P303, DOI 10.1016/S0959-6526(02)00050-1; Zimmermann F, 2019, FISH FISH, V20, P518, DOI 10.1111/faf.12360</t>
  </si>
  <si>
    <t>AUG 4</t>
  </si>
  <si>
    <t>10.3389/fmars.2022.947150</t>
  </si>
  <si>
    <t>3X6PK</t>
  </si>
  <si>
    <t>WOS:000843160900001</t>
  </si>
  <si>
    <t>Reis, IFG; Gonçalves, I; Lopes, MAR; Antunes, CH</t>
  </si>
  <si>
    <t>Reis, Ines F. G.; Goncalves, Ivo; Lopes, Marta A. R.; Antunes, Carlos Henggeler</t>
  </si>
  <si>
    <t>Towards inclusive community-based energy markets: A multiagent framework</t>
  </si>
  <si>
    <t>Energy communities; Community-based electricity sharing; Vulnerable consumers; Local electricity markets; Multiagent systems; Genetic algorithms</t>
  </si>
  <si>
    <t>PEER-TO-PEER; AFFORDABILITY; MANAGEMENT; ALGORITHM; WATER; MODEL</t>
  </si>
  <si>
    <t>Local energy trading has the potential to foster the deployment of novel business models especially valuable in citizen-centered self-sufficiency-driven collective energy systems. In this setting, special attention should be paid to vulnerable consumers, who may be neglected in the energy transition due to their limited financial capacity to purchase energy products and services as well as the low energy literacy impairing sound consumption decisions. This paper presents a community-based electricity exchange model designed to prioritize the inclusion of vulnerable consumers. A multiagent framework embedded with metaheuristics is proposed to model a community of prosumagers and vulnerable consumers. Heterogeneity between agents is considered by exploiting different consumption behaviors regarding load utilization, thermal comfort requirements and sensitivity to cost. A supervisor entity is also included to manage and facilitate electricity procurement between the local energy community participants while interfacing with retailers. Several scenarios are exploited to examine the performance of the proposed model for different shares of sellers and buyers and the results are evaluated through performance indicators. Results reveal that local electricity trading, in addition to economic benefits for all participants, also contribute to enhance the community's self-sufficiency. Additionally, participants benefit differently from local electricity trading: while buying-oriented ones benefit from the larger presence of profit driven members, selling-oriented participants achieve better results in scenarios with higher shares of buyers. These results unveil relevant clues for the design of frameworks enhancing the inclusion of vulnerable consumers in the energy transition.</t>
  </si>
  <si>
    <t>[Reis, Ines F. G.; Goncalves, Ivo; Lopes, Marta A. R.; Antunes, Carlos Henggeler] DEEC Univ Coimbra, INESC Coimbra, Polo 2, P-3030290 Coimbra, Portugal; [Lopes, Marta A. R.] Polytech Coimbra ESAC, P-3045601 Coimbra, Portugal; [Antunes, Carlos Henggeler] Univ Coimbra, Dept Elect &amp; Comp Engn, Polo 2, P-3030290 Coimbra, Portugal</t>
  </si>
  <si>
    <t>INESC Coimbra; Universidade de Coimbra; Universidade de Coimbra</t>
  </si>
  <si>
    <t>Reis, IFG (corresponding author), DEEC Univ Coimbra, INESC Coimbra, Polo 2, P-3030290 Coimbra, Portugal.</t>
  </si>
  <si>
    <t>inesfreis@deec.uc.pt; ivogoncalves@deec.uc.pt; mlopes@esac.pt; ch@deec.uc.pt</t>
  </si>
  <si>
    <t>Lopes, Marta A.R./F-5265-2014; Henggeler, Carlos/F-8517-2011</t>
  </si>
  <si>
    <t>European Social Fund [SFRH/BD/143530/2019, UIDB/00308/2020, POCI-01-0145-FEDER-028040]; European Regional Development Fund; COMPETE 2020 Programs, FCT-Portuguese Foundation for Science and Technology; Energy for Sustainability Initiative of the University of Coimbra; Fundação para a Ciência e a Tecnologia [SFRH/BD/143530/2019] Funding Source: FCT</t>
  </si>
  <si>
    <t>European Social Fund(European Social Fund (ESF)); European Regional Development Fund(European Union (EU)); COMPETE 2020 Programs, FCT-Portuguese Foundation for Science and Technology; Energy for Sustainability Initiative of the University of Coimbra; Fundação para a Ciência e a Tecnologia(Fundacao para a Ciencia e a Tecnologia (FCT))</t>
  </si>
  <si>
    <t>Acknowledgements This work was partially supported by grant SFRH/BD/143530/2019 and by project grants UIDB/00308/2020 and MAnAGER (POCI-01-0145-FEDER-028040) through the European Social Fund, European Regional Development Fund and the COMPETE 2020 Programs, FCT-Portuguese Foundation for Science and Technology, and the Energy for Sustainability Initiative of the University of Coimbra.</t>
  </si>
  <si>
    <t>Akter MN, 2017, ENERGIES, V10, DOI 10.3390/en10122098; Andoni M, 2019, RENEW SUST ENERG REV, V100, P143, DOI 10.1016/j.rser.2018.10.014; Anthony P., 2014, T SCI TECHNOLOGY, P18; Bartl M, 2010, J CONSUM POLICY, V33, P225, DOI 10.1007/s10603-009-9122-9; Bauwens T, 2016, ENERG POLICY, V93, P278, DOI 10.1016/j.enpol.2016.03.017; Brady J, 2016, SUSTAIN CITIES SOC, V26, P203, DOI 10.1016/j.scs.2016.06.014; Cai Y, 2017, IEEE T SMART GRID, V8, P2207, DOI 10.1109/TSG.2016.2518241; Deb K, 2002, IEEE T EVOLUT COMPUT, V6, P182, DOI 10.1109/4235.996017; Denysiuk R, 2020, ICAART: PROCEEDINGS OF THE 12TH INTERNATIONAL CONFERENCE ON AGENTS AND ARTIFICIAL INTELLIGENCE, VOL 1, P40, DOI 10.5220/0008915400400049; Di Silvestre ML, 2020, RENEW SUST ENERG REV, V119, DOI 10.1016/j.rser.2019.109585; Domínguez-Navarro JA, 2017, IEEE INT C NETW SENS, P239, DOI 10.1109/ICNSC.2017.8000098; Dorri A, 2018, IEEE ACCESS, V6, P28573, DOI 10.1109/ACCESS.2018.2831228; E. Commission, 2018, DIRECTIVE PROMOTION; E. Foundation, 2020, ECL IDE; European Parliament and Council of the EU, 2019, DIRECTIVE COMMON RUL; Fankhauser S, 2007, ENERG POLICY, V35, P1038, DOI 10.1016/j.enpol.2006.02.003; Frangopoulos C.A., 2017, EXERGY ENERGY SYST A, V2, P233; Franke T, 2015, IET INTELL TRANSP SY, V9, P740, DOI 10.1049/iet-its.2014.0169; Gomes A, 2013, ENERGY, V50, P110, DOI 10.1016/j.energy.2012.11.047; Gonçalves I, 2018, GECCO'18: PROCEEDINGS OF THE 2018 GENETIC AND EVOLUTIONARY COMPUTATION CONFERENCE, P1246, DOI 10.1145/3205455.3205616; Gonçalves I, 2019, APPL ENERG, V242, P351, DOI 10.1016/j.apenergy.2019.03.108; González-Briones A, 2018, ENERGIES, V11, DOI 10.3390/en11081928; Guerrero J, 2019, 2019 IEEE MILAN POWERTECH; Hall S, 2016, LOCAL ELECT SUPPLY O; Hanke F, 2020, ENERGIES, V13, DOI 10.3390/en13071615; Hertz-Shargel B, 2019, Technical report; Hovgaard TG, 2012, ENERGY, V44, P105, DOI 10.1016/j.energy.2011.12.007; Huhns MN, 1999, MULTIAGENT SYSTEMS, P79; Inês C, 2020, ENERG POLICY, V138, DOI 10.1016/j.enpol.2019.111212; Keinath CM, 2017, ENERGY, V128, P626, DOI 10.1016/j.energy.2017.03.055; Laquerre O, 2010, INT J REFRIG, V33, P41, DOI 10.1016/j.ijrefrig.2009.09.014; Liu N, 2017, IEEE T POWER SYST, V32, P3569, DOI 10.1109/TPWRS.2017.2649558; Long C, 2017, IEEE POW ENER SOC GE; Lowitzsch J, 2020, RENEW SUST ENERG REV, V122, DOI 10.1016/j.rser.2019.109489; Lowitzsch J., 2019, Renewable Energy Law and Policy Review, V9, P5, DOI DOI 10.2307/26763579; Ma TJ, 2009, ENERGY, V34, P873, DOI 10.1016/j.energy.2009.03.005; Mendes G, 2018, CIRED WORKSH LJUBLJ; Mengelkamp E, 2018, Energy Inform, V1, P11, DOI DOI 10.1186/S42162-018-0017-3; Mengelkamp E, 2018, APPL ENERG, V210, P870, DOI 10.1016/j.apenergy.2017.06.054; Moret F, 2020, EUR J OPER RES, V287, P36, DOI 10.1016/j.ejor.2020.04.034; Moret F, 2019, IEEE T POWER SYST, V34, P3994, DOI 10.1109/TPWRS.2018.2808961; Nolden C, 2020, RENEW SUST ENERG REV, V122, DOI 10.1016/j.rser.2020.109722; O'Rear E, 2019, J BUILD ENG, V25, DOI 10.1016/j.jobe.2019.100779; Ofgem, 2019, VULN CONS EN MARK 20; Olivella-Rosell P, 2016, IEEE INT ENER CONF; Pakula C, 2010, ENERG EFFIC, V3, P365, DOI 10.1007/s12053-009-9072-8; Paudel A, 2019, IEEE T IND ELECTRON, V66, P6087, DOI 10.1109/TIE.2018.2874578; Pires Klein L, 2020, ENERGIES, V13, DOI 10.3390/en13010125; PNS Institute, 2021, PRIV HOUS TOT HOUS T; Portuguese Energy Regulator, 2020, REGULATION NO 266202; Portuguese Energy Regulator, 2020, EL MOB TAR PRIC; Portuguese Government,, ORDINANCE 379 A2015; Portuguese Government, 1990, LAW 4090; Portuguese Government, 2019, DECREE LAW NO 162201; Pye S., 2015, L'Europe en Formation, P64; Rasouli V, 2019, 2019 2ND INTERNATIONAL CONFERENCE ON SMART ENERGY SYSTEMS AND TECHNOLOGIES (SEST 2019), DOI 10.1109/sest.2019.8849064; Reis IFG, **DATA OBJECT**, P2021, DOI 10.17632/97ntvyj9cr.2; Reis IFG, 2020, 2020 INTERNATIONAL CONFERENCE ON SMART ENERGY SYSTEMS AND TECHNOLOGIES (SEST), DOI 10.1109/sest48500.2020.9203312; Reis IFG, 2021, ENERGIES, V14, DOI 10.3390/en14040989; Reis IFG, 2020, UTIL POLICY, V67, DOI 10.1016/j.jup.2020.101114; Sandholm TW, 1999, MULTIAGENT SYSTEMS, P201; Shirani F, 2020, ENERG POLICY, V144, DOI 10.1016/j.enpol.2020.111637; Shrestha A, 2019, IEEE ACCESS, V7, P131911, DOI 10.1109/ACCESS.2019.2940751; Soares A, 2017, IEEE T IND INFORM, V13, P492, DOI 10.1109/TII.2016.2628961; Sorin E, 2019, IEEE T POWER SYST, V34, P994, DOI 10.1109/TPWRS.2018.2872880; Sousa T, 2019, RENEW SUST ENERG REV, V104, P367, DOI 10.1016/j.rser.2019.01.036; Tushar W, 2020, IEEE T SMART GRID, V11, P1407, DOI 10.1109/TSG.2019.2937981; Verschae R, 2016, ENERGIES, V9, DOI 10.3390/en9070562; Viti S, 2020, SUSTAIN CITIES SOC, V61, DOI 10.1016/j.scs.2020.102342; Viviers A., 2018, PEER TO PEER P2P ENE; Wooldridge Michael., 2009, An Introduction to MultiAgent Systems, V2nd, P21; Xie J., 2017, Journal of International Council on Electrical Engineering, V7, P188, DOI DOI 10.1080/22348972.2017.1348890; Zhang CH, 2017, ENRGY PROCED, V105, P2563, DOI 10.1016/j.egypro.2017.03.737; Zhang M, 2019, 2019 IEEE INTERNATIONAL CONFERENCE ON COMMUNICATIONS, CONTROL, AND COMPUTING TECHNOLOGIES FOR SMART GRIDS (SMARTGRIDCOMM), DOI [10.1109/smartgridcomm.2019.8909798, 10.1109/SmartGridComm.2019.8909798]; Zhou Y, 2018, APPL ENERG, V222, P993, DOI 10.1016/j.apenergy.2018.02.089</t>
  </si>
  <si>
    <t>10.1016/j.apenergy.2021.118115</t>
  </si>
  <si>
    <t>0G9IJ</t>
  </si>
  <si>
    <t>WOS:000778351200004</t>
  </si>
  <si>
    <t>Barido, DPD; Suffian, S; Kammen, DM; Callaway, D</t>
  </si>
  <si>
    <t>Barido, Diego Ponce de Leon; Suffian, Stephen; Kammen, Daniel M.; Callaway, Duncan</t>
  </si>
  <si>
    <t>Opportunities for behavioral energy efficiency and flexible demand in data-limited low-carbon resource constrained environments</t>
  </si>
  <si>
    <t>Behavior; Technology; Smart grid; Developing countries; Demand response; Energy efficiency</t>
  </si>
  <si>
    <t>ELECTRICITY CONSUMPTION; INTERVENTION; HOUSEHOLDS; IMPACT; WOMEN; USERS; POWER</t>
  </si>
  <si>
    <t>Sensor networks, information and communication technologies, and advances in behavioral science can allow for the design and implementation of inclusive information and automation systems for ongoing low-carbon transitions. Here, we present results of the first randomized pilot providing tandem behavioral energy efficiency and flexible demand services through the use of distributed sensor networks in Latin America (Managua, Nicaragua). We show that the houses and micro-enterprises randomly assigned to the intervention reduced their energy consumption by nine percent relative to the control group, and participated at length in peak-shaving flexible demand events (&gt;= 80% of events). Identified social co-benefits included increased energy literacy, financial management and user empowerment, and find that improved access to energy information was more important than cash when incentivizing project participation with a high user willingness to pay. Several challenges may hinder the success of smart systems in resource constrained environments, including temporal and financial scarcity at the household level, lack of institutional support, and a panoply of top-down misaligned incentives. We document the multiple barriers to scale flexible demand and energy efficiency strategies, including bottom-up (e.g., appliance financing) and top-down (e.g., decoupling) challenges and discuss ways to overcome them. As more low, low-middle income countries transition away from fossil fuels, the use of sensor networks and information and communication technologies for building smart and inclusive smart systems will become increasingly necessary and attractive.</t>
  </si>
  <si>
    <t>[Barido, Diego Ponce de Leon; Kammen, Daniel M.; Callaway, Duncan] Univ Calif Berkeley, Energy &amp; Resources Grp, Berkeley, CA 94720 USA; [Suffian, Stephen] Villanova Univ, Dept Elect &amp; Comp Engn, Villanova, PA 19085 USA; [Kammen, Daniel M.] Univ Calif Berkeley, Goldman Sch Publ Policy, Berkeley, CA 94720 USA</t>
  </si>
  <si>
    <t>University of California System; University of California Berkeley; Villanova University; University of California System; University of California Berkeley</t>
  </si>
  <si>
    <t>Barido, DPD; Callaway, D (corresponding author), Univ Calif Berkeley, Energy &amp; Resources Grp, Berkeley, CA 94720 USA.</t>
  </si>
  <si>
    <t>diego.leon@berkeley.edu; dcal@berkeley.edu</t>
  </si>
  <si>
    <t>Buttree, Matthew/JSK-8811-2023</t>
  </si>
  <si>
    <t>Callaway, Duncan/0000-0003-3316-9008</t>
  </si>
  <si>
    <t>National Geographic Energy Challenge Grant; UC Berkeley's Development Impact Lab; Inter-American Development Bank IDEAS competition</t>
  </si>
  <si>
    <t>We would like to thank the support of Javier Rosa, who was a collaborator in the design and implementation of the FlexBox [2], Eric Brewer for his continued thoughtful insights and support, and the Technology and Infrastructure for Emerging Regions group at UC Berkeley for technical and lab assistance. We would like to acknowledge the support of Jae Bin and Emerald Ferreira-Yang during the piloting phase and implementation of the technology at UC Berkeley, and of Odaly Molina for the ground implementation in Managua. This research was kindly supported by a National Geographic Energy Challenge Grant, UC Berkeley's Development Impact Lab, and the Inter-American Development Bank IDEAS competition.</t>
  </si>
  <si>
    <t>Abrahamse W, 2005, J ENVIRON PSYCHOL, V25, P273, DOI 10.1016/j.jenvp.2005.08.002; Allcott H, 2012, J ECON PERSPECT, V26, P3, DOI 10.1257/jep.26.1.3; Allcott H, 2011, J PUBLIC ECON, V95, P1082, DOI 10.1016/j.jpubeco.2011.03.003; Allcott H, 2010, SCIENCE, V327, P1204, DOI 10.1126/science.1180775; [Anonymous], 2017, GLOBAL STATUS REPORT; [Anonymous], 2016, Energy Efficiency Market Report 2016; [Anonymous], 2016, WORLD BANK DEV IND; [Anonymous], 2010, ENERGY; [Anonymous], P IEEE; Asensio OI, 2015, P NATL ACAD SCI USA, V112, pE510, DOI 10.1073/pnas.1401880112; Attari SZ, 2010, P NATL ACAD SCI USA, V107, P16054, DOI 10.1073/pnas.1001509107; Bager S, 2017, ENERGY RES SOC SCI, V28, P68, DOI 10.1016/j.erss.2017.04.008; Barido D. P. De Leon, 2015, ENVIRON RES LETT, V10, P1; Boudet H, 2016, NAT ENERGY, V1, DOI [10.1038/nenergy.2016.91, 10.1038/NENERGY.2016.91]; Bouton Shannon, 2010, MCKINSEY SUSTAIN RES, P1; Bronski P., 2015, Rocky Mt Inst, P79; Broto VC, 2017, NAT ENERGY, V2, DOI 10.1038/s41560-017-0007-x; Carlsson-Kanyama A, 2007, ENERG POLICY, V35, P2163, DOI 10.1016/j.enpol.2006.06.018; Chen H, 2014, APPL ENERG, V116, P376, DOI 10.1016/j.apenergy.2013.11.027; Davis L, 2012, 18044 NBER; De Leon Barido Diego Ponce, 2017, 2017 IEEE/ACM Second International Conference on Internet-of-Things Design and Implementation (IoTDI), P233, DOI 10.1145/3054977.3054984; Doman L., 2017, EIA Projects 28% Increase in World Energy Use by 2040; Duarte R, 2016, APPL ENERG, V184, P1207, DOI 10.1016/j.apenergy.2015.09.101; Ecker F, 2017, FRONT ENERGY RES, V5, DOI 10.3389/fenrg.2017.00014; Elnakat A, 2015, ENERG POLICY, V82, P166, DOI 10.1016/j.enpol.2015.03.014; Fairbrother C, 2017, PATHWAYS INNOVATION; Fowlie M, 2015, SSRN ELECT J; Goulden M, 2014, ENERGY RES SOC SCI, V2, P21, DOI 10.1016/j.erss.2014.04.008; Graziano M., 2014, Cloudfridge: A Cloud-Based Control System for Commercial Refrigeration Systems, P285; Gromet DM, 2013, P NATL ACAD SCI USA, V110, P9314, DOI 10.1073/pnas.1218453110; International Energy Agency (IEA) and the World Bank, 2017, SUST EN 2017 PROGR S; Keep TM, 2011, IEEE POW ENER SOC GE; Koch S., 2009, IFAC Proceedings Volumes, V42, P149, DOI 10.3182/20090705-4-SF-2005.00028; Koch S, 2011, P 17 POW SYST COMP C; Kornbluth K., 2012, SMART GRID RENEWABLE, V3, P1, DOI DOI 10.4236/SGRE.2012.34042; Kruschke J. K., 2015, DOING BAYESIAN DATA, DOI DOI 10.1016/B978-0-12-405888-0.00010-6; Kruschke JK, 2013, J EXP PSYCHOL GEN, V142, P573, DOI 10.1037/a0029146; Kwag HG, 2014, APPL ENERG, V122, P24, DOI 10.1016/j.apenergy.2014.01.068; Lakshmanan V, 2014, P U POW ENG C; Lanzisera S, 2014, IEEE INTERNET THINGS, V1, P153, DOI 10.1109/JIOT.2014.2307077; Lawrence Berkeley National Laboratory, 2009, OPENADR SPEC VERS 1, P214; Marquis C., 2016, Advanced Energy Economy, V1st; Mathieu JL, 2015, IEEE T POWER SYST, V30, P763, DOI 10.1109/TPWRS.2014.2335158; Mazur-stommen S., 2013, ACEEE Field Guide to Utility-Run Behavior Programs, P43; Muhssin MT, 2018, APPL ENERG, V220, P643, DOI 10.1016/j.apenergy.2018.03.115; Mullainathan Sendhil., 2013, SCARCITY TRUE COST N; Murray B. B., 2014, NAT CLIM CHANGE, V4; Naeem A, 2015, IEEE ACCESS 2015; Nilsson A, 2014, APPL ENERG, V122, P17, DOI 10.1016/j.apenergy.2014.01.060; Parag Y, 2016, NAT ENERGY, V1, DOI 10.1038/NENERGY.2016.32; Peters GP, 2017, NAT CLIM CHANGE, V7, P118, DOI [10.1038/nclimate3202, 10.1038/NCLIMATE3202]; Plummer M, 2003, P 3 INT WORKSHOP DIS, DOI DOI 10.1.1.13.3406; Pothitou M, 2016, APPL ENERG, V184, P1217, DOI 10.1016/j.apenergy.2016.06.017; Rahmani-Andebili M, 2019, IEEE T SYST MAN CY-S, V49, P697, DOI 10.1109/TSMC.2017.2690622; Rahmani-Andebili M, 2017, SUSTAIN CITIES SOC, V32, P338, DOI 10.1016/j.scs.2017.04.006; Rao ND, 2017, ENERGY RES SOC SCI, V27, P106, DOI 10.1016/j.erss.2017.03.005; Schot J, 2016, NAT ENERGY, V1, DOI 10.1038/NENERGY.2016.54; Schwartz D, 2013, P NATL ACAD SCI USA, V110, P15242, DOI 10.1073/pnas.1301687110; Shen Bo., 2012, ADDRESSING ENERGY DE; Sovacool BK, 2017, ENERG POLICY, V109, P767, DOI 10.1016/j.enpol.2017.07.037; Sudarshan A, 2017, J ECON BEHAV ORGAN, V134, P320, DOI 10.1016/j.jebo.2016.12.015; Taneja J, 2013, INT CONF SMART GRID, P265, DOI 10.1109/SmartGridComm.2013.6687968; Team RDC, 2011, R LANG ENV STAT COMP; University of Gothemberg, 2016, QUAL GOV IN; van Renssen S, 2014, NAT CLIM CHANGE, V4, P417, DOI 10.1038/nclimate2254; Wang JX, 2017, APPL ENERG, V202, P772, DOI 10.1016/j.apenergy.2017.05.150; Zeng B, 2017, APPL ENERG, V202, P125, DOI 10.1016/j.apenergy.2017.05.098</t>
  </si>
  <si>
    <t>10.1016/j.apenergy.2018.06.115</t>
  </si>
  <si>
    <t>GX1LS</t>
  </si>
  <si>
    <t>WOS:000447479400040</t>
  </si>
  <si>
    <t>Baidoo, ANA; Danquah, JA; Nunoo, EK; Mariwah, S; Boampong, GN; Twum, E; Amankwah, E; Nyametso, JK</t>
  </si>
  <si>
    <t>Baidoo, Abigail Nana Ama; Danquah, Jones Abrefa; Nunoo, Edward Kweku; Mariwah, Simon; Boampong, Georgina Nyarko; Twum, Eric; Amankwah, Emmanuel; Nyametso, Johnie Kodjoe</t>
  </si>
  <si>
    <t>Households' energy conservation and efficiency awareness practices in the Cape Coast Metropolis of Ghana</t>
  </si>
  <si>
    <t>DISCOVER SUSTAINABILITY</t>
  </si>
  <si>
    <t>Energy conservation; Energy efficiency practices; Household electrical appliances; Energy literacy; SDG 7</t>
  </si>
  <si>
    <t>ELECTRICITY CONSUMPTION; DETERMINANTS; DEMAND; INTENTION; BEHAVIORS; US</t>
  </si>
  <si>
    <t>Thermal power generation is the main source of power in the energy mix of the country. Erratic rainfall patterns, the high cost of fossil fuel for thermal generation, and increase electricity demand have contributed to rampant power outages in the recent past. This paper examined energy conservation and efficiency awareness practices of households in the Cape Coast Metropolis of Ghana. It assessed the level and variability in energy conservation practices and the level of energy-savings awareness education among households. Three hundred and ninety-six households were randomly selected from nine communities using stratified sampling techniques. Five stakeholders from the electricity sector were purposively sampled for in-depth interviews. The data sets were modeled using the utility maximization framework to econometrically estimate socioeconomic factors influencing the energy conservation behaviour of households. The findings reveal that years spent in school by household heads, income levels, expenditure, age of households, and the number of times electricity power triples off daily were among the key factors influencing individual households' choice of energy-efficient appliances. There was significant variability between existing social strata in terms of income and use of electrical appliances among households that warrants policy direction. Based on the findings, this study recommends a robust energy literacy program to improve households' energy efficiency practices awareness, and to ensure energy cost savings, environmental protection, and climate change mitigation that will enhance the drive towards achieving sustainable development goals seven.</t>
  </si>
  <si>
    <t>[Baidoo, Abigail Nana Ama; Danquah, Jones Abrefa; Mariwah, Simon] Univ Cape Coast, Coll Humanities &amp; Legal Studies, Fac Social Sci, Dept Geog &amp; Reg, Cape Coast, Ghana; [Nunoo, Edward Kweku; Mariwah, Simon; Boampong, Georgina Nyarko] Univ Cape Coast, Inst Oil &amp; Gas Studies, Coll Humanities &amp; Legal Studies, Fac Social Sci, POB UC 148, Cape Coast, Ghana; [Twum, Eric] Inst GreenGrowth Solut, Accra, Ghana; [Amankwah, Emmanuel] Univ Energy &amp; Nat Resources, Dept Environm Management, POB 214, Sunyani, Ghana; [Nyametso, Johnie Kodjoe] Cent Univ, Dept Environm &amp; Dev Studies, POB 214, Tema, Ghana</t>
  </si>
  <si>
    <t>University of Cape Coast; University of Cape Coast</t>
  </si>
  <si>
    <t>Nunoo, EK (corresponding author), Univ Cape Coast, Inst Oil &amp; Gas Studies, Coll Humanities &amp; Legal Studies, Fac Social Sci, POB UC 148, Cape Coast, Ghana.</t>
  </si>
  <si>
    <t>bigglesanab905@gmail.com; jones.danquah@ucc.edu.gh; edward.nunoo@ucc.edu.gh; smariwah@ucc.edu.gh; ginatomoriginal@gmail.com; ericktwum@gmail.com; emmanuel.amankwah@uenr.edu.gh; jknyametso@yahoo.com</t>
  </si>
  <si>
    <t>Nunoo, Edward Kweku/U-1565-2019</t>
  </si>
  <si>
    <t>Nunoo, Edward Kweku/0000-0001-6470-9770; Danquah, Jones Abrefa/0000-0003-0892-1034</t>
  </si>
  <si>
    <t>Abbas J, 2018, Erasmus University thesis report; Abeney JO, 2018, Efficiency of household electricity consumption in Ghana; Abrahamse W, 2011, HUM ECOL REV, V18, P30; Abrahamse W, 2009, J ECON PSYCHOL, V30, P711, DOI 10.1016/j.joep.2009.05.006; Alomari M. M., 2021, International Journal of Energy Economics and Policy, V11, P219; Amoah A, 2018, ENERGY SUSTAIN SOC, V8, DOI 10.1186/s13705-018-0159-y; Amos-Abanyie S., 2016, Ghana J Sci Technol (Ghana), V36, P96, DOI [10.4314/just.v36i2.9, DOI 10.4314/JUST.V36I2.9]; Asinyaka M., 2019, Rev Econ, V70, P15, DOI [https://doi.org/10.1515/roe-2018-0007, DOI 10.1515/ROE-2018-0007]; Asumadu-Sarkodie S, 2017, ENERG SOURCE PART B, V12, P533, DOI 10.1080/15567249.2016.1225134; Ayres RU, 2007, ENERGY, V32, P634, DOI 10.1016/j.energy.2006.06.005; Azizi Zahirah Mokhtar, 2019, Procedia Computer Science, V158, P725, DOI 10.1016/j.procs.2019.09.108; Baldini M, 2018, ENERG POLICY, V120, P503, DOI 10.1016/j.enpol.2018.05.048; Bhattacharjee S, 2012, PROCEEDINGS OF THE ASME 5TH INTERNATIONAL CONFERENCE ON ENERGY SUSTAINABILITY 2011, PTS A-C, P891; Brew-Hammond A., 1996, Afr Dev/Afrique et Developpement, V21, P81; Broadstock DC, 2016, ENERG POLICY, V91, P383, DOI 10.1016/j.enpol.2016.01.009; Cameron A.C., 1998, REGRESSION ANAL COUN, DOI [10.1017/CBO9780511814365, DOI 10.1017/CBO9780511814365]; Cameron C.A., 2001, COMPANION THEORETICA, P331, DOI DOI 10.1002/9780470996249.CH16; Capehart B., 2003, GUIDE ENERGY MANAGEM; Carrico AR, 2011, J ENVIRON PSYCHOL, V31, P1, DOI 10.1016/j.jenvp.2010.11.004; Carrus G, 2021, FRONT PSYCHOL, V12, DOI 10.3389/fpsyg.2021.648221; Chong E., 2010, ADIS, Universite Paris-Sud, V11, P94; Choumert J, 2018, halshs-01677296; Commerford M, 2011, Hydroelectricity: the negative ecological and social impact and the policy that should govern it; Danlami A.H., 2015, INT J ENERGY EC POLI, V5, P197; Danquah JA., 2013, J Econ Behav Stud, V5, P588, DOI [10.22610/jebs.v5i9.433, DOI 10.22610/JEBS.V5I9.433]; Dimitra K., 2021, J. Innovat. Entrepren., V10, DOI [10.1186/s13731-021-00161-9, DOI 10.1186/S13731-021-00161-9, 10.1186/S13731-021-00161-9]; Eberhard A, 2011, Working Paper Number 100; Energy Commission Ghana, 2021, National energy statistics. Securing Ghana's Future Energy Today; Energy Commission Ghana, 2010, National Energy Statistics 2000-2010; Esmaeilimoakher P, 2016, ENERG BUILDINGS, V133, P403, DOI 10.1016/j.enbuild.2016.09.063; Filippini M, 2012, ENERG ECON, V34, P1484, DOI 10.1016/j.eneco.2012.06.013; Frederiks ER, 2015, ENERGIES, V8, P573, DOI 10.3390/en8010573; Gadonneix P, 2013, 22 WORLD ENERGY C DA; Gammon RB., 1981, Int J Ambient Energy, V2, P183, DOI [10.1080/01430750.1981.9675776, DOI 10.1080/01430750.1981.9675776]; Ghana Statistical Service (GSS), 2021, POPULATION HOUSING C; Giraudet L-G., 2019, The economics of energy efficiency, a historical perspective; Glenn D.I., 1992, A Series of the Program Evaluation and Organizational Development; Gyane AT, 2021, DISCOV SUSTAIN, V2, DOI 10.1007/s43621-021-00042-x; Harris J. M., 2021, Environmental and Natural Resource Economics: A Contemporary Approach, V5th, DOI [10.4324/9781003080640, DOI 10.4324/9781003080640]; Ibrahim A, 2016, INT J MENT HEALTH SY, V10, DOI 10.1186/s13033-016-0053-y; Jaber JO, 2005, ENERG POLICY, V33, P1329, DOI 10.1016/j.enpol.2003.12.009; Jones RV, 2015, RENEW SUST ENERG REV, V43, P901, DOI 10.1016/j.rser.2014.11.084; Kemausuor F, 2011, RENEW SUST ENERG REV, V15, P5143, DOI 10.1016/j.rser.2011.07.041; Khan I., 2016, Perspect Bangl, V6, P43; Kollmuss A., 2002, ENVIRON EDUC RES, V8, P239, DOI [10.1080/13504620220145401, DOI 10.1080/13504620220145401]; Kroon B., 2011, The Energy Ladder: Theoretical Myth or Empirical Truth? Results from a Meta-Analysis; Kumi E.N., 2017, ELECTRICITY SITUATIO; Kwakwa P.A., 2016, J. Energy Dev., V42, P89; Liu X, 2020, SUSTAINABILITY-BASEL, V12, DOI 10.3390/su12030836; Lundgren B, 2019, Royal Institute of Technology Working Paper 2019:01; Maistry N, 2016, J ENERGY SOUTH AFR, V27, P1; Mansor Razlin, 2019, IOP Conference Series: Materials Science and Engineering, V620, DOI 10.1088/1757-899X/620/1/012006; Masera OR, 2000, WORLD DEV, V28, P2083, DOI 10.1016/S0305-750X(00)00076-0; Mensah JT, 2016, RENEW SUST ENERG REV, V53, P924, DOI 10.1016/j.rser.2015.09.035; Ministry of Energy, 2010, National Electrification Scheme (NES) Master Plan Review (2011-2020); Mrówczynska M, 2020, APPL ENERG, V264, DOI 10.1016/j.apenergy.2020.114680; Nunoo EK, 2021, MANAG ENVIRON QUAL, V32, P260, DOI 10.1108/MEQ-05-2020-0096; Nunoo EK., 2019, Encyclopedia of sustainability in higher education, DOI [10.1007/978-3-030-11352-0_425, DOI 10.1007/978-3-030-11352-0_425]; Nunoo EK., 2018, Encyclopedia of sustainability in higher education, P500, DOI [10.1007/978-3-319-63951-2_81-1, DOI 10.1007/978-3-319-63951-2_81-1]; Nunoo EK., 2014, Introduction to research methods proposal writing; Nunoo EK, 2020, CLIMATE2020, V7; Ofosu-Ahenkorah AK., 2007, Energy crisis in Ghana: drought, technology or policy?, P16; Ouyang JL, 2009, ENERG BUILDINGS, V41, P711, DOI 10.1016/j.enbuild.2009.02.003; Özcan KM, 2013, ENERG POLICY, V60, P550, DOI 10.1016/j.enpol.2013.05.046; Plotkin S., 2017, Electricity end uses, energy efficiency, and distributed energy resources baseline, DOI [10.2172/1342949, DOI 10.2172/1342949]; Poortinga W, 2004, ENVIRON BEHAV, V36, P70, DOI 10.1177/0013916503251466; Poortinga W, 2003, J ECON PSYCHOL, V24, P49, DOI 10.1016/S0167-4870(02)00154-X; Prete MI, 2017, J CLEAN PROD, V153, P83, DOI 10.1016/j.jclepro.2017.03.157; Ru XJ, 2018, RESOUR CONSERV RECY, V134, P91, DOI 10.1016/j.resconrec.2018.03.001; SAMUELSON CD, 1991, J APPL SOC PSYCHOL, V21, P549, DOI 10.1111/j.1559-1816.1991.tb00536.x; Sardianou E, 2007, ENERG POLICY, V35, P3778, DOI 10.1016/j.enpol.2007.01.020; Sarfo I, 2022, ENVIRON DEV SUSTAIN, V24, P9851, DOI 10.1007/s10668-021-01848-5; Schwartz L., 2017, Electricity end uses, energy efficiency, and distributed energy resources baseline, DOI [10.2172/1342949, DOI 10.2172/1342949]; Shaari MS, 2013, Business Systems Review, V2, P17; Tavakoli E, 2022, FRONT SUSTAIN CITIES, V4, DOI 10.3389/frsc.2022.700090; Tewathia N., 2014, International Journal of Energy Economics and Policy, V4, P337; THALER RH, 1981, J POLIT ECON, V89, P392, DOI 10.1086/260971; Trotta G, 2018, ENERG POLICY, V114, P529, DOI 10.1016/j.enpol.2017.12.042; Turnbull T, 2017, From paradox to policy: the problem of energy resource conservation in Britain and America, 1865-1981; U.S. Energy Information Administration (US IEO), 2016, Analysis of the Impacts of the Clean Power Plan; Ürge-Vorsatz D, 2009, ENERG EFFIC, V2, P87, DOI 10.1007/s12053-009-9049-7; van der Werff E, 2015, ENERGY RES SOC SCI, V6, P8, DOI 10.1016/j.erss.2014.11.002; Wang QC, 2021, BUILDINGS-BASEL, V11, DOI 10.3390/buildings11090401; Wang QC, 2021, SUSTAIN ENERGY TECHN, V43, DOI 10.1016/j.seta.2020.100949; Wang ZH, 2011, ENERG POLICY, V39, P3550, DOI 10.1016/j.enpol.2011.03.055; Wirl F., 1997, The Economics of Conservation Programs, DOI DOI 10.1007/978-1-4615-6301-3; Yohanis YG, 2008, ENERG BUILDINGS, V40, P1053, DOI 10.1016/j.enbuild.2007.09.001; Zaman K, 2012, ENERG POLICY, V50, P623, DOI 10.1016/j.enpol.2012.08.003; Zhou SJ, 2013, ENERG POLICY, V61, P394, DOI 10.1016/j.enpol.2013.06.092</t>
  </si>
  <si>
    <t>2662-9984</t>
  </si>
  <si>
    <t>DISCOV SUSTAIN</t>
  </si>
  <si>
    <t>Discov. Sustain.</t>
  </si>
  <si>
    <t>10.1007/s43621-023-00154-6</t>
  </si>
  <si>
    <t>EG4G0</t>
  </si>
  <si>
    <t>WOS:001137749500001</t>
  </si>
  <si>
    <t>Wang, XY; Delina, LL; Matus, K</t>
  </si>
  <si>
    <t>Wang, Xinyi; Delina, Laurence L.; Matus, Kira</t>
  </si>
  <si>
    <t>Living with energy poverty: Uncovering older people's fuel choices in urban China</t>
  </si>
  <si>
    <t>Fuel choices; Energy poverty; Energy culture; Older people; Urban China</t>
  </si>
  <si>
    <t>SOCIAL-SCIENCE RESEARCH; POLITICAL-ECONOMY; AIR-POLLUTION; COOKING; IMPACT; DETERMINANTS; PERSPECTIVES; CONSUMPTION; POPULATION; FRAMEWORK</t>
  </si>
  <si>
    <t>Cities are front-runners and essential actors in the household energy transition from traditional solid to modern non-solid fuels. However, achieving an equitable and just transition in cities presents challenges, particularly for vulnerable populations. Among these vulnerable groups, older people are particularly affected by energy poverty, facing inadequate access to clean and modern energy. Yet, the linkages between their energy poverty and fuel choices remain underexplored, especially in urban areas outside the Global North context. This study focuses on China, a fastest-aging country, and aims to understand why some older people in affluent urban areas continue to burn honeycomb coal briquettes. By analyzing older people's subjective experiences and objective connections to their fuel use, we uncover their lived experiences with energy poverty. We extended the 'Energy Cultures Framework' by including older people's vulnerability attributes alongside their material culture, norms, practices, and external influences. Using semi-structured interviews and participant observations in urban Wuhan, we found two patterns of dirty fuel stacking among older people facing energy poverty: passive and active dirty stacking. Passive dirty stacking is mainly caused by older energy-poor individuals' material culture, external influences, and vulnerability attributes; whereas active dirty stacking is primarily associated with their norms, practices, vulnerability attributes, and related external factors. Our findings provide strong implications for social and energy policy, particularly regarding the characterization of energy poverty, regulatory and infrastructural responses, social justice, grassroots governance, energy literacy, and cultural compatibility.</t>
  </si>
  <si>
    <t>[Wang, Xinyi] Hong Kong Univ Sci &amp; Technol, Div Emerging Interdisciplinary Areas, Kowloon, Clear Water Bay, Hong Kong, Peoples R China; [Delina, Laurence L.; Matus, Kira] Hong Kong Univ Sci &amp; Technol, Div Environm &amp; Sustainabil, Kowloon, Clear Water Bay, Hong Kong, Peoples R China; [Matus, Kira] Hong Kong Univ Sci &amp; Technol, Div Publ Policy, Kowloon, Clear Water Bay, Hong Kong, Peoples R China</t>
  </si>
  <si>
    <t>Hong Kong University of Science &amp; Technology; Hong Kong University of Science &amp; Technology; Hong Kong University of Science &amp; Technology</t>
  </si>
  <si>
    <t>Delina, LL (corresponding author), Hong Kong Univ Sci &amp; Technol, Div Environm &amp; Sustainabil, Kowloon, Clear Water Bay, Hong Kong, Peoples R China.</t>
  </si>
  <si>
    <t>lld@ust.hk</t>
  </si>
  <si>
    <t>; Delina, Laurence/J-7331-2012</t>
  </si>
  <si>
    <t>Matus, Kira/0000-0001-8477-0691; Delina, Laurence/0000-0001-8637-4609</t>
  </si>
  <si>
    <t>Adjei-Mantey K, 2021, ENERG POLICY, V158, DOI 10.1016/j.enpol.2021.112578; Almond D, 2009, AM ECON REV, V99, P184, DOI 10.1257/aer.99.2.184; Andadari RK, 2014, ENERG POLICY, V66, P436, DOI 10.1016/j.enpol.2013.11.021; [Anonymous], 2020, INT ACAD C FRONTIERS; Aung T, 2022, ENERGY RES SOC SCI, V85, DOI 10.1016/j.erss.2021.102432; Rahut DB, 2017, RENEW SUST ENERG REV, V72, P661, DOI 10.1016/j.rser.2017.01.080; Bardazzi R, 2017, ENERG ECON, V65, P161, DOI 10.1016/j.eneco.2017.04.025; Bouzarovski S, 2022, ANTIPODE, V54, P1003, DOI 10.1111/anti.12823; Bouzarovski S, 2015, ENERGY RES SOC SCI, V10, P31, DOI 10.1016/j.erss.2015.06.007; Bozzaro C, 2018, BIOETHICS, V32, P233, DOI 10.1111/bioe.12440; Brocklehurst Hilary, 2008, Br J Nurs, V17, P1354; Bureau of Statistics of Wuhan National Bureau of Statistics, 2022, 2021 STAT B WUH NAT; Caineng Zou, 2018, Natural Gas Industry B, V5, P380, DOI 10.1016/j.ngib.2018.04.010; Castan Broto V., 2020, URBAN TRANSFORM, V2, P11; Cauvain J., 2016, People Place Policy Online, V10, P88, DOI [10.3351/ppp.0010.0001.0007, DOI 10.3351/PPP.0010.0001.0007]; Chan CK, 2008, ATMOS ENVIRON, V42, P1, DOI 10.1016/j.atmosenv.2007.09.003; Chen XL, 2010, BURNS, V36, P861, DOI 10.1016/j.burns.2009.11.003; Culver L., 2017, Energy poverty: What you measure matters; Deng L, 2011, J PLAN LIT, V26, P168, DOI 10.1177/0885412210390220; Ding MY, 2022, TRANSFUSION, V62, pE17, DOI 10.1111/trf.16773; Druica E, 2019, ENERGIES, V12, DOI 10.3390/en12203988; Duan XL, 2014, APPL ENERG, V136, P692, DOI 10.1016/j.apenergy.2014.09.066; Dubois U, 2020, PERSPECTIVES ENERGY, P1; Ergenc C., 2020, SOCIAL RELATIONS POL, P72; Fan JL, 2020, J ENVIRON MANAGE, V269, DOI 10.1016/j.jenvman.2020.110716; Fuller S, 2019, ENERG BUILDINGS, V191, P52, DOI 10.1016/j.enbuild.2019.03.015; Gao Z, 2020, SUSTAINABILITY-BASEL, V12, DOI 10.3390/su12208605; General Office of the State Council of China (GOSC), 2020, GUID COMPR PROM TRAN; González-Eguino M, 2015, RENEW SUST ENERG REV, V47, P377, DOI 10.1016/j.rser.2015.03.013; Goodman P., 2011, Fuel Poverty, Older People and Cold Weather: An All-island Analysis; Government of Wuhan City, 2017, ANN MUN GOV RED PROH; Guo Mowei, 2018, STUDY RESETTLEMENT C; Hepburn C, 2021, ENVIRON SCI ECOTECH, V8, DOI 10.1016/j.ese.2021.100130; Hopkins D, 2014, J TRANSP GEOGR, V38, P88, DOI 10.1016/j.jtrangeo.2014.05.013; Hou BD, 2017, J CLEAN PROD, V142, P538, DOI 10.1016/j.jclepro.2016.05.031; Hou JM, 2022, FRONT PUBLIC HEALTH, V10, DOI 10.3389/fpubh.2022.977958; Hu S, 2017, ENERG BUILDINGS, V148, P366, DOI 10.1016/j.enbuild.2017.03.064; Huang P, 2018, ENERGY RES SOC SCI, V36, P156, DOI 10.1016/j.erss.2017.10.028; Huang Y., 2014, HOUSING INEQUALITY C, P57; Hubei Statistics Bureau, 2021, HUB STAT YB; Jerolmack C, 2014, SOCIOL METHOD RES, V43, P178, DOI 10.1177/0049124114523396; Jessel S, 2019, FRONT PUBLIC HEALTH, V7, DOI 10.3389/fpubh.2019.00357; Johnson OW, 2020, ENERGY RES SOC SCI, V70, DOI 10.1016/j.erss.2020.101774; Klaniecki K, 2020, ENERG POLICY, V137, DOI 10.1016/j.enpol.2019.111092; Kojima M., 2011, The Role of Liquefied Petroleum Gas in Reducing Energy Poverty; Kwan C., 2021, CHALLENGES CHINESE E; Lee MS, 2012, ENVIRON HEALTH-GLOB, V11, DOI 10.1186/1476-069X-11-18; Lei L, 2021, CHINESE SOCIOL REV, V53, P254, DOI 10.1080/21620555.2021.1890010; Li HJ, 2023, ENERGY RES SOC SCI, V97, DOI 10.1016/j.erss.2023.102956; Li N, 2022, SUSTAIN PROD CONSUMP, V32, P393, DOI 10.1016/j.spc.2022.04.029; Li XF, 2022, HUM SOC SCI COMMUN, V9, DOI 10.1057/s41599-022-01276-4; Li YW, 2022, ECOL ECON, V200, DOI 10.1016/j.ecolecon.2022.107515; Lin BQ, 2020, ENERG POLICY, V143, DOI 10.1016/j.enpol.2020.111557; Liu Y, 2020, SCI TOTAL ENVIRON, V703, DOI 10.1016/j.scitotenv.2019.134706; Liu ZG, 2021, J HYPERTENS, V39, P667, DOI 10.1097/HJH.0000000000002689; LOGAN JR, 1993, SOC FORCES, V72, P555, DOI 10.2307/2579861; Mah DNY, 2019, ENERGY RES SOC SCI, V50, P129, DOI 10.1016/j.erss.2018.11.011; Masera OR, 2000, WORLD DEV, V28, P2083, DOI 10.1016/S0305-750X(00)00076-0; McKague Fatima, 2016, New Zealand Sociology, V31, P106, DOI 10.3316/informit.280648257316605; Meyer S, 2018, ENERGY RES SOC SCI, V40, P273, DOI 10.1016/j.erss.2018.01.017; Ministry of Civil Affairs, 2020, CHIN CIV AFF STAT YB; Ministry of Housing and Urban-Rural Development, 2022, Urban and Rural Construction Statistical Yearbook; Mirza B., 2010, NEW MEASUREMENT ENER; Muza O, 2022, ENERGY RES SOC SCI, V89, DOI 10.1016/j.erss.2022.102543; Newell P, 2013, GEOGR J, V179, P132, DOI 10.1111/geoj.12008; Ochieng CA, 2020, ENERGY SUSTAIN DEV, V59, P151, DOI 10.1016/j.esd.2020.10.002; Office of the State Council, 2022, TAB 2020 CHIN POP CE; Özcan KM, 2013, ENERG POLICY, V60, P550, DOI 10.1016/j.enpol.2013.05.046; Pang L., 2022, GAS ACCIDENTS CHINA; Paudel U, 2018, ENERGY, V156, P55, DOI 10.1016/j.energy.2018.05.085; Pike L, 2022, CHINAS EC INEQUALITY; Primc K, 2021, J CLEAN PROD, V301, DOI 10.1016/j.jclepro.2021.127003; Qiu Y, 2019, POPUL ENVIRON, V40, P388, DOI 10.1007/s11111-019-00317-6; Reames TG, 2016, ENERG POLICY, V97, P549, DOI 10.1016/j.enpol.2016.07.048; Robinson C, 2019, GEOFORUM, V104, P222, DOI 10.1016/j.geoforum.2019.05.001; Robinson C, 2019, ANN AM ASSOC GEOGR, V109, P1188, DOI 10.1080/24694452.2018.1562872; Robinson C, 2018, ENERG BUILDINGS, V177, P363, DOI 10.1016/j.enbuild.2018.07.047; Shi WM, 2022, ENVIRON INT, V170, DOI 10.1016/j.envint.2022.107635; Simcock N, 2018, ROU EXPLOR ENERG ST, P1; Singh R.B., 2015, URBAN DEV CHALLENGES; Soltani M, 2019, SUSTAINABILITY-BASEL, V11, DOI 10.3390/su11174775; Sovacool BK, 2015, ENERGY RES SOC SCI, V6, P95, DOI 10.1016/j.erss.2014.12.005; Sovacool BK, 2020, ENERGY RES SOC SCI, V70, DOI 10.1016/j.erss.2020.101617; Sovacool BK, 2014, ENERGY RES SOC SCI, V1, P1, DOI 10.1016/j.erss.2014.02.003; Sovacool BK, 2012, ENERGY SUSTAIN DEV, V16, P272, DOI 10.1016/j.esd.2012.05.006; Stephenson J, 2015, ENERGY RES SOC SCI, V7, P117, DOI 10.1016/j.erss.2015.03.005; Stephenson J, 2010, ENERG POLICY, V38, P6120, DOI 10.1016/j.enpol.2010.05.069; Stern PC, 2017, ENERGY RES SOC SCI, V26, P91, DOI 10.1016/j.erss.2017.01.010; Tang LS, 2017, HABITAT INT, V70, P81, DOI 10.1016/j.habitatint.2017.10.001; Tang X, 2014, ENERGY SUSTAIN DEV, V23, P122, DOI 10.1016/j.esd.2014.08.006; Taylor JR, 2015, J CHIN POLIT SCI, V20, P107, DOI 10.1007/s11366-015-9341-7; Teschner N, 2020, ENERGY RES SOC SCI, V66, DOI 10.1016/j.erss.2020.101502; Nguyen TT, 2019, ENERG POLICY, V132, P536, DOI 10.1016/j.enpol.2019.06.001; United Nations Department of Economic and Social Affairs, 2022, World Population Prospects 2022, DOI DOI 10.18356/13BF5476-EN; Urquiza A, 2019, ENERG BUILDINGS, V204, DOI 10.1016/j.enbuild.2019.109463; van der Kroon B, 2013, RENEW SUST ENERG REV, V20, P504, DOI 10.1016/j.rser.2012.11.045; van der Wal Z., 2017, The 21st century public manager; Wang MQ, 2022, J URBAN AFF, DOI 10.1080/07352166.2022.2139711; Wang Y., 2022, REAL ESTATE WORLD, P48; Wang Y, 2016, ENVIRON POLLUT, V212, P1, DOI 10.1016/j.envpol.2016.01.041; Wang Y, 2016, URBAN BOOK SERIES, P141; World Health Organization, 2021, CAR HLTH ELD CHIN; World Wide Web, 2023, END JAN THER AR 6 79; Wright F, 2004, SOC POLICY ADMIN, V38, P488, DOI 10.1111/j.1467-9515.2004.00403.x; Wu FL, 2022, ANTIPODE, V54, P608, DOI 10.1111/anti.12781; Jing W, 2022, RENEW SUST ENERG REV, V168, DOI 10.1016/j.rser.2022.112873; Wu R, 2019, LAND USE POLICY, V81, P472, DOI 10.1016/j.landusepol.2018.11.019; Wuhan Bureau of Statistics, 2018, WUH STAT YB 2018; Wuhan Civil Affairs Bureau, 2021, CIT MIN LIV STAND GU; Wuhan Municipal Bureau of Statistics, 2021, 4 WUH MUN BUR STAT; Yuan Q, 2019, J TRANSP GEOGR, V74, P242, DOI 10.1016/j.jtrangeo.2018.11.019; Zhang B, 2023, SCI TOTAL ENVIRON, V877, DOI 10.1016/j.scitotenv.2023.162814; Zhang LY, 2022, ENERGY SUSTAIN DEV, V68, P94, DOI 10.1016/j.esd.2022.03.006; Zhang QD, 2021, ENERG ECON, V97, DOI 10.1016/j.eneco.2021.105206; Zhang YX, 2022, J HAZARD MATER, V436, DOI 10.1016/j.jhazmat.2022.129289</t>
  </si>
  <si>
    <t>10.1016/j.erss.2023.103247</t>
  </si>
  <si>
    <t>Q7TK7</t>
  </si>
  <si>
    <t>WOS:001059510000001</t>
  </si>
  <si>
    <t>Pujolras-Noguer, E; Hand, F</t>
  </si>
  <si>
    <t>Pujolras-Noguer, Esther; Hand, Felicity</t>
  </si>
  <si>
    <t>RHIZOMATIC COMMUNITIES Myths of Belonging in the Indian Ocean World</t>
  </si>
  <si>
    <t>KRITIKA KULTURA</t>
  </si>
  <si>
    <t>aesthetics of remembering; belonging; community; Indian Ocean; rhizome; roots</t>
  </si>
  <si>
    <t>This special issue, Rhizomatic Communities: Myths of Belonging in the Indian Ocean World, seeks to dismantle the myth of belonging which intrudes in identity constructions and, simultaneously, enhances the in-betweenness that defines a rhizomatic understanding of historical, socio-cultural and national affiliations in the Indian Ocean. The texts we explore here express the need to belong but they also highlight the fact that there is no unilateral sense of belonging. This special issue is formulated upon the theoretical paradigm of the aesthetics of remembering, a theoretical tool that studies postcolonial expressions of selfhood through three axes: empathy, identification and mourning. The recognition of a deep-seated communal self is a key factor in the functionality of our aesthetics of remembering which brings to the fore the rhizomatic nature of Indian Ocean culture. As an alternative to the tree-like construction of knowledge that has defined Western philosophy, the rhizome, as presented by Gilles Deleuze and F &amp; eacute;lix Guattari in A Thousand Plateaus, advocates for a planar, horizontal, non-hierarchical model of thinking in continuous expansion. We have proposed an innovative study of contemporary Indian Ocean literature in English that combines former critical appreciations of the area as a porous, flexible and permeable space with our more recent aesthetics of remembering which envisions the space as a rhizomatic community expanding its roots in a trans-oceanic manner. Therefore, we claim that the authors discussed in this volume rhizomatic narrations that connect worlds spatially and temporally through acts of empathy and mourning performances.</t>
  </si>
  <si>
    <t>[Pujolras-Noguer, Esther] Univ Lleida, Postcolonial Literature, Lleida, Spain; [Hand, Felicity] Univ Autonoma Barcelona, English Dept, Barcelona, Spain</t>
  </si>
  <si>
    <t>Universitat de Lleida; Autonomous University of Barcelona</t>
  </si>
  <si>
    <t>Pujolras-Noguer, E (corresponding author), Univ Lleida, Postcolonial Literature, Lleida, Spain.</t>
  </si>
  <si>
    <t>esther.pujolras@udl.cat; felicity.hand@uab.cat</t>
  </si>
  <si>
    <t>Hand, Felicity/N-2613-2014</t>
  </si>
  <si>
    <t>Hand, Felicity/0000-0002-3766-6266</t>
  </si>
  <si>
    <t>Deleuze G., 1988, A Thousand Plateaus: Capitalism and Schizophrenia, V5th ed.; Hand Felicity, 2018, Relations and Networks in South African Indian Writing; Holland Eugene W., 2013, Deleuze and Guattari's A' Thousand Plateaus': A Reader's Guide; Kearney Milo., 2004, The Indian Ocean in world history; Moorthy Shanti., 2010, Indian Ocean Studies; Pujolras-Noguer Esther, 2021, Revista Canaria de Estudios Ingleses, P13, DOI [10.25145/j.recaesin.2021.82.02, DOI 10.25145/J.RECAESIN.2021.82.02]; Simpson E., 2007, Struggling with history: Islam and cosmopolitanism in the Western Indian Ocean; Vink MPM, 2007, J GLOBAL HIST, V2, P41, DOI 10.1017/S1740022807002033</t>
  </si>
  <si>
    <t>ATENEO DE MANILA UNIV</t>
  </si>
  <si>
    <t>QUEZON CITY</t>
  </si>
  <si>
    <t>SCH HUMANITIES, DEPT ENGLISH, LOYOLA HEIGHTS, QUEZON CITY, 1108, PHILIPPINES</t>
  </si>
  <si>
    <t>2094-6937</t>
  </si>
  <si>
    <t>KRIT KULT</t>
  </si>
  <si>
    <t>Krit. Kult.</t>
  </si>
  <si>
    <t>Language &amp; Linguistics; Literature</t>
  </si>
  <si>
    <t>Linguistics; Literature</t>
  </si>
  <si>
    <t>WF8Z7</t>
  </si>
  <si>
    <t>WOS:001253560000006</t>
  </si>
  <si>
    <t>Muelbert, MMC; Copertino, M; da Cunha, LC; Lewis, MN; Polejack, A; Peña-Puch, AD; Rivera-Arriaga, E</t>
  </si>
  <si>
    <t>Muelbert, Monica M. C.; Copertino, Margareth; da Cunha, Leticia Cotrim; Lewis, Mirtha Noemi; Polejack, Andrei; Pena-Puch, Angelina del Carmen; Rivera-Arriaga, Evelia</t>
  </si>
  <si>
    <t>The Ocean and Cryosphere in a Changing Climate in Latin America: Knowledge Gaps and the Urgency to Translate Science Into Action</t>
  </si>
  <si>
    <t>FRONTIERS IN CLIMATE</t>
  </si>
  <si>
    <t>climate change; SROCC; local knowledge; policy makers; Latin America</t>
  </si>
  <si>
    <t>DRAKE PASSAGE; OBSERVING SYSTEM; RESEARCH NETWORK; COASTAL; IMPACTS; ACIDIFICATION; DIPLOMACY; POLICY</t>
  </si>
  <si>
    <t>Climate Change hazards to social-ecological systems are well-documented and the time to act is now. The IPCC-SROCC used the best available scientific knowledge to identify paths for effective adaptation and mitigation of climate change impacts on the ocean and cryosphere. Despite all the evidence highlighted by SROCC and the key role of the ocean and cryosphere for climate change at all levels, Latin America (LA) faces challenges to take effective action mostly due to socio-economic vulnerability, political instability and overall technical capacities. Countries have adopted diverse actions as the information needed by policy makers has been made available, not necessarily in accessible and inclusive ways. Regional imbalance in economic development, technological level, capacity development, societal involvement, and governmental oversight have contributed to skewed geographical and technological gaps of knowledge on key ecosystems and specific areas preventing effective climate actions/solutions. We analyze the Nationally Determined Contributions (NDCs) from the region as proxies to the incorporation of IPCC recommendations. The gaps and opportunities for the uptake of ocean and climate science to political decision making is discussed as five key aspects: (i) climate assessment information and regional policies, (ii) knowledge production, (iii) knowledge accessibility, (iv) knowledge impact to policy, and (v) long term monitoring for decision making. We advocate that the uptake of SROCC findings in LA policies can be enhanced by: (a) embracing local realities and incorporating local, traditional and indigenous knowledge; (b) empowering locals to convey local knowledge to global assessments and adapt findings to local realities; (c) enhancing regional research capabilities; and (d) securing long-term sustainable ocean observations. Local and regional participation in knowledge production and provision enhances communication pathways, climate literacy and engagement which are key for effective action to be reflected in governance. Currently, the lack of accessible and inclusive information at the local level hampers the overall understanding, integration and engagement of the society to mitigate climate effects, perpetuates regional heterogeneity and threatens the efforts to reverse the course of climate change in LA. Local researchers should be empowered, encouraged, rewarded and better included in global climate-ocean scientific assessments.</t>
  </si>
  <si>
    <t>[Muelbert, Monica M. C.] Univ Fed Sao Paulo UNIFESP, Inst Mar, Santos, Brazil; [Muelbert, Monica M. C.; Copertino, Margareth] Univ Fed Rio Grande FURG, Inst Oceanog, Rio Grande, Brazil; [Copertino, Margareth; da Cunha, Leticia Cotrim] Brazilian Network Global Climate Change Res Rede C, Sao Jose Dos Campos, Brazil; [da Cunha, Leticia Cotrim] Univ Estado Rio de Janeiro UERJ, Programa Posgrad Oceanog, Fac Oceanog, Rio De Janeiro, Brazil; [Lewis, Mirtha Noemi] Consejo Nacl Invest Cient &amp; Tecn CONICET, Buenos Aires, Argentina; [Lewis, Mirtha Noemi] Consejo Nacl Invest Cient &amp; Tecn, Ctr Estudio Sistemas Marinos CESIMAR, Ctr Nacl Patagon CENPAT, Buenos Aires, Argentina; [Lewis, Mirtha Noemi] Ctr Invest &amp; Transferencia Golfo San Jorge, Comodoro Rivadavia, Argentina; [Polejack, Andrei] World Maritime Univ WMU, Sasakawa Global Ocean Inst, Malmo, Sweden; [Polejack, Andrei] Minist Ciencia Tecnol &amp; Inovacoes, Brasilia, Brazil; [Pena-Puch, Angelina del Carmen; Rivera-Arriaga, Evelia] Univ Autonoma Campeche, Inst Ecol Pesquerias &amp; Oceanog Golfo Mexico EPOMEX, Campeche, Mexico</t>
  </si>
  <si>
    <t>Universidade Federal de Sao Paulo (UNIFESP); Universidade Federal do Rio Grande; Universidade do Estado do Rio de Janeiro; Consejo Nacional de Investigaciones Cientificas y Tecnicas (CONICET); Centro Nacional Patagonico (CENPAT); Consejo Nacional de Investigaciones Cientificas y Tecnicas (CONICET)</t>
  </si>
  <si>
    <t>Muelbert, MMC (corresponding author), Univ Fed Sao Paulo UNIFESP, Inst Mar, Santos, Brazil.;Muelbert, MMC (corresponding author), Univ Fed Rio Grande FURG, Inst Oceanog, Rio Grande, Brazil.</t>
  </si>
  <si>
    <t>monica.muelbert@unifesp.br</t>
  </si>
  <si>
    <t>Cotrim da Cunha, Leticia/F-5732-2010; Copertino, Margareth/C-9893-2013</t>
  </si>
  <si>
    <t>Cotrim da Cunha, Leticia/0000-0001-8035-1430; Lewis, Mirtha/0000-0001-6262-6226; Copertino, Margareth/0000-0001-5771-829X; Polejack, Andrei/0000-0002-3549-0869</t>
  </si>
  <si>
    <t>Integrated Oceanography and Multiple Uses of the Continental Shelf; Adjacent Ocean Integrated Center of Oceanography (INCT-Mar COI, CNPq) [565062/2010-7]</t>
  </si>
  <si>
    <t>Integrated Oceanography and Multiple Uses of the Continental Shelf; Adjacent Ocean Integrated Center of Oceanography (INCT-Mar COI, CNPq)(Conselho Nacional de Desenvolvimento Cientifico e Tecnologico (CNPQ)Fundacao de Apoio a Pesquisa do Distrito Federal (FAPDF))</t>
  </si>
  <si>
    <t>MMCM received funding from the Integrated Oceanography and Multiple Uses of the Continental Shelf and the Adjacent Ocean Integrated Center of Oceanography (INCT-Mar COI, CNPq, Proc. 565062/2010-7).</t>
  </si>
  <si>
    <t>Abram N., 2019, IPCC Special Report on the Ocean and Cryosphere in a Changing Climate, P73, DOI DOI 10.1017/9781009157964.003; Alves F, 2020, ENVIRON SCI POLICY, V104, P190, DOI 10.1016/j.envsci.2019.12.001; Angulo E, 2021, SCI TOTAL ENVIRON, V775, DOI 10.1016/j.scitotenv.2020.144441; [Anonymous], 2010, GUIDANCE NOTE LEAD A; Araujo M, 2019, CURR OPIN ENV SUST, V39, P62, DOI 10.1016/j.cosust.2019.08.005; Arico S., 2020, GLOBAL OCEAN SCI REP; Aspesi C, 2020, SCIENCE, V368, P574, DOI 10.1126/science.aba3763; Bindoff N.L., 2019, IPCC Special Report on the Ocean and Cryosphere in a Changing Climate, DOI DOI 10.1017/9781009157964.007; Borja A, 2020, FRONT MAR SCI, V6, DOI 10.3389/fmars.2019.00837; Bourlès B, 2019, EARTH SPACE SCI, V6, P577, DOI 10.1029/2018EA000428; Breitburg D, 2018, SCIENCE, V359, P46, DOI 10.1126/science.aam7240; Cairney P, 2016, The politics of evidencebased policy making; Castree N, 2014, NAT CLIM CHANGE, V4, P763, DOI 10.1038/NCLIMATE2339; Custer S., 2018, Listening to Leaders 2018: Is development cooperation tuned-in or tone-deaf?; Duarte CM, 2013, ESTUAR COAST, V36, P221, DOI 10.1007/s12237-013-9594-3; Economic Commission for Latin America and the Caribbean (ECLAC), 2021, Social Panorama of Latin America, Santiago (LC/PUB.2021/17-P)2022; England MH, 2017, J CLIMATE, V30, P5775, DOI 10.1175/JCLI-D-15-0554.1; Fennel K, 2019, FRONT MAR SCI, V6, DOI 10.3389/fmars.2019.00089; Fernandez-Arias E., 2021, Background Paper for the UNDP LAC Regional Human Development Report 2021; Foltz GR, 2019, FRONT MAR SCI, V6, DOI 10.3389/fmars.2019.00206; Ford J, 2016, CLIMATIC CHANGE, V139, P429, DOI 10.1007/s10584-016-1820-0; Freire GermanNicolas., 2015, INDIGENOUS LATIN AM; FUNTOWICZ SO, 1993, FUTURES, V25, P739, DOI 10.1016/0016-3287(93)90022-L; Garteizgogeascoa M, 2020, FRONT MAR SCI, V7, DOI 10.3389/fmars.2020.557181; Gibbs MT, 2015, CLIM RISK MANAG, V8, P1, DOI 10.1016/j.crm.2015.05.001; Gluckman P., 2016, SCI ADVICE GOVT EMER, V5, P1; Gluckman P, 2016, SCIENCE, V353, P969, DOI 10.1126/science.aai8837; Haasnoot M, 2015, ENVIRON RES LETT, V10, DOI 10.1088/1748-9326/10/10/105008; Howells M, 2013, NAT CLIM CHANGE, V3, P621, DOI [10.1038/nclimate1789, 10.1038/NCLIMATE1789]; Huntington HP, 2011, NATURE, V478, P182, DOI 10.1038/478182a; IPCC, 2019, IPCC SPECIAL REPORT, DOI [10.1017/CBO9781107415324.024, DOI 10.1017/CBO9781107415324]; Keskitalo C., 2016, CONNECTING MULTIPLE, VCapacity, P69; Klein R. J., 1999, MITIG ADAPT STRAT GL, V4, P239, DOI [10.1023/A:1009681207419, DOI 10.1023/A:1009681207419]; Klein RJT, 2001, J COASTAL RES, V17, P531; Lavrillier A., 2018, Etudes Mongoles Et Siberiennes, Centrasiatiques Et Tibetaines, DOI DOI 10.4000/EMSCAT.3280; Leatherman S.P, 2001, INT GEOPHYS, V75, P181, DOI DOI 10.1016/S0074-6142(01)80011-5; Liu SY, 2020, SCI COLD ARID REG, V12, P343, DOI 10.3724/SP.J.1226.2020.00343; Livermore R, 2007, GEOCHEM GEOPHY GEOSY, V8, DOI 10.1029/2005GC001224; Malone T, 2010, PROCEDIA ENVIRON SCI, V1, P324, DOI 10.1016/j.proenv.2010.09.021; Meadowcroft J., 2009, policy research working paper 4941; Meredith M., 2019, IPCC special report on the ocean and cryosphere in a changing climate; Miloslavich P, 2011, PLOS ONE, V6, DOI 10.1371/journal.pone.0014631; Mingle J, 2020, NEW YORK REV BOOKS, V67, P49; Muelbert JH, 2019, FRONT MAR SCI, V6, DOI 10.3389/fmars.2019.00527; Nakashima DJ., 2012, WEARING UNCERTAIN; Nicholls R.J., 1995, GEOJOURNAL, V37, P369; Nicholls RJ., 2010, UNDERSTANDING SEA LE, P17; Obermeister N, 2017, ENVIRON SCI POLICY, V68, P80, DOI 10.1016/j.envsci.2016.11.010; Oliver K, 2019, PALGR COMMUN, V5, DOI 10.1057/s41599-019-0232-y; Parkhurst J., 2017, The politics of evidence: from evidence-based policy to the good governance of evidence, DOI DOI 10.4324/9781315675008; Pecl GT, 2017, SCIENCE, V355, DOI 10.1126/science.aai9214; Polejack Andrei, 2021, Front Res Metr Anal, V6, P637127, DOI 10.3389/frma.2021.637127; Polejack A, 2021, FRONT MAR SCI, V8, DOI 10.3389/fmars.2021.664066; Polejack A, 2021, HUM SOC SCI COMMUN, V8, DOI 10.1057/s41599-021-00729-6; Ramírez F, 2017, SCI ADV, V3, DOI 10.1126/sciadv.1601198; Reid PC, 2009, ADV MAR BIOL, V56, P1, DOI 10.1016/S0065-2881(09)56001-4; Ruffini PB, 2018, GLOB POLICY, V9, P73, DOI 10.1111/1758-5899.12588; Ryabinin V, 2019, FRONT MAR SCI, V6, DOI 10.3389/fmars.2019.00470; Safford H, 2019, NATURE, V572, P681, DOI 10.1038/d41586-019-02372-3; Salpin C, 2018, MAR POLICY, V95, P363, DOI 10.1016/j.marpol.2016.07.019; Saltelli A, 2020, ENVIRON SCI POLICY, V106, P87, DOI 10.1016/j.envsci.2020.01.008; Santoro F., 2017, Ocean Literacy for All - A toolkit, IOC/UNESCO UNESCO Venice Office; Savo V, 2016, NAT CLIM CHANGE, V6, P462, DOI [10.1038/NCLIMATE2958, 10.1038/nclimate2958]; Schanze JJ, 2010, J MAR RES, V68, P569, DOI 10.1357/002224010794657164; Scher HD, 2006, SCIENCE, V312, P428, DOI 10.1126/science.1120044; Sieber J., 1991, SHARING SOCIAL SCI D, DOI [10.4135/9781483325620, DOI 10.4135/9781483325620]; Sijp WP, 2004, J PHYS OCEANOGR, V34, P1254, DOI 10.1175/1520-0485(2004)034&lt;1254:EOTDPT&gt;2.0.CO;2; Silva R, 2014, J COASTAL RES, P1, DOI 10.2112/SI71-001.1; Sloyan BM, 2019, FRONT MAR SCI, V6, DOI 10.3389/fmars.2019.00449; Smith N, 2019, FRONT MAR SCI, V6, DOI 10.3389/fmars.2019.00031; Soler, 2021, FRONTIERS RES METRIC, V6, P17, DOI DOI 10.3389/FRMA.2021.670001; Spalding M, 2017, MAR POLICY, V82, P104, DOI 10.1016/j.marpol.2017.05.014; Speich S, 2019, FRONT MAR SCI, V6, DOI 10.3389/fmars.2019.00570; Talia M, 2021, INT J PUBLIC THEOL, V15, P595, DOI 10.1163/15697320-01; Turk D, 2019, FRONT MAR SCI, V6, DOI 10.3389/fmars.2019.00091; Turra A, 2013, GLOBAL CHANGE BIOL, V19, P1965, DOI 10.1111/gcb.12186; UNDP, 2021, REG HUM DEV REP LAT; UNEP, 2011, INT PLATF BIOD EC SE; Vasileiadou E, 2011, ENVIRON SCI POLICY, V14, P1052, DOI 10.1016/j.envsci.2011.07.002; Viebahn JP, 2016, PALEOCEANOGRAPHY, V31, P564, DOI 10.1002/2015PA002888; Yang S, 2014, CLIM DYNAM, V43, P37, DOI 10.1007/s00382-013-1809-6</t>
  </si>
  <si>
    <t>2624-9553</t>
  </si>
  <si>
    <t>FRONT CLIM</t>
  </si>
  <si>
    <t>Front. Clim.</t>
  </si>
  <si>
    <t>10.3389/fclim.2021.748344</t>
  </si>
  <si>
    <t>Environmental Sciences; Environmental Studies</t>
  </si>
  <si>
    <t>L2TW8</t>
  </si>
  <si>
    <t>WOS:001021845100001</t>
  </si>
  <si>
    <t>Huang, YQ; Gao, LJ</t>
  </si>
  <si>
    <t>Huang, Yuqiao; Gao, Linjie</t>
  </si>
  <si>
    <t>Influence mechanism of commuter's low-carbon literacy on the intention of mode choice: a case study in Shanghai, China</t>
  </si>
  <si>
    <t>INTERNATIONAL JOURNAL OF SUSTAINABLE TRANSPORTATION</t>
  </si>
  <si>
    <t>Commuter travel intention; low-carbon literacy (LCL); low-carbon transportation; PLS-SEM</t>
  </si>
  <si>
    <t>BEHAVIORAL INTENTION; ENERGY LITERACY; SUSTAINABLE INNOVATIONS; PUBLIC TRANSPORTATION; PSYCHOLOGICAL-FACTORS; PLANNED BEHAVIOR; EXTENDED THEORY; TRAVEL MODES; PLS-SEM; AWARENESS</t>
  </si>
  <si>
    <t>Predicting the intention of mode choice is indispensable for policymakers to develop sustainable transportation in large cities. This paper constructs a conceptual framework and tests it in the travel mode sector to investigate the influence mechanism between commuter's low-carbon literacy and intention of mode choice. Commuter's low-carbon literacy (LCL) was assessed through four critical attributes: low-carbon knowledge (LCK), low-carbon awareness (LCAW), low-carbon habits (LCH) and low-carbon affection (LCAF). Based on a questionnaire survey in Shanghai, empirical evidence was concluded using the Structural Equation Model of Partial Least Square (PLS-SEM). The results of this study are as follows: (1) low-carbon knowledge, habits and affection have direct influences on commuter's intention of mode choice, whereas low-carbon awareness influences commuter's intention through these three low-carbon attributes indirectly; (2) low-carbon affection has the highest impact rating on the intention of mode choice in both performance and importance; (3) commuting trips are less closely associated with the influence of low-carbon literacy than other trips. These findings have several implications for transportation demand management and are beneficial for urban trip structure optimization.</t>
  </si>
  <si>
    <t>[Huang, Yuqiao; Gao, Linjie] Shanghai Jiao Tong Univ, Sch Naval Architecture Ocean &amp; Civil Engn, Shanghai 200240, Peoples R China; [Huang, Yuqiao; Gao, Linjie] Shanghai Jiao Tong Univ, China Inst Urban Governance, Shanghai, Peoples R China</t>
  </si>
  <si>
    <t>Shanghai Jiao Tong University; Shanghai Jiao Tong University</t>
  </si>
  <si>
    <t>Gao, LJ (corresponding author), Shanghai Jiao Tong Univ, Sch Naval Architecture Ocean &amp; Civil Engn, Shanghai 200240, Peoples R China.</t>
  </si>
  <si>
    <t>ljgao@sjtu.edu.cn</t>
  </si>
  <si>
    <t>Gao, Linjie/ABE-8942-2021</t>
  </si>
  <si>
    <t>Gao, Linjie/0000-0001-7429-8135</t>
  </si>
  <si>
    <t>National Natural Science Foundation of China [51478266]</t>
  </si>
  <si>
    <t>This work was supported by the [National Natural Science Foundation of China] under Grant [number 51478266].</t>
  </si>
  <si>
    <t>Aarts H, 1997, ACTA PSYCHOL, V96, P1, DOI 10.1016/S0001-6918(97)00008-5; AJZEN I, 1991, ORGAN BEHAV HUM DEC, V50, P179, DOI 10.1016/0749-5978(91)90020-T; Ajzen I., 2000, Eur. Rev. Soc. Psychol, V11, P1, DOI DOI 10.1080/14792779943000116; Bai Y, 2013, ENERG POLICY, V61, P1261, DOI 10.1016/j.enpol.2013.06.014; Bamberg S, 2007, J ENVIRON PSYCHOL, V27, P190, DOI 10.1016/j.jenvp.2007.04.001; Barr S, 2005, ENERG POLICY, V33, P1425, DOI 10.1016/j.enpol.2003.12.016; Blackman L, 2013, BODY SOC, V19, P186, DOI 10.1177/1357034X12472546; Brounen D, 2013, ENERG ECON, V38, P42, DOI 10.1016/j.eneco.2013.02.008; Cai SJ, 2019, J CLEAN PROD, V212, P602, DOI 10.1016/j.jclepro.2018.12.072; Chen SJ, 2015, ENERG EFFIC, V8, P791, DOI 10.1007/s12053-015-9327-5; Chen WD, 2019, SCI TOTAL ENVIRON, V683, P729, DOI 10.1016/j.scitotenv.2019.05.307; Chin WW, 1998, MIS QUART, V22, pVII; Chunjou M., 2013, 2013 7 INT C COMPL I; Collins CM, 2005, ENVIRON BEHAV, V37, P640, DOI 10.1177/0013916504265440; De Pelsmacker P, 2007, ACCIDENT ANAL PREV, V39, P6, DOI 10.1016/j.aap.2006.05.011; DeWaters J, 2013, J ENVIRON EDUC, V44, P56, DOI 10.1080/00958964.2012.682615; DeWaters JE, 2011, ENERG POLICY, V39, P1699, DOI 10.1016/j.enpol.2010.12.049; Donald IJ, 2014, J ENVIRON PSYCHOL, V40, P39, DOI 10.1016/j.jenvp.2014.03.003; Du HB, 2018, TRANSPORT RES F-TRAF, V58, P56, DOI 10.1016/j.trf.2018.05.008; Dunlap RE, 2008, J ENVIRON EDUC, V40, P3, DOI 10.3200/JOEE.40.1.3-18; Dwyer L, 2009, TOURISM MANAGE, V30, P63, DOI 10.1016/j.tourman.2008.04.002; Eriksson L, 2011, TRANSPORT RES D-TR E, V16, P372, DOI 10.1016/j.trd.2011.02.003; Friedrichsmeier T, 2013, TRANSPORT RES F-TRAF, V16, P1, DOI 10.1016/j.trf.2012.08.008; Gao YE, 2018, TRANSPORT RES F-TRAF, V56, P46, DOI 10.1016/j.trf.2018.03.029; Gollwitzer PM., 1993, EUR REV SOC PSYCHOL, V4, P141, DOI DOI 10.1080/14792779343000059; Hair JF, 2012, J ACAD MARKET SCI, V40, P414, DOI 10.1007/s11747-011-0261-6; Hair JF, 2011, J MARKET THEORY PRAC, V19, P139, DOI 10.2753/MTP1069-6679190202; Hair JF, 2014, EUR BUS REV, V26, P106, DOI 10.1108/EBR-10-2013-0128; Hair JF, 2019, EUR BUS REV, V31, P2, DOI 10.1108/EBR-11-2018-0203; Han SS, 2020, J TRANSP GEOGR, V86, DOI 10.1016/j.jtrangeo.2020.102782; Handy S, 2005, TRANSPORT RES D-TR E, V10, P427, DOI 10.1016/j.trd.2005.05.002; He LY, 2016, ENERG POLICY, V97, P267, DOI 10.1016/j.enpol.2016.07.037; Henseler J, 2015, J ACAD MARKET SCI, V43, P115, DOI 10.1007/s11747-014-0403-8; Hinkin TR, 1998, ORGAN RES METHODS, V1, P104, DOI 10.1177/109442819800100106; Van HT, 2014, TRANSPORT RES A-POL, V69, P36, DOI 10.1016/j.tra.2014.08.008; Horng JS, 2013, TOURISM MANAGE, V35, P255, DOI 10.1016/j.tourman.2012.08.001; Hu XS, 2016, IEEE T CONTR SYST T, V24, P1036, DOI 10.1109/TCST.2015.2476799; Hunecke M, 2010, ENVIRON BEHAV, V42, P3, DOI 10.1177/0013916508319587; Iosifidi M, 2016, ECOL ECON, V129, P1, DOI 10.1016/j.ecolecon.2016.05.007; Jia N, 2018, TRANSPORT RES A-POL, V111, P108, DOI 10.1016/j.tra.2018.03.010; Jiang X, 2020, J CLEAN PROD, V246, DOI 10.1016/j.jclepro.2019.119069; Kaffashi S, 2019, J CLEAN PROD, V235, P1255, DOI 10.1016/j.jclepro.2019.07.047; Kang AS, 2019, TRANSPORT RES F-TRAF, V62, P505, DOI 10.1016/j.trf.2019.02.005; Lee LS, 2015, ENERG POLICY, V76, P98, DOI 10.1016/j.enpol.2014.11.012; Li FY, 2019, ENERGY, V174, P562, DOI 10.1016/j.energy.2019.02.179; Li L, 2010, ENERG POLICY, V38, P4797, DOI 10.1016/j.enpol.2009.08.048; Li X, 2019, ENERG POLICY, V133, DOI 10.1016/j.enpol.2019.110913; Liu DY, 2017, TRANSPORT RES A-POL, V105, P42, DOI 10.1016/j.tra.2017.08.004; Marcinkowski TJ, 2009, J ENVIRON EDUC, V41, P34, DOI 10.1080/00958960903210015; Mi L., 2013, ASIAN J BUSINESS RES, V2; Murtagh N, 2012, J ENVIRON PSYCHOL, V32, P318, DOI 10.1016/j.jenvp.2012.05.008; Ni AN, 2020, TRANSPORT POLICY, V94, P54, DOI 10.1016/j.tranpol.2020.04.014; Noppers EH, 2015, J ENVIRON PSYCHOL, V44, P74, DOI 10.1016/j.jenvp.2015.09.002; Noppers EH, 2014, GLOBAL ENVIRON CHANG, V25, P52, DOI 10.1016/j.gloenvcha.2014.01.012; Ramezani S, 2018, TRANSPORTATION, V45, P1351, DOI 10.1007/s11116-017-9767-1; Ringle C.M., 2015, SMARTPLS 3, DOI DOI 10.1037/0003-066X.55.1.68; SCHAHN J, 1990, ENVIRON BEHAV, V22, P767, DOI 10.1177/0013916590226003; Schwanen T, 2012, J TRANSP GEOGR, V24, P522, DOI 10.1016/j.jtrangeo.2012.06.003; Stark J, 2018, TRANSPORT RES F-TRAF, V55, P389, DOI 10.1016/j.trf.2018.03.017; Steg L, 2005, J ENVIRON PSYCHOL, V25, P415, DOI 10.1016/j.jenvp.2005.08.003; Stern PC, 2000, J SOC ISSUES, V56, P407, DOI 10.1111/0022-4537.00175; Tenenhaus M, 2005, COMPUT STAT DATA AN, V48, P159, DOI 10.1016/j.csda.2004.03.005; Teo TSH, 2008, J MANAGE INFORM SYST, V25, P99, DOI 10.2753/MIS0742-1222250303; Urbach N., 2010, Journal of Information Technology Theory and Application (JITTA), V11, P2; Wei J, 2016, ENERG POLICY, V98, P343, DOI 10.1016/j.enpol.2016.09.004; Zhang JF, 2020, J CLEAN PROD, V271, DOI 10.1016/j.jclepro.2020.122429; Zhang LL, 2020, J TRANSP GEOGR, V85, DOI 10.1016/j.jtrangeo.2020.102733; Zografakis N, 2008, ENERG POLICY, V36, P3226, DOI 10.1016/j.enpol.2008.04.021</t>
  </si>
  <si>
    <t>1556-8318</t>
  </si>
  <si>
    <t>1556-8334</t>
  </si>
  <si>
    <t>INT J SUSTAIN TRANSP</t>
  </si>
  <si>
    <t>Int. J. Sustain. Transp.</t>
  </si>
  <si>
    <t>DEC 7</t>
  </si>
  <si>
    <t>10.1080/15568318.2021.1975325</t>
  </si>
  <si>
    <t>Green &amp; Sustainable Science &amp; Technology; Environmental Studies; Transportation</t>
  </si>
  <si>
    <t>Science &amp; Technology - Other Topics; Environmental Sciences &amp; Ecology; Transportation</t>
  </si>
  <si>
    <t>6U3DI</t>
  </si>
  <si>
    <t>WOS:000695032500001</t>
  </si>
  <si>
    <t>Bohdanowicz, Z; Kowalski, J; Kobylinski, P</t>
  </si>
  <si>
    <t>Biele, C; Kacprzyk, J; Kopec, W; Owsinski, JW; Romanowski, A; Sikorski, M</t>
  </si>
  <si>
    <t>Bohdanowicz, Zbigniew; Kowalski, Jaroslaw; Kobylinski, Pawel</t>
  </si>
  <si>
    <t>Engaging Electricity Users in Italy, Denmark, Spain, and France in Demand-Side Management Solutions</t>
  </si>
  <si>
    <t>DIGITAL INTERACTION AND MACHINE INTELLIGENCE, MIDI 2021</t>
  </si>
  <si>
    <t>Lecture Notes in Networks and Systems</t>
  </si>
  <si>
    <t>9th Machine Intelligence and Digital Interaction Conference (MIDI)</t>
  </si>
  <si>
    <t>DEC 09-10, 2021</t>
  </si>
  <si>
    <t>Warsaw, POLAND</t>
  </si>
  <si>
    <t>Energy usage flexibility; Demand response; Energy saving; User engagement; Motivations; Smart grid solutions</t>
  </si>
  <si>
    <t>This paper presents the process of uncovering the motivations and barriers for adopting innovative solutions to increase the flexibility of electricity demand among individual consumers. Currently, efforts are being made to decarbonize electricity production with distributed solar and wind renewable energy installations. Such a shift in energy production also requires significant changes on the consumption side, in particular making demand more flexible to match the current situation in the power grid. The challenge in designing demand-side solutions is to accurately identify the needs of individual users so that they are motivated to take advantage of new solutions. Using data from a quantitative survey of electricity consumers in four countries (Italy, Denmark, Spain, France) on energy literacy, values and attitudes towards energy saving and technology, a cluster analysis was carried out which identified five types of electricity users. The segments defined in this way were the basis for conducting qualitative creative workshops with experts dealing with modern solutions in the field of energy and with individual electricity users. Subsequently, this information was supplemented with theoretical knowledge from the field of economic psychology regarding decision making, cognitive processes and motivation. This method allowed, already at the early stage of innovation design, to identify motivations and barriers specific to individual groups of users. The designers of innovative solutions received valuable clues as to how new technologies should be designed in order to ensure that they are well aligned with the habits, needs and rhythm of daily routines of the users.</t>
  </si>
  <si>
    <t>[Bohdanowicz, Zbigniew; Kowalski, Jaroslaw; Kobylinski, Pawel] Natl Informat Proc Inst, Warsaw, Poland</t>
  </si>
  <si>
    <t>Information Processing Center - National Research Institute</t>
  </si>
  <si>
    <t>Bohdanowicz, Z (corresponding author), Natl Informat Proc Inst, Warsaw, Poland.</t>
  </si>
  <si>
    <t>zbigniew.bohdanowicz@opi.org.pl</t>
  </si>
  <si>
    <t>Kowalski, Jaroslaw/HDN-3441-2022</t>
  </si>
  <si>
    <t>Kowalski, Jaroslaw/0000-0002-1127-2832; Bohdanowicz, Zbigniew/0000-0002-5430-0485</t>
  </si>
  <si>
    <t>European Commission [864283]</t>
  </si>
  <si>
    <t>European Commission(European Union (EU)European Commission Joint Research Centre)</t>
  </si>
  <si>
    <t>This work emanated from research conducted with the financial support of the European Commission through the H2020 project, ebalance+ (Grant Agreement 864283).</t>
  </si>
  <si>
    <t>Brown D, 2019, ENERG POLICY, V135, DOI 10.1016/j.enpol.2019.110984; Christensen TH, 2020, ENERG POLICY, V137, DOI 10.1016/j.enpol.2019.111142; Guerassimoff G, 2015, ENERG BUILDINGS, V104, P14, DOI 10.1016/j.enbuild.2015.06.080; Halpern D, 2016, Inside the Nudge Unit: How Small Changes Can Make a Big Difference; Jamasb T, 2019, ECON ENERGY ENV POL, V8, P27, DOI 10.5547/2160-5890.8.2.tjam; Jones RV, 2015, RENEW SUST ENERG REV, V43, P901, DOI 10.1016/j.rser.2014.11.084; Kowalski J, 2019, INT J MANAG ECON, V55, P13, DOI 10.2478/ijme-2019-0002; Masson-Delmotte V., 2021, AR6 IPCC; Verbong GPJ, 2013, ENERG POLICY, V52, P117, DOI 10.1016/j.enpol.2012.05.003; Warren P, 2019, ECON ENERGY ENV POL, V8, P119, DOI 10.5547/2160-5890.8.1.pwar; Wilson C, 2017, ENERG POLICY, V103, P72, DOI 10.1016/j.enpol.2016.12.047</t>
  </si>
  <si>
    <t>2367-3370</t>
  </si>
  <si>
    <t>2367-3389</t>
  </si>
  <si>
    <t>978-3-031-11432-8; 978-3-031-11431-1</t>
  </si>
  <si>
    <t>LECT NOTE NETW SYST</t>
  </si>
  <si>
    <t>10.1007/978-3-031-11432-8_17</t>
  </si>
  <si>
    <t>BU3OQ</t>
  </si>
  <si>
    <t>WOS:000892355400017</t>
  </si>
  <si>
    <t>Bottero, M; Cavana, G; Dell'Anna, F</t>
  </si>
  <si>
    <t>Bottero, Marta; Cavana, Giulio; Dell'Anna, Federico</t>
  </si>
  <si>
    <t>Feasibility analysis of the application of building automation and control system and their interaction with occupant behavior</t>
  </si>
  <si>
    <t>Nearly zero energy building (NZEB); Energy efficiency; Smart building; Occupant behavior; Building management systems; Iterative bidding game</t>
  </si>
  <si>
    <t>HOUSEHOLD ELECTRICITY CONSUMPTION; ZERO-ENERGY; RESIDENTIAL BUILDINGS; MANAGEMENT-SYSTEMS; OFFICE BUILDINGS; FEEDBACK; IMPACT; SMART; RENOVATION; EFFICIENCY</t>
  </si>
  <si>
    <t>Occupant behavior is among the main causes for the mismatch between simulated and in-use energy performance of buildings. One of the strategies considered capable of reducing user's behavior induced energy consumption, while increasing indoor environmental quality is the application of Building Automation and Control Systems (BACS). In this study, three building user's profiles have been considered depending on their energy consumption. The energy savings due to BACS class increase have been calculated, and a cost-benefit analysis (CBA) has been performed to evaluate the feasibility of different scenarios. Additional co-benefits perceived by the individuals have been accounted for in the form of willingness-to-pay (WTP). The methodology is applied to two case studies: a nearly zero-energy building (NZEB) rural single-family house and a recently renovated dwelling in an apartment block. The results show that the main reductions are achieved by the users' behavior alone, and the adoption of BACS is economically feasible only when an incentive program is in place, and the WTP is repeated as a recurrent co-benefit over the years. In particular, relying only on energy reduction due to higher BACS class introduction is not economically desirable. The greatest savings are achieved by the behavioral change of the user when coupled with BACS, supporting their potential role in improving user's energy literacy. Finally, incentive schemes are necessary to reduce the investment costs of such projects, being these the most influential variables in the feasibility of BACS applications.</t>
  </si>
  <si>
    <t>[Bottero, Marta; Cavana, Giulio; Dell'Anna, Federico] Politecn Torino, Interuniv Dept Reg &amp; Urban Studies &amp; Planning DIST, I-10125 Turin, Italy</t>
  </si>
  <si>
    <t>Polytechnic University of Turin</t>
  </si>
  <si>
    <t>Cavana, G (corresponding author), Politecn Torino, Interuniv Dept Reg &amp; Urban Studies &amp; Planning DIST, I-10125 Turin, Italy.</t>
  </si>
  <si>
    <t>marta.bottero@polito.it; giulio.cavana@polito.it; federico.dellanna@polito.it</t>
  </si>
  <si>
    <t>DELL'ANNA, FEDERICO/AAQ-4564-2020</t>
  </si>
  <si>
    <t>DELL'ANNA, FEDERICO/0000-0001-6447-3331; CAVANA, GIULIO/0000-0001-6642-3469; Bottero, Marta/0000-0001-8983-2628</t>
  </si>
  <si>
    <t>The authors want to recognize the support received by Sonia Vandelli in the drafting of the survey and collection of data.</t>
  </si>
  <si>
    <t>Abrahamse W, 2005, J ENVIRON PSYCHOL, V25, P273, DOI 10.1016/j.jenvp.2005.08.002; Allouhi A, 2015, J CLEAN PROD, V109, P118, DOI 10.1016/j.jclepro.2015.05.139; [Anonymous], 2012, COMMISSION DELEGATED; ARERA, Autorita di Regolazione per Energia Reti e Ambiente; Barthelmes VM, 2016, SCI TECHNOL BUILT EN, V22, P960, DOI 10.1080/23744731.2016.1197758; Bavaresco MV, 2020, BUILD ENVIRON, V181, DOI 10.1016/j.buildenv.2020.107086; Bavaresco MV, 2019, ENERG BUILDINGS, V202, DOI 10.1016/j.enbuild.2019.109365; Becchio C., 2019, E3S Web of Conference, V111, DOI [10.1051/e3sconf/201911102057, DOI 10.1051/E3SCONF/201911102057]; Becchio C, 2019, SMART INNOV SYST TEC, V100, P123, DOI 10.1007/978-3-319-92099-3_15; Becchio C, 2018, LAND USE POLICY, V78, P803, DOI 10.1016/j.landusepol.2018.06.048; Becchio C, 2017, PROCEDIA ENGINEER, V205, P35, DOI 10.1016/j.proeng.2017.09.931; Becchio C, 2016, ENERG BUILDINGS, V127, P590, DOI 10.1016/j.enbuild.2016.05.093; Beria P., 2011, 13 RIUN SCI SOC IT E, P1; Bertoldi P, 2013, ENERG POLICY, V56, P526, DOI 10.1016/j.enpol.2013.01.019; Bisello A, 2017, GREEN ENERGY TECHNOL, P127, DOI 10.1007/978-3-319-44899-2_9; Bode G, 2019, APPL ENERG, V238, P1337, DOI 10.1016/j.apenergy.2019.01.196; Boggio A., 2017, Master thesis in Architecture; Bottero Marta, 2023, Computational Science and Its Applications - ICCSA 2023 Workshops: Proceedings. Lecture Notes in Computer Science (14104), P392, DOI 10.1007/978-3-031-37105-9_26; Bottero M., 2019, Geoingegneria Ambientale e Mineraria, V158, P11; bticino, About us; Buckman AH, 2014, SMART SUSTAIN BUILT, V3, P92, DOI 10.1108/SASBE-01-2014-0003; Buso T, 2017, ENERGY RES SOC SCI, V32, P94, DOI 10.1016/j.erss.2017.01.006; Buso T, 2015, BUILD ENVIRON, V94, P694, DOI 10.1016/j.buildenv.2015.11.003; CEN, 2022, EN ISO 52120-1:2022; CEN, 2019, UNI EN 16798-1:2019; CEN, 2007, EN15251:2007); Chen YJ, 2019, APPL ENERG, V235, P1141, DOI 10.1016/j.apenergy.2018.11.016; Colmenar-Santos A, 2013, ENERG BUILDINGS, V56, P66, DOI 10.1016/j.enbuild.2012.10.004; Commission European., 2014, Guide to cost-benefit analysis of investment projects: structural funds, cohesion fund and instrument for pre-accession; Cooper T., 2004, J Consum Policy, V27, P421, DOI DOI 10.1007/S10603-004-2284-6; D'Oca S, 2018, RENEW SUST ENERG REV, V81, P731, DOI 10.1016/j.rser.2017.08.019; Darby S, 2001, ENERGY EFFICIENCY IN HOUSEHOLD APPLIANCES AND LIGHTING, P685; Dell'Anna F, 2022, ENERG EFFIC, V15, DOI 10.1007/s12053-022-10035-y; Della Valle N, 2022, FRONT ENERGY RES, V9, DOI 10.3389/fenrg.2021.804091; DeWaters JE, 2011, ENERG POLICY, V39, P1699, DOI 10.1016/j.enpol.2010.12.049; Edonomidou M., 2011, Europe's buildings under the microscope: a country-by-country review of the energy performance of buildings; Ejidike CC, 2023, SN APPL SCI, V5, DOI 10.1007/s42452-022-05262-y; European Commission, 2020, Taxonomy: Final report of the Technical Expert Group on Sustainable Finance; European Commission, 2020, Final report on the technical support to the development of a smart readiness indicator for buildings; European Commission, 2020, 2020/6930 final. ANNEXES to the COMMISSION DELEGATED REGULATION (EU) ... / ... supplementing Directive (EU) 2010/31/EU of the European Parliament and of the Council by establishing an optional common European Union scheme for rating the smart readiness of buildings. (C/2020/6930 final ...; European Union, 2021, PROPOSAL DIRECTIVE E; Fabi V, 2012, BUILD ENVIRON, V58, P188, DOI 10.1016/j.buildenv.2012.07.009; Fang X., 2012, ACEEE 2012 SUMMER ST, P64; Faruqui A, 2010, ENERGY, V35, P1598, DOI 10.1016/j.energy.2009.07.042; Felius LC, 2020, IOP C SER EARTH ENV, V410, DOI 10.1088/1755-1315/410/1/012054; Felius LC, 2020, BUILDINGS-BASEL, V10, DOI 10.3390/buildings10110200; Felius LC, 2020, ENERG EFFIC, V13, P101, DOI 10.1007/s12053-019-09834-7; Ferreira M, 2015, ENRGY PROCED, V78, P2397, DOI 10.1016/j.egypro.2015.11.199; Fischer C, 2008, ENERG EFFIC, V1, P79, DOI 10.1007/s12053-008-9009-7; Garzia F., 2022, REHVA 14 HVAC WORLD, DOI [10.34641/clima.2022.316, DOI 10.34641/CLIMA.2022.316]; Gronhoj A, 2011, INT J CONSUM STUD, V35, P138, DOI 10.1111/j.1470-6431.2010.00967.x; Gruber M, 2015, APPL ENERG, V154, P934, DOI 10.1016/j.apenergy.2015.05.075; Hargreaves T, 2013, ENERG POLICY, V52, P126, DOI 10.1016/j.enpol.2012.03.027; Härkönen K, 2022, ENERG EFFIC, V15, DOI 10.1007/s12053-022-10032-1; Hoes P, 2009, ENERG BUILDINGS, V41, P295, DOI 10.1016/j.enbuild.2008.09.008; Hong TZ, 2015, BUILD ENVIRON, V92, P764, DOI 10.1016/j.buildenv.2015.02.019; Ippolito MG, 2014, ENERG BUILDINGS, V69, P33, DOI 10.1016/j.enbuild.2013.10.025; Karjalainen S, 2016, ENERG EFFIC, V9, P1257, DOI 10.1007/s12053-015-9422-7; Litiu A., 2017, REHVA Guidebook No 22; López-González LM, 2016, APPL ENERG, V178, P308, DOI 10.1016/j.apenergy.2016.06.028; Mancini F, 2019, ENERGIES, V12, DOI 10.3390/en12152896; Marinakis V, 2013, APPL ENERG, V101, P6, DOI 10.1016/j.apenergy.2012.05.032; Nilsson A, 2014, APPL ENERG, V122, P17, DOI 10.1016/j.apenergy.2014.01.060; O'Brien W, 2013, BUILD ENVIRON, V60, P319, DOI 10.1016/j.buildenv.2012.10.003; Ozadowicz A, 2017, IEEE INT C EMERG, DOI 10.1109/ETFA.2017.8247686; Ozadowicz A, 2017, ENERG EFFIC, V10, P563, DOI 10.1007/s12053-016-9476-1; Rosso M, 2014, ENERG POLICY, V67, P870, DOI 10.1016/j.enpol.2013.12.007; Sanseverino ER, 2013, 2013 4TH INTERNATIONAL CONFERENCE ON CLEAN ELECTRICAL POWER (ICCEP): RENEWABLE ENERGY RESOURCES IMPACT, P591, DOI 10.1109/ICCEP.2013.6586914; Schiera DS, 2019, IEEE ACCESS, V7, P93404, DOI 10.1109/ACCESS.2019.2927446; Su B, 2021, APPL ENERG, V301, DOI 10.1016/j.apenergy.2021.117516; United Nations, World Urbanization Prospects_Population Division; Van Thillo L, 2022, RENEW SUST ENERG REV, V158, DOI 10.1016/j.rser.2022.112099; Vandelli S., 2018, Master thesis in Architecture; Vandenbogaerde L, 2023, J BUILD ENG, V76, DOI 10.1016/j.jobe.2023.107233; Wang XT, 2015, APPL ENERG, V141, P119, DOI 10.1016/j.apenergy.2014.12.001; Yan D, 2015, ENERG BUILDINGS, V107, P264, DOI 10.1016/j.enbuild.2015.08.032</t>
  </si>
  <si>
    <t>10.1007/s12053-023-10158-w</t>
  </si>
  <si>
    <t>U9RK7</t>
  </si>
  <si>
    <t>WOS:001088104200001</t>
  </si>
  <si>
    <t>Hernández, H; Molina, C</t>
  </si>
  <si>
    <t>Hernandez, Hector; Molina, Constanza</t>
  </si>
  <si>
    <t>Analyzing energy poverty and carbon emissions in a social housing complex due to changes in thermal standards</t>
  </si>
  <si>
    <t>ENERGY FOR SUSTAINABLE DEVELOPMENT</t>
  </si>
  <si>
    <t>Energy poverty; Social housing; Energy consumption; Thermal comfort; Carbon emissions; Housing retrofitting</t>
  </si>
  <si>
    <t>CLIMATE-CHANGE; CO2 EMISSIONS; COMFORT; CONTEXT; METHODOLOGY; CONSUMPTION; BEHAVIOR; HEALTH; INDEX</t>
  </si>
  <si>
    <t>Energy Poverty (EP) is a problem that affects low-income families who struggle to afford maintaining comfortable thermal conditions in their homes. This issue contradicts the objectives of the United Nations Sustainable Development Goals (SDGs), particularly those related to promoting good health and well-being (SDG 3), reducing pollution (SDG 13), and eradicating poverty in all its forms (SDG 1). In this context, this study aims to examine the potential impact of changes in thermal regulations on EP and carbon emissions in a Chilean social housing complex. Unlike previous research that relies on aggregate statistical data at the national level, this study adopts a micro-scale approach, analyzing EP variables at the level of individual households. Semi-structured questionnaire surveys were conducted, and the Ten Percent Rule Index (TPRI) was used to measure EP, while energy use was assessed to estimate carbon emissions. The findings reveal that the social housing complex is experiencing EP, primarily due to factors such as unaffordability, low energy-efficient homes, lack of energy literacy, and the use of firewood as a primary energy source, resulting in a TPR of 14.5 %. However, retrofitting to meet the latest proposed thermal standards can significantly reduce EP, with up to 22 % of households moving away from EP, and lead to a substantial reduction of up to 55 % in total carbon emissions. The study highlights the effectiveness of using the TPRI to evaluate EP and provides insights to better understand how housing retrofitting programs in developing countries may promote sustainability and inclusivity while reducing EP.</t>
  </si>
  <si>
    <t>[Hernandez, Hector] Pontificia Univ Catolica Chile, Escuela Construcc Civil, Fac Ingn, Avda Vicuna Mackenna 4860, Santiago, Chile</t>
  </si>
  <si>
    <t>Pontificia Universidad Catolica de Chile</t>
  </si>
  <si>
    <t>Hernández, H (corresponding author), Pontificia Univ Catolica Chile, Escuela Construcc Civil, Fac Ingn, Avda Vicuna Mackenna 4860, Santiago, Chile.</t>
  </si>
  <si>
    <t>hehernan@uc.cl</t>
  </si>
  <si>
    <t>Molina, Constanza/0000-0001-9738-1150; Hernandez Lopez, Hector Enrique/0000-0003-4031-4023</t>
  </si>
  <si>
    <t>Abergel T., 2019, GLOBAL STATUS REPORT; Adusah-Poku F, 2019, RENEW SUST ENERG REV, V112, P853, DOI 10.1016/j.rser.2019.06.038; Akbari A., 2022, Residential microgrids and rural electrifications, P131, DOI [10.1016/B978-0-323-90177-2.00007-4, DOI 10.1016/B978-0-323-90177-2.00007-4]; Ang BW, 2016, ENERG POLICY, V94, P56, DOI 10.1016/j.enpol.2016.03.038; [Anonymous], 2017, Instituto Nacional de Estadisticas; Astroza M., 2017, Confined masonry buildings: The Chilean experience, P1; Avendaño-Vera C, 2020, RENEW SUST ENERG REV, V131, DOI 10.1016/j.rser.2020.110031; Baloch MA, 2020, STRUCT CHANGE ECON D, V54, P143, DOI 10.1016/j.strueco.2020.04.007; Broday EE, 2019, INT J IND ERGONOM, V69, P1, DOI 10.1016/j.ergon.2018.09.007; Bunster V, 2015, SUSTAINABILITY-BASEL, V7, P7973, DOI 10.3390/su7067973; Bustamante W., 2013, Eficiencia Energetica en Vivienda Social: Un desafio posible, P33; Romero JC, 2018, ENERG POLICY, V115, P98, DOI 10.1016/j.enpol.2017.12.054; Casillas CE, 2010, SCIENCE, V330, P1181, DOI 10.1126/science.1197412; CDT, 2015, Manual acondicionamiento termico, criterios de intervencion; Chastas P, 2018, BUILD ENVIRON, V130, P212, DOI 10.1016/j.buildenv.2017.12.032; Culver L., 2017, P REDUCING ENERGY PO, P9; Dasgupta M., 2015, VISION, V19, P147, DOI [DOI 10.1177/0972262915575661, 10.1177/0972262915575661]; Demir C, 2019, ENERG ENVIRON-UK, V30, P444, DOI 10.1177/0958305X18793109; Di Foggia G, 2018, HELIYON, V4, DOI 10.1016/j.heliyon.2018.e00953; Kaliampakos, 2020, ENERGY RES SOC SCI, V64, DOI 10.1016/j.erss.2020.101450; DITEC-Division Tecnica de Estudio y Fomento Habitacional, 2016, Estandares de construccion sustentable para viviendas de Chile-Tomo II Energia.; Energy Sector Management Assistance Program, 2015, Beyond connections: Energy access redefined, P1; EPAH (Energy Poverty Advisory Hub), 2022, Introduction to the Energy Poverty Advisory Hub (EPAH) Handbooks: A Guide to Understanding and Addressing Energy Poverty; EPOV, 2020, Member state reports on energy poverty 2019, DOI [10.2833/81567, DOI 10.2833/81567]; Espinosa Cancino Constanza Francisca, 2015, Revista INVI, V30, P227; Etikan I., 2016, American Journal of Theoretical and Applied Statistics, V5, P1, DOI [DOI 10.11648/J.AJTAS.20160501.11, 10.11648/j.ajtas.20160501]; Galvin R., 2020, Inequality and Energy, P221; Galvin R, 2019, Inequality and energy: How extremes of wealth and poverty in high income countries affect CO2 emissions and access to energy, DOI [10.1016/B978-0-12-817674-0.00007-2, DOI 10.1016/B978-0-12-817674-0.00007-2]; González-Eguino M, 2015, RENEW SUST ENERG REV, V47, P377, DOI 10.1016/j.rser.2015.03.013; Grabar V., 2022, Odyssee-mure; Hassan ST, 2022, J CLEAN PROD, V340, DOI 10.1016/j.jclepro.2022.130735; Hernández H, 2011, REV CONSTR, V10, P53, DOI 10.4067/S0718-915X2011000100006; Hernandez Lopez H., 2019, ANALES EDIFICACION, V5, P76, DOI [10.20868/ade.2019.4374, DOI 10.20868/ADE.2019.4374]; Hu F, 2015, PROCEDIA ENGINEER, V121, P1096, DOI 10.1016/j.proeng.2015.09.111; In-Data SpA &amp; CDT, 2019, Informe Final Uso de la Energia Hogares Chile 2018; Jelvez J., 2019, Implicancia economica de las nuevas exigencias de la proxima normativa NTM 11-2014; Karpinska L, 2023, ENERGY RES SOC SCI, V105, DOI 10.1016/j.erss.2023.103273; Martinez-Soto A, 2020, APPL SCI-BASEL, V10, DOI 10.3390/app10217390; Matos AM, 2022, ENERGIES, V15, DOI 10.3390/en15010329; Middlemiss L, 2022, WIRES ENERGY ENVIRON, V11, DOI 10.1002/wene.455; Ministerio de Energia, 2019, Ruta de la Luz | Ministerio de Energia Gobierno de Chile; MINVU, 2023, D.S. N47, ano 1992-Ordenanza General de Urbanismo y Construcciones; Molina C, 2020, ENERG BUILDINGS, V206, DOI 10.1016/j.enbuild.2019.109568; Moore C. A., 2013, ECEEE SUMMER STUDY P, V1, P1297; Municipalidad-Marchigue, 2019, Ilustre Municipalidad de Marchigue, V1, P192, DOI [10.14483/2248762x.6360, DOI 10.14483/2248762X.6360]; Nussbaumer P, 2013, SUSTAINABILITY-BASEL, V5, P2060, DOI 10.3390/su5052060; Okushima S, 2021, ECOL ECON, V187, DOI 10.1016/j.ecolecon.2021.107081; ONU-Habitat, 2018, Programa de las Naciones Unidas para los Asentamientos Humanos; Ortiz J, 2019, ENERG POLICY, V130, P375, DOI 10.1016/j.enpol.2019.04.013; Pacheco R, 2012, RENEW SUST ENERG REV, V16, P3559, DOI 10.1016/j.rser.2012.03.045; Pereira MG, 2019, INT J INNOV SUSTAIN, V13, P376; Pérez-Fargallo A, 2020, ENERGY SUSTAIN DEV, V58, P63, DOI 10.1016/j.esd.2020.07.009; Pérez-Fargallo A, 2018, ENERG POLICY, V113, P157, DOI 10.1016/j.enpol.2017.10.054; Petrova S, 2013, ENVIRON PLANN A, V45, P1240, DOI 10.1068/a45132; Pye S, 2017, EUROPE'S ENERGY TRANSITION: INSIGHTS FOR POLICY MAKING, P261, DOI 10.1016/B978-0-12-809806-6.00030-4; Reyes R, 2019, ENERG POLICY, V124, P301, DOI 10.1016/j.enpol.2018.10.022; Reyes R, 2015, ENERGY SUSTAIN DEV, V28, P75, DOI 10.1016/j.esd.2015.07.005; Röck M, 2020, APPL ENERG, V258, DOI 10.1016/j.apenergy.2019.114107; Rubio-Bellido C, 2017, BUILD SIMUL-CHINA, V10, P933, DOI 10.1007/s12273-017-0385-9; Schueftan A., 2019, Sistema de Apoyo a la Inversion en Eficiencia Energetica-Mapa Termico; Schueftan A, 2021, RESOUR ENERGY ECON, V66, DOI 10.1016/j.reseneeco.2021.101265; Schueftan A, 2013, ENERG POLICY, V63, P823, DOI 10.1016/j.enpol.2013.08.097; Serikawa M, 2022, SUSTAIN CITIES SOC, V79, DOI 10.1016/j.scs.2022.103701; Siksnelyte-Butkiene I, 2021, SUSTAIN CITIES SOC, V67, DOI 10.1016/j.scs.2021.102756; Sousa J., 2012, CEUR Workshop Proceedings, V923, P57; Sunikka-Blank M, 2012, BUILD RES INF, V40, P260, DOI 10.1080/09613218.2012.690952; Thomas G, 2011, QUAL INQ, V17, P511, DOI 10.1177/1077800411409884; Tonelli C, 2014, ENERG BUILDINGS, V83, P89, DOI 10.1016/j.enbuild.2013.12.063; Ürge-Vorsatz D, 2012, ENERG POLICY, V49, P83, DOI 10.1016/j.enpol.2011.11.093; United Nations, 2019, Global sustainable development report, V51; Uribe A, 2023, ENERGY SUSTAIN DEV, V77, DOI 10.1016/j.esd.2023.101323; Urquiza A, 2019, ENERG BUILDINGS, V204, DOI 10.1016/j.enbuild.2019.109463; van der Kroon B, 2013, RENEW SUST ENERG REV, V20, P504, DOI 10.1016/j.rser.2012.11.045; Villalobos C, 2021, ENERG POLICY, V152, DOI 10.1016/j.enpol.2021.112146; Walker I., 2023, Challenges and opportunities for home decarbonization; Wen BH, 2020, BUILD ENVIRON, V185, DOI 10.1016/j.buildenv.2020.107091; Yang L, 2014, APPL ENERG, V115, P164, DOI 10.1016/j.apenergy.2013.10.062; Yao RM, 2009, BUILD ENVIRON, V44, P2089, DOI 10.1016/j.buildenv.2009.02.014; Zar JH, 2014, Wiley StatsRef: Statistics Reference Online, DOI [DOI 10.1002/9781118445112.STAT05964, 10.1002/9781118445112.stat05964]; Zhao J, 2021, ENERG ECON, V97, DOI 10.1016/j.eneco.2021.105191</t>
  </si>
  <si>
    <t>0973-0826</t>
  </si>
  <si>
    <t>2352-4669</t>
  </si>
  <si>
    <t>ENERGY SUSTAIN DEV</t>
  </si>
  <si>
    <t>Energy Sustain Dev.</t>
  </si>
  <si>
    <t>10.1016/j.esd.2023.101347</t>
  </si>
  <si>
    <t>CN5G7</t>
  </si>
  <si>
    <t>WOS:001125935500001</t>
  </si>
  <si>
    <t>Bogovic, K; Jarkovic, T; Kavcic, ML; Kosinac, G</t>
  </si>
  <si>
    <t>Cizelj, L; Leskovar, M; Ursic, M</t>
  </si>
  <si>
    <t>Bogovic, Katja; Jarkovic, Tanja; Kavcic, Melita Lenosek; Kosinac, Garsia</t>
  </si>
  <si>
    <t>The Young in the World of Energy - A Communication Project to Promote and Educate on Energy-related Topics Among the Younger Generations</t>
  </si>
  <si>
    <t>22ND INTERNATIONAL CONFERENCE NUCLEAR ENERGY FOR NEW EUROPE, (NENE 2013)</t>
  </si>
  <si>
    <t>22nd International Conference Nuclear Energy for New Europe (NENE)</t>
  </si>
  <si>
    <t>SEP 09-12, 2013</t>
  </si>
  <si>
    <t>Bled, SLOVENIA</t>
  </si>
  <si>
    <t>The Young in the World of Energy is a GEN energija-run communication project designed to promote the knowledge of energy and energy-related topics among the younger generations. The history of the project dates back to 2008, when the GEN Group launched its Energy-Efficient School project to encourage Slovenian schools to reduce their electricity consumption. Over the years the project grew and changed shape before finally evolving into the awareness-raising project The Young in the World of Energy with the opening of the interactive visitor centre The World of Energy in 2011. As part of the project, two contests are being held in the 2012/2013 school year: A nationwide contest for Slovenian primary and secondary schools, which is run in association with the Eco-School (Ekosola) programme and is designed to increase energy literacy and raise awareness of sustainable development in terms of energy and energy production; and. The quiz Young Wizards on Energy Technologies and Nuclear Energy, organized by GEN energija in partnership with Krsko Nuclear Power Plant. The aim of the project is to encourage the young, through modern methods and media, to see the big picture behind energy and to gain an in-depth insight into the basic energy concepts, sustainable energy sources, climate change, radioactivity, and nuclear energy as a sustainable source of energy. The paper presents the activities taking place in the framework of the two contests, the communication media used, and the final outcomes, achievements and findings of the projects.</t>
  </si>
  <si>
    <t>[Bogovic, Katja; Jarkovic, Tanja; Kavcic, Melita Lenosek; Kosinac, Garsia] GEN Energij Doo, Vrbina 17, SI-8270 Krshko, Slovenia</t>
  </si>
  <si>
    <t>Bogovic, K (corresponding author), GEN Energij Doo, Vrbina 17, SI-8270 Krshko, Slovenia.</t>
  </si>
  <si>
    <t>katja.bogovic@gen-energija.si; tanja.jarkovic@gen-energija.si; melita.kavcic@gen-energija.si; garsia.kosinac@gen-energija.si</t>
  </si>
  <si>
    <t>[Anonymous], 2013, SUST REP GEN GROUP 2; [Anonymous], 2010, INV PROGR GEN INF CT; [Anonymous], 2013, ANN REP GEN GROUP 20; [Anonymous], 2013, INT AN CURR TXB SLOV; Opinion polls: (Eurobarometer Energy Technologies: Knowledge Perception Measures; European Commission, 2006, OP POLLS EUR EN TECH</t>
  </si>
  <si>
    <t>978-9-61-620736-2</t>
  </si>
  <si>
    <t>BG8GF</t>
  </si>
  <si>
    <t>WOS:000392268600129</t>
  </si>
  <si>
    <t>Maji, SK; Chakraborty, P</t>
  </si>
  <si>
    <t>Maji, Sumit Kumar; Chakraborty, Puja</t>
  </si>
  <si>
    <t>Energy-related financial literacy and energy consumption: a study of residential households in West Bengal, India</t>
  </si>
  <si>
    <t>INTERNATIONAL JOURNAL OF ENERGY SECTOR MANAGEMENT</t>
  </si>
  <si>
    <t>Energy consumption; Energy literacy; Financial literacy; Life cycle cost literacy; Energy-related financial literacy; Regression; Surveys</t>
  </si>
  <si>
    <t>CONSERVATION; EFFICIENCY; BEHAVIOR; KNOWLEDGE; GAP</t>
  </si>
  <si>
    <t>PurposeEnergy-related financial literacy (ERFL) which consists of energy literacy, financial literacy and lifecycle cost literacy, can play an instrumental role in addressing climate change by ensuring efficient energy consumption (macro level benefit) and promoting financial well-being (micro level benefit) of households. This study aims to highlight the ERFL level and its effect on the energy consumption of the sample households in the state of West Bengal, India.Design/methodology/approachThe study used primary data on 155 sample households from the two districts, i.e. Hooghly and North 24 Parganas in West Bengal, India, surveyed from September 2022 to November 2022 using a structured questionnaire. The study used the conceptual framework suggested by Blasch et al. (2018) to measure the ERFL. Pertinent statistical techniques and the ordinary least square regression method were used to attain the objectives of the study.FindingsThe outcome of the study showed that the average ERFL score was found to be moderate (63%). The findings of the study also indicated that the ERFL exerts a positive influence on reducing energy consumption among the sample households in India.Originality/valueThere is a dearth of research studies on the topic of ERFL around the globe. The very few studies so far conducted are mostly in the context of European economies and Nepal. Perhaps, to the best of the our knowledge, this is the first study on the issue of ERFL in the Indian context. Therefore, the present study will make an original contribution to the small but growing scholarship on ERFL.</t>
  </si>
  <si>
    <t>[Maji, Sumit Kumar; Chakraborty, Puja] Univ Burdwan, Dept Commerce, Burdwan, India</t>
  </si>
  <si>
    <t>University of Burdwan</t>
  </si>
  <si>
    <t>Maji, SK (corresponding author), Univ Burdwan, Dept Commerce, Burdwan, India.</t>
  </si>
  <si>
    <t>skmaji@com.buruniv.ac.in</t>
  </si>
  <si>
    <t>Agrawal Shalu, 2021, HarvardDataverse, V1, DOI 10.7910/DVN/U8NYUP; Allcott H, 2014, J PUBLIC ECON, V112, P72, DOI 10.1016/j.jpubeco.2014.01.004; Allcott H, 2012, J ECON PERSPECT, V26, P3, DOI 10.1257/jep.26.1.3; [Anonymous], 2022, Emissions Gap Report 2022: The Closing WindowClimate Crisis Calls for Rapid Transformation of Societies; [Anonymous], 2007, 2007 ANN C EXP; Arcury T.A., 1987, Journal of Environmental Education, V18, P31, DOI DOI 10.1080/00958964.1987.9942746; Asmare F, 2023, ENERG ECON, V120, DOI 10.1016/j.eneco.2023.106583; Barr S, 2005, ENERG POLICY, V33, P1425, DOI 10.1016/j.enpol.2003.12.016; Bhattacharyya SC, 2015, APPL ENERG, V143, P228, DOI 10.1016/j.apenergy.2015.01.048; Blasch J., 2018, Empower the consumer! ERFL and its socioeconomic determinants; Blasch J, 2021, ECON ENERGY ENV POL, V10, P149, DOI 10.5547/2160-5890.10.2.jbla; Blasch JE, 2022, APPL ECON, V54, P3598, DOI 10.1080/00036846.2021.2014395; Boogen N, 2021, ENERG EFFIC, V14, DOI 10.1007/s12053-021-09945-0; Brent DA, 2018, J ENVIRON ECON MANAG, V90, P181, DOI 10.1016/j.jeem.2018.05.004; Brounen D, 2013, ENERG ECON, V38, P42, DOI 10.1016/j.eneco.2013.02.008; Cotton DRE, 2015, INT J SUST HIGHER ED, V16, P456, DOI 10.1108/IJSHE-12-2013-0166; Courtenay-Hall P., 2002, Environmental Education Research, V8, P283, DOI DOI 10.1080/13504620220145438; Das S, 2023, INT J SOC ECON, V50, P1341, DOI 10.1108/IJSE-12-2022-0776; Filippini M., 2018, Energy efficiency gap, bounded rationality and the role of energy-related financial literacy; Filippini M., 2018, Final report; Filippini M., 2019, ERFL and bounded rationality in appliance replacement attitudes; Filippini M, 2020, ENVIRON DEV ECON, V25, P399, DOI 10.1017/S1355770X20000078; Franco S, 2017, RENEW SUST ENERG REV, V71, P898, DOI 10.1016/j.rser.2016.12.117; Frederiks ER, 2015, ENERGIES, V8, P573, DOI 10.3390/en8010573; Gerarden TD, 2017, J ECON LIT, V55, P1486, DOI 10.1257/jel.20161360; Government of India, 2022, Ministry of power implements significant schemes to increase energy efficiency; Government of India, Share of non-fossil fuel based generation capacity in the total installed capacity of the country likely to increase from 42% as on Oct, 2022 to more than 64% by 2029-30; Haldar S, 2022, INT J ENERGY SECT MA, V16, P191, DOI 10.1108/IJESM-01-2021-0010; Hossain M., 2021, BUSINESS INSIGHT, V8, P15; Johnston R, 2018, QUAL QUANT, V52, P1957, DOI 10.1007/s11135-017-0584-6; Kalmi P, 2021, J CONSUM AFF, V55, P1062, DOI 10.1111/joca.12395; Kennedy T, 2004, ACAD MED, V79, P386, DOI 10.1097/00001888-200405000-00006; Khosla R., 2017, Electricity consumption in Indian homes; Kumar N., 2019, A model-based clustering approach for analyzing ERFL and its determinants; Kumar N., 2018, Essays on bounded rationality, energy efficiency and energy-related financial literacy; Lindebjerg E.S., 2015, Do policies for phasing out fossil fuel subsidies deliver what they promise? Social gains and repercussions in Iran, Indonesia and Ghana; Martins A, 2022, ENERGY REP, V8, P172, DOI 10.1016/j.egyr.2022.01.082; Mills B, 2012, ENERG POLICY, V49, P616, DOI 10.1016/j.enpol.2012.07.008; Nair G, 2010, ENERG POLICY, V38, P2956, DOI 10.1016/j.enpol.2010.01.033; Ozili P.K., 2023, Social Research Methodology and Publishing Results: A Guide to Non-Native English Speakers, P134, DOI [DOI 10.4018/978-1-6684-6859-3.CH009, 10.4018/978-1-6684-6859-3.ch009, DOI 10.2139/SSRN.4128165]; Poortinga W, 2004, ENVIRON BEHAV, V36, P70, DOI 10.1177/0013916503251466; RITCHIE JRB, 1981, J CONSUM RES, V8, P233, DOI 10.1086/208860; SCHIPPER L, 1989, ANNU REV ENERGY, V14, P273, DOI 10.1146/annurev.eg.14.110189.001421; Shalizi C., 2015, F-Tests, R2, and other distractions; Steen M., 2001, Greenhouse gas emissions from fossil fuel fired power generation systems; Wilhite H., 2012, Tackling Long-Term Global Energy Problems. Environment and Policy, DOI [10.1007/978-94-007-2333-7_6, DOI 10.1007/978-94-007-2333-7_6]; World Energy Council, 2016, WORLD ENERGY RESOURC</t>
  </si>
  <si>
    <t>1750-6220</t>
  </si>
  <si>
    <t>1750-6239</t>
  </si>
  <si>
    <t>INT J ENERGY SECT MA</t>
  </si>
  <si>
    <t>Int. J. Energy Sect. Manag.</t>
  </si>
  <si>
    <t>2023 DEC 14</t>
  </si>
  <si>
    <t>10.1108/IJESM-06-2023-0009</t>
  </si>
  <si>
    <t>Management</t>
  </si>
  <si>
    <t>AY4L8</t>
  </si>
  <si>
    <t>WOS:001121994200001</t>
  </si>
  <si>
    <t>Thomas, PJM; Sandwell, P; Williamson, SJ; Harper, PW</t>
  </si>
  <si>
    <t>Thomas, P. J. M.; Sandwell, P.; Williamson, S. J.; Harper, P. W.</t>
  </si>
  <si>
    <t>A PESTLE analysis of solar home systems in refugee camps in Rwanda</t>
  </si>
  <si>
    <t>Energy access; Humanitarian energy; Solar home systems; PESTLE Analysis; Refugee; Rwanda</t>
  </si>
  <si>
    <t>OFF-GRID ELECTRIFICATION; RURAL ELECTRIFICATION; ENERGY ACCESS; SUSTAINABLE DEVELOPMENT; RENEWABLE ENERGY; SHS; SERVICES; POWER; KEROSENE; POVERTY</t>
  </si>
  <si>
    <t>There is a paucity of data on energy access in refugee camps and limited analysis regarding the viability of modern energy technologies such as solar home systems in these contexts. This paper addresses these by presenting an overview of the household and small enterprise electricity access situation in Kigeme, Nyabiheke and Gihembe camps in Rwanda and through the application of a Political, Economic, Social, Technological, Legal and Environmental (PESTLE) analysis to assess the barriers influencing solar home system provision. Most households and small enterprises currently have limited or no access to electricity and there is significant unmet demand for energy services such as mobile phone charging, lighting, and entertainment in the camps. The analysis suggests that solar home systems can meet these energy needs and identifies important factors in ensuring projects are successful. Projects should be informed by the needs and priorities of end-users and should be aligned with national policies, such as achieving Tier 2 energy access, to garner political support. Where possible, local market systems should be nurtured to normalise paying for energy products and to avoid free distribution. This can support private sector engagement and result in longer system lifetimes through improved maintenance. Energy literacy programmes can also improve awareness of solar home systems and their benefits compared to traditional sources of energy. These findings can inform practitioners on the supporting policy/ financial frameworks, design requirements and implementation measures needed to maximise the benefits of future solar home system projects and help achieve electrification targets.</t>
  </si>
  <si>
    <t>[Thomas, P. J. M.; Williamson, S. J.; Harper, P. W.] Univ Bristol, Fac Engn, Queens Bldg, Bristol BS8 1TR, Avon, England; [Sandwell, P.] Imperial Coll London, Blackett Lab, Dept Phys, Prince Consort Rd, London SW7 2AZ, England; [Sandwell, P.] Pract Act, Robbins Bldg,25 Albert St, Rugby CV21 2SD, England</t>
  </si>
  <si>
    <t>University of Bristol; Imperial College London</t>
  </si>
  <si>
    <t>Thomas, PJM (corresponding author), Univ Bristol, Fac Engn, Queens Bldg, Bristol BS8 1TR, Avon, England.</t>
  </si>
  <si>
    <t>peter.thomas@bristol.ac.uk</t>
  </si>
  <si>
    <t>Sandwell, Philip/A-3820-2015</t>
  </si>
  <si>
    <t>Sandwell, Philip/0000-0003-1117-5095; Williamson, Sam/0000-0003-2900-5967</t>
  </si>
  <si>
    <t>IKEA Foundation; EPSRC [EP/R511547/1, EP/R030235/1]; Research England GCRF QR; EPSRC; GCRF [EP/R030235/1] Funding Source: UKRI</t>
  </si>
  <si>
    <t>IKEA Foundation; EPSRC(UK Research &amp; Innovation (UKRI)Engineering &amp; Physical Sciences Research Council (EPSRC)); Research England GCRF QR(UK Research &amp; Innovation (UKRI)); EPSRC(UK Research &amp; Innovation (UKRI)Engineering &amp; Physical Sciences Research Council (EPSRC)); GCRF(UK Research &amp; Innovation (UKRI))</t>
  </si>
  <si>
    <t>The authors would like to acknowledge the IKEA Foundation for funding the RE4R project and thank all the members of the project who collected the data, provided feedback during the development of the paper, particularly from Practical Action who also allowed the reproduction of Fig. 2. Peter Thomas would also like to acknowledge the EPSRC for funding his PhD and Karen Bell for her support. Philip Sandwell would like to acknowledge the support of EPSRC (EP/R511547/1 and EP/R030235/1) and Research England GCRF QR Funding, and thank his supervisor Professor Jenny Nelson.</t>
  </si>
  <si>
    <t>Abdul-Salam Y, 2019, WORLD DEV, V116, P66, DOI 10.1016/j.worlddev.2018.12.007; Abdullah, 2017, ENERGY REP, V3, P54, DOI 10.1016/j.egyr.2017.03.002; Albadra D, 2020, BUILD ENVIRON, V185, DOI 10.1016/j.buildenv.2020.107259; Alloush M, 2017, WORLD DEV, V95, P334, DOI 10.1016/j.worlddev.2017.02.030; Alsema EA, 2000, ENV LIFE CYCLE ASSES; Andrews Tony, 2017, RISE CONFLICT ASS MI, DOI [10.13140/RG.2.2.36488.62720, DOI 10.13140/RG.2.2.36488.62720]; [Anonymous], 2019, NAT ENERGY, V4, P989, DOI 10.1038/s41560-019-0528-6; [Anonymous], 2019, Rwanda Country Refugee Response Plan; [Anonymous], 2010, DEV CHALLENGE FINDIN; [Anonymous], 2015, Beyond Connections: Energy Access Redefined; [Anonymous], FIGURES GLANCE; [Anonymous], 2016, Poor People's Energy Outlook 2016: National Energy Access Planning from the Bottom Up; [Anonymous], 2000, REP REN EN RES; Azimoh CL, 2015, ENRGY PROCED, V75, P308, DOI 10.1016/j.egypro.2015.07.360; Azimoh CL, 2015, APPL ENERG, V155, P354, DOI 10.1016/j.apenergy.2015.05.120; Barbieri J., 2018, J. Int. Humanit. Action, V3, P11, DOI [10.1186/s41018-018-0038-3, DOI 10.1186/S41018-018-0038-3]; Barman M, 2017, ENERGY SUSTAIN DEV, V38, P10, DOI 10.1016/j.esd.2017.02.004; Barrie J, 2017, ENERG POLICY, V107, P425, DOI 10.1016/j.enpol.2017.05.016; Basu R, 2004, IMPLEMENTING QUALITY; Baurzhan S, 2016, RENEW SUST ENERG REV, V60, P1405, DOI 10.1016/j.rser.2016.03.016; Begg K., 2000, Initial Evaluation of CDM type projects in Developing Countries - Final Report. Technical report; Bellanca R., 2014, SUSTAINABLE ENERGY P, P1; Bensch G, 2017, ENERGY SUSTAIN DEV, V39, P13, DOI 10.1016/j.esd.2017.03.004; Bertheau P, 2020, TECHNOL FORECAST SOC, V153, DOI 10.1016/j.techfore.2020.119919; Bhattacharyya SC, 2006, ENERG POLICY, V34, P659, DOI 10.1016/j.enpol.2004.08.009; Bhattacharyya SC, 2014, GREEN ENERGY TECHNOL, P1, DOI 10.1007/978-3-319-04816-1; Bhattacharyya SC, 2013, RENEW SUST ENERG REV, V20, P462, DOI 10.1016/j.rser.2012.12.008; Bhattacharyya SC, 2012, ENERGY SUSTAIN DEV, V16, P260, DOI 10.1016/j.esd.2012.05.002; Bisaga I., 2018, Scaling Up Off-Grid Solar Energy Access Through Improved Understanding of Customers ' Needs, Aspirations and Energy Use of Decentralised (SMART) Solar Home Systems - A Case Study of BBOXX Customers in Rwanda; Bisaga I, 2018, ENERGY RES SOC SCI, V44, P293, DOI 10.1016/j.erss.2018.05.019; Bisaga I, 2017, ENERG POLICY, V109, P199, DOI 10.1016/j.enpol.2017.07.004; Boamah F, 2020, ENERGY RES SOC SCI, V60, DOI 10.1016/j.erss.2019.101324; Boodhna A, 2019, NAT ENERGY, V4, P997, DOI 10.1038/s41560-019-0519-7; Borah RR, 2014, ENRGY PROCED, V54, P680, DOI 10.1016/j.egypro.2014.07.309; Brooks C, 2014, RENEW ENERG, V71, P176, DOI 10.1016/j.renene.2014.05.016; Brown E, 2017, SUSTAIN ENERGY TECHN, V22, P106, DOI 10.1016/j.seta.2017.02.021; Callaghy K., 2020, INTERVIEW KATHLEEN C; Caniato M, 2017, SUSTAIN ENERGY TECHN, V22, P208, DOI 10.1016/j.seta.2017.02.006; Chadwick T., 2019, INVESTIGATING FINANC; Chakrabarty S, 2011, ENERGY, V36, P4821, DOI 10.1016/j.energy.2011.05.016; Chowdhury SA, 2016, RENEW ENERG, V97, P585, DOI 10.1016/j.renene.2016.06.017; Church C., 2018, Green Conflict Minerals, International Institute for Sustainable Development (IISD); Collings S., 2016, Field Actions Science Reports, P94; Conway D, 2019, ENERGY RES SOC SCI, V56, DOI 10.1016/j.erss.2019.05.012; Corbyn D., 2018, PRICES PRODUCTS PRIO; Cross J, 2018, ENERGY RES SOC SCI, V44, P100, DOI 10.1016/j.erss.2018.04.034; Derks M, 2019, ENERGY SUSTAIN DEV, V53, P57, DOI 10.1016/j.esd.2019.08.003; Diallo A, 2020, ENERGY, V194, DOI 10.1016/j.energy.2019.116835; Disch D., 2012, ANAL OFF GRID LIGHTI; Doocy S., 2017, Campbell Systematic Reviews, V13, P1, DOI DOI 10.4073/CSR.2017.17; Dornan M, 2011, RENEW ENERG, V36, P797, DOI 10.1016/j.renene.2010.07.015; Dupin V., 2018, PARTICIPATORY IMPACT; Dworschak A, 2016, BOIL POINT, P2; Dynes M., 2014, EVALUATION HANDHELD; Eberhard A, 2012, ENERG POLICY, V42, P9, DOI 10.1016/j.enpol.2011.10.033; Efficiency for Access, 2019, STATE OFF GRID APPLI; Epstein MB, 2013, INT J HYG ENVIR HEAL, V216, P523, DOI 10.1016/j.ijheh.2012.12.006; FaIDA, 2013, TESTING ACCEPTABILIT; Feron S, 2016, SUSTAINABILITY-BASEL, V8, DOI 10.3390/su8121326; Fredric B, 2004, Encyclopedia of Energy, P365, DOI DOI 10.1016/B0-12-176480-X700488-5; Friebe CA, 2013, ENERG POLICY, V52, P760, DOI 10.1016/j.enpol.2012.10.038; Gerrard M., 2016, BOILING POINT, P6; Grafham O., 2016, BOILING POINT, V68, P12; Grafham O., 2018, ENERGY DISPLACEMENT; Grafham O., 2016, FORCED MIGR REV, V52, P45; Grafham O, 2019, NAT ENERGY, V4, P993, DOI 10.1038/s41560-019-0518-8; Groh S, 2016, ENERGY SUSTAIN DEV, V30, P21, DOI 10.1016/j.esd.2015.10.007; Gunning R, 2014, ANALYSIS-UK, P1; Hasan M, 2017, J GLOB PEACE CONFL, V5, DOI [10.15640/jgpc.v5n1a1, DOI 10.15640/JGPC.V5N1A1]; Hirmer S, 2017, RENEW SUST ENERG REV, V79, P924, DOI 10.1016/j.rser.2017.05.152; Huber S, 2019, NAT ENERGY, V4, P1000, DOI 10.1038/s41560-019-0520-1; Iemsomboon P, 2011, ENRGY PROCED, V9, DOI 10.1016/j.egypro.2011.09.006; Innovation Norway, RECYCLING SOLAR WAST; IOM, 2019, MINIMUM REQUIREMENTS; IRENA, 2019, Renewables for refugee settlements: sustainable energy access in humanitarian situations; Kakonge J. O., 2000, Impact Assessment and Project Appraisal, V18, P23, DOI 10.3152/147154600781767565; Kanyarusoke K, 2020, ENG SCI TECHNOL, V23, P345, DOI 10.1016/j.jestch.2019.05.002; Khan I, 2020, RENEW SUST ENERG REV, V119, DOI 10.1016/j.rser.2019.109576; Khan J, 2016, RENEW SUST ENERG REV, V55, P414, DOI 10.1016/j.rser.2015.10.135; Khan T, 2019, ENERG POLICY, V132, P299, DOI 10.1016/j.enpol.2019.05.047; Kimemia D, 2014, ENERGY SUSTAIN DEV, V18, P1, DOI 10.1016/j.esd.2013.11.011; Kolios A, 2013, ENERGIES, V6, P5023, DOI 10.3390/en6105023; Komatsu S, 2011, ENERGY SUSTAIN DEV, V15, P284, DOI 10.1016/j.esd.2011.03.003; Komatsu S, 2011, ENERG POLICY, V39, P4022, DOI 10.1016/j.enpol.2010.11.022; Kumar A., 2020, Energy Justice Across Borders, P155; Kyte R., 2019, SEFORALL; Lahn G., 2019, THINKING DIFFERENTLY; Lahn G, 2015, ENERGY FORCIBLY DISP; Lahn G, 2015, HEAT LIGHT POWER REF, DOI [10.1073/pnas.1604566113, DOI 10.1073/PNAS.1604566113]; Lam NL, 2012, ENVIRON SCI TECHNOL, V46, P13531, DOI 10.1021/es302697h; Lam NL, 2012, J TOXICOL ENV HEAL B, V15, P396, DOI 10.1080/10937404.2012.710134; Laufer D, 2011, ENERGY SUSTAIN DEV, V15, P330, DOI 10.1016/j.esd.2011.07.002; Lay J, 2013, ENERG ECON, V40, P350, DOI 10.1016/j.eneco.2013.07.024; Lehne J, 2016, ENERGY STRATEG REV, V13-14, P134, DOI 10.1016/j.esr.2016.08.008; Lenz L, 2017, WORLD DEV, V89, P88, DOI 10.1016/j.worlddev.2016.08.003; Lighting GLobal, 2018, SOLAR HOME SYSTEM KI; Linguet L, 2010, RENEW SUST ENERG REV, V14, P745, DOI 10.1016/j.rser.2009.06.015; Lysen E.H., 2013, Pico Solar PV Systems for Remote Homes: A new generation of small PV systems for lighting and communication, VPrimera; Lyytinen E., 2009, Household energy in refugee and IDP camps: Challenges and solutions for UNHCR: UNHCR, Policy Development and Evaluation Service; Mahapatra S, 2009, ENERGY SUSTAIN DEV, V13, P271, DOI 10.1016/j.esd.2009.10.005; Martin S, 2014, ENERGY SUSTAIN DEV, V19, P111, DOI 10.1016/j.esd.2013.12.012; Martinot E, 2002, ANNU REV ENERG ENV, V27, P309, DOI 10.1146/annurev.energy.27.122001.083444; Merieau L., 2012, LIGHT YEARS AHEAD IN; Mills E, 2016, ENERGY SUSTAIN DEV, V30, P39, DOI 10.1016/j.esd.2015.11.002; Mondal AH, 2011, ENERGY SUSTAIN DEV, V15, P17, DOI 10.1016/j.esd.2010.11.004; Monthly Population UNHCR, 2019, STAT 30 SEPTEMBER 20; Morris E., 2007, Using Microfinance to Expand Access to Energy Services: Summary of Findings; Mulugetta Y, 2000, ENERG POLICY, V28, P1069, DOI 10.1016/S0301-4215(00)00093-8; Munz M, 2013, WAKA WAKA SOLAR LIGH; Nahmias P, 2020, UNHCR BLOGS; Narayan N, 2019, APPL ENERG, V240, P907, DOI 10.1016/j.apenergy.2019.02.053; Narayan N, 2019, ENERGIES, V12, DOI 10.3390/en12050938; Narayan N, 2016, IEEE GLOB HUMANIT C, P474, DOI 10.1109/GHTC.2016.7857322; Nayak PK, 2019, NAT REV MATER, V4, P269, DOI 10.1038/s41578-019-0097-0; Newcombe A, 2017, ENERGY SUSTAIN DEV, V38, P21, DOI 10.1016/j.esd.2017.03.002; Nieuwenhout FDJ, 2001, PROG PHOTOVOLTAICS, V9, P455, DOI 10.1002/pip.392; Nnorom IC, 2008, RESOUR CONSERV RECY, V52, P843, DOI 10.1016/j.resconrec.2008.01.004; ODI, 2016, ACCELERATING ACCESS; Okello A, 2018, PRACTICAL ACTION; Okello S., 2016, Research Paper on Energy; Omorogbe Y, 2018, ENDING AFRICAS ENERG, DOI [10.1093/oso/9780198819837.001.0001, DOI 10.1093/OSO/9780198819837.001.0001]; Opiyo NN, 2019, ENERGY RES SOC SCI, V52, P91, DOI 10.1016/j.erss.2019.01.013; Palit D, 2013, ENERGY SUSTAIN DEV, V17, P270, DOI 10.1016/j.esd.2013.01.002; Palit D, 2011, ENERGY SUSTAIN DEV, V15, P266, DOI 10.1016/j.esd.2011.07.004; Panwar NL, 2011, RENEW SUST ENERG REV, V15, P1513, DOI 10.1016/j.rser.2010.11.037; Patel L., 2019, COOKING DISPLACEMENT, V1, P6; Pendleton L., 2013, EOS T AM GEOPHYS UN, V94, P225, DOI [10.1002/2013EO250005, DOI 10.1002/2013EO250005]; Pode R, 2013, RENEW SUST ENERG REV, V25, P596, DOI 10.1016/j.rser.2013.04.004; Practical Action, 2017, POOR PEOPLES ENERGY; Practical Action, 2019, CONTEXTUAL REV REPOR; Quak E., 2018, K4D HELPDESK REPORT; Radulovic V, 2005, ENERG POLICY, V33, P1883, DOI 10.1016/j.enpol.2004.03.004; Rahman M.M., 2016, Driver acceptance of advanced driver assistance systems and semi-autonomous driving systems, P1, DOI [10.1109/ICDRET.2016.7421473, DOI 10.1109/ICDRET.2016.7421473]; Rahman SM, 2013, ENERG POLICY, V63, P348, DOI 10.1016/j.enpol.2013.08.041; Republic of Rwanda, 2017, NATL STRATEGY TRANSF; Republic of Rwanda, 2013, EC DEV POVERTY REDUC; Republic of Rwanda, 2000, RWANDA VISION 2020; Republic of Rwanda, 2016, RURAL ELECTRIFICATIO; Rhaman M., 2018, CURRENT ALTERNATIVE, V3, DOI 10.2174/2405463103666180402143554; Rosenberg-Jansen S., 2018, RES BRIEF REFUGEE EN; Rosenberg-Jansen S, 2019, RETHINK REFUG BLOG; Rosenberg-Jansen S, 2019, NAT ENERGY, V4, P990, DOI 10.1038/s41560-019-0516-x; Sandwell P, ENSURING REFUGEE CAM; SE4ALL, 2017, SUSTAINABLE ENERGY A; Shakya B, 2019, RENEW SUST ENERG REV, V101, P493, DOI 10.1016/j.rser.2018.11.016; Sharif I, 2013, ENRGY PROCED, V33, P343, DOI 10.1016/j.egypro.2013.05.075; Shell Foundation, 2018, LAST MILE SOLUTIONS; Short T, 2008, SUSTAIN DEV, V16, P56, DOI 10.1002/sd.328; Sovacool BK, 2020, RENEW SUST ENERG REV, V119, DOI 10.1016/j.rser.2019.109569; Sovacool BK, 2018, ENERG POLICY, V123, P482, DOI 10.1016/j.enpol.2018.09.024; Sovacool BK, 2013, ENERG POLICY, V59, P393, DOI 10.1016/j.enpol.2013.03.051; Sovacool BK, 2011, ENERG POLICY, V39, P1532, DOI 10.1016/j.enpol.2010.12.027; Stapleton GJ, 2009, DESALINATION, V248, P595, DOI 10.1016/j.desal.2008.05.107; Stojanovski O, 2017, ENERGY SUSTAIN DEV, V37, P33, DOI 10.1016/j.esd.2016.11.003; Turner J.R., 2007, Gower handbook of project management, V4th; Ulsrud K, 2015, ENERGY RES SOC SCI, V5, P34, DOI 10.1016/j.erss.2014.12.009; UNHCR, CLEAN ENERGY CHALLEN; UNHCR, 2020, CLUSTER APPROACH IAS; UNHCR, 2020, REFUGEE COORDINATION; UNHCR, 2016, EC INCLUSION REFUGEE; UNHCR, 2019, Global Strategy for Sustainable Energy 2019-2025; UNITAR, 2018, GLOBAL PLAN ACTION S; United Nations (UN), TRANSF OUR WORLD 203, DOI [DOI 10.1201/B20466-7, DOI 10.1891/9780826190123.AP02]; Urmee T, 2012, RENEW ENERG, V48, P499, DOI 10.1016/j.renene.2012.06.017; Urmee T, 2011, RENEW ENERG, V36, P2822, DOI 10.1016/j.renene.2011.04.021; Urmee T, 2009, ENERGY SUSTAIN DEV, V13, P24, DOI 10.1016/j.esd.2009.01.002; Urpelainen J, 2016, RENEW ENERG, V85, P534, DOI 10.1016/j.renene.2015.07.001; USAID, 2019, Off-grid Solar Market Assessment Rwanda; Van Landeghem L., 2016, PRIVATE SECTOR ENGAG; Vianello MM, 2016, ENERGY SITUATION GOU; Wamukonya N, 2007, ENERG POLICY, V35, P6, DOI 10.1016/j.enpol.2005.08.019; Werker E, 2007, J REFUG STUD, V20, P461, DOI 10.1093/jrs/fem001; Whitehouse K., 2019, ADOPTING MARKET BASE, V1, P5; Wijayatunga P., 2005, Energy for Sustainable Development, V9, P5, DOI 10.1016/S0973-0826(08)60487-1; World Bank, 2017, SUSTAINABLE ENERGY A; Yadav P, 2019, ENERGY SUSTAIN DEV, V48, P139, DOI 10.1016/j.esd.2018.12.005; Yudha SW, 2018, ENERGIES, V11, DOI 10.3390/en11051272; Zalengera C, 2014, RENEW SUST ENERG REV, V38, P335, DOI 10.1016/j.rser.2014.05.050; Zetter R., 2018, Forced Migration Review, V58, P4; Zubi G, 2019, RENEW ENERG, V132, P1425, DOI 10.1016/j.renene.2018.08.093; Zubi G, 2018, RENEW SUST ENERG REV, V89, P292, DOI 10.1016/j.rser.2018.03.002; Zubi G, 2017, SOL ENERGY, V155, P7, DOI 10.1016/j.solener.2017.05.077</t>
  </si>
  <si>
    <t>1879-0690</t>
  </si>
  <si>
    <t>10.1016/j.rser.2021.110872</t>
  </si>
  <si>
    <t>RJ6JX</t>
  </si>
  <si>
    <t>WOS:000637707800006</t>
  </si>
  <si>
    <t>Arteaga, L; Pahlow, M; Oschlies, A</t>
  </si>
  <si>
    <t>Arteaga, Lionel; Pahlow, Markus; Oschlies, Andreas</t>
  </si>
  <si>
    <t>Global patterns of phytoplankton nutrient and light colimitation inferred from an optimality-based model</t>
  </si>
  <si>
    <t>GLOBAL BIOGEOCHEMICAL CYCLES</t>
  </si>
  <si>
    <t>PHAEODACTYLUM-TRICORNUTUM BOHLIN; C-N-P; CHEMICAL-COMPOSITION; LIMITED GROWTH; OCEAN PRODUCTIVITY; DIEL PERIODICITY; ALGAL GROWTH; IRON; LIMITATION; RATIOS</t>
  </si>
  <si>
    <t>The widely used concept of constant Redfield phytoplankton stoichiometry is often applied for estimating which nutrient limits phytoplankton growth in the surface ocean. Culture experiments, in contrast, show strong relations between growth conditions and cellular stoichiometry with often substantial deviations from Redfield stoichiometry. Here we investigate to what extent both views agree by analyzing remote sensing and in situ data with an optimality-based model of nondiazotrophic phytoplankton growth in order to infer seasonally varying patterns of colimitation by light, nitrogen (N), and phosphorus (P) in the global ocean. Our combined model-data analysis suggests strong N and N-P colimitation in the tropical ocean, seasonal light, and N-P colimitation in the Northern Hemisphere, and strong light limitation only during winter in the Southern Ocean. The eastern equatorial Pacific appears as the only ocean area that is essentially not limited by N, P, or light. Even though our optimality-based approach specifically accounts for flexible stoichiometry, inferred patterns of N and P limitation are to some extent consistent with those obtained from an analysis of surface inorganic nutrients with respect to the Redfield N: P ratio. Iron is not part of our analysis, implying that we cannot accurately predict N cell quotas in high-nutrient, low-chlorophyll regions. Elsewhere, we do not expect a major effect of iron on the relative distribution of N, P, and light colimitation areas. The relative importance of N, P, and light in limiting phytoplankton growth diagnosed here by combining observations and an optimal growth model provides a useful constraint for models used to predict future marine biological production under changing environmental conditions.</t>
  </si>
  <si>
    <t>[Arteaga, Lionel; Pahlow, Markus; Oschlies, Andreas] GEOMAR Helmholtz Ctr Ocean Res Kiel, Kiel, Germany</t>
  </si>
  <si>
    <t>Helmholtz Association; GEOMAR Helmholtz Center for Ocean Research Kiel</t>
  </si>
  <si>
    <t>Arteaga, L (corresponding author), GEOMAR Helmholtz Ctr Ocean Res Kiel, Kiel, Germany.</t>
  </si>
  <si>
    <t>larteaga@geomar.de</t>
  </si>
  <si>
    <t>Pahlow, Markus/AAC-4919-2020; Arteaga, Lionel/HRA-0626-2023; Arteaga, Lionel/V-4549-2019; Oschlies, Andreas/F-9749-2012</t>
  </si>
  <si>
    <t>Arteaga, Lionel/0000-0002-2796-7452; Oschlies, Andreas/0000-0002-8295-4013</t>
  </si>
  <si>
    <t>European Community [282723]</t>
  </si>
  <si>
    <t>European Community</t>
  </si>
  <si>
    <t>We wish to thank M. Behrenfeld and R. O'Malley for sharing their expertise and providing helpful insights on satellite inputs and the computation of the median mixed layer light level (Ig). The research leading to these results has received funding from the European Community's Seventh Framework Programme FP7/2007-2013, Space Theme, under grant agreement 282723 (OSS2015). This work is also a contribution of the Sonderforschungsbereich 754 Biogeochemistry Interactions in the Tropical Ocean (www.sfb754.de).</t>
  </si>
  <si>
    <t>Ågren GI, 2004, ECOL LETT, V7, P185, DOI 10.1111/j.1461-0248.2004.00567.x; [Anonymous], 1982, NOAA PROFESSIONAL PA; Aumont O, 2003, GLOBAL BIOGEOCHEM CY, V17, DOI 10.1029/2001GB001745; Behrenfeld MJ, 2005, GLOBAL BIOGEOCHEM CY, V19, DOI 10.1029/2004GB002299; Boyd PW, 2007, SCIENCE, V315, P612, DOI 10.1126/science.1131669; CULLEN JJ, 1988, J PLANKTON RES, V10, P1039, DOI 10.1093/plankt/10.5.1039; DORTCH Q, 1990, MAR ECOL PROG SER, V61, P183, DOI 10.3354/meps061183; DROOP MR, 1983, BOT MAR, V26, P99, DOI 10.1515/botm.1983.26.3.99; EPPLEY RW, 1972, FISH B-NOAA, V70, P1063; Falkowski P.G., 2013, Aquatic photosynthesis; FANNING KA, 1992, J GEOPHYS RES-OCEANS, V97, P5693, DOI 10.1029/92JC00007; Flynn KJ, 2010, J MARINE SYST, V83, P170, DOI 10.1016/j.jmarsys.2010.04.007; Geider RJ, 2002, EUR J PHYCOL, V37, P1, DOI 10.1017/S0967026201003456; Geider RJ, 1998, LIMNOL OCEANOGR, V43, P679, DOI 10.4319/lo.1998.43.4.0679; GEIDER RJ, 1994, PHOTOSYNTH RES, V39, P275, DOI 10.1007/BF00014588; GOLDMAN JC, 1979, NATURE, V279, P210, DOI 10.1038/279210a0; GREENE RM, 1992, PLANT PHYSIOL, V100, P565, DOI 10.1104/pp.100.2.565; Gruber N, 1997, GLOBAL BIOGEOCHEM CY, V11, P235, DOI 10.1029/97GB00077; HEALEY FP, 1985, J PHYCOL, V21, P134, DOI 10.1111/j.0022-3646.1985.00134.x; Klausmeier CA, 2004, NATURE, V429, P171, DOI 10.1038/nature02454; Körtzinger A, 2001, DEEP-SEA RES PT I, V48, P661, DOI 10.1016/S0967-0637(00)00051-0; Krauk JM, 2006, AQUAT MICROB ECOL, V42, P243, DOI 10.3354/ame042243; LAWS EA, 1980, LIMNOL OCEANOGR, V25, P457, DOI 10.4319/lo.1980.25.3.0457; Llewellyn CA, 2005, J PLANKTON RES, V27, P103, DOI 10.1093/plankt/fbh158; MARTIN JH, 1990, NATURE, V345, P156, DOI 10.1038/345156a0; Martiny AC, 2013, GLOBAL BIOGEOCHEM CY, V27, P723, DOI 10.1002/gbc.20061; Martiny AC, 2013, NAT GEOSCI, V6, P279, DOI [10.1038/ngeo1757, 10.1038/NGEO1757]; MITCHELL BG, 1991, LIMNOL OCEANOGR, V36, P1662, DOI 10.4319/lo.1991.36.8.1662; Moore CM, 2013, NAT GEOSCI, V6, P701, DOI [10.1038/ngeo1765, 10.1038/NGEO1765]; Moore JK, 2001, DEEP-SEA RES PT II, V49, P463; NELSON DM, 1991, LIMNOL OCEANOGR, V36, P1650, DOI 10.4319/lo.1991.36.8.1650; Pahlow M, 2005, MAR ECOL PROG SER, V287, P33, DOI 10.3354/meps287033; Pahlow M, 2013, MAR ECOL PROG SER, V489, P1, DOI 10.3354/meps10449; Pahlow M, 2013, MAR ECOL PROG SER, V473, P1, DOI 10.3354/meps10181; Quigg A, 2003, NATURE, V425, P291, DOI 10.1038/nature01953; RHEE GY, 1978, LIMNOL OCEANOGR, V23, P10, DOI 10.4319/lo.1978.23.1.0010; Smith SL, 2011, LIMNOL OCEANOGR, V56, P2080, DOI 10.4319/lo.2011.56.6.2080; Sterner RW., 2003, ECOLOGICAL STOICHIOM; TERRY KL, 1985, J EXP MAR BIOL ECOL, V86, P85, DOI 10.1016/0022-0981(85)90044-9; TERRY KL, 1983, J EXP MAR BIOL ECOL, V68, P209, DOI 10.1016/0022-0981(83)90054-0; TIMMERMANS KR, 1994, MAR BIOL, V121, P389, DOI 10.1007/BF00346749; Weber T, 2012, NATURE, V489, P419, DOI 10.1038/nature11357; Westberry T, 2008, GLOBAL BIOGEOCHEM CY, V22, DOI 10.1029/2007GB003078; WINN CD, 1995, GLOBAL BIOGEOCHEM CY, V9, P605, DOI 10.1029/95GB02149; Wu JF, 2000, SCIENCE, V289, P759, DOI 10.1126/science.289.5480.759</t>
  </si>
  <si>
    <t>AMER GEOPHYSICAL UNION</t>
  </si>
  <si>
    <t>2000 FLORIDA AVE NW, WASHINGTON, DC 20009 USA</t>
  </si>
  <si>
    <t>0886-6236</t>
  </si>
  <si>
    <t>1944-9224</t>
  </si>
  <si>
    <t>GLOBAL BIOGEOCHEM CY</t>
  </si>
  <si>
    <t>Glob. Biogeochem. Cycle</t>
  </si>
  <si>
    <t>10.1002/2013GB004668</t>
  </si>
  <si>
    <t>AN5DL</t>
  </si>
  <si>
    <t>WOS:000340609800002</t>
  </si>
  <si>
    <t>Brey, JA; Geer, IW; Mills, EW; Nugnes, KA</t>
  </si>
  <si>
    <t>Brey, James A.; Geer, Ira W.; Mills, Elizabeth W.; Nugnes, Kira A.</t>
  </si>
  <si>
    <t>Using Real-World Data to Increase Students' Scientific Literacy</t>
  </si>
  <si>
    <t>2013 OCEANS - SAN DIEGO</t>
  </si>
  <si>
    <t>MTS/IEEE Oceans Conference</t>
  </si>
  <si>
    <t>SEP 23-27, 2013</t>
  </si>
  <si>
    <t>ocean; climate; water; course; online; diversity</t>
  </si>
  <si>
    <t>The future state of the world's oceans greatly depends on the leaders of tomorrow. That's why increasing today's students' ocean literacy is so important and that's why raising students' overall earth science literacy is a primary goal of the American Meteorological Society (AMS). Through the creation of high-caliber, scientifically-authentic educational materials, the AMS offers a suite of introductory, undergraduate-level courses that engage students by investigating current topics in Earth science through the use of real-world environmental data. AMS Ocean Studies, AMS Weather Studies, and AMS Climate Studies have been developed by the AMS with support from NSF, NOAA, and NASA. Designed to be adaptable to traditional, hybrid, or online instructional settings, these courses have already been adopted by 770 institutions across the United States. The recently revised 3rd edition Ocean Studies textbook features updated topics such as the 2011 Japan earthquake/tsunami event, the 2010 Gulf oil spill, ocean acidification, harmful algal blooms, along with a detailed look at the essential role the ocean plays in Earth's climate system. The textbook also reviews the latest technology for monitoring ocean properties including floats and gliders and cabled ocean observatories. Updated yearly, the investigations manual contains 30 laboratory activities, two per textbook chapter, and innovatively connects with a third online component, Current Ocean/Weather/Climate Studies, via the course website. These online investigations use real-world data from NOAA's National Ocean Service (NOS) and Satellite and Information Service (NESDIS), reports from the IPCC, and from other lead scientific organizations. The course website is an all-inclusive webpage that provides links to numerous external sources that further engage students. Instructor support materials are available with each course and include a Faculty CD that contains a faculty manual with learning objectives and suggestions for course implementation, as well as investigations manual answer forms compatible with any course management system, test bank questions and answers, textbook images, and PowerPoint (R) presentations for each chapter. The investigations manual answer forms are files compatible with Respondus (R), test-generating software for which many institutions are licensed (answer forms are also provided in Respondus (R) format). The faculty member has the option of delivering questions through their course management system to allow for automatic scoring and immediate feedback for their students. This feature allows for full integration to a college's e-learning environment. AMS Ocean Studies, AMS Weather Studies, and AMS Climate Studies can be taught by experienced science faculty or those new to teaching the subject matter. Mentoring by AMS-trained course instructors is available to all new instructors.</t>
  </si>
  <si>
    <t>[Brey, James A.; Geer, Ira W.; Mills, Elizabeth W.; Nugnes, Kira A.] Amer Meteorol Soc, Educ Program, Washington, DC USA</t>
  </si>
  <si>
    <t>Brey, JA (corresponding author), Amer Meteorol Soc, Educ Program, Washington, DC USA.</t>
  </si>
  <si>
    <t>amsedu@ametsoc.org</t>
  </si>
  <si>
    <t>[Anonymous], 2000, OVERVIEW RACE HISPAN; Geer I., 2006, 15 S ED AMS ATL GA; Geer IW, 2004, B AM METEOROL SOC, V85, P37, DOI 10.1175/BAMS-85-1-37; Kannankutty Nirmala, 2008, 08305 NSF; Lane M., 2007, J GEOSCIENCE ED DEP; Smith D., 2006, MARINE TECH SOC J, V85, P4; Smith D., 2006, MARINE TECH SOC J, V85, P64</t>
  </si>
  <si>
    <t>978-0-933957-40-4</t>
  </si>
  <si>
    <t>Engineering, Marine; Oceanography</t>
  </si>
  <si>
    <t>BA3ER</t>
  </si>
  <si>
    <t>WOS:000334165800110</t>
  </si>
  <si>
    <t>Michalowska, M</t>
  </si>
  <si>
    <t>Michalowska, Marianna</t>
  </si>
  <si>
    <t>Artists in the face of threats of climate change</t>
  </si>
  <si>
    <t>OCEANOLOGIA</t>
  </si>
  <si>
    <t>Conference on Societal Relevance of Polar Research</t>
  </si>
  <si>
    <t>NOV 27-28, 2018</t>
  </si>
  <si>
    <t>Polish Acad Sci, Inst Oceanol, Sopot, POLAND</t>
  </si>
  <si>
    <t>Polish Acad Sci, Inst Oceanol</t>
  </si>
  <si>
    <t>Ocean literacy; Climate change; Environmental art; Environmental photography; Social impact of science</t>
  </si>
  <si>
    <t>In contemporary visual culture, the subject of climate change and the need for commitment to counteract it (Demos, 2016; Korber et al., 2017; Tsing et al., 2017) are increasingly being addressed. The artists' observation concerns not only the natural effects of climate change but also their impact on the social and cultural heritage of the inhabitants of regions of the most endangered areas. Areas most vulnerable to destruction: oceans, coral reefs and polar regions are becoming a particular subject of interest for artists. A reflection of this interest can be the increasing number of exhibitions devoted to the current state of the environment (i.e. the project Plasticity of the Planet presented in 2019 in Ujazdowski Castle Centre for Contemporary Art in Warsaw). In the article selected artistic strategies to publicize the problems of ecology will be indicated. The first strategy is the exhibition of the beauty of the natural environment and the melancholy associated with its disappearance. An example of this can be Art of the Arctic by environmental photographer Kerry Koeping who focuses the audience's attention on ocean literacy by means of affecting landscapes of the Arctic or the artistic residence in PAN Hornsund Polar Station of Janusz Oleksa. The second way is to indicate the physical and biological effects of climate change. An example would be the work of Kelly Jazvac who, in collaboration with an oceanographer Charles Moore and a geologist Patricia Corcoran, presents plastiglomerate by Agnieszka Kurant - new forms of fossils, resulting from the combination of shells and stones with plastics or artificial compounds. The third method is the presentation of the residents' experience. The examples are works of Subhankar Banerjee, who draws inspiration from ethnographic research and documentary films and Jakub Witek's documentary about Polish emigrants living in Ice-land. The artist presents the consequences of climate change for the inhabitants of the polar regions. The fourth way is to build a metaphor for the presence of a 'stranger' - a traveller, an explorer or a scientist. An example is a photographic performance entitled Polaris Summer by Kuba Bakowski conducted during a scientific expedition to Spitsbergen, or three-screen projection by John Akomfrah's showing the relationship between man and oceans in the context of exploitation of natural and human resources. For the artistic practices described in the article, I use the theoretical framework of environmental art that binds together aesthetics, ethics and politics. The purpose of the article is to check whether such a connection can be attractive to the audience. (C) 2020 Institute of Oceanology of the Polish Academy of Sciences. Production and hosting by Elsevier B.V.</t>
  </si>
  <si>
    <t>[Michalowska, Marianna] Adam Mickiewicz Univ, Inst Cultural Studies, Szamarzewskiego 89, PL-60568 Poznan, Poland</t>
  </si>
  <si>
    <t>Adam Mickiewicz University</t>
  </si>
  <si>
    <t>Michalowska, M (corresponding author), Adam Mickiewicz Univ, Inst Cultural Studies, Szamarzewskiego 89, PL-60568 Poznan, Poland.</t>
  </si>
  <si>
    <t>mariamne@amu.edu.pl</t>
  </si>
  <si>
    <t>Michalowska, Marianna/0000-0003-4968-9710</t>
  </si>
  <si>
    <t>Bakke M., 2010, SZTUKA ESTETYKA POST; Bal M., 2013, LUST KULTURTHEORIE T, p[60, 49]; Bal M., 2013, LUST KULTURTHEORIE T, P60; Bal M, 2007, IN(TER)DISCIPLINE: NEW LANGUAGES FOR CRITICISM, P6; Banerjee Subhankar., 2012, ARCTIC VOICES RESIST; Berleant A., 2000, AESTHETIC FIELD PHEN, P92; Berlinska A., 2013, DWUTYGODNIK, V113; Bishop Claire., 2012, Artificial Hells: Participatory Art and the Politics of Spectatorship; Bloom LE, 2012, FAR FIELD: DIGITAL CULTURE, CLIMATE CHANGE, AND THE POLES, P117; Bourrieud N., 1998, RELATIONAL AESTHETIC, P56; Braithwaite R.N., 2013, 2013 IEEE MTT-S International Microwave Symposium Digest (MTT), P1; Brockman John, 1995, The Third Culture: Beyond the Scientific Revolution; CONDON RG, 1989, ARCTIC ANTHROPOL, V26, P46; Curtis David J., 2014, S.A.P.I.EN.S: Surveys and Perspectives Integrating Environment and Society, V7, P1; Demos T.J., 2017, VISUAL CULTURE ENV T; Demos T.J., 2016, CONT ART POLITICS EC; Dubler N N, 1999, Conserv Jud, V51, P6; Eisner E.W., 2012, ART BASED RES; ELKINS J, 1996, CRIT INQUIRY, V22, P590, DOI 10.1086/448809; Enge Eric., 2012, Mastering Search Engine Optimization; Fuentes A, 2010, CULT ANTHROPOL, V25, P600, DOI 10.1111/j.1548-1360.2010.01071.x; Groys B., 2016, IN THE FLOW, P44; Groys B., 2016, IN THE FLOW, V44, P44; HARAWAY D, 1985, SOCIALIST REV, P65; Haraway DonnaJ., 2003, COMPANION SPECIES MA, V1; Kaczmarek J., 2001, SZTUKI SPOLECZNEJ UT; Kaganovsky Lilya., 2019, Arctic Cinemas and the Documentary Ethos; Kant I., 2011, OBSERVATIONS FEELING, P16; Kay A., 2000, Community Development Journal, V35, P414, DOI 10.1093/cdj/35.4.414; Kluszczynski R.W., 2011, PRZ KULTUROZN, V1, P24; Kmita J., 2007, WYD NAUK; Korber Lill-Ann, 2017, Arctic Environmental Modernities: From the Age of Polar Exploration to the Era of the Anthropocene; KOSINSKA Marta, 2016, SZTUKA DOKUMENTACJA, VVIII, P12; Latour B., 1979, Laboratory Life; Latour Bruno, 2018, Facing Gaia: Eight Lectures on the New Climatic Regime; Leavy P., 2020, METHOD MEETS ART ART, DOI DOI 10.3758/BF03203267; Lewis-Jones Huw., 2017, Imagining the Arctic. Heroism; Lucas K, 2008, ENVIRON SCI POLICY, V11, P456, DOI 10.1016/j.envsci.2008.03.001; Lyotard J.-F., 1991, OXFORD; MacKenzie S., 2015, FILM ICE CINEMAS ARC; Malabou Catherine., 2010, Plasticity at the Dusk of Writing: Dialectic, Destruction, Deconstruction; Maldonato M., 2017, POSTHUMAN CONSCIOUSN; Malm Andreas, 2016, RISE STEAM POWER ROO; Manzoor H, 2019, INT J ENGL LINGUIST, V9, P301, DOI 10.5539/ijel.v9n3p301; Maryl M., 2013, TEKSTY DRUGIE, V4, P320; Olsen Bjornar., 2010, In Defence of Things: Archaeology and the Ontology of Objects; Rathwell KJ, 2016, ECOL SOC, V21, DOI 10.5751/ES-08369-210221; Robertson Roland., 1994, J INT COMMUNICATION, V1, P33, DOI [10.1080/13216597.2012.709925, DOI 10.1080/13216597.1994.9751780]; Shanks M., 1992, Experiencing the past: On the character of archaeology; Snow CharlesP., 1959, The Two Cultures and the Scientific Revolution; Steffen W, 2011, PHILOS T R SOC A, V369, P842, DOI 10.1098/rsta.2010.0327; Thornes JE, 2008, ANNU REV ENV RESOUR, V33, P391, DOI 10.1146/annurev.environ.31.042605.134920; Tsing A.Et Al., 2017, Arts of Living on a Damaged Planet</t>
  </si>
  <si>
    <t>POLISH ACAD SCIENCES INST OCEANOLOGY</t>
  </si>
  <si>
    <t>SOPOT</t>
  </si>
  <si>
    <t>POWSTANCOW WASZAWY 55, PL-81-712 SOPOT, POLAND</t>
  </si>
  <si>
    <t>0078-3234</t>
  </si>
  <si>
    <t>2300-7370</t>
  </si>
  <si>
    <t>Oceanologia</t>
  </si>
  <si>
    <t>OCT-DEC</t>
  </si>
  <si>
    <t>10.1016/j.oceano.2020.03.003</t>
  </si>
  <si>
    <t>OH5MR</t>
  </si>
  <si>
    <t>WOS:000582627500003</t>
  </si>
  <si>
    <t>Sugimoto, A; Tajima, H; Sugaya, T; Watari, S</t>
  </si>
  <si>
    <t>Sugimoto, Aoi; Tajima, Hidetomo; Sugaya, Takuma; Watari, Shingo</t>
  </si>
  <si>
    <t>Science-policy-public interface toward ocean sustainability: An empirical study using legal documents, scientific publications, and public inquiry logs in Japan</t>
  </si>
  <si>
    <t>ocean sustainability; science-policy interface; fisheries; ocean science organizations; science communication; text content analysis</t>
  </si>
  <si>
    <t>KNOWLEDGE EXCHANGE; COASTAL FISHERIES; BUNGO CHANNEL; MANAGEMENT; COMANAGEMENT; CONSERVATION; GOVERNANCE; IMPACTS</t>
  </si>
  <si>
    <t>Many countries have governmental fisheries science organizations, each of which should play a critical role in achieving ocean sustainability by leading the fisheries science in each country's specific contexts and beyond. In the context of the UN Decade of Ocean Science (UNDOS), understanding the interface of science, policy, and public interest around fisheries is increasingly recognized as critically important for realizing effective knowledge exchange and co-creating desired futures. This study aims to illuminate the interface of the above three facets as a guide to have better outcomes in the UNDOS timeframe. We used a case study of Japan - a country with extensive seafood production and consumption, and analyzed 1) the scientific performance of the Japan Fisheries Research and Education Agency (JFRA), a national fisheries research organization in the country through peer-reviewed papers published by JFRA researchers from 2004-2018, 2) policy needs through annual white papers published by Fisheries Agency from 1989-2018, and 3) public interest around fisheries through public inquiry logs accumulated at JFRA from 2004-2018. The results indicated the following: 1) JFRA was originally a part of fisheries policies, and both science and policy were inherently based on the fisheries practices in the real world in Japan. However, over the last fifteen years, the scientific performance has heavily focused on bio-physical dimensions of fisheries such areas as Stock assessment, Fisheries Oceanography, and Stock enhancement. 2) Japanese fisheries policy priority has shifted from relatively simple, straightforward keywords focusing on primary fisheries production (from 1989 to 1998) to more complex, multidimensional fisheries systems, including marine resources, producers, processors, and consumers in/outside of the country (from 2009-2018) over the last three decades. 3) Public fisheries/ocean literacy seems limited, despite the rich history of seafood consumption, cultural bond with fisheries, and inherent close relationship among fisheries science, policy, and resource users. Based on the results, we discuss that JFRA sciences, fisheries policy, and the public are contemporary pursuing different interests. To overcome this situation, one important area that JFRA (and any other marine/fisheries research organizations) needs is to reconnect science and public interest through strengthening human dimension works and science communication. For the public side, literacy development among wider stakeholders is one of the most emergent works to be addressed. This is one of the first case studies of science-policy-public interface through empirical data, particularly with the public inquiry log, and the non-Western country case study on this topic. This will encourage other empirical studies from countries with various social/cultural/political backgrounds to enrich the perspective of fisheries science-policy-public interface studies globally.</t>
  </si>
  <si>
    <t>[Sugimoto, Aoi; Watari, Shingo] Japan Fisheries Res &amp; Educ Agcy, Fisheries Resources Inst, Yokohama, Japan; [Tajima, Hidetomo] Japan Fisheries Res &amp; Educ Agcy, Marine Fisheries Res &amp; Dev Ctr, Yokohama, Japan; [Sugaya, Takuma] Japan Fisheries Res &amp; Educ Agcy, Fisheries Technol Inst, Yokohama, Japan</t>
  </si>
  <si>
    <t>Japan Fisheries Research &amp; Education Agency (FRA); Japan Fisheries Research &amp; Education Agency (FRA); Japan Fisheries Research &amp; Education Agency (FRA)</t>
  </si>
  <si>
    <t>Sugimoto, A (corresponding author), Japan Fisheries Res &amp; Educ Agcy, Fisheries Resources Inst, Yokohama, Japan.</t>
  </si>
  <si>
    <t>sugimoto_aoi50@fra.go.jp</t>
  </si>
  <si>
    <t>Sugimoto, Aoi/0000-0002-8077-1854</t>
  </si>
  <si>
    <t>[Anonymous], 2018, PLAN ADAPTATION IMPA; [Anonymous], FISHERY ACT ACTNO 26; [Anonymous], 2017, PLAN MEASURES COPE G; [Anonymous], FISHERIES BASIC ACT; [Anonymous], BASIC PLAN FISHERIES; [Anonymous], 2013, NEW GLOB PARTN ER PO; Ban NC, 2017, ECOSYST HEALTH SUST, V3, DOI 10.1080/20964129.2017.1379887; Bennett NJ, 2021, FISH RES, V239, DOI 10.1016/j.fishres.2021.105934; Bennett NJ, 2019, SUSTAINABILITY-BASEL, V11, DOI 10.3390/su11143881; Bennett NJ, 2014, MAR POLICY, V44, P107, DOI 10.1016/j.marpol.2013.08.017; Blandon A, 2021, MAR POLICY, V123, DOI 10.1016/j.marpol.2020.104279; Blythe J, 2020, FRONT MAR SCI, V7, DOI 10.3389/fmars.2020.539111; Cash DW, 2003, P NATL ACAD SCI USA, V100, P8086, DOI 10.1073/pnas.1231332100; Claudet J, 2020, ONE EARTH, V2, P34, DOI 10.1016/j.oneear.2019.10.012; Cvitanovic C, 2015, OCEAN COAST MANAGE, V112, P25, DOI 10.1016/j.ocecoaman.2015.05.002; Cvitanovic C, 2018, NAT COMMUN, V9, DOI 10.1038/s41467-018-05977-w; Evans LS, 2011, ECOL SOC, V16; FAO, 2022, STATE WORLD FISHERIE, DOI [10.4060/ca9229en, 10.4060/cc0461en, DOI 10.4060/CA9229EN]; Fazey I, 2013, ENVIRON CONSERV, V40, P19, DOI 10.1017/S037689291200029X; Food and Agriculture Organization (FAO), 2015, VOL GUID SEC SUST SM; Ganseforth S, 2023, GEOGR J, V189, P204, DOI 10.1111/geoj.12414; Hanzawa Y., 2021, POTENTIAL CHALLENGES; Higuchi K., 2014, QUANTITATIVE CONTENT; Hirose T, 2017, FISHERIES SCI, V83, P879, DOI 10.1007/s12562-017-1142-9; IOC, 2017, PROP INT DEC OC SCI; IPBES, 2019, Global Assessment Report on Biodiversity and Ecosystem Services of the Intergovernmental Science-Policy Platform on Biodiversity and Ecosystem Services, DOI DOI 10.5281/ZENODO.3553579; Isensee K., 2020, Global Ocean Science Report 2020-Charting Capacity for Ocean Sustainability; Japan Fisheries Research and Education Agency, 2000, 100 YEARS FISH RES J; Jouffray JB, 2020, ONE EARTH, V2, P43, DOI 10.1016/j.oneear.2019.12.016; Kelly R, 2022, REV FISH BIOL FISHER, V32, P123, DOI 10.1007/s11160-020-09625-9; Kittinger JN, 2017, SCIENCE, V356, P912, DOI 10.1126/science.aam9969; Kopke K, 2019, FRONT MAR SCI, V6, DOI 10.3389/fmars.2019.00060; Makino M, 2005, MAR POLICY, V29, P441, DOI 10.1016/j.marpol.2004.07.005; Makino M, 2017, FISHERIES SCI, V83, P853, DOI 10.1007/s12562-017-1141-x; Makino Mitsutaku., 2011, Fisheries Management in Japan: Its Institutional Features and Case Studies; McConney P, 2016, FRONT MAR SCI, V2, DOI 10.3389/fmars.2015.00119; Nash K. L., 2021, REV FISH BIOL FISHER, V5; Nash KL, 2017, NAT ECOL EVOL, V1, P1625, DOI 10.1038/s41559-017-0319-z; Patterson J, 2017, ENVIRON INNOV SOC TR, V24, P1, DOI 10.1016/j.eist.2016.09.001; Pendleton L, 2020, P NATL ACAD SCI USA, V117, P9652, DOI 10.1073/pnas.2005485117; Ryabinin V, 2019, FRONT MAR SCI, V6, DOI 10.3389/fmars.2019.00470; Sato T., 2018, STUDIES COCREATING I; Singh GG, 2021, P NATL ACAD SCI USA, V118, DOI 10.1073/pnas.2100205118; Soomai SS, 2017, MAR POLICY, V81, P53, DOI 10.1016/j.marpol.2017.03.016; Sugimoto A., 2020, J COAST ZONE STUD, V33, P35; Sugimoto A, 2022, MAR POLICY, V138, DOI 10.1016/j.marpol.2022.105005; Swartz W, 2017, MAR POLICY, V76, P185, DOI 10.1016/j.marpol.2016.11.009; United Nat, 2017, FIRST GLOBAL INTEGRATED MARINE ASSESSMENT: WORLD OCEAN ASSESSMENT I, P1, DOI 10.1017/9781108186148; United Nations, 1987, OUR COMMON FUTURE, DOI DOI 10.1080/07488008808408783; Urquhart J, 2014, SOC NATUR RESOUR, V27, P3, DOI 10.1080/08941920.2013.820811; van Putten I, 2021, FRONT MAR SCI, V8, DOI 10.3389/fmars.2021.662350; Watari S, 2017, FISHERIES SCI, V83, P865, DOI 10.1007/s12562-017-1140-y; Xavier LY, 2018, MAR POLICY, V88, P139, DOI 10.1016/j.marpol.2017.11.026; Yagi N., 2020, FISHERY REFORM JAPAN</t>
  </si>
  <si>
    <t>FEB 9</t>
  </si>
  <si>
    <t>10.3389/fmars.2022.1098647</t>
  </si>
  <si>
    <t>D1TB3</t>
  </si>
  <si>
    <t>WOS:000966603300001</t>
  </si>
  <si>
    <t>Medojevic, M; Medojevic, M; Petrovic, J; Delic, M</t>
  </si>
  <si>
    <t>ASHRAE</t>
  </si>
  <si>
    <t>Medojevic, Milana; Medojevic, Milovan; Petrovic, Jovan; Delic, Milan</t>
  </si>
  <si>
    <t>Energy Consumption Indicators of Public Facilities in AP Vojvodina with Focus on Human Factor and Factors Influencing Energy-Saving Behavior of Employees</t>
  </si>
  <si>
    <t>6TH INTERNATIONAL CONFERENCE ON ENERGY RESEARCH AND DEVELOPMENT</t>
  </si>
  <si>
    <t>6th International Conference on Energy Research and Development</t>
  </si>
  <si>
    <t>MAR 14-16, 2016</t>
  </si>
  <si>
    <t>Kuwait Univ, Kuwait, KUWAIT</t>
  </si>
  <si>
    <t>Kuwait Univ</t>
  </si>
  <si>
    <t>EFFICIENT; CONSERVATION; ATTITUDES; EDUCATION</t>
  </si>
  <si>
    <t>Bearing in mind that building sector represents one of the biggest energy consumers in European countries and broader, the facilities in the public sector have been in the focus of attention when it comes to energy consumption with annually increasing energy demand and absence of proper energy management. The biggest consumers in the public sector are employees, but with appropriate activities of energy management it is possible to influence on their energy consumption. Awareness campaigns, education and training programs, label schemes and smart metering are all energy management initiatives based on the principle that more and better information will encourage consumers to use less energy. Also, energy literacy can empower employees to make thoughtful decisions and appropriate energy-related choices, to take responsible actions and embrace changes in the way we harness and consume energy. Individual behavior change can serve as a key strategy for reducing energy use to mitigate greenhouse gas emissions and improve energy security. The aim of this paper is to present the research results and to point out the current state and future needs of energy systems in buildings in Autonomous Province of Vojvodina (APV) in relation to its users. Three major parts of public building sector in APV were observed: 22.6% of Educational facilities, 67.1% of Medical facilities and 58% of the Administrative sector (municipalities). This paper also provides a quick look at the disparity between many of previous studies about energy saving behavior and gives a list of key barriers for energy conservation behavior as well as types of users when it comes to energy issues.</t>
  </si>
  <si>
    <t>[Medojevic, Milana; Medojevic, Milovan; Petrovic, Jovan] Univ Novi Sad, Dept Energy &amp; Proces Engn, Fac Tech Sci, Novi Sad, Serbia; [Delic, Milan] Univ Novi Sad, Dept Ind Engn &amp; Management, Fac Tech Sci, Novi Sad, Serbia</t>
  </si>
  <si>
    <t>University of Novi Sad; University of Novi Sad</t>
  </si>
  <si>
    <t>Medojevic, M (corresponding author), Univ Novi Sad, Dept Energy &amp; Proces Engn, Fac Tech Sci, Novi Sad, Serbia.</t>
  </si>
  <si>
    <t>Medojevic, Milovan/JPL-5391-2023; Medojevic, Milovan/AAT-5083-2021</t>
  </si>
  <si>
    <t>Ministry of Education and Science of the Republic of Serbia [TR33058]</t>
  </si>
  <si>
    <t>Ministry of Education and Science of the Republic of Serbia(Ministry of Education, Science &amp; Technological Development, Serbia)</t>
  </si>
  <si>
    <t>Authors express their deep gratitude to the Ministry of Education and Science of the Republic of Serbia for financial and other assistance in the implementation of project TR33058 Energy systems in public buildings.</t>
  </si>
  <si>
    <t>Abrahamse W, 2005, J ENVIRON PSYCHOL, V25, P273, DOI 10.1016/j.jenvp.2005.08.002; Abrahamse W, 2007, J ENVIRON PSYCHOL, V27, P265, DOI 10.1016/j.jenvp.2007.08.002; AJZEN I, 1991, ORGAN BEHAV HUM DEC, V50, P179, DOI 10.1016/0749-5978(91)90020-T; [Anonymous], 2007, 2007 ANN C EXP; Tavares PFDF, 2007, ENERG BUILDINGS, V39, P23, DOI 10.1016/j.enbuild.2006.04.017; *HKU, 2010, BUILD EN STAND COD B; Hofman R., 2004, I CONTEXTS ED SYSTEM; Kok G, 2011, ENERG POLICY, V39, P5280, DOI 10.1016/j.enpol.2011.05.036; Kovacic BJ, 2012, THERM SCI, V16, pS23, DOI 10.2298/TSCI120128058K; Krnjetin S., 2004, GRADITELJSTVO ZASTIT; Lillemo SC, 2014, ENERG POLICY, V66, P249, DOI 10.1016/j.enpol.2013.10.077; Linden AL, 2006, ENERG POLICY, V34, P1918, DOI 10.1016/j.enpol.2005.01.015; Mileva Vasic, 2012, HVAC J JUN; Mills B, 2012, ENERG POLICY, V49, P616, DOI 10.1016/j.enpol.2012.07.008; Mitrovic S, 2011, TERMOTEHNIKA, VXXXVII, p[1, 131]; Mizobuchi K, 2013, ENERG POLICY, V63, P775, DOI 10.1016/j.enpol.2013.08.064; Mullaly C, 1998, ENERG POLICY, V26, P1041, DOI 10.1016/S0301-4215(98)00046-9; NEWBOROUGH M, 1994, APPL ENERG, V48, P243, DOI 10.1016/0306-2619(94)90013-2; Ouyang JL, 2009, ENERG BUILDINGS, V41, P711, DOI 10.1016/j.enbuild.2009.02.003; Owens S, 2008, ENERG POLICY, V36, P4412, DOI 10.1016/j.enpol.2008.09.031; Pérez-Lombard L, 2008, ENERG BUILDINGS, V40, P394, DOI 10.1016/j.enbuild.2007.03.007; Petrovic JR, 2012, THERM SCI, V16, pS63, DOI 10.2298/TSCI120312061P; Phylipsen D, 2002, ENERG POLICY, V30, P663, DOI 10.1016/S0301-4215(02)00023-X; Pickett-Baker J, 2008, J CONSUM MARK, V25, P281, DOI 10.1108/07363760810890516; Strbac Z, 2011, ENERGETSKA EFIKASNOS; Tobias Fleiter, 2012, GERMAN ENERGY AUDIT; Virkki-Hatakka T, 2013, ENERG POLICY, V60, P499, DOI 10.1016/j.enpol.2013.04.052; WILHITE H, 1995, ENERG BUILDINGS, V22, P145, DOI 10.1016/0378-7788(94)00912-4; Yamtraipat N, 2006, ENERG POLICY, V34, P765, DOI 10.1016/j.enpol.2004.07.009; YANG L, 2008, APPL ENERGY; Yue T, 2013, ENERG POLICY, V62, P665, DOI 10.1016/j.enpol.2013.07.051; ZOGRAFAKIS N, 2007, P SECOTOX C INT C EN, P2933; Zografakis N, 2008, ENERG POLICY, V36, P3226, DOI 10.1016/j.enpol.2008.04.021</t>
  </si>
  <si>
    <t>AMER SOC HEATING, REFRIGERATING AND AIR-CONDITIONING ENGS</t>
  </si>
  <si>
    <t>ATLANTA</t>
  </si>
  <si>
    <t>1791 TULLIE CIRCLE NE, ATLANTA, GA 30329 USA</t>
  </si>
  <si>
    <t>978-1-939200-22-8</t>
  </si>
  <si>
    <t>BM7WS</t>
  </si>
  <si>
    <t>WOS:000468509800003</t>
  </si>
  <si>
    <t>Zhu, X; Mao, ZK; Qu, JL; Zhang, ZJ</t>
  </si>
  <si>
    <t>Zhu, Xiong; Mao, Zhengkai; Qu, Jinliang; Zhang, Zhijun</t>
  </si>
  <si>
    <t>Historical logic and maritime cultural foundation of China's initiative of building a maritime community with a shared future</t>
  </si>
  <si>
    <t>maritime community with a shared future; global ocean governance; cross-sea communication; ocean culture; Chinese culture</t>
  </si>
  <si>
    <t>Building a Maritime Community with a Shared Future (MCSF) is a maritime development concept with Chinese characteristics proposed by Chinese President Xi Jinping in 2019. It is based on the rich cultural tradition and unique historical value of China's maritime civilization. It aims to solve real ocean problems and has outlined the future direction of human ocean development from the perspective of China. The essence of the MCSF is an issue of both ocean cultural and development concepts. It is a conceptual issue that transcends specific national boundaries and regions and is based on how all of humankind, with common interests and common values, can develop in harmony with the oceans. It is not a covert discourse strategy adopted by China in order to realize its maritime power ambition, as occasionally described by some Western countries. Starting with an analysis of the essential nature and implications of maritime culture by Chinese researchers, this article clarifies and summarizes the interaction, exchange, and integration of Chinese maritime culture in East Asia from a historical perspective, and extracts the unique characteristics and values of Chinese maritime culture. From the perspective of human-sea interactions, the three historical stages, as well as the existing problems of transforming and upgrading human-ocean culture, are analyzed. The article also contrasts Chinese and Western maritime cultures and proposes to absorb the outstanding achievements of both Chinese and Western maritime civilizations into a common framework in order to fundamentally reverse the antagonistic human-sea relationship that has existed historically. Finally, we propose giving full play to the fundamental role of marine cultural exchange and integration and, through international cooperation on specific issues in the field of global ocean international relations, propose specific and feasible practical pathways to promoting the realization of the MCSF.</t>
  </si>
  <si>
    <t>[Zhu, Xiong; Zhang, Zhijun] Ocean Univ China, Inst Marine Dev, Qingdao, Peoples R China; [Mao, Zhengkai] Ocean Univ China, Sch Law, Qingdao, Peoples R China; [Qu, Jinliang] Jimei Univ, Coll Marine Culture &amp; Law, Xiamen, Peoples R China</t>
  </si>
  <si>
    <t>Ocean University of China; Ocean University of China; Jimei University</t>
  </si>
  <si>
    <t>Zhang, ZJ (corresponding author), Ocean Univ China, Inst Marine Dev, Qingdao, Peoples R China.</t>
  </si>
  <si>
    <t>lzuzhangzhijun@163.com</t>
  </si>
  <si>
    <t>Social Science Planning Research Project of Shandong Province [23CXSXJ29]; China Postdoctoral Science Foundation [2023M743329]</t>
  </si>
  <si>
    <t>Social Science Planning Research Project of Shandong Province; China Postdoctoral Science Foundation(China Postdoctoral Science Foundation)</t>
  </si>
  <si>
    <t>The author(s) declare financial support was received for the research, authorship, and/or publication of this article. This research was funded by Social Science Planning Research Project of Shandong Province: Construction and International Communication of the Discourse System of the MCSF(23CXSXJ29) and The 74th General Funding Project of China Postdoctoral Science Foundation(2023M743329).</t>
  </si>
  <si>
    <t>Bai J. Y., 2017, Dongyue Tribune, V38, P41, DOI [10.15981/j.cnki.dongyueluncong.2017.09.006, DOI 10.15981/J.CNKI.DONGYUELUNCONG.2017.09.006]; Bao M. H., 2008, Acad. Res, V6, P115; Chen J., 2020, Contemp. Int. Relat, V30, P21; Chen X. W., 2019, J. Northeast Norm. Univ. (Philos. Soc Sci.), V4, P15, DOI [10.16164/j.cnki.22-1062/c.2019.04.003, DOI 10.16164/J.CNKI.22-1062/C.2019.04.003]; Cheng Z. J., 2023, J. Jiangsu Ocean Univ.(Humanities Soc. Sci. Edition), V21, P17; Clingan T. A., 1994, The law of the sea: ocean law and policy, P19; Dai Y., 2023, Inner Mongolia Soc Sci, V44, P1, DOI [10.14137/j.cnki.issn1003-5281.2023.02.001, DOI 10.14137/J.CNKI.ISSN1003-5281.2023.02.001]; Feng L., 2020, Acad. Bimestris, V5, P12, DOI [10.16091/j.cnki.cn32-1308/c.2020.05.003, DOI 10.16091/J.CNKI.CN32-1308/C.2020.05.003]; Fu M. Z., 2022, Contemp. China World, V2, P37; Gong Y. Y., 2014, Marit. Hist. Stud, V2, P1; He Z. P., 2022, J.Dalian Marit. Univ. (Soc. Sci. Ed.), V21, P1; Huang T., 2017, Marxism Real, V5, P168, DOI [10.15894/j.cnki.cn11-3040/a.2017.05.023, DOI 10.15894/J.CNKI.CN11-3040/A.2017.05.023]; Jin Y. M., 2023, J.Soc Sci, V10, P102, DOI [10.13644/j.cnki.cn31-1112.2023.10.002, DOI 10.13644/J.CNKI.CN31-1112.2023.10.002]; Jin Y. M., 2021, J. Ocean Univ. China (Soc. Sci. Ed.), V1, P1, DOI [10.16497/j.cnki.1672-335x.202101001, DOI 10.16497/J.CNKI.1672-335X.202101001]; Lu J., 2022, Foreign Aff. Rev, V39, P1, DOI [10.13569/j.cnki.far.2022.01.001, DOI 10.13569/J.CNKI.FAR.2022.01.001]; Lyu M., 2023, International review, V2, P102; Ma J. X., 2020, Pac. J, V28, P1, DOI [10.14015/j.cnki.1004-8049.2020.09.001, DOI 10.14015/J.CNKI.1004-8049.2020.09.001]; Qu J. L., 2014, Frontiers, V24, P65, DOI [10.16619/j.cnki.rmltxsqy.2014.24.002, DOI 10.16619/J.CNKI.RMLTXSQY.2014.24.002]; Qu J. L., 2014, Research on basic theory of Chinese marine culture; Tang G., 2022, J. Nanjing Univ. Sci. Technol. (Soc. Sci.), V35, P7, DOI [10.19847/j.ISSN1008-2646.2022.01.002, DOI 10.19847/J.ISSN1008-2646.2022.01.002]; Wang Y. Z., 2022, J.Contemp. Asia, V3, P4; Wei J. X., 2022, J. S. China Sea Stud, V8, P59; Xu W. Y., 2021, J. Jimei Univ. (Philos. Soc Sci.), V24, P19; Xue G. F., 2023, J. Shanghai Jiaotong Univ. (Philos. Soc Sci.), V31, P1, DOI [10.13806/j.cnki.issn1008-7095.2023.03.001, DOI 10.13806/J.CNKI.ISSN1008-7095.2023.03.001]; Yao Y., 2019, Contemporary Law Rev., V33, P138; Zhang X., 2019, Southeast Acad. Res, V1, P16, DOI [10.13658/j.cnki.sar.2019.01.003, DOI 10.13658/J.CNKI.SAR.2019.01.003]; Zhou Y. S., 2012, Foreign Aff. Rev, V29, P114, DOI [10.13569/j.cnki.far.2012.01.010, DOI 10.13569/J.CNKI.FAR.2012.01.010]; Zhu F., 2021, Asia Pac. Sec. Marit. Aff, V4, P1, DOI [10.19780/j.cnki.2096-0484.20210720.001, DOI 10.19780/J.CNKI.2096-0484.20210720.001]; Zhu J. J., 2016, Pac. J, V24, P80, DOI [10.14015/j.cnki.1004-8049.2016.10.009, DOI 10.14015/J.CNKI.1004-8049.2016.10.009]; Zhu X., 2020, Marit. Hist. Stud, V4, P106, DOI [10.16674/j.cnki.cn35-1066/u.2020.04.009, DOI 10.16674/J.CNKI.CN35-1066/U.2020.04.009]; Zhu X., 2019, J. Zhejiang Ocean Univ.(Humanities Sciences), V36, P23</t>
  </si>
  <si>
    <t>FEB 27</t>
  </si>
  <si>
    <t>10.3389/fmars.2024.1362399</t>
  </si>
  <si>
    <t>KN2U6</t>
  </si>
  <si>
    <t>WOS:001180587200001</t>
  </si>
  <si>
    <t>Bergman, N; Eyre, N</t>
  </si>
  <si>
    <t>Bergman, Noam; Eyre, Nick</t>
  </si>
  <si>
    <t>What role for microgeneration in a shift to a low carbon domestic energy sector in the UK?</t>
  </si>
  <si>
    <t>Microgeneration; Domestic energy; Behaviour; Transition; Socio-technical regime; Niches; Strategic niche management</t>
  </si>
  <si>
    <t>PHOTOVOLTAIC SYSTEMS; MICRO-GENERATION; POLICY; TRANSITIONS; BARRIERS</t>
  </si>
  <si>
    <t>Domestic energy use accounts for more than a quarter of CO2 emissions in the UK. Traditional approaches to energy reduction look at direct emissions savings, and recommend insulation and efficiency as more cost-effective than microgeneration. However, microgeneration has indirect, 'soft' benefits and could play a significant role in emissions reduction. Current uptake of microgeneration in the UK is low, with various barriers-economic, technical, cultural, behavioural and institutional-both to uptake and to maximising energy and emissions savings once installed. Subsidies and spreading information alone do not guarantee maximising uptake, and even if successful, this is not enough to maximise savings. The industry focuses on maximising sales, with no incentives to ensure best installations and use; householders do not have access to the best information, and user behaviour does not maximise energy and emission savings. This is related to a broader state of socio-technical 'lock-in' in domestic energy use; there's a lack of connection between personal behaviour and energy consumption, let alone global climate change. This suggests that a major cultural-behavioural shift is needed to reduce energy/emissions in the home. Transition theory and strategic niche management provide insights into possible systemic change and a suitable framework for future policies, such as supporting a variety of radically innovative niches, both technological and social. Microgeneration, properly employed, has the potential to play a part in such a transition by increasing awareness and energy literacy and empowering people to seriously engage in energy debates as producers, as well as consumers, of energy. This deeper understanding and heightened responsibility are crucial in a shift toward bottom-up emission-reducing behaviour change and better acceptance of top-down energy-saving policy measures, as part of a new domestic energy paradigm. The implications for policy are that, as well as supporting the technologies, it needs to support existing niches and to develop new niche experiments. Policy needs to consider how to promote empowerment and responsibility and support or even develop new energy sector models; this will involve a range of stakeholders and multiple governance levels, not just national incentive schemes.</t>
  </si>
  <si>
    <t>[Bergman, Noam; Eyre, Nick] Univ Oxford, Environm Change Inst, Sch Geog &amp; Environm, Oxford OX1 3QY, England</t>
  </si>
  <si>
    <t>Bergman, N (corresponding author), Univ Oxford, Environm Change Inst, Sch Geog &amp; Environm, S Parks Rd, Oxford OX1 3QY, England.</t>
  </si>
  <si>
    <t>noam.bergman@ouce.ox.ac.uk</t>
  </si>
  <si>
    <t>EPSRC [EP/H051163/1] Funding Source: UKRI; NERC [NE/G007748/1] Funding Source: UKRI</t>
  </si>
  <si>
    <t>EPSRC(UK Research &amp; Innovation (UKRI)Engineering &amp; Physical Sciences Research Council (EPSRC)); NERC(UK Research &amp; Innovation (UKRI)Natural Environment Research Council (NERC))</t>
  </si>
  <si>
    <t>*ALL STRAT, 2006, PROJ REN UK CONS PER; [Anonymous], 2009, UK REN EN STRAT; [Anonymous], DIG UK EN STAT 2009; ARTHUR WB, 1989, ECON J, V99, P116, DOI 10.2307/2234208; Banks N, 2001, ENERGY EFFICIENCY IN HOUSEHOLD APPLIANCES AND LIGHTING, P141; Bergman N., 2007, INT C WHOL LIF URB S; Bergman N., 2009, Energy, V162, P23; BERGMAN N, 2009, 34 ECI U OXF; BIBBINGS J, 2006, POWERHOUSES WIDENING; *BMU, 2010, DEV REN EN SOURC GER; Boardman B., 2007, HOME TRUTHS LOW CARB; BRIGNALL M, 2010, FREE SOLAR PANELS SO; Brown M. A., 2001, Energy Policy, V29, P1197, DOI 10.1016/S0301-4215(01)00067-2; Caird S, 2008, ENERG EFFIC, V1, P149, DOI 10.1007/s12053-008-9013-y; COX CS, 2006, COMPLIANCE PART L1 2; Crompton T., 2008, Weathercocks and Signposts; Crosbie T, 2010, BUILD RES INF, V38, P70, DOI 10.1080/09613210903279326; Darby S., 2006, A Review for DEFRA of the Literature on Metering, Billing and direct Displays; Darnton A., 2006, Promoting Pro-Environmental Behaviour: Existing Evidence to Inform Better Policy Making, Summary Report, A Study for The Department for Environment, Food and Rural Affairs; *DECC, 2010, EN CONS UK; *DEFRA, 2008, FRAM UND PROENV BEH; *DEFRA, 2008, CARB DIOX EM END US; Devine-Wright H., 2005, ECEEE 2005 SUMM STUD, P1343; Devine-wright P., 2007, RECONSIDERING PUBLIC; Dobbyn J., 2005, SEEING LIGHT IMPACT; *DTI, 2006, OUR EN CHALL POW PEO; *EN SAV TRUST EL E, 2005, POT MICR UK STUD AN; ENERGY E., 2008, GROWTH POTENTIAL MIC; EYRE N, 2004, MICROENERGY SYSTEMS; EYRE N., 2010, ENERGY 2050 TRANSITI; Eyre N., 1997, Energy and Environment, V8, P25; Geels FW, 2005, TECHNOLOGICAL TRANSITIONS AND SYSTEM INNOVATIONS: A CO-EVOLUTIONARY AND SOCIO-TECHNICAL ANALYSIS, P1, DOI 10.4337/9781845424596; Geels FW, 2002, RES POLICY, V31, P1257, DOI 10.1016/S0048-7333(02)00062-8; Geels FW, 2005, TECHNOL FORECAST SOC, V72, P681, DOI 10.1016/j.techfore.2004.08.014; GENUS A, 2008, DIME INT C INN SUST; *GIBC, 2010, GREEN INV BANK COMM; Haas R, 1999, SOL ENERGY, V66, P183, DOI 10.1016/S0038-092X(99)00019-5; Hegger DLT, 2007, TECHNOL ANAL STRATEG, V19, P729, DOI 10.1080/09537320701711215; HILL F, 2009, THESIS U E LONDON LO; HILL F, 2010, ENERGY EFFI IN PRESS; Ieromonachou Petros, 2004, INT J TRANSPORT MANA, V2, P75, DOI DOI 10.1016/J.IJTM.2004.09.002; Jackson T., 2004, MOTIVATING SUSTAINAB; Jager W, 2006, ENERG POLICY, V34, P1935, DOI 10.1016/j.enpol.2004.12.022; JANDA K, 2007, AM SOL EN SOC ASES A; Keirstead J, 2007, ENERG POLICY, V35, P4128, DOI 10.1016/j.enpol.2007.02.019; Killip G., 2008, Building a Greener Britain: Transforming the UK's Existing Housing Stock; Loorbach D, 2006, ENVIRON POLICY, V44, P187; *MCS, 2010, 3001 MCS MIS; Mitchell C, 2004, ENERG POLICY, V32, P1935, DOI 10.1016/j.enpol.2004.03.016; Mitchell C, 2006, ENERG POLICY, V34, P297, DOI 10.1016/j.enpol.2004.08.004; *OFG, 2009, COMM EN SAV PROGR CE; Oreszczyn T, 2010, BUILD RES INF, V38, P107, DOI 10.1080/09613210903265432; Oxera Consulting Ltd, 2006, POL EN EFF UK HOUS S; PRAETORIUS B, 2008, INNOVATION LOW CARBO; RENEWABLES L, 2003, ATTITUDES RENEWABLE; Rogers E.M., 1995, DIFFUSION INNOVATION; Rotmans Jan., 2001, FORESIGHT, V3, DOI [10.1108/14636680110803003, DOI 10.1108/14636680110803003]; SANSTAD AH, 1994, ENERG POLICY, V22, P811, DOI 10.1016/0301-4215(94)90139-2; Sauter R, 2007, ENERG POLICY, V35, P2770, DOI 10.1016/j.enpol.2006.12.006; Shove E, 1998, ENERG POLICY, V26, P1105, DOI 10.1016/S0301-4215(98)00065-2; Smith A, 2005, RES POLICY, V34, P1491, DOI 10.1016/j.respol.2005.07.005; Smith A., 2005, SUPPORTING HARNESSIN; SMITH A, 2006, FRAMING PRESENT SHAP; Smith A, 2007, TECHNOL ANAL STRATEG, V19, P427, DOI 10.1080/09537320701403334; STAFFELL I, 2010, ENERGY IN PRESS; The Office of Gas and Electricity Markets, 2021, PROJ DISC OPT DEL SE; Toffler A., 1980, 3 WAVE; *UKERC, 2010, UK EN RES CTR RESP D; Unruh GC, 2000, ENERG POLICY, V28, P817, DOI 10.1016/S0301-4215(00)00070-7; Walker G, 2007, GLOBAL ENVIRON POLIT, V7, P64, DOI 10.1162/glep.2007.7.2.64; Watson J., 2006, UNLOCKING POWER HOUS; Watson J, 2008, ENERG POLICY, V36, P3095, DOI 10.1016/j.enpol.2008.04.028</t>
  </si>
  <si>
    <t>10.1007/s12053-011-9107-9</t>
  </si>
  <si>
    <t>796RE</t>
  </si>
  <si>
    <t>WOS:000293068600002</t>
  </si>
  <si>
    <t>Ajide, FM; Dada, JT</t>
  </si>
  <si>
    <t>Ajide, Folorunsho M.; Dada, James Temitope</t>
  </si>
  <si>
    <t>Energy poverty and shadow economy: evidence from Africa</t>
  </si>
  <si>
    <t>Energy poverty; Underground economy; SDG 7; Africa</t>
  </si>
  <si>
    <t>FINANCIAL DEVELOPMENT; PANEL-DATA; IMPACT; DETERMINANTS; SECTOR; TESTS; COINTEGRATION; GLOBALIZATION; TRANSITION; COUNTRIES</t>
  </si>
  <si>
    <t>PurposeEnergy poverty is a global phenomenon, but its prevalence is enormous in most African countries, with a potential impact on quality of life. This study aims to investigate the impact of energy poverty on the shadow economy.Design/methodology/approachThe study uses panel data from 45 countries in Africa over a period of 1996-2018. Using panel cointegrating regression and panel vector auto-regression model in the generalized method of moments technique.FindingsThis study provides that energy poverty deepens the size of the shadow economy in Africa. It also documents that there is a bidirectional causality between shadow economy and energy poverty. Therefore, the two variables can predict each other.Practical implicationsThe study suggests that lack of access to clean and modern energy services contributes to the depth of the shadow economy in Africa. African authorities are advised to strengthen rural and urban electrification initiatives by providing adequate energy infrastructure so as to reduce the level of energy poverty in the region. To ensure energy sustainability delivery, the study proposes that the creation of national and local capacities would be the most effective manner to guarantee energy accessibility and affordability. Also, priorities should be given to the local capital mobilization and energy subsidies for the energy poor. Energy literacy may also contribute to the sustainability and the usage of modern energy sources in Africa.Originality/valuePrevious studies reveal that income inequality contributes to the large size of shadow economy in developing economies. However, none of these studies analyzed the role of energy poverty and its implications for underground economic operations. Inadequate access to modern energy sources is likely to deepen the prevalence of informality in developing nations. Based on this, this study provides fresh evidence on the implications of energy deprivation on the shadow economy in Africa using a heterogeneous panel econometric framework. The study contributes to the literature by advocating that the provision of affordable modern energy sources for rural and urban settlements, and the creation of good energy infrastructure for the firms in the formal economy would not only improve the quality of life but also important to discourage underground economic operations in developing economies.</t>
  </si>
  <si>
    <t>[Ajide, Folorunsho M.] Univ Ilorin, Dept Econ, Ilorin, Nigeria; [Dada, James Temitope] Obafemi Awolowo Univ, Dept Econ, Ife, Nigeria</t>
  </si>
  <si>
    <t>University of Ilorin; Obafemi Awolowo University</t>
  </si>
  <si>
    <t>Ajide, FM (corresponding author), Univ Ilorin, Dept Econ, Ilorin, Nigeria.</t>
  </si>
  <si>
    <t>ajide2010@gmail.com</t>
  </si>
  <si>
    <t>Dada, James Temitope/GYU-5487-2022; Ajide, Folorunsho/V-8597-2019</t>
  </si>
  <si>
    <t>Dada, James Temitope/0000-0002-8434-6660; Ajide, Folorunsho/0000-0003-3231-2423</t>
  </si>
  <si>
    <t>Abrigo MRM, 2016, STATA J, V16, P778, DOI 10.1177/1536867X1601600314; Acharya RH, 2019, ENERG BUILDINGS, V183, P785, DOI 10.1016/j.enbuild.2018.11.047; Adom PK, 2021, RENEW ENERG, V178, P1337, DOI 10.1016/j.renene.2021.06.120; Ajide Folorunsho Monsuru, 2022, International Journal of Economics and Business Research, V23, P156, DOI 10.1504/IJEBR.2022.120646; Ajide FM., 2022, INT SOC SCI J, V72, P749, DOI [DOI 10.1111/ISSJ.12337, 10.1111/issj.12337]; Ajide FM, 2024, REV ECON POLIT SCI-R, V9, P166, DOI 10.1108/REPS-10-2022-0075; Ajide FM, 2023, INT J PUBLIC ADMIN, DOI 10.1080/01900692.2023.2207117; Amin A, 2020, ENVIRON SCI POLLUT R, V27, P31623, DOI 10.1007/s11356-020-09173-6; Amuedo-Dorantes C, 2004, ECON DEV CULT CHANGE, V52, P347, DOI 10.1086/380926; Andersen TB, 2013, ENERG ECON, V38, P19, DOI 10.1016/j.eneco.2013.02.016; [Anonymous], 2010, Energy Poverty: How to make modern energy access universal; [Anonymous], 2012, WORLD ENERGY OUTLOOK; Arnaut M, 2023, SOC BUS REV, V18, P646, DOI 10.1108/SBR-07-2022-0181; Balcilar M, 2021, INT REV ECON FINANC, V76, P114, DOI 10.1016/j.iref.2021.05.011; Barnes DF, 2011, ENERG POLICY, V39, P894, DOI 10.1016/j.enpol.2010.11.014; Berdiev AN, 2020, WORLD ECON, V43, P921, DOI 10.1111/twec.12917; Berdiev AN, 2019, ATLANTIC ECON J, V47, P65, DOI 10.1007/s11293-019-09612-x; Berdiev AN, 2018, SOUTH ECON J, V85, P537, DOI 10.1002/soej.12303; Berdiev AN, 2018, WORLD ECON, V41, P222, DOI 10.1111/twec.12549; Berdiev AN, 2016, ECON MODEL, V57, P197, DOI 10.1016/j.econmod.2016.03.028; Bolarinwa ST, 2023, SUSTAIN DEV, V31, P1581, DOI 10.1002/sd.2468; Bose N, 2012, J ECON STUD, V39, P620, DOI 10.1108/01443581211274584; Bouzarovski S, 2012, ENERG POLICY, V49, P76, DOI 10.1016/j.enpol.2012.01.033; Buehn A, 2013, ECON BULL, V33, P2052; CAGAN P, 1958, J POLIT ECON, V66, P303, DOI 10.1086/258056; Canelas C, 2015, WIDER working paper no. 2015/112; Canelas C, 2019, SMALL BUS ECON, V53, P1097, DOI 10.1007/s11187-018-0102-9; Capasso S, 2013, J DEV ECON, V101, P167, DOI 10.1016/j.jdeveco.2012.10.005; Choi JP, 2005, INT ECON REV, V46, P817, DOI 10.1111/j.1468-2354.2005.00347.x; Churchill SA, 2020, ENERG ECON, V86, DOI 10.1016/j.eneco.2019.104650; Clement S., 2023, Brazilian Journal of Business, V5, P828, DOI [10.34140/bjbv5n2-005, DOI 10.34140/BJBV5N2-005]; Dada J.T., 2022, Glob. J. Emerg. Mark. Econ, V14, P366, DOI [DOI 10.1177/09749101211049038, 10.1177/09749101211049038]; Dada JT, 2024, MANAG ENVIRON QUAL, V35, P924, DOI 10.1108/MEQ-08-2023-0268; Dada JT, 2022, ENVIRON SCI POLLUT R, V29, P74756, DOI 10.1007/s11356-022-20919-2; Dada JT, 2021, MANAG ENVIRON QUAL, V32, P506, DOI 10.1108/MEQ-10-2020-0238; Dada JT, 2021, WORLD J SCI TECHNOL, V18, P153, DOI 10.1108/WJSTSD-12-2020-0105; Day R, 2016, ENERG POLICY, V93, P255, DOI 10.1016/j.enpol.2016.03.019; de Soto Hernando, 2000, The mystery of capital: Why capitalism triumphs in the west and fails everywhere else; Deilami H.N., 2010, Relationships between shadow economy and foreign direct investment, growth and poverty; DelAnno R., 2004, Discussion Paper; Dell'Anno R, 2007, EMPIR ECON, V33, P51, DOI 10.1007/s00181-006-0084-3; Devicienti F., 2010, RES EC INEQUALITY, P79; Dimnwobi SK, 2023, INT J SUST DEV WORLD, V30, P428, DOI 10.1080/13504509.2022.2158957; Doganalp N, 2021, ENVIRON SCI POLLUT R, V28, P50167, DOI 10.1007/s11356-021-14185-x; Elgin C., 2021, CEPR Discussion Paper 16497; Feige EdgarL., 1989, The Underground Economies: Tax Evasion and Information Distortion; Fernández CR, 2018, ACAD PEDIATR, V18, P889, DOI 10.1016/j.acap.2018.07.002; Friedman E, 2000, J PUBLIC ECON, V76, P459, DOI 10.1016/S0047-2727(99)00093-6; Gokmenoglu KK, 2023, EASTERN EUR ECON, V61, P181, DOI 10.1080/00128775.2022.2163905; HARRIS JR, 1970, AM ECON REV, V60, P126; Howden-Chapman P, 2004, J EPIDEMIOL COMMUN H, V58, P162, DOI 10.1136/jech.2003.011569; Huynh C.M., 2019, International Economics and Economic Policy, V17, P1; IEA, 2020, Global Energy Review: CO2 Emissions in 2021, DOI DOI 10.1787/A60ABBF2-EN; IEA, 2019, WORLD EN OUTL; Im KS, 2003, J ECONOMETRICS, V115, P53, DOI 10.1016/S0304-4076(03)00092-7; International Energy Agency (IEA), 2015, Operating Agent: Building Research Establishment; Johan S, 2023, FINANC RES LETT, V58, DOI 10.1016/j.frl.2023.104530; Jollife Ian T, 2002, Principal Component Analysis; JORESKOG KG, 1975, J AM STAT ASSOC, V70, P631, DOI 10.2307/2285946; KAISER HF, 1974, PSYCHOMETRIKA, V39, P31, DOI 10.1007/BF02291575; Kao C, 1999, J ECONOMETRICS, V90, P1, DOI 10.1016/S0304-4076(98)00023-2; Karanfil F, 2007, ENERG POLICY, V35, P4902, DOI 10.1016/j.enpol.2007.04.012; Karekezi YC, 2022, IEEE T ENERGY CONVER, V37, P2069, DOI 10.1109/TEC.2022.3158566; Kelmanson B., 2019, EXPLAINING SHADOW EC; Khan S, 2023, INT J EMERG MARK, V18, P3373, DOI 10.1108/IJOEM-02-2020-0193; Khandker SR, 2012, ENERG POLICY, V47, P1, DOI 10.1016/j.enpol.2012.02.028; Lewis W. A., 1954, MANCHESTER SCH, V22, P139, DOI DOI 10.1111/J.1467-9957.1954.TB00021.X; Li K, 2014, ENERG POLICY, V68, P476, DOI 10.1016/j.enpol.2013.11.012; Loayza N., 2009, Informality in Latin America and the Caribbean, V4888; Loayza N., 2018, World Bank Research and Policy Briefs, V133110; Lyulyov O, 2021, INT J GLOBAL ENERGY, V43, P166, DOI 10.1504/IJGEI.2021.115142; Maddala GS, 1999, OXFORD B ECON STAT, V61, P631, DOI 10.1111/1468-0084.0610s1631; Mara ER, 2021, ECON ANAL POLICY, V72, P309, DOI 10.1016/j.eap.2021.09.004; Mazhar U, 2017, WORLD DEV, V90, P89, DOI 10.1016/j.worlddev.2016.08.019; Medina L., 2019, CESIFO WORKING PAPER; Medina L., 2018, Shadow economies around the world: What did we learn over the last 20 years?, DOI DOI 10.5089/9781484338636.001; Najmeh S, 2017, INT J CANCER, V140, P2321, DOI 10.1002/ijc.30635; Nazier H., 2015, Advances in Management and Applied Economics, V5, P31; Canh NP, 2020, ECON ANAL POLICY, V67, P37, DOI 10.1016/j.eap.2020.05.002; NICKELL S, 1981, ECONOMETRICA, V49, P1417, DOI 10.2307/1911408; Nikopour H., 2014, Shadow economy and poverty; Osinubi T., 2023, GLOB J EMERG MARK EC, V15, P72; Osinubi T, 2023, BUS STRATEGY DEV, V6, P382, DOI 10.1002/bsd2.245; Oum S, 2019, ENERG POLICY, V132, P247, DOI 10.1016/j.enpol.2019.05.030; Pedroni P, 1999, OXFORD B ECON STAT, V61, P653, DOI 10.1111/1468-0084.61.s1.14; Pereira MG, 2011, ENERG POLICY, V39, P167, DOI 10.1016/j.enpol.2010.09.025; Canh PN, 2021, J INT TRADE ECON DEV, V30, P47, DOI 10.1080/09638199.2020.1799428; Sambodo MT, 2019, ENERG POLICY, V132, P113, DOI 10.1016/j.enpol.2019.05.029; Schneider F, 2000, J ECON LIT, V38, P77, DOI 10.1257/jel.38.1.77; Schneider F., 2013, Size and Development of the Shadow Economy of 31 European and 5 other OECD Countries from 2003 to 2013: A Further Decline; Schneider F., 2017, OCEANS 2017 ABERDEEN, P1, DOI 10.1515/openec-2017-0001; Schneider F., 2013, The shadow economy: An international survey; Schneider Friedrich., 2007, International Research Journal on Finance and Economics, P126; Singh K., 2021, Economics of Energy and Environmental Policy, V9; Smith P., 1994, The Canadian Statistical Perspectives. Can. Econ. Obs, V11, P16; STOCK JH, 1993, ECONOMETRICA, V61, P783, DOI 10.2307/2951763; Tanzi V, 1999, ECON J, V109, pF338, DOI 10.1111/1468-0297.00437; Pham THH, 2022, J ECON INEQUAL, V20, P861, DOI 10.1007/s10888-021-09518-2; Pham THH, 2017, ECON MODEL, V62, P207, DOI 10.1016/j.econmod.2017.01.001; Ullah S, 2021, SUSTAINABILITY-BASEL, V13, DOI 10.3390/su131910969; Zhao J, 2021, ENERG ECON, V97, DOI 10.1016/j.eneco.2021.105191; Zouaoui H, 2020, RES INT BUS FINANC, V52, DOI 10.1016/j.ribaf.2020.101186</t>
  </si>
  <si>
    <t>2024 APR 1</t>
  </si>
  <si>
    <t>10.1108/IJESM-04-2023-0018</t>
  </si>
  <si>
    <t>MJ1D7</t>
  </si>
  <si>
    <t>WOS:001193154000001</t>
  </si>
  <si>
    <t>Flagg, R; Owca, TJ; Marshall, LM; Snauffer, A; Bedard, J; Hoeberechts, M</t>
  </si>
  <si>
    <t>Flagg, Ryan; Owca, Tanner J.; Marshall, Lucianne M.; Snauffer, Andrew; Bedard, Jeannette; Hoeberechts, Maia</t>
  </si>
  <si>
    <t>Cabled Community Observatories for Coastal Monitoring - Developing Priorities and Comparing Results</t>
  </si>
  <si>
    <t>GLOBAL OCEANS 2020: SINGAPORE - U.S. GULF COAST</t>
  </si>
  <si>
    <t>Global OCEANS Singapore - U.S. Gulf Coast Conference</t>
  </si>
  <si>
    <t>OCT 05-30, 2020</t>
  </si>
  <si>
    <t>ocean monitoring; coastal communities; cabled observatories; indigenous partnerships</t>
  </si>
  <si>
    <t>Coastal marine environments are some of the most bio-rich ecosystems on earth, providing food and livelihoods for many coastal community members. Yet, many of these coastal environments are threatened by anthropogenic and climate stressors resulting in the need for robust monitoring to inform current and future environmental stewardship decisions. While traditional oceanographic sampling is typically done from a research vessel, this is often costly and logistically difficult for scientists and coastal communities alike. Ocean Networks Canada (ONC) in partnership with communities along Canada's western, eastern, and Arctic coasts have continued to advance a number of solutions for long-term marine monitoring. Here, we discuss the development and implementation of seafloor cabled observatories, which collect continuous real-time data intended to help inform government, industry, and communities, and advance the scientific understanding of coastal environments. The strategic placement of these observatories, with collaboration from community partners, allows for high resolution datasets in both significant and remote regions of Canada. Each underwater platform has the potential to house a variety of instruments, which are connected to an underwater cable for real-time data transmission to the surface and which often allows the instruments to be powered from shore. Shore stations provide connectivity to the instruments and also provide an opportunity to host other shore-based instruments that can complement the underwater suite. Since large amounts of data are more easily and efficiently stored and transferred continuously rather than with battery-dependent autonomous systems, these observatory systems are well suited for collecting year-round, high temporal-resolution data. This allows for traditional physical oceanographic parameters to reveal environmental changes not only over annual and decadal time scales but also over diurnal (and shorter) time scales. These systems are more efficient at supporting year-round deployments of hydrophones, active acoustic instruments, surface and subsea video cameras, radars, and other high data-density instruments than their autonomous counterparts. Data from ONC's network of observatories are relayed from shore stations over the interne via fibre, cellular, or satellite connection to the Oceans 2.0 data management system. Oceans 2.0 supports open data access, detailed metadata support, sensor health monitoring, QA/QC of the data, data products, and a wide range of web services. All of these factors together serve to fill several major data and knowledge gaps to better understand our dynamic coastal waters. These community-based platforms have proven to be excellent tools for advancing and supporting ocean literacy and education resources by providing valuable and engaging resources to educators around the world, for all grade levels from primary education to postgraduate studies. They have also been used successfully as technology incubators where manufacturers and research groups can trial new sensor technologies in a real-world setting that is relatively easy to access and where they can leverage the continuous, real-time data stream and sensorhealth monitoring that allows for instantaneous feedback on sensor performance. Finally, ONC's broad vision includes providing knowledge and leadership that deliver solutions to society in general; community-based cabled observatories are one of the means to support this vision. ONC's Community-Based Monitoring team uses these cabled community observatories as one of many possible complementary tools when working directly with leadership in coastal communities, including Indigenous communities, environmental stewardship organizations, non-governmental organizations, and Municipal, Provincial, Federal government departments, and researchers, to implement local environmental monitoring programs. This paper will present a summary of multiple community observatory installations and will compare them to one another. It will discuss the various inputs and priorities that have influenced the development of each of the systems and how the data has been used in each scenario.</t>
  </si>
  <si>
    <t>[Flagg, Ryan; Owca, Tanner J.; Marshall, Lucianne M.; Hoeberechts, Maia] Ocean Networks Canada, Learning &amp; Community Engagement, Victoria, BC, Canada; [Snauffer, Andrew; Bedard, Jeannette] Ocean Networks Canada, Observ Operat, Victoria, BC, Canada</t>
  </si>
  <si>
    <t>Flagg, R (corresponding author), Ocean Networks Canada, Learning &amp; Community Engagement, Victoria, BC, Canada.</t>
  </si>
  <si>
    <t>rmflagg@oceannetworks.ca; towca@oceannetworks.ca; lucimm@oceannetworks.ca; asnauffer@oceannetworks.ca; jbedard@oceannetworks.ca; maiah@oceannetworks.ca</t>
  </si>
  <si>
    <t>Canada Foundation for Innovation; Department of Fisheries and Oceans; Department of Transport Canada</t>
  </si>
  <si>
    <t>Canada Foundation for Innovation(Canada Foundation for InnovationCGIARSpanish Government); Department of Fisheries and Oceans; Department of Transport Canada</t>
  </si>
  <si>
    <t>Ocean Networks Canada acknowledges and thanks the University of Victoria for its unwavering and ongoing support. ONC would also like to acknowledge the Canada Foundation for Innovation for its ongoing funding of core operations and the Department of Fisheries and Oceans and Department of Transport Canada for the match funding and project support they have provided over the years. Acknowledgement for the work and topic areas discussed in this paper is specifically owed, and more than willingly given, to all of the people and organization from the community of Cambridge Bay who have helped support installation and ongoing operation of the observatory, to the Haisla Nation for their ongoing support and interest in the Kitamaat Village Community Observatory, and to the TsleilWaututh Nation for their patience, enthusiasm, and hard work in initiating and supporting a truly world-class monitoring program.</t>
  </si>
  <si>
    <t>Bedard J., 2019, ROLE VARIABLE OCEANO, P1; Blais M, 2017, LIMNOL OCEANOGR, V62, P2480, DOI 10.1002/lno.10581; Calvao T, 2013, EMIR J FOOD AGR, V25, P926, DOI 10.9755/ejfa.v25i12.16730; Defeo O, 2009, ESTUAR COAST SHELF S, V81, P1, DOI 10.1016/j.ecss.2008.09.022; DFO, 2018, 2018039 DFO CAN SCI; Giesbrecht K. E., 2018, DEEP SEA RES 2; Grundle DS, 2009, CONT SHELF RES, V29, P2257, DOI 10.1016/j.csr.2009.08.013; Haver SM, 2017, DEEP-SEA RES PT I, V122, P95, DOI 10.1016/j.dsr.2017.03.002; Insley SJ, 2017, ARCTIC, V70, P239, DOI 10.14430/arctic4662; Nwankwegu AS, 2019, 3 BIOTECH, V9, DOI 10.1007/s13205-019-1976-1; ONC, 2020, OC 2 0; ONC, 2020, CAMBR BAY OBS; ONC, 2020, COMM OBS; Wassmann P, 2011, GLOBAL CHANGE BIOL, V17, P1235, DOI 10.1111/j.1365-2486.2010.02311.x</t>
  </si>
  <si>
    <t>978-1-7281-5446-6</t>
  </si>
  <si>
    <t>10.1109/IEEECONF38699.2020.9389268</t>
  </si>
  <si>
    <t>BR7SW</t>
  </si>
  <si>
    <t>WOS:000669813301131</t>
  </si>
  <si>
    <t>Krop, DS; Holloway, AG; Alberg, DW</t>
  </si>
  <si>
    <t>Krop, David S.; Holloway, Anna G.; Alberg, David W.</t>
  </si>
  <si>
    <t>The USS Monitor: A Pioneering Model for Education and Outreach</t>
  </si>
  <si>
    <t>2012 OCEANS</t>
  </si>
  <si>
    <t>OCT 14-19, 2012</t>
  </si>
  <si>
    <t>Virginia Beach, VA</t>
  </si>
  <si>
    <t>USS Monitor; Mariners' Museum; NOAA; Monitor National Marine Sanctuary; education; outreach; marine archaeology</t>
  </si>
  <si>
    <t>In the summer of 2002, staff from NOAA's Monitor National Marine Sanctuary (NOAA) and the U. S. Navy recovered USS Monitor's icon revolving gun turret from the Atlantic Ocean, successfully capping off a multi-year recovery of over 200 tons of artifacts from the wreck site of the Civil War ironclad. Since that time, NOAA and their partners at The Mariners' Museum (TMM) have undertaken a pioneering collaborative effort to promote the historical and cultural significance of this National Historical Landmark. Education and outreach initiatives form the backbone of this collaboration, including an award-winning exhibition and conservation laboratory at The Mariners' Museum, classroom initiatives, distance learning, and events and festivals around the country, all of which have introduced hundreds of thousands of people to the Monitor's story. The goals of this multi-pronged approach are to raise public awareness; encourage public involvement in resource protection; increase knowledge about maritime history, science, and technology; and expand ocean and climate literacy. This paper will examine the methods used by the partnership to achieve these goals and provide a template for best practices in maritime science and history education through a public-private partnership. The USS Monitor Center at The Mariners' Museum in Newport News, Virginia, is the official repository for all artifacts recovered from the Monitor National Marine Sanctuary and associated archives, and it is the central hub of all outreach and education. This 63,500 square foot facility contains the award-winning Ironclad Revolution exhibit, including conserved artifacts, immersive multimedia experiences, and re-created ship interiors. The Monitor Center also houses the Batten Conservation Laboratory, a state-of-the-art marine artifact conservation facility staffed by a team of international experts. NOAA and TMM designed the lab for maximum visitor interplay by incorporating massive viewing platforms and windows into the lab, a series of live web cameras, and periodically offering behind-the-scenes tours. The regular transition of conserved artifacts from the lab into the gallery also allows for a dynamic visitor experience over time. The Monitor Center increases TMM's international profile and simultaneously promotes NOAA's objectives of public awareness of this precious national resource and increases the historical, cultural, and scientific knowledge of mankind's interaction with the ocean. NOAA continues to work with other regional organizations in an education and outreach capacity to tell the USS Monitor's story to a broader audience. These other partners, including the Graveyard of the Atlantic Museum, North Carolina Aquarium, and Civil War Naval Museum, ultimately engage and encourage the public to visit The Mariners' Museum for a deeper learning and entertainment experience. NOAA is also working with its partners to promote a USS Monitor Trail. Although still in development, this interactive tool will allow people to trace Monitor's story and history from Buffalo, NY to the Hudson Valley and all the way down the East Coast to Hampton Roads where Monitor battled the Confederate ironclad CSS Virginia and ultimately to the ship's final resting place within the Monitor National Marine Sanctuary off Hatteras, NC. The Monitor Trail has the potential to link people who previously had little or no understanding of the ironclad to the key locations of the country responsible for transforming the Monitor from a series of conceptual sketches into the savior of the Union Navy and future of naval technology. TMM and NOAA are using other traditional and technologically advanced methods of education and outreach. Experts in the fields of history, science, conservation, and technology offer formal and informal educational programs to groups of all ages. Museum and sanctuary visitors, school systems, lifelong learning groups, and other sanctuary constituents are primary audiences. Distance learning is utilized to target groups outside of the region. A robust interactive video conferencing (IVC) facility allows TMM and NOAA to reach national and international audiences. To date, IVC programs have reached thousands of students in 29 states and 6 countries. Using the Monitor's historical significance as the entry point, NOAA and TMM are able to introduce concepts that transcend a single vessel or moment in time. While the primary purpose for recovering over 1,500 artifacts from the Monitor National Marine Sanctuary was to make Monitor's story accessible to the widest possible audience, it was never intended to be purely a maritime historical story. By pursuing an integrated and immersive educational and outreach experience, TMM and NOAA have pioneered a comprehensive approach to promote awareness and protection not only of the Monitor National Marine Sanctuary's natural and cultural resources, but also that of our nation's oceans.</t>
  </si>
  <si>
    <t>[Krop, David S.; Holloway, Anna G.] Mariners Museum, USS Monitor Ctr, Newport News, VA 23606 USA; [Alberg, David W.] Natl Ocean &amp; Atmospher Adm, Monitor Natl Marine Sanctuary, Newport News, VA 23606 USA</t>
  </si>
  <si>
    <t>Krop, DS (corresponding author), Mariners Museum, USS Monitor Ctr, Newport News, VA 23606 USA.</t>
  </si>
  <si>
    <t>Holloway, Anna Gibson/ABD-2245-2021</t>
  </si>
  <si>
    <t>Holloway, Anna Gibson/0000-0001-9304-2354</t>
  </si>
  <si>
    <t>978-1-4673-0829-8; 978-1-4673-0830-4</t>
  </si>
  <si>
    <t>Engineering, Multidisciplinary; Telecommunications</t>
  </si>
  <si>
    <t>Engineering; Telecommunications</t>
  </si>
  <si>
    <t>BDW56</t>
  </si>
  <si>
    <t>WOS:000315350300180</t>
  </si>
  <si>
    <t>Rao, CS; Gopinath, KA; Prasad, JVNS; Prasannakumar; Singh, AK</t>
  </si>
  <si>
    <t>Sparks, DL</t>
  </si>
  <si>
    <t>Rao, Ch. Srinivasa; Gopinath, K. A.; Prasad, J. V. N. S.; Prasannakumar; Singh, A. K.</t>
  </si>
  <si>
    <t>Climate Resilient Villages for Sustainable Food Security in Tropical India: Concept, Process, Technologies, Institutions, and Impacts</t>
  </si>
  <si>
    <t>ADVANCES IN AGRONOMY, VOL 140</t>
  </si>
  <si>
    <t>Advances in Agronomy</t>
  </si>
  <si>
    <t>Review; Book Chapter</t>
  </si>
  <si>
    <t>SOIL CARBON SEQUESTRATION; SEMIARID TROPICS; ECONOMIC-IMPACT; SUMMER MONSOON; AGRICULTURE; MANAGEMENT; ADAPTATION; SYSTEM; PROJECTIONS; MITIGATION</t>
  </si>
  <si>
    <t>The world population is expected to increase by a further three billion by 2050 and 90% of the three billion will be from developing countries that rely on existing land, water, and ecology for food and well-being of human kind. The Intergovernmental Panel on Climate Change (IPCC) in its fifth assessment report (AR5) stated that warming of the climate system is unequivocal and is more pronounced since the 1950s. The atmosphere and oceans have warmed, the amounts of snow and ice have diminished, and sea level has risen. Each of the last three decades has been successively warmer at the earth's surface than any preceding decade since 1850 and the globally averaged combined land and ocean surface temperature data as calculated by a linear trend show a warming of 0.85 degrees C (0.65-1.06 degrees C) over the period of 1880-2012. World Meteorological Organization (WMO) ranked 2015 as the hottest year on record. Climate change poses many challenges to growth and development in South Asia. The Indian agriculture production system faces the daunting task of feeding 17.5% of the global population with only 2.4% of land and 4% of water resources at its disposal. India is more vulnerable to climate change in view of the dependence of huge population on agriculture, excessive pressure on natural resources, and relatively weak coping mechanisms. The warming trend in India over the past 100 years has indicated an increase of 0.6 degrees C, which is likely to impact many crops, negatively impacting food and livelihood security of millions of farmers. There are already evidences of negative impacts on yield of wheat and paddy in some parts of India due to increased temperature, water stress, and reduction in number of rainy days. Significant negative impacts have been projected under medium-term (2020-39) climate change scenario, for example, yield reduction by 4.5-9%, depending on the magnitude and distribution of warming. Since agriculture currently contributes about 15% of India's gross domestic product (GDP), a negative impact on production implies cost of climate change to roughly range from 0.7% to 1.35% of GDP per year. Indian agriculture, with 80% of farmers being smallholders (&lt;0.5 ha) having diverse socioeconomic backgrounds, is monsoon-dependent rainfed agriculture (58%), about 30% of population undernourished, migration from rural to urban regions, child malnutrition etc., has become more vulnerable with changed climate or variability situations. During the past decade, frequency of droughts, cyclone, and hailstorms increased, with 2002, 2004, 2009, 2012, and 2014 being severe droughts. Frequent cyclones and severe hailstorms in drought prone areas have become common. Eastern part of the country is affected by seawater intrusion. Reduced food grain productivity, loss to vegetable and fruit crops, fodder scarcity, shortage of drinking water to animals during summer, forced migration of animals, severe loss to poultry and fishery sectors were registered, threatening the livelihoods of rural poor. Enhancing agricultural productivity, therefore, is critical for ensuring food and nutritional security for all, particularly the resource-poor, small, and marginal farmers who would be the most affected. In the absence of planned adaptation, the consequences of long-term climate change on the livelihood security of the poor could be severe. In India, the estimated countrywide agricultural loss in 2030 is expected to be over $ 7 billion that will severely affect the income of at least 10% of the population. However, this could be reduced by 80%, if cost-effective climate resilient measures are implemented. Climate risks are best addressed through increasing adaptive capacity and building resilience which can bring immediate benefits and can also reduce the adverse impacts of climate change. Climate resilient agriculture (CRA) encompasses the incorporation of adaptation and resilient practices in agriculture which increases the capacity of the system to respond to various climate-related disturbances by resisting damage and ensures quick recovery. Such disturbances include events such as drought, flood, heat/cold wave, erratic rainfall pattern, pest outbreaks, and other threats caused by changing climate. Resilience is the ability of the system to bounce back and essentially involves judicious and improved management of natural resources, land, water, soil, and genetic resources through adoption of best bet practices. CRA is a way to achieve short-and long-term agricultural development priorities in the face of climate change and serves as a bridge to other development priorities. It seeks to support countries and other actors in securing the necessary policy, technical and financial conditions to enable them to: (1) sustainably increase agricultural productivity and incomes in order to meet national food security and development goals, (2) build resilience and the capacity of agricultural and food systems to adapt to climate change, and (3) seek opportunities to mitigate emissions of greenhouse gases (GHGs) and increase carbon sequestration. These three conditions (food security, adaptation, and mitigation) are referred to as the triple win of overall CRA. The concept of climate resilient village (CRV) has been taken up by Government of India, to provide stability to farm productivity and household incomes and resilience through livelihood diversification in the face of extreme climatic events like droughts, cyclones, floods, hailstorms, heat wave, frost, and seawater inundation. Development of CRVs warrants establishment of a host of enabling mechanisms to mobilize and empower communities in the decision-making process to manage and recover from climate risks. The overall program of establishing CRVs have structured village level institutions such as Village Climate Risk Management Committee (VCRMC), custom hiring center (CHC) for farm implements, community seed and fodder banks, commodity groups etc. The establishment of CRVs was based on bottom-up approach with village community taking a central role in decision making on institutional requirements, technological interventions and supporting systems with able support from experts. In our knowledge, the CRV network of National Initiative on Climate Resilient Agriculture (NICRA) is by far the largest outreach program involving farmer's participation ever undertaken in the field of climate change adaptation anywhere in the world. Planning, coordination, monitoring, and capacity building of the program at the country level is the responsibility of the research organization (ICAR-Central Research Institute for Dryland Agriculture). At the district level, Krishi Vigyan Kendra (KVK; Farm Science Centre) under the Division of Agricultural Extension under Indian Council of Agricultural Research (ICAR), All India Coordinated Research Project for Dryland Agriculture (AICRPDA) centers and Transfer of Technology divisions of various ICAR Institutions across the country are responsible in implementing the project at village level through farmers' participatory approach. To address the climate vulnerabilities of the selected villages, different interventions were planned under the four modules; however, the specific intervention under each module for a particular village was need based and decided based on climatic vulnerability and resource situation of the particular village. The four intervention modules being implemented are (1) Natural resource management (in situ moisture conservation, biomass mulching, residue recycling, manure management, soil health card-based nutrient application, water harvesting and recycling for supplementary or life saving irrigation, improved drainage in high rainfall/flood prone villages, conservation tillage, and water saving irrigation methods). (2) Crop production module consisting of introduction of short-duration and drought/flood-tolerant varieties, modifications in planting dates for postrainy (winter) season crops to cope with terminal heat stress, water saving paddy systems (System of Rice Intensification, aerobic, direct seeding), frost management in fruit/vegetables, community nursery in staggered dates to meet delay in onset of monsoon, energy-efficient farm machinery through village CHC with timely completion of farm operation in limited sowing window, location specific intercropping systems, and suitable agroforestry systems. (3) Module III covers livestock and fisheries interventions through augmentation of fodder production, fodder storage methods, prophylaxis, and improved shelters for reducing heat stress in livestock, management of fish ponds/tanks during water scarcity and excess water, and promotion of livestock as climate adaptation strategy. (4) Module IV consists of village level institutions, collective marketing groups, introduction of weather-based insurance, and climate literacy though establishment of automated weather stations. Impacts of these climate resilient interventions in the villages were assessed through various resilience indicators, importantly, improved farm productivity, farm income, livelihoods at household and village level. Environmental impacts were assessed on improved soil carbon sequestration, groundwater recharge, vegetation and forest cover, and measurements of GHG emissions which were correlated with ex ante assessment of village level carbon balance and overall contribution to global warming potential. These 151 CRVs are learning sites for further expanding resilient villages to adjoining clusters and districts so that large number of villages will become part of the overall adaptation-led climate change mitigation mission in the country.</t>
  </si>
  <si>
    <t>[Rao, Ch. Srinivasa; Gopinath, K. A.; Prasad, J. V. N. S.; Prasannakumar] ICAR Cent Res Inst Dryland Agr, Hyderabad, Telangana, India; [Singh, A. K.] Indian Council Agr Res, Agr Extens Div, New Delhi, India</t>
  </si>
  <si>
    <t>Indian Council of Agricultural Research (ICAR); ICAR - Central Research Institute of Dryland Agriculture; Indian Council of Agricultural Research (ICAR)</t>
  </si>
  <si>
    <t>Rao, CS (corresponding author), ICAR Cent Res Inst Dryland Agr, Hyderabad, Telangana, India.</t>
  </si>
  <si>
    <t>cherukumalli2011@gmail.com</t>
  </si>
  <si>
    <t>Huy, Hiep/JPY-1918-2023; Mokhtara, Charafeddine/ACV-5174-2022; NICRA, TDC/ABE-9716-2020; Singh, Arun Kumar/O-2869-2016</t>
  </si>
  <si>
    <t>Mokhtara, Charafeddine/0000-0002-4643-3798;</t>
  </si>
  <si>
    <t>AFCL, 2011, REP IMP EV PIL WEATH; Aggarwal PK, 2008, INDIAN J AGR SCI, V78, P911; Amarasinghe U. A., 2009, STRATEGIC ANAL NATL, V1, P131; Amarasinghe Upali A., 2007, INDIAS WATER SUPPLY; [Anonymous], MAUSAM; [Anonymous], MAUSAM; [Anonymous], 2015, CGIAR RES PROGRAMME; [Anonymous], 2008, 209 IND COUNC RES IN; [Anonymous], 2015, REG OV FOOD INS AS P; [Anonymous], 2013, J AGR PHYS; [Anonymous], FRAMEWORK GUIDELINES; Ashrit RG., 2001, MAUSAM, V1, P229; Bahinipati CS, 2014, CURR SCI INDIA, V107, P1997; Bansil P. C., 1996, INDIAN FARMING FEB, P30; Beddington JR, 2012, SCIENCE, V335, P289, DOI 10.1126/science.1217941; Bernoux M, 2010, EX ANTE CARBON BALAN, V101, P79; Bhardwaj J., 2007, 4 EUR C SEV STORMS T; BHASKARAN B, 1995, INT J CLIMATOL, V15, P873, DOI 10.1002/joc.3370150804; Bhosale D. D., 2002, P INT C HYDR WAT MAN, VII, P390; Birthal P. S., 2014, Agricultural Economics Research Review, V27, P145, DOI 10.5958/0974-0279.2014.00019.6; BOWMAN DC, 1992, J AM SOC HORTIC SCI, V117, P75, DOI 10.21273/JASHS.117.1.75; Campbell B. M., 2014, Ccafs-Cgiar, P1; Campbell BM, 2014, CURR OPIN ENV SUST, V8, P39, DOI 10.1016/j.cosust.2014.07.002; Chaturvedi RK, 2012, CURR SCI INDIA, V103, P791; DAC, 2015, AGR STAT GLANC 2014; Dar MH, 2013, SCI REP-UK, V3, DOI 10.1038/srep03315; Das A, 2014, INDIAN J AGR SCI, V84, P643; De Boef WS, 2010, J SUSTAIN AGR, V34, P504, DOI 10.1080/10440046.2010.484689; de Hann C., 1997, LIVE STOCK ENV FINDI; De US, 2005, J INDIAN GEOPHYS UNI, V9, P173; De U. S., 1999, DECCAN GEOGR, V37, P5; Dhyani S.K., 2013, Indian Journal of Agroforestry, V15, P1; FAO, 2013, Climate-Smart Agriculture: Sourcebook, DOI DOI 10.3224/ERIS.V3I2.14; FAO and World Bank, 2001, FARM SYST POV IMPR F; Fuhrer J, 2014, CABI CLIM CHANGE SER, V5, P1, DOI 10.1079/9781780642895.0000; Garg Amit, 2015, 20151101 IND I MAN; Ghosh PK, 2006, FIELD CROP RES, V96, P80, DOI 10.1016/j.fcr.2005.05.009; Ghosh S, 2012, NAT CLIM CHANGE, V2, P86, DOI 10.1038/NCLIMATE1327; GOI, 2014, AGR CESS 2010 11; Gopinath K. A., 2012, INDIAN J DRYLAND AGR, V27, P43; Gore P. G., 2010, 122010 IND MET DEP; Goswami BN, 2006, SCIENCE, V314, P1442, DOI 10.1126/science.1132027; Gregory PJ, 2005, PHILOS T R SOC B, V360, P2139, DOI 10.1098/rstb.2005.1745; Gupta H, 2005, EPISODES, V28, P2; Hamidou N, 2014, 21 ICRAF WORLD AGR C; Himanshu Sen A., 2013, EC POLIT WKLY, V16, P45; Hobbs P.R., 2003, ASA special publications, V65, P149; Hulme M., 1996, Climate Change and Southern Africa: An Exploration of Some Potential Impacts and Implications in the SADC Region: a Report Commissioned by WWF International and Co-ordinated by the Climatic Research Unit, UEA, Norwich; Ionescu C, 2009, ENVIRON MODEL ASSESS, V14, P1, DOI 10.1007/s10666-008-9179-x; Izaurralde RC, 2011, AGRON J, V103, P371, DOI 10.2134/agronj2010.0304; Khadait V. N., 2011, RES J AGR SCI, V2, P110; Kinyangi J., 2015, CCAFS Info note; Kontar E. A., 2007, IAHS PUBLICATION, V312; Kumar A, 2014, J EXP BOT, V65, P6265, DOI 10.1093/jxb/eru363; Kumar K. K. S., 2007, Working paper 19/2007; Kumar KK, 2011, CURR SCI INDIA, V101, P312; Kumar KK, 2011, CLIM DYNAM, V36, P2159, DOI 10.1007/s00382-010-0974-0; Kumar KN, 2013, WEATHER CLIM EXTREME, V1, P42, DOI 10.1016/j.wace.2013.07.006; Kumar P., 1998, AGR EC POLICY SERIES, V98-01; Kumar P., 2009, Agricultural economic Research Review, V22, P237; LAL M, 1995, CURR SCI INDIA, V69, P752; Lal M, 2001, CURR SCI INDIA, V81, P1196; Lal Rattan, 2013, Ecohydrology &amp; Hydrobiology, V13, P8, DOI 10.1016/j.ecohyd.2013.03.006; Louwaars NP, 2012, J CROP IMPROV, V26, P39, DOI 10.1080/15427528.2011.611277; Maharjan S. K., 2011, COMMUNITY SEED BANK, P54; Maini P, 2016, MAUSAM, V67, P297; Maini P, 2011, CURR SCI INDIA, V101, P1296; Mall RK, 2007, CLIMATIC CHANGE, V82, P225, DOI 10.1007/s10584-006-9236-x; Mall RK, 2006, CLIMATIC CHANGE, V78, P445, DOI 10.1007/s10584-005-9042-x; Mehta CR, 2014, AMA-AGR MECH ASIA AF, V45, P43; Milne E., 2012, 9 CCAFS CGIAR; Mishra J.P., 2012, J FOOD LEGUMES, V25, P310; Mishra P. K., 1995, EC POLIT WKLY, V30, P84; Mittal S., 2007, EC POLIT WKLY FEB, P444; Mondal I., 2014, Int. J. Remote Sensing Appl., V4, P103, DOI [10.14355/ijrsa.2014.0402.04, DOI 10.14355/IJRSA.2014.0402.04]; NAAS, 2013, 65 NAAS; NRAA, 2013, Position paper No. 6; Osman M., 2015, INDIAN J DRYLAND AGR, V30, P17; Pai DS., 2004, Mausam, V55, P281, DOI [DOI 10.54302/MAUSAM.V55I2.1083, 10.54302/mausam.v55i2.1083]; Pandey DN, 2003, CURR SCI INDIA, V85, P46; Paroda R. S., 2000, Agricultural Economics Research Review, V13, P1; Patel S. K., 2014, J POULT SCI TECHNOL, V2, P79; Pathak P, 2005, NATURAL RESOURCES MANAGEMENT IN AGRICULTURE: METHODS FOR ASSESSING ECONOMIC AND ENVIRONMENTAL IMPACTS, P53, DOI 10.1079/9780851998282.0053; Praduman Kumar Praduman Kumar, 2007, Economic and Political Weekly, V42, P3567; Praharaj C.S., 2011, P 10 AGR SCI C SOIL, P410; Prasad H.A.C., 2009, 22009DEA GOV IND; Prasad Y.G., 2015, TECHNOLOGY DEMONSTRA; Prasad YG., 2014, Smart practices and technologies for climate resilient agriculture; Radhakrishna R., 2004, Indira Gandhi Institute of Development Research; Raghavan K., 1967, Indian J. Met. Geophys, V18, P91; Rajeevan M., 2013, CLIMATE CHANGE SUSTA, P1; Ranuzzi A, 2012, ICRIER POLICY SERIES, V16; Rao BB, 2015, AGR FOREST METEOROL, V200, P192, DOI 10.1016/j.agrformet.2014.09.023; Rao CS, 2016, MAUSAM, V67, P169; Rao CS, 2015, ADV AGRON, V133, P113, DOI 10.1016/bs.agron.2015.05.004; Rao CR, 2013, ATLAS VULNERABILITY; Rao V.U.M, 2013, ANN AGR RES, V34, P15; Rao VUM, 2014, HAILSTORM THREAT IND; Reddy B.S., 2015, INDIAN FARMING, V65, P45; Reddy G.R., 2014, INDIAN J DRYLAND AGR, V29, P11; Rupa Kumar, 2003, CLIMATE CHANGE INDIA, P69; Samra J. S., 2006, Drought management strategies in India, P1; Samra J.S, 2012, 3 INT AGR C NEW DELH; Sapkota TB, 2015, J INTEGR ENVIRON SCI, V12, P31, DOI 10.1080/1943815X.2015.1110181; Sarkar RK, 2009, INDIAN J AGR SCI, V79, P876; Sati VP, 2010, J LIVEST SCI, V1, P9; Scherr S.J., 2012, AGR FOOD SECUR, DOI DOI 10.1186/2048-7010-1-12; Shanwad U.K., 2015, P 5 INT S FARM SYST; Sharma KR., 2015, J SOIL WATER CONSERV, V14, P219; Sikka AK, 2016, MAUSAM, V67, P155; Singh D.R., 2013, TRAINING MANUAL FORE, P236; Singh H.B., 2009, BANKING INSURANCE, V4th; Soora N.K., 2013, CLIMATIC CHANGE, V118, P669; Srinivasarao C., 2011, SOIL CARBON SEQUESTR; Srinivasarao C., 2013, INDIAN J DRYLAND AGR, V28, P1; Srinivasarao C, 2016, AGR ECOSYST ENVIRON, V218, P73, DOI 10.1016/j.agee.2015.11.016; Srinivasarao C, 2014, LAND DEGRAD DEV, V25, P173, DOI 10.1002/ldr.1158; Srinivasarao C, 2014, SCI TOTAL ENVIRON, V487, P587, DOI 10.1016/j.scitotenv.2013.10.006; Srinivasarao C, 2013, ADV AGRON, V121, P253, DOI 10.1016/B978-0-12-407685-3.00005-0; Srinivasarao C, 2012, SOIL SCI SOC AM J, V76, P168, DOI 10.2136/sssaj2011.0184; Srivastava A.K., 2000, Mausam, V51, P113, DOI DOI 10.54302/MAUSAM.V51I2.1766; Stouffer R.J., 2011, CMIP5 Long-term experimental Design, V16, P5; Subba Rao A. V. M., 2004, P NAT C CONS AGR CON, P9; Swaminathan MS, 2001, CURR SCI INDIA, V81, P948; Taylor KE, 2012, B AM METEOROL SOC, V93, P485, DOI 10.1175/BAMS-D-11-00094.1; Thornton PK, 2014, GLOB FOOD SECUR-AGR, V3, P99, DOI 10.1016/j.gfs.2014.02.002; Udmale P. D., 2014, The Open Agriculture Journal, V8, P41, DOI 10.2174/1874331501408010041; Valdes A., 1986, CROP INSURANCE AGR D; Venkatesh MS, 2013, CAN J SOIL SCI, V93, P127, DOI [10.4141/CJSS2012-072, 10.4141/cjss2012-072]; Venkateswarlu B, 2012, CURR SCI INDIA, V102, P882; Venkateswarlu B., 2009, Indian Journal of Agronomy, V54, P226; Venkateswarlu B., 2012, DEMONSTRATION CLIMAT; Werner AD, 2009, GROUND WATER, V47, P197, DOI 10.1111/j.1745-6584.2008.00535.x; WMO, 2001, 920 WMO</t>
  </si>
  <si>
    <t>ELSEVIER ACADEMIC PRESS INC</t>
  </si>
  <si>
    <t>SAN DIEGO</t>
  </si>
  <si>
    <t>525 B STREET, SUITE 1900, SAN DIEGO, CA 92101-4495 USA</t>
  </si>
  <si>
    <t>0065-2113</t>
  </si>
  <si>
    <t>2213-6789</t>
  </si>
  <si>
    <t>978-0-12-804691-3; 978-0-12-804842-9</t>
  </si>
  <si>
    <t>ADV AGRON</t>
  </si>
  <si>
    <t>Adv. Agron.</t>
  </si>
  <si>
    <t>10.1016/bs.agron.2016.06.003</t>
  </si>
  <si>
    <t>Agronomy</t>
  </si>
  <si>
    <t>Book Citation Index – Science (BKCI-S); Science Citation Index Expanded (SCI-EXPANDED)</t>
  </si>
  <si>
    <t>Agriculture</t>
  </si>
  <si>
    <t>BH0CF</t>
  </si>
  <si>
    <t>WOS:000394566200005</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</si>
</sst>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shrinkToFit="0" vertical="center" wrapText="1"/>
    </xf>
    <xf borderId="0" fillId="0" fontId="2"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15.0"/>
    <col customWidth="1" min="6" max="6" width="22.63"/>
    <col customWidth="1" min="7" max="72" width="15.0"/>
  </cols>
  <sheetData>
    <row r="1" ht="64.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row>
    <row r="2" ht="64.5" customHeight="1">
      <c r="A2" s="2" t="s">
        <v>72</v>
      </c>
      <c r="B2" s="2" t="s">
        <v>73</v>
      </c>
      <c r="C2" s="2"/>
      <c r="D2" s="2"/>
      <c r="E2" s="2"/>
      <c r="F2" s="2" t="s">
        <v>74</v>
      </c>
      <c r="G2" s="2"/>
      <c r="H2" s="2"/>
      <c r="I2" s="2" t="s">
        <v>75</v>
      </c>
      <c r="J2" s="2" t="s">
        <v>76</v>
      </c>
      <c r="K2" s="2"/>
      <c r="L2" s="2"/>
      <c r="M2" s="2" t="s">
        <v>77</v>
      </c>
      <c r="N2" s="2" t="s">
        <v>78</v>
      </c>
      <c r="O2" s="2"/>
      <c r="P2" s="2"/>
      <c r="Q2" s="2"/>
      <c r="R2" s="2"/>
      <c r="S2" s="2"/>
      <c r="T2" s="2" t="s">
        <v>79</v>
      </c>
      <c r="U2" s="2" t="s">
        <v>80</v>
      </c>
      <c r="V2" s="2" t="s">
        <v>81</v>
      </c>
      <c r="W2" s="2" t="s">
        <v>82</v>
      </c>
      <c r="X2" s="2" t="s">
        <v>83</v>
      </c>
      <c r="Y2" s="2" t="s">
        <v>84</v>
      </c>
      <c r="Z2" s="2" t="s">
        <v>85</v>
      </c>
      <c r="AA2" s="2"/>
      <c r="AB2" s="2"/>
      <c r="AC2" s="2"/>
      <c r="AD2" s="2"/>
      <c r="AE2" s="2"/>
      <c r="AF2" s="2" t="s">
        <v>86</v>
      </c>
      <c r="AG2" s="2">
        <v>110.0</v>
      </c>
      <c r="AH2" s="2">
        <v>0.0</v>
      </c>
      <c r="AI2" s="2">
        <v>0.0</v>
      </c>
      <c r="AJ2" s="2">
        <v>2.0</v>
      </c>
      <c r="AK2" s="2">
        <v>2.0</v>
      </c>
      <c r="AL2" s="2" t="s">
        <v>87</v>
      </c>
      <c r="AM2" s="2" t="s">
        <v>88</v>
      </c>
      <c r="AN2" s="2" t="s">
        <v>89</v>
      </c>
      <c r="AO2" s="2" t="s">
        <v>90</v>
      </c>
      <c r="AP2" s="2" t="s">
        <v>91</v>
      </c>
      <c r="AQ2" s="2"/>
      <c r="AR2" s="2" t="s">
        <v>92</v>
      </c>
      <c r="AS2" s="2" t="s">
        <v>93</v>
      </c>
      <c r="AT2" s="2" t="s">
        <v>94</v>
      </c>
      <c r="AU2" s="2">
        <v>2024.0</v>
      </c>
      <c r="AV2" s="2">
        <v>63.0</v>
      </c>
      <c r="AW2" s="2"/>
      <c r="AX2" s="2"/>
      <c r="AY2" s="2"/>
      <c r="AZ2" s="2"/>
      <c r="BA2" s="2"/>
      <c r="BB2" s="2">
        <v>1.0</v>
      </c>
      <c r="BC2" s="2">
        <v>22.0</v>
      </c>
      <c r="BD2" s="2"/>
      <c r="BE2" s="2"/>
      <c r="BF2" s="2"/>
      <c r="BG2" s="2"/>
      <c r="BH2" s="2"/>
      <c r="BI2" s="2">
        <v>22.0</v>
      </c>
      <c r="BJ2" s="2" t="s">
        <v>95</v>
      </c>
      <c r="BK2" s="2" t="s">
        <v>96</v>
      </c>
      <c r="BL2" s="2" t="s">
        <v>97</v>
      </c>
      <c r="BM2" s="2" t="s">
        <v>98</v>
      </c>
      <c r="BN2" s="2"/>
      <c r="BO2" s="2"/>
      <c r="BP2" s="2"/>
      <c r="BQ2" s="2"/>
      <c r="BR2" s="2" t="s">
        <v>99</v>
      </c>
      <c r="BS2" s="2" t="s">
        <v>100</v>
      </c>
      <c r="BT2" s="2" t="str">
        <f>HYPERLINK("https%3A%2F%2Fwww.webofscience.com%2Fwos%2Fwoscc%2Ffull-record%2FWOS:001189213800007","View Full Record in Web of Science")</f>
        <v>View Full Record in Web of Science</v>
      </c>
    </row>
    <row r="3" ht="64.5" customHeight="1">
      <c r="A3" s="2" t="s">
        <v>72</v>
      </c>
      <c r="B3" s="2" t="s">
        <v>73</v>
      </c>
      <c r="C3" s="2"/>
      <c r="D3" s="2"/>
      <c r="E3" s="2"/>
      <c r="F3" s="2" t="s">
        <v>74</v>
      </c>
      <c r="G3" s="2"/>
      <c r="H3" s="2"/>
      <c r="I3" s="2" t="s">
        <v>75</v>
      </c>
      <c r="J3" s="2" t="s">
        <v>76</v>
      </c>
      <c r="K3" s="2"/>
      <c r="L3" s="2"/>
      <c r="M3" s="2" t="s">
        <v>77</v>
      </c>
      <c r="N3" s="2" t="s">
        <v>78</v>
      </c>
      <c r="O3" s="2"/>
      <c r="P3" s="2"/>
      <c r="Q3" s="2"/>
      <c r="R3" s="2"/>
      <c r="S3" s="2"/>
      <c r="T3" s="2" t="s">
        <v>79</v>
      </c>
      <c r="U3" s="2" t="s">
        <v>80</v>
      </c>
      <c r="V3" s="2" t="s">
        <v>101</v>
      </c>
      <c r="W3" s="2" t="s">
        <v>102</v>
      </c>
      <c r="X3" s="2" t="s">
        <v>83</v>
      </c>
      <c r="Y3" s="2" t="s">
        <v>103</v>
      </c>
      <c r="Z3" s="2" t="s">
        <v>85</v>
      </c>
      <c r="AA3" s="2"/>
      <c r="AB3" s="2"/>
      <c r="AC3" s="2" t="s">
        <v>104</v>
      </c>
      <c r="AD3" s="2" t="s">
        <v>105</v>
      </c>
      <c r="AE3" s="2" t="s">
        <v>106</v>
      </c>
      <c r="AF3" s="2" t="s">
        <v>107</v>
      </c>
      <c r="AG3" s="2">
        <v>109.0</v>
      </c>
      <c r="AH3" s="2">
        <v>0.0</v>
      </c>
      <c r="AI3" s="2">
        <v>0.0</v>
      </c>
      <c r="AJ3" s="2">
        <v>1.0</v>
      </c>
      <c r="AK3" s="2">
        <v>1.0</v>
      </c>
      <c r="AL3" s="2" t="s">
        <v>87</v>
      </c>
      <c r="AM3" s="2" t="s">
        <v>88</v>
      </c>
      <c r="AN3" s="2" t="s">
        <v>89</v>
      </c>
      <c r="AO3" s="2" t="s">
        <v>90</v>
      </c>
      <c r="AP3" s="2" t="s">
        <v>91</v>
      </c>
      <c r="AQ3" s="2"/>
      <c r="AR3" s="2" t="s">
        <v>92</v>
      </c>
      <c r="AS3" s="2" t="s">
        <v>93</v>
      </c>
      <c r="AT3" s="2" t="s">
        <v>94</v>
      </c>
      <c r="AU3" s="2">
        <v>2024.0</v>
      </c>
      <c r="AV3" s="2">
        <v>63.0</v>
      </c>
      <c r="AW3" s="2"/>
      <c r="AX3" s="2"/>
      <c r="AY3" s="2"/>
      <c r="AZ3" s="2"/>
      <c r="BA3" s="2"/>
      <c r="BB3" s="2">
        <v>22.0</v>
      </c>
      <c r="BC3" s="2">
        <v>22.0</v>
      </c>
      <c r="BD3" s="2"/>
      <c r="BE3" s="2" t="s">
        <v>108</v>
      </c>
      <c r="BF3" s="3" t="str">
        <f>HYPERLINK("http://dx.doi.org/10.5380/dma.v63i0.88097","http://dx.doi.org/10.5380/dma.v63i0.88097")</f>
        <v>http://dx.doi.org/10.5380/dma.v63i0.88097</v>
      </c>
      <c r="BG3" s="2"/>
      <c r="BH3" s="2"/>
      <c r="BI3" s="2">
        <v>1.0</v>
      </c>
      <c r="BJ3" s="2" t="s">
        <v>95</v>
      </c>
      <c r="BK3" s="2" t="s">
        <v>96</v>
      </c>
      <c r="BL3" s="2" t="s">
        <v>97</v>
      </c>
      <c r="BM3" s="2" t="s">
        <v>98</v>
      </c>
      <c r="BN3" s="2"/>
      <c r="BO3" s="2"/>
      <c r="BP3" s="2"/>
      <c r="BQ3" s="2"/>
      <c r="BR3" s="2" t="s">
        <v>99</v>
      </c>
      <c r="BS3" s="2" t="s">
        <v>109</v>
      </c>
      <c r="BT3" s="2" t="str">
        <f>HYPERLINK("https%3A%2F%2Fwww.webofscience.com%2Fwos%2Fwoscc%2Ffull-record%2FWOS:001189213800004","View Full Record in Web of Science")</f>
        <v>View Full Record in Web of Science</v>
      </c>
    </row>
    <row r="4" ht="64.5" customHeight="1">
      <c r="A4" s="2" t="s">
        <v>110</v>
      </c>
      <c r="B4" s="2" t="s">
        <v>111</v>
      </c>
      <c r="C4" s="2"/>
      <c r="D4" s="2"/>
      <c r="E4" s="2"/>
      <c r="F4" s="2" t="s">
        <v>112</v>
      </c>
      <c r="G4" s="2"/>
      <c r="H4" s="2"/>
      <c r="I4" s="2" t="s">
        <v>113</v>
      </c>
      <c r="J4" s="2" t="s">
        <v>114</v>
      </c>
      <c r="K4" s="2" t="s">
        <v>115</v>
      </c>
      <c r="L4" s="2"/>
      <c r="M4" s="2" t="s">
        <v>116</v>
      </c>
      <c r="N4" s="2" t="s">
        <v>117</v>
      </c>
      <c r="O4" s="2" t="s">
        <v>118</v>
      </c>
      <c r="P4" s="2" t="s">
        <v>119</v>
      </c>
      <c r="Q4" s="2" t="s">
        <v>120</v>
      </c>
      <c r="R4" s="2"/>
      <c r="S4" s="2"/>
      <c r="T4" s="4" t="s">
        <v>121</v>
      </c>
      <c r="U4" s="2"/>
      <c r="V4" s="2" t="s">
        <v>122</v>
      </c>
      <c r="W4" s="2" t="s">
        <v>123</v>
      </c>
      <c r="X4" s="2" t="s">
        <v>124</v>
      </c>
      <c r="Y4" s="2" t="s">
        <v>125</v>
      </c>
      <c r="Z4" s="2"/>
      <c r="AA4" s="2" t="s">
        <v>126</v>
      </c>
      <c r="AB4" s="2" t="s">
        <v>127</v>
      </c>
      <c r="AC4" s="2"/>
      <c r="AD4" s="2"/>
      <c r="AE4" s="2"/>
      <c r="AF4" s="2" t="s">
        <v>128</v>
      </c>
      <c r="AG4" s="2">
        <v>4.0</v>
      </c>
      <c r="AH4" s="2">
        <v>11.0</v>
      </c>
      <c r="AI4" s="2">
        <v>12.0</v>
      </c>
      <c r="AJ4" s="2">
        <v>0.0</v>
      </c>
      <c r="AK4" s="2">
        <v>8.0</v>
      </c>
      <c r="AL4" s="2" t="s">
        <v>129</v>
      </c>
      <c r="AM4" s="2" t="s">
        <v>130</v>
      </c>
      <c r="AN4" s="2" t="s">
        <v>131</v>
      </c>
      <c r="AO4" s="2" t="s">
        <v>132</v>
      </c>
      <c r="AP4" s="2"/>
      <c r="AQ4" s="2" t="s">
        <v>133</v>
      </c>
      <c r="AR4" s="2" t="s">
        <v>115</v>
      </c>
      <c r="AS4" s="2"/>
      <c r="AT4" s="2"/>
      <c r="AU4" s="2">
        <v>2005.0</v>
      </c>
      <c r="AV4" s="2"/>
      <c r="AW4" s="2"/>
      <c r="AX4" s="2"/>
      <c r="AY4" s="2"/>
      <c r="AZ4" s="2"/>
      <c r="BA4" s="2"/>
      <c r="BB4" s="2">
        <v>736.0</v>
      </c>
      <c r="BC4" s="2">
        <v>740.0</v>
      </c>
      <c r="BD4" s="2"/>
      <c r="BE4" s="2"/>
      <c r="BF4" s="2"/>
      <c r="BG4" s="2"/>
      <c r="BH4" s="2"/>
      <c r="BI4" s="2">
        <v>5.0</v>
      </c>
      <c r="BJ4" s="2" t="s">
        <v>134</v>
      </c>
      <c r="BK4" s="2" t="s">
        <v>135</v>
      </c>
      <c r="BL4" s="2" t="s">
        <v>136</v>
      </c>
      <c r="BM4" s="2" t="s">
        <v>137</v>
      </c>
      <c r="BN4" s="2"/>
      <c r="BO4" s="2"/>
      <c r="BP4" s="2"/>
      <c r="BQ4" s="2"/>
      <c r="BR4" s="2" t="s">
        <v>99</v>
      </c>
      <c r="BS4" s="2" t="s">
        <v>138</v>
      </c>
      <c r="BT4" s="2" t="str">
        <f>HYPERLINK("https%3A%2F%2Fwww.webofscience.com%2Fwos%2Fwoscc%2Ffull-record%2FWOS:000238978700115","View Full Record in Web of Science")</f>
        <v>View Full Record in Web of Science</v>
      </c>
    </row>
    <row r="5" ht="64.5" customHeight="1">
      <c r="A5" s="2" t="s">
        <v>72</v>
      </c>
      <c r="B5" s="2" t="s">
        <v>139</v>
      </c>
      <c r="C5" s="2"/>
      <c r="D5" s="2"/>
      <c r="E5" s="2"/>
      <c r="F5" s="2" t="s">
        <v>140</v>
      </c>
      <c r="G5" s="2"/>
      <c r="H5" s="2"/>
      <c r="I5" s="2" t="s">
        <v>141</v>
      </c>
      <c r="J5" s="2" t="s">
        <v>142</v>
      </c>
      <c r="K5" s="2"/>
      <c r="L5" s="2"/>
      <c r="M5" s="2" t="s">
        <v>116</v>
      </c>
      <c r="N5" s="2" t="s">
        <v>78</v>
      </c>
      <c r="O5" s="2"/>
      <c r="P5" s="2"/>
      <c r="Q5" s="2"/>
      <c r="R5" s="2"/>
      <c r="S5" s="2"/>
      <c r="T5" s="2" t="s">
        <v>143</v>
      </c>
      <c r="U5" s="2" t="s">
        <v>144</v>
      </c>
      <c r="V5" s="2" t="s">
        <v>145</v>
      </c>
      <c r="W5" s="2" t="s">
        <v>146</v>
      </c>
      <c r="X5" s="2" t="s">
        <v>147</v>
      </c>
      <c r="Y5" s="2" t="s">
        <v>148</v>
      </c>
      <c r="Z5" s="2" t="s">
        <v>149</v>
      </c>
      <c r="AA5" s="2" t="s">
        <v>150</v>
      </c>
      <c r="AB5" s="2" t="s">
        <v>151</v>
      </c>
      <c r="AC5" s="2" t="s">
        <v>152</v>
      </c>
      <c r="AD5" s="2" t="s">
        <v>153</v>
      </c>
      <c r="AE5" s="2" t="s">
        <v>154</v>
      </c>
      <c r="AF5" s="2" t="s">
        <v>155</v>
      </c>
      <c r="AG5" s="2">
        <v>45.0</v>
      </c>
      <c r="AH5" s="2">
        <v>18.0</v>
      </c>
      <c r="AI5" s="2">
        <v>18.0</v>
      </c>
      <c r="AJ5" s="2">
        <v>2.0</v>
      </c>
      <c r="AK5" s="2">
        <v>35.0</v>
      </c>
      <c r="AL5" s="2" t="s">
        <v>156</v>
      </c>
      <c r="AM5" s="2" t="s">
        <v>157</v>
      </c>
      <c r="AN5" s="2" t="s">
        <v>158</v>
      </c>
      <c r="AO5" s="2" t="s">
        <v>159</v>
      </c>
      <c r="AP5" s="2" t="s">
        <v>160</v>
      </c>
      <c r="AQ5" s="2"/>
      <c r="AR5" s="2" t="s">
        <v>161</v>
      </c>
      <c r="AS5" s="2" t="s">
        <v>162</v>
      </c>
      <c r="AT5" s="2" t="s">
        <v>163</v>
      </c>
      <c r="AU5" s="2">
        <v>2019.0</v>
      </c>
      <c r="AV5" s="2">
        <v>25.0</v>
      </c>
      <c r="AW5" s="2">
        <v>2.0</v>
      </c>
      <c r="AX5" s="2"/>
      <c r="AY5" s="2"/>
      <c r="AZ5" s="2"/>
      <c r="BA5" s="2"/>
      <c r="BB5" s="2">
        <v>280.0</v>
      </c>
      <c r="BC5" s="2">
        <v>291.0</v>
      </c>
      <c r="BD5" s="2"/>
      <c r="BE5" s="2" t="s">
        <v>164</v>
      </c>
      <c r="BF5" s="3" t="str">
        <f>HYPERLINK("http://dx.doi.org/10.1080/13504622.2018.1553234","http://dx.doi.org/10.1080/13504622.2018.1553234")</f>
        <v>http://dx.doi.org/10.1080/13504622.2018.1553234</v>
      </c>
      <c r="BG5" s="2"/>
      <c r="BH5" s="2"/>
      <c r="BI5" s="2">
        <v>12.0</v>
      </c>
      <c r="BJ5" s="2" t="s">
        <v>165</v>
      </c>
      <c r="BK5" s="2" t="s">
        <v>166</v>
      </c>
      <c r="BL5" s="2" t="s">
        <v>167</v>
      </c>
      <c r="BM5" s="2" t="s">
        <v>168</v>
      </c>
      <c r="BN5" s="2"/>
      <c r="BO5" s="2" t="s">
        <v>169</v>
      </c>
      <c r="BP5" s="2"/>
      <c r="BQ5" s="2"/>
      <c r="BR5" s="2" t="s">
        <v>99</v>
      </c>
      <c r="BS5" s="2" t="s">
        <v>170</v>
      </c>
      <c r="BT5" s="2" t="str">
        <f>HYPERLINK("https%3A%2F%2Fwww.webofscience.com%2Fwos%2Fwoscc%2Ffull-record%2FWOS:000469981100008","View Full Record in Web of Science")</f>
        <v>View Full Record in Web of Science</v>
      </c>
    </row>
    <row r="6" ht="64.5" customHeight="1">
      <c r="A6" s="2" t="s">
        <v>72</v>
      </c>
      <c r="B6" s="2" t="s">
        <v>171</v>
      </c>
      <c r="C6" s="2"/>
      <c r="D6" s="2"/>
      <c r="E6" s="2"/>
      <c r="F6" s="2" t="s">
        <v>172</v>
      </c>
      <c r="G6" s="2"/>
      <c r="H6" s="2"/>
      <c r="I6" s="2" t="s">
        <v>173</v>
      </c>
      <c r="J6" s="2" t="s">
        <v>174</v>
      </c>
      <c r="K6" s="2"/>
      <c r="L6" s="2"/>
      <c r="M6" s="2" t="s">
        <v>116</v>
      </c>
      <c r="N6" s="2" t="s">
        <v>78</v>
      </c>
      <c r="O6" s="2"/>
      <c r="P6" s="2"/>
      <c r="Q6" s="2"/>
      <c r="R6" s="2"/>
      <c r="S6" s="2"/>
      <c r="T6" s="2" t="s">
        <v>175</v>
      </c>
      <c r="U6" s="2" t="s">
        <v>176</v>
      </c>
      <c r="V6" s="2" t="s">
        <v>177</v>
      </c>
      <c r="W6" s="2" t="s">
        <v>178</v>
      </c>
      <c r="X6" s="2" t="s">
        <v>179</v>
      </c>
      <c r="Y6" s="2" t="s">
        <v>180</v>
      </c>
      <c r="Z6" s="2" t="s">
        <v>181</v>
      </c>
      <c r="AA6" s="2" t="s">
        <v>182</v>
      </c>
      <c r="AB6" s="2" t="s">
        <v>183</v>
      </c>
      <c r="AC6" s="2" t="s">
        <v>184</v>
      </c>
      <c r="AD6" s="2" t="s">
        <v>185</v>
      </c>
      <c r="AE6" s="2" t="s">
        <v>186</v>
      </c>
      <c r="AF6" s="2" t="s">
        <v>187</v>
      </c>
      <c r="AG6" s="2">
        <v>39.0</v>
      </c>
      <c r="AH6" s="2">
        <v>1.0</v>
      </c>
      <c r="AI6" s="2">
        <v>1.0</v>
      </c>
      <c r="AJ6" s="2">
        <v>8.0</v>
      </c>
      <c r="AK6" s="2">
        <v>21.0</v>
      </c>
      <c r="AL6" s="2" t="s">
        <v>188</v>
      </c>
      <c r="AM6" s="2" t="s">
        <v>189</v>
      </c>
      <c r="AN6" s="2" t="s">
        <v>190</v>
      </c>
      <c r="AO6" s="2" t="s">
        <v>191</v>
      </c>
      <c r="AP6" s="2" t="s">
        <v>192</v>
      </c>
      <c r="AQ6" s="2"/>
      <c r="AR6" s="2" t="s">
        <v>193</v>
      </c>
      <c r="AS6" s="2" t="s">
        <v>194</v>
      </c>
      <c r="AT6" s="2" t="s">
        <v>195</v>
      </c>
      <c r="AU6" s="2">
        <v>2023.0</v>
      </c>
      <c r="AV6" s="2">
        <v>150.0</v>
      </c>
      <c r="AW6" s="2"/>
      <c r="AX6" s="2"/>
      <c r="AY6" s="2"/>
      <c r="AZ6" s="2"/>
      <c r="BA6" s="2"/>
      <c r="BB6" s="2"/>
      <c r="BC6" s="2"/>
      <c r="BD6" s="2">
        <v>105555.0</v>
      </c>
      <c r="BE6" s="2" t="s">
        <v>196</v>
      </c>
      <c r="BF6" s="3" t="str">
        <f>HYPERLINK("http://dx.doi.org/10.1016/j.marpol.2023.105555","http://dx.doi.org/10.1016/j.marpol.2023.105555")</f>
        <v>http://dx.doi.org/10.1016/j.marpol.2023.105555</v>
      </c>
      <c r="BG6" s="2"/>
      <c r="BH6" s="2" t="s">
        <v>197</v>
      </c>
      <c r="BI6" s="2">
        <v>7.0</v>
      </c>
      <c r="BJ6" s="2" t="s">
        <v>198</v>
      </c>
      <c r="BK6" s="2" t="s">
        <v>166</v>
      </c>
      <c r="BL6" s="2" t="s">
        <v>199</v>
      </c>
      <c r="BM6" s="2" t="s">
        <v>200</v>
      </c>
      <c r="BN6" s="2"/>
      <c r="BO6" s="2" t="s">
        <v>201</v>
      </c>
      <c r="BP6" s="2"/>
      <c r="BQ6" s="2"/>
      <c r="BR6" s="2" t="s">
        <v>99</v>
      </c>
      <c r="BS6" s="2" t="s">
        <v>202</v>
      </c>
      <c r="BT6" s="2" t="str">
        <f>HYPERLINK("https%3A%2F%2Fwww.webofscience.com%2Fwos%2Fwoscc%2Ffull-record%2FWOS:000949403200001","View Full Record in Web of Science")</f>
        <v>View Full Record in Web of Science</v>
      </c>
    </row>
    <row r="7" ht="64.5" customHeight="1">
      <c r="A7" s="2" t="s">
        <v>72</v>
      </c>
      <c r="B7" s="2" t="s">
        <v>203</v>
      </c>
      <c r="C7" s="2"/>
      <c r="D7" s="2"/>
      <c r="E7" s="2"/>
      <c r="F7" s="2" t="s">
        <v>204</v>
      </c>
      <c r="G7" s="2"/>
      <c r="H7" s="2"/>
      <c r="I7" s="2" t="s">
        <v>205</v>
      </c>
      <c r="J7" s="2" t="s">
        <v>206</v>
      </c>
      <c r="K7" s="2"/>
      <c r="L7" s="2"/>
      <c r="M7" s="2" t="s">
        <v>116</v>
      </c>
      <c r="N7" s="2" t="s">
        <v>78</v>
      </c>
      <c r="O7" s="2"/>
      <c r="P7" s="2"/>
      <c r="Q7" s="2"/>
      <c r="R7" s="2"/>
      <c r="S7" s="2"/>
      <c r="T7" s="2" t="s">
        <v>207</v>
      </c>
      <c r="U7" s="2" t="s">
        <v>208</v>
      </c>
      <c r="V7" s="2" t="s">
        <v>209</v>
      </c>
      <c r="W7" s="2" t="s">
        <v>210</v>
      </c>
      <c r="X7" s="2" t="s">
        <v>211</v>
      </c>
      <c r="Y7" s="2" t="s">
        <v>212</v>
      </c>
      <c r="Z7" s="2" t="s">
        <v>213</v>
      </c>
      <c r="AA7" s="2"/>
      <c r="AB7" s="2" t="s">
        <v>214</v>
      </c>
      <c r="AC7" s="2"/>
      <c r="AD7" s="2"/>
      <c r="AE7" s="2"/>
      <c r="AF7" s="2" t="s">
        <v>215</v>
      </c>
      <c r="AG7" s="2">
        <v>60.0</v>
      </c>
      <c r="AH7" s="2">
        <v>3.0</v>
      </c>
      <c r="AI7" s="2">
        <v>3.0</v>
      </c>
      <c r="AJ7" s="2">
        <v>9.0</v>
      </c>
      <c r="AK7" s="2">
        <v>22.0</v>
      </c>
      <c r="AL7" s="2" t="s">
        <v>216</v>
      </c>
      <c r="AM7" s="2" t="s">
        <v>189</v>
      </c>
      <c r="AN7" s="2" t="s">
        <v>217</v>
      </c>
      <c r="AO7" s="2" t="s">
        <v>218</v>
      </c>
      <c r="AP7" s="2" t="s">
        <v>219</v>
      </c>
      <c r="AQ7" s="2"/>
      <c r="AR7" s="2" t="s">
        <v>220</v>
      </c>
      <c r="AS7" s="2" t="s">
        <v>221</v>
      </c>
      <c r="AT7" s="2" t="s">
        <v>222</v>
      </c>
      <c r="AU7" s="2">
        <v>2023.0</v>
      </c>
      <c r="AV7" s="2">
        <v>193.0</v>
      </c>
      <c r="AW7" s="2"/>
      <c r="AX7" s="2"/>
      <c r="AY7" s="2"/>
      <c r="AZ7" s="2"/>
      <c r="BA7" s="2"/>
      <c r="BB7" s="2"/>
      <c r="BC7" s="2"/>
      <c r="BD7" s="2">
        <v>115208.0</v>
      </c>
      <c r="BE7" s="2" t="s">
        <v>223</v>
      </c>
      <c r="BF7" s="3" t="str">
        <f>HYPERLINK("http://dx.doi.org/10.1016/j.marpolbul.2023.115208","http://dx.doi.org/10.1016/j.marpolbul.2023.115208")</f>
        <v>http://dx.doi.org/10.1016/j.marpolbul.2023.115208</v>
      </c>
      <c r="BG7" s="2"/>
      <c r="BH7" s="2" t="s">
        <v>224</v>
      </c>
      <c r="BI7" s="2">
        <v>9.0</v>
      </c>
      <c r="BJ7" s="2" t="s">
        <v>225</v>
      </c>
      <c r="BK7" s="2" t="s">
        <v>226</v>
      </c>
      <c r="BL7" s="2" t="s">
        <v>227</v>
      </c>
      <c r="BM7" s="2" t="s">
        <v>228</v>
      </c>
      <c r="BN7" s="2">
        <v>3.7390628E7</v>
      </c>
      <c r="BO7" s="2" t="s">
        <v>201</v>
      </c>
      <c r="BP7" s="2"/>
      <c r="BQ7" s="2"/>
      <c r="BR7" s="2" t="s">
        <v>99</v>
      </c>
      <c r="BS7" s="2" t="s">
        <v>229</v>
      </c>
      <c r="BT7" s="2" t="str">
        <f>HYPERLINK("https%3A%2F%2Fwww.webofscience.com%2Fwos%2Fwoscc%2Ffull-record%2FWOS:001031973600001","View Full Record in Web of Science")</f>
        <v>View Full Record in Web of Science</v>
      </c>
    </row>
    <row r="8" ht="64.5" customHeight="1">
      <c r="A8" s="2" t="s">
        <v>72</v>
      </c>
      <c r="B8" s="2" t="s">
        <v>230</v>
      </c>
      <c r="C8" s="2"/>
      <c r="D8" s="2"/>
      <c r="E8" s="2"/>
      <c r="F8" s="2" t="s">
        <v>231</v>
      </c>
      <c r="G8" s="2"/>
      <c r="H8" s="2"/>
      <c r="I8" s="2" t="s">
        <v>232</v>
      </c>
      <c r="J8" s="2" t="s">
        <v>233</v>
      </c>
      <c r="K8" s="2"/>
      <c r="L8" s="2"/>
      <c r="M8" s="2" t="s">
        <v>116</v>
      </c>
      <c r="N8" s="2" t="s">
        <v>78</v>
      </c>
      <c r="O8" s="2"/>
      <c r="P8" s="2"/>
      <c r="Q8" s="2"/>
      <c r="R8" s="2"/>
      <c r="S8" s="2"/>
      <c r="T8" s="2" t="s">
        <v>234</v>
      </c>
      <c r="U8" s="2" t="s">
        <v>235</v>
      </c>
      <c r="V8" s="2" t="s">
        <v>236</v>
      </c>
      <c r="W8" s="2" t="s">
        <v>237</v>
      </c>
      <c r="X8" s="2" t="s">
        <v>238</v>
      </c>
      <c r="Y8" s="2" t="s">
        <v>239</v>
      </c>
      <c r="Z8" s="2" t="s">
        <v>240</v>
      </c>
      <c r="AA8" s="2" t="s">
        <v>241</v>
      </c>
      <c r="AB8" s="2"/>
      <c r="AC8" s="2" t="s">
        <v>242</v>
      </c>
      <c r="AD8" s="2" t="s">
        <v>243</v>
      </c>
      <c r="AE8" s="2" t="s">
        <v>244</v>
      </c>
      <c r="AF8" s="2" t="s">
        <v>245</v>
      </c>
      <c r="AG8" s="2">
        <v>107.0</v>
      </c>
      <c r="AH8" s="2">
        <v>1.0</v>
      </c>
      <c r="AI8" s="2">
        <v>1.0</v>
      </c>
      <c r="AJ8" s="2">
        <v>8.0</v>
      </c>
      <c r="AK8" s="2">
        <v>15.0</v>
      </c>
      <c r="AL8" s="2" t="s">
        <v>246</v>
      </c>
      <c r="AM8" s="2" t="s">
        <v>247</v>
      </c>
      <c r="AN8" s="2" t="s">
        <v>248</v>
      </c>
      <c r="AO8" s="2"/>
      <c r="AP8" s="2" t="s">
        <v>249</v>
      </c>
      <c r="AQ8" s="2"/>
      <c r="AR8" s="2" t="s">
        <v>250</v>
      </c>
      <c r="AS8" s="2" t="s">
        <v>251</v>
      </c>
      <c r="AT8" s="2" t="s">
        <v>252</v>
      </c>
      <c r="AU8" s="2">
        <v>2023.0</v>
      </c>
      <c r="AV8" s="2">
        <v>10.0</v>
      </c>
      <c r="AW8" s="2"/>
      <c r="AX8" s="2"/>
      <c r="AY8" s="2"/>
      <c r="AZ8" s="2"/>
      <c r="BA8" s="2"/>
      <c r="BB8" s="2"/>
      <c r="BC8" s="2"/>
      <c r="BD8" s="2">
        <v>1200181.0</v>
      </c>
      <c r="BE8" s="2" t="s">
        <v>253</v>
      </c>
      <c r="BF8" s="3" t="str">
        <f>HYPERLINK("http://dx.doi.org/10.3389/fmars.2023.1200181","http://dx.doi.org/10.3389/fmars.2023.1200181")</f>
        <v>http://dx.doi.org/10.3389/fmars.2023.1200181</v>
      </c>
      <c r="BG8" s="2"/>
      <c r="BH8" s="2"/>
      <c r="BI8" s="2">
        <v>18.0</v>
      </c>
      <c r="BJ8" s="2" t="s">
        <v>225</v>
      </c>
      <c r="BK8" s="2" t="s">
        <v>226</v>
      </c>
      <c r="BL8" s="2" t="s">
        <v>227</v>
      </c>
      <c r="BM8" s="2" t="s">
        <v>254</v>
      </c>
      <c r="BN8" s="2"/>
      <c r="BO8" s="2" t="s">
        <v>255</v>
      </c>
      <c r="BP8" s="2"/>
      <c r="BQ8" s="2"/>
      <c r="BR8" s="2" t="s">
        <v>99</v>
      </c>
      <c r="BS8" s="2" t="s">
        <v>256</v>
      </c>
      <c r="BT8" s="2" t="str">
        <f>HYPERLINK("https%3A%2F%2Fwww.webofscience.com%2Fwos%2Fwoscc%2Ffull-record%2FWOS:001082486600001","View Full Record in Web of Science")</f>
        <v>View Full Record in Web of Science</v>
      </c>
    </row>
    <row r="9" ht="64.5" customHeight="1">
      <c r="A9" s="2" t="s">
        <v>72</v>
      </c>
      <c r="B9" s="2" t="s">
        <v>257</v>
      </c>
      <c r="C9" s="2"/>
      <c r="D9" s="2"/>
      <c r="E9" s="2"/>
      <c r="F9" s="2" t="s">
        <v>258</v>
      </c>
      <c r="G9" s="2"/>
      <c r="H9" s="2"/>
      <c r="I9" s="2" t="s">
        <v>259</v>
      </c>
      <c r="J9" s="2" t="s">
        <v>233</v>
      </c>
      <c r="K9" s="2"/>
      <c r="L9" s="2"/>
      <c r="M9" s="2" t="s">
        <v>116</v>
      </c>
      <c r="N9" s="2" t="s">
        <v>78</v>
      </c>
      <c r="O9" s="2"/>
      <c r="P9" s="2"/>
      <c r="Q9" s="2"/>
      <c r="R9" s="2"/>
      <c r="S9" s="2"/>
      <c r="T9" s="2" t="s">
        <v>260</v>
      </c>
      <c r="U9" s="2"/>
      <c r="V9" s="2" t="s">
        <v>261</v>
      </c>
      <c r="W9" s="2" t="s">
        <v>262</v>
      </c>
      <c r="X9" s="2" t="s">
        <v>263</v>
      </c>
      <c r="Y9" s="2" t="s">
        <v>264</v>
      </c>
      <c r="Z9" s="2" t="s">
        <v>265</v>
      </c>
      <c r="AA9" s="2" t="s">
        <v>266</v>
      </c>
      <c r="AB9" s="2" t="s">
        <v>267</v>
      </c>
      <c r="AC9" s="2"/>
      <c r="AD9" s="2"/>
      <c r="AE9" s="2"/>
      <c r="AF9" s="2" t="s">
        <v>268</v>
      </c>
      <c r="AG9" s="2">
        <v>4.0</v>
      </c>
      <c r="AH9" s="2">
        <v>12.0</v>
      </c>
      <c r="AI9" s="2">
        <v>12.0</v>
      </c>
      <c r="AJ9" s="2">
        <v>4.0</v>
      </c>
      <c r="AK9" s="2">
        <v>20.0</v>
      </c>
      <c r="AL9" s="2" t="s">
        <v>246</v>
      </c>
      <c r="AM9" s="2" t="s">
        <v>247</v>
      </c>
      <c r="AN9" s="2" t="s">
        <v>248</v>
      </c>
      <c r="AO9" s="2"/>
      <c r="AP9" s="2" t="s">
        <v>249</v>
      </c>
      <c r="AQ9" s="2"/>
      <c r="AR9" s="2" t="s">
        <v>250</v>
      </c>
      <c r="AS9" s="2" t="s">
        <v>251</v>
      </c>
      <c r="AT9" s="2" t="s">
        <v>269</v>
      </c>
      <c r="AU9" s="2">
        <v>2019.0</v>
      </c>
      <c r="AV9" s="2">
        <v>6.0</v>
      </c>
      <c r="AW9" s="2"/>
      <c r="AX9" s="2"/>
      <c r="AY9" s="2"/>
      <c r="AZ9" s="2"/>
      <c r="BA9" s="2"/>
      <c r="BB9" s="2"/>
      <c r="BC9" s="2"/>
      <c r="BD9" s="2">
        <v>325.0</v>
      </c>
      <c r="BE9" s="2" t="s">
        <v>270</v>
      </c>
      <c r="BF9" s="3" t="str">
        <f>HYPERLINK("http://dx.doi.org/10.3389/fmars.2019.00325","http://dx.doi.org/10.3389/fmars.2019.00325")</f>
        <v>http://dx.doi.org/10.3389/fmars.2019.00325</v>
      </c>
      <c r="BG9" s="2"/>
      <c r="BH9" s="2"/>
      <c r="BI9" s="2">
        <v>2.0</v>
      </c>
      <c r="BJ9" s="2" t="s">
        <v>225</v>
      </c>
      <c r="BK9" s="2" t="s">
        <v>226</v>
      </c>
      <c r="BL9" s="2" t="s">
        <v>227</v>
      </c>
      <c r="BM9" s="2" t="s">
        <v>271</v>
      </c>
      <c r="BN9" s="2"/>
      <c r="BO9" s="2" t="s">
        <v>272</v>
      </c>
      <c r="BP9" s="2"/>
      <c r="BQ9" s="2"/>
      <c r="BR9" s="2" t="s">
        <v>99</v>
      </c>
      <c r="BS9" s="2" t="s">
        <v>273</v>
      </c>
      <c r="BT9" s="2" t="str">
        <f>HYPERLINK("https%3A%2F%2Fwww.webofscience.com%2Fwos%2Fwoscc%2Ffull-record%2FWOS:000472619900001","View Full Record in Web of Science")</f>
        <v>View Full Record in Web of Science</v>
      </c>
    </row>
    <row r="10" ht="64.5" customHeight="1">
      <c r="A10" s="2" t="s">
        <v>72</v>
      </c>
      <c r="B10" s="2" t="s">
        <v>274</v>
      </c>
      <c r="C10" s="2"/>
      <c r="D10" s="2"/>
      <c r="E10" s="2"/>
      <c r="F10" s="2" t="s">
        <v>275</v>
      </c>
      <c r="G10" s="2"/>
      <c r="H10" s="2"/>
      <c r="I10" s="2" t="s">
        <v>276</v>
      </c>
      <c r="J10" s="2" t="s">
        <v>174</v>
      </c>
      <c r="K10" s="2"/>
      <c r="L10" s="2"/>
      <c r="M10" s="2" t="s">
        <v>116</v>
      </c>
      <c r="N10" s="2" t="s">
        <v>78</v>
      </c>
      <c r="O10" s="2"/>
      <c r="P10" s="2"/>
      <c r="Q10" s="2"/>
      <c r="R10" s="2"/>
      <c r="S10" s="2"/>
      <c r="T10" s="2" t="s">
        <v>277</v>
      </c>
      <c r="U10" s="2" t="s">
        <v>278</v>
      </c>
      <c r="V10" s="2" t="s">
        <v>279</v>
      </c>
      <c r="W10" s="2" t="s">
        <v>280</v>
      </c>
      <c r="X10" s="2" t="s">
        <v>281</v>
      </c>
      <c r="Y10" s="2" t="s">
        <v>282</v>
      </c>
      <c r="Z10" s="2" t="s">
        <v>283</v>
      </c>
      <c r="AA10" s="2" t="s">
        <v>284</v>
      </c>
      <c r="AB10" s="2" t="s">
        <v>285</v>
      </c>
      <c r="AC10" s="2" t="s">
        <v>286</v>
      </c>
      <c r="AD10" s="2" t="s">
        <v>287</v>
      </c>
      <c r="AE10" s="2" t="s">
        <v>288</v>
      </c>
      <c r="AF10" s="2" t="s">
        <v>289</v>
      </c>
      <c r="AG10" s="2">
        <v>70.0</v>
      </c>
      <c r="AH10" s="2">
        <v>0.0</v>
      </c>
      <c r="AI10" s="2">
        <v>0.0</v>
      </c>
      <c r="AJ10" s="2">
        <v>3.0</v>
      </c>
      <c r="AK10" s="2">
        <v>9.0</v>
      </c>
      <c r="AL10" s="2" t="s">
        <v>188</v>
      </c>
      <c r="AM10" s="2" t="s">
        <v>290</v>
      </c>
      <c r="AN10" s="2" t="s">
        <v>291</v>
      </c>
      <c r="AO10" s="2" t="s">
        <v>191</v>
      </c>
      <c r="AP10" s="2" t="s">
        <v>192</v>
      </c>
      <c r="AQ10" s="2"/>
      <c r="AR10" s="2" t="s">
        <v>193</v>
      </c>
      <c r="AS10" s="2" t="s">
        <v>194</v>
      </c>
      <c r="AT10" s="2" t="s">
        <v>292</v>
      </c>
      <c r="AU10" s="2">
        <v>2023.0</v>
      </c>
      <c r="AV10" s="2">
        <v>157.0</v>
      </c>
      <c r="AW10" s="2"/>
      <c r="AX10" s="2"/>
      <c r="AY10" s="2"/>
      <c r="AZ10" s="2"/>
      <c r="BA10" s="2"/>
      <c r="BB10" s="2"/>
      <c r="BC10" s="2"/>
      <c r="BD10" s="2">
        <v>105830.0</v>
      </c>
      <c r="BE10" s="2" t="s">
        <v>293</v>
      </c>
      <c r="BF10" s="3" t="str">
        <f>HYPERLINK("http://dx.doi.org/10.1016/j.marpol.2023.105830","http://dx.doi.org/10.1016/j.marpol.2023.105830")</f>
        <v>http://dx.doi.org/10.1016/j.marpol.2023.105830</v>
      </c>
      <c r="BG10" s="2"/>
      <c r="BH10" s="2" t="s">
        <v>294</v>
      </c>
      <c r="BI10" s="2">
        <v>8.0</v>
      </c>
      <c r="BJ10" s="2" t="s">
        <v>198</v>
      </c>
      <c r="BK10" s="2" t="s">
        <v>166</v>
      </c>
      <c r="BL10" s="2" t="s">
        <v>199</v>
      </c>
      <c r="BM10" s="2" t="s">
        <v>295</v>
      </c>
      <c r="BN10" s="2"/>
      <c r="BO10" s="2"/>
      <c r="BP10" s="2"/>
      <c r="BQ10" s="2"/>
      <c r="BR10" s="2" t="s">
        <v>99</v>
      </c>
      <c r="BS10" s="2" t="s">
        <v>296</v>
      </c>
      <c r="BT10" s="2" t="str">
        <f>HYPERLINK("https%3A%2F%2Fwww.webofscience.com%2Fwos%2Fwoscc%2Ffull-record%2FWOS:001079533300001","View Full Record in Web of Science")</f>
        <v>View Full Record in Web of Science</v>
      </c>
    </row>
    <row r="11" ht="64.5" customHeight="1">
      <c r="A11" s="2" t="s">
        <v>72</v>
      </c>
      <c r="B11" s="2" t="s">
        <v>297</v>
      </c>
      <c r="C11" s="2"/>
      <c r="D11" s="2"/>
      <c r="E11" s="2"/>
      <c r="F11" s="2" t="s">
        <v>298</v>
      </c>
      <c r="G11" s="2"/>
      <c r="H11" s="2"/>
      <c r="I11" s="2" t="s">
        <v>299</v>
      </c>
      <c r="J11" s="2" t="s">
        <v>142</v>
      </c>
      <c r="K11" s="2"/>
      <c r="L11" s="2"/>
      <c r="M11" s="2" t="s">
        <v>116</v>
      </c>
      <c r="N11" s="2" t="s">
        <v>78</v>
      </c>
      <c r="O11" s="2"/>
      <c r="P11" s="2"/>
      <c r="Q11" s="2"/>
      <c r="R11" s="2"/>
      <c r="S11" s="2"/>
      <c r="T11" s="2" t="s">
        <v>300</v>
      </c>
      <c r="U11" s="2" t="s">
        <v>301</v>
      </c>
      <c r="V11" s="2" t="s">
        <v>302</v>
      </c>
      <c r="W11" s="2" t="s">
        <v>303</v>
      </c>
      <c r="X11" s="2" t="s">
        <v>304</v>
      </c>
      <c r="Y11" s="2" t="s">
        <v>305</v>
      </c>
      <c r="Z11" s="2" t="s">
        <v>306</v>
      </c>
      <c r="AA11" s="2" t="s">
        <v>182</v>
      </c>
      <c r="AB11" s="2" t="s">
        <v>307</v>
      </c>
      <c r="AC11" s="2"/>
      <c r="AD11" s="2"/>
      <c r="AE11" s="2"/>
      <c r="AF11" s="2" t="s">
        <v>308</v>
      </c>
      <c r="AG11" s="2">
        <v>29.0</v>
      </c>
      <c r="AH11" s="2">
        <v>14.0</v>
      </c>
      <c r="AI11" s="2">
        <v>16.0</v>
      </c>
      <c r="AJ11" s="2">
        <v>2.0</v>
      </c>
      <c r="AK11" s="2">
        <v>17.0</v>
      </c>
      <c r="AL11" s="2" t="s">
        <v>156</v>
      </c>
      <c r="AM11" s="2" t="s">
        <v>157</v>
      </c>
      <c r="AN11" s="2" t="s">
        <v>158</v>
      </c>
      <c r="AO11" s="2" t="s">
        <v>159</v>
      </c>
      <c r="AP11" s="2" t="s">
        <v>160</v>
      </c>
      <c r="AQ11" s="2"/>
      <c r="AR11" s="2" t="s">
        <v>161</v>
      </c>
      <c r="AS11" s="2" t="s">
        <v>162</v>
      </c>
      <c r="AT11" s="2" t="s">
        <v>163</v>
      </c>
      <c r="AU11" s="2">
        <v>2019.0</v>
      </c>
      <c r="AV11" s="2">
        <v>25.0</v>
      </c>
      <c r="AW11" s="2">
        <v>2.0</v>
      </c>
      <c r="AX11" s="2"/>
      <c r="AY11" s="2"/>
      <c r="AZ11" s="2"/>
      <c r="BA11" s="2"/>
      <c r="BB11" s="2">
        <v>264.0</v>
      </c>
      <c r="BC11" s="2">
        <v>279.0</v>
      </c>
      <c r="BD11" s="2"/>
      <c r="BE11" s="2" t="s">
        <v>309</v>
      </c>
      <c r="BF11" s="3" t="str">
        <f>HYPERLINK("http://dx.doi.org/10.1080/13504622.2018.1542487","http://dx.doi.org/10.1080/13504622.2018.1542487")</f>
        <v>http://dx.doi.org/10.1080/13504622.2018.1542487</v>
      </c>
      <c r="BG11" s="2"/>
      <c r="BH11" s="2"/>
      <c r="BI11" s="2">
        <v>16.0</v>
      </c>
      <c r="BJ11" s="2" t="s">
        <v>165</v>
      </c>
      <c r="BK11" s="2" t="s">
        <v>166</v>
      </c>
      <c r="BL11" s="2" t="s">
        <v>167</v>
      </c>
      <c r="BM11" s="2" t="s">
        <v>168</v>
      </c>
      <c r="BN11" s="2"/>
      <c r="BO11" s="2"/>
      <c r="BP11" s="2"/>
      <c r="BQ11" s="2"/>
      <c r="BR11" s="2" t="s">
        <v>99</v>
      </c>
      <c r="BS11" s="2" t="s">
        <v>310</v>
      </c>
      <c r="BT11" s="2" t="str">
        <f>HYPERLINK("https%3A%2F%2Fwww.webofscience.com%2Fwos%2Fwoscc%2Ffull-record%2FWOS:000469981100007","View Full Record in Web of Science")</f>
        <v>View Full Record in Web of Science</v>
      </c>
    </row>
    <row r="12" ht="64.5" customHeight="1">
      <c r="A12" s="2" t="s">
        <v>72</v>
      </c>
      <c r="B12" s="2" t="s">
        <v>311</v>
      </c>
      <c r="C12" s="2"/>
      <c r="D12" s="2"/>
      <c r="E12" s="2"/>
      <c r="F12" s="2" t="s">
        <v>312</v>
      </c>
      <c r="G12" s="2"/>
      <c r="H12" s="2"/>
      <c r="I12" s="2" t="s">
        <v>313</v>
      </c>
      <c r="J12" s="2" t="s">
        <v>314</v>
      </c>
      <c r="K12" s="2"/>
      <c r="L12" s="2"/>
      <c r="M12" s="2" t="s">
        <v>116</v>
      </c>
      <c r="N12" s="2" t="s">
        <v>78</v>
      </c>
      <c r="O12" s="2"/>
      <c r="P12" s="2"/>
      <c r="Q12" s="2"/>
      <c r="R12" s="2"/>
      <c r="S12" s="2"/>
      <c r="T12" s="2" t="s">
        <v>315</v>
      </c>
      <c r="U12" s="2" t="s">
        <v>316</v>
      </c>
      <c r="V12" s="2" t="s">
        <v>317</v>
      </c>
      <c r="W12" s="2" t="s">
        <v>318</v>
      </c>
      <c r="X12" s="2" t="s">
        <v>319</v>
      </c>
      <c r="Y12" s="2" t="s">
        <v>320</v>
      </c>
      <c r="Z12" s="2" t="s">
        <v>321</v>
      </c>
      <c r="AA12" s="2"/>
      <c r="AB12" s="2" t="s">
        <v>322</v>
      </c>
      <c r="AC12" s="2"/>
      <c r="AD12" s="2"/>
      <c r="AE12" s="2"/>
      <c r="AF12" s="2" t="s">
        <v>323</v>
      </c>
      <c r="AG12" s="2">
        <v>44.0</v>
      </c>
      <c r="AH12" s="2">
        <v>8.0</v>
      </c>
      <c r="AI12" s="2">
        <v>8.0</v>
      </c>
      <c r="AJ12" s="2">
        <v>1.0</v>
      </c>
      <c r="AK12" s="2">
        <v>11.0</v>
      </c>
      <c r="AL12" s="2" t="s">
        <v>156</v>
      </c>
      <c r="AM12" s="2" t="s">
        <v>157</v>
      </c>
      <c r="AN12" s="2" t="s">
        <v>158</v>
      </c>
      <c r="AO12" s="2" t="s">
        <v>324</v>
      </c>
      <c r="AP12" s="2" t="s">
        <v>325</v>
      </c>
      <c r="AQ12" s="2"/>
      <c r="AR12" s="2" t="s">
        <v>326</v>
      </c>
      <c r="AS12" s="2" t="s">
        <v>327</v>
      </c>
      <c r="AT12" s="2" t="s">
        <v>328</v>
      </c>
      <c r="AU12" s="2">
        <v>2021.0</v>
      </c>
      <c r="AV12" s="2">
        <v>30.0</v>
      </c>
      <c r="AW12" s="2">
        <v>4.0</v>
      </c>
      <c r="AX12" s="2"/>
      <c r="AY12" s="2"/>
      <c r="AZ12" s="2"/>
      <c r="BA12" s="2"/>
      <c r="BB12" s="2">
        <v>314.0</v>
      </c>
      <c r="BC12" s="2">
        <v>331.0</v>
      </c>
      <c r="BD12" s="2"/>
      <c r="BE12" s="2" t="s">
        <v>329</v>
      </c>
      <c r="BF12" s="3" t="str">
        <f>HYPERLINK("http://dx.doi.org/10.1080/10382046.2021.1877953","http://dx.doi.org/10.1080/10382046.2021.1877953")</f>
        <v>http://dx.doi.org/10.1080/10382046.2021.1877953</v>
      </c>
      <c r="BG12" s="2"/>
      <c r="BH12" s="2" t="s">
        <v>330</v>
      </c>
      <c r="BI12" s="2">
        <v>18.0</v>
      </c>
      <c r="BJ12" s="2" t="s">
        <v>331</v>
      </c>
      <c r="BK12" s="2" t="s">
        <v>96</v>
      </c>
      <c r="BL12" s="2" t="s">
        <v>331</v>
      </c>
      <c r="BM12" s="2" t="s">
        <v>332</v>
      </c>
      <c r="BN12" s="2"/>
      <c r="BO12" s="2"/>
      <c r="BP12" s="2"/>
      <c r="BQ12" s="2"/>
      <c r="BR12" s="2" t="s">
        <v>99</v>
      </c>
      <c r="BS12" s="2" t="s">
        <v>333</v>
      </c>
      <c r="BT12" s="2" t="str">
        <f>HYPERLINK("https%3A%2F%2Fwww.webofscience.com%2Fwos%2Fwoscc%2Ffull-record%2FWOS:000614888300001","View Full Record in Web of Science")</f>
        <v>View Full Record in Web of Science</v>
      </c>
    </row>
    <row r="13" ht="64.5" customHeight="1">
      <c r="A13" s="2" t="s">
        <v>72</v>
      </c>
      <c r="B13" s="2" t="s">
        <v>334</v>
      </c>
      <c r="C13" s="2"/>
      <c r="D13" s="2"/>
      <c r="E13" s="2"/>
      <c r="F13" s="2" t="s">
        <v>335</v>
      </c>
      <c r="G13" s="2"/>
      <c r="H13" s="2"/>
      <c r="I13" s="2" t="s">
        <v>336</v>
      </c>
      <c r="J13" s="2" t="s">
        <v>337</v>
      </c>
      <c r="K13" s="2"/>
      <c r="L13" s="2"/>
      <c r="M13" s="2" t="s">
        <v>116</v>
      </c>
      <c r="N13" s="2" t="s">
        <v>78</v>
      </c>
      <c r="O13" s="2"/>
      <c r="P13" s="2"/>
      <c r="Q13" s="2"/>
      <c r="R13" s="2"/>
      <c r="S13" s="2"/>
      <c r="T13" s="2" t="s">
        <v>338</v>
      </c>
      <c r="U13" s="2" t="s">
        <v>339</v>
      </c>
      <c r="V13" s="2" t="s">
        <v>340</v>
      </c>
      <c r="W13" s="2" t="s">
        <v>341</v>
      </c>
      <c r="X13" s="2" t="s">
        <v>342</v>
      </c>
      <c r="Y13" s="2" t="s">
        <v>343</v>
      </c>
      <c r="Z13" s="2" t="s">
        <v>344</v>
      </c>
      <c r="AA13" s="2" t="s">
        <v>345</v>
      </c>
      <c r="AB13" s="2" t="s">
        <v>346</v>
      </c>
      <c r="AC13" s="2" t="s">
        <v>347</v>
      </c>
      <c r="AD13" s="2" t="s">
        <v>348</v>
      </c>
      <c r="AE13" s="2" t="s">
        <v>349</v>
      </c>
      <c r="AF13" s="2" t="s">
        <v>350</v>
      </c>
      <c r="AG13" s="2">
        <v>171.0</v>
      </c>
      <c r="AH13" s="2">
        <v>71.0</v>
      </c>
      <c r="AI13" s="2">
        <v>74.0</v>
      </c>
      <c r="AJ13" s="2">
        <v>25.0</v>
      </c>
      <c r="AK13" s="2">
        <v>128.0</v>
      </c>
      <c r="AL13" s="2" t="s">
        <v>351</v>
      </c>
      <c r="AM13" s="2" t="s">
        <v>352</v>
      </c>
      <c r="AN13" s="2" t="s">
        <v>353</v>
      </c>
      <c r="AO13" s="2" t="s">
        <v>354</v>
      </c>
      <c r="AP13" s="2" t="s">
        <v>355</v>
      </c>
      <c r="AQ13" s="2"/>
      <c r="AR13" s="2" t="s">
        <v>356</v>
      </c>
      <c r="AS13" s="2" t="s">
        <v>357</v>
      </c>
      <c r="AT13" s="2" t="s">
        <v>358</v>
      </c>
      <c r="AU13" s="2">
        <v>2022.0</v>
      </c>
      <c r="AV13" s="2">
        <v>32.0</v>
      </c>
      <c r="AW13" s="2">
        <v>1.0</v>
      </c>
      <c r="AX13" s="2"/>
      <c r="AY13" s="2"/>
      <c r="AZ13" s="2" t="s">
        <v>359</v>
      </c>
      <c r="BA13" s="2"/>
      <c r="BB13" s="2">
        <v>123.0</v>
      </c>
      <c r="BC13" s="2">
        <v>143.0</v>
      </c>
      <c r="BD13" s="2"/>
      <c r="BE13" s="2" t="s">
        <v>360</v>
      </c>
      <c r="BF13" s="3" t="str">
        <f>HYPERLINK("http://dx.doi.org/10.1007/s11160-020-09625-9","http://dx.doi.org/10.1007/s11160-020-09625-9")</f>
        <v>http://dx.doi.org/10.1007/s11160-020-09625-9</v>
      </c>
      <c r="BG13" s="2"/>
      <c r="BH13" s="2" t="s">
        <v>361</v>
      </c>
      <c r="BI13" s="2">
        <v>21.0</v>
      </c>
      <c r="BJ13" s="2" t="s">
        <v>362</v>
      </c>
      <c r="BK13" s="2" t="s">
        <v>363</v>
      </c>
      <c r="BL13" s="2" t="s">
        <v>362</v>
      </c>
      <c r="BM13" s="2" t="s">
        <v>364</v>
      </c>
      <c r="BN13" s="2">
        <v>3.3589856E7</v>
      </c>
      <c r="BO13" s="2" t="s">
        <v>365</v>
      </c>
      <c r="BP13" s="2"/>
      <c r="BQ13" s="2"/>
      <c r="BR13" s="2" t="s">
        <v>99</v>
      </c>
      <c r="BS13" s="2" t="s">
        <v>366</v>
      </c>
      <c r="BT13" s="2" t="str">
        <f>HYPERLINK("https%3A%2F%2Fwww.webofscience.com%2Fwos%2Fwoscc%2Ffull-record%2FWOS:000616874100001","View Full Record in Web of Science")</f>
        <v>View Full Record in Web of Science</v>
      </c>
    </row>
    <row r="14" ht="64.5" customHeight="1">
      <c r="A14" s="2" t="s">
        <v>72</v>
      </c>
      <c r="B14" s="2" t="s">
        <v>367</v>
      </c>
      <c r="C14" s="2"/>
      <c r="D14" s="2"/>
      <c r="E14" s="2"/>
      <c r="F14" s="2" t="s">
        <v>368</v>
      </c>
      <c r="G14" s="2"/>
      <c r="H14" s="2"/>
      <c r="I14" s="2" t="s">
        <v>369</v>
      </c>
      <c r="J14" s="2" t="s">
        <v>370</v>
      </c>
      <c r="K14" s="2"/>
      <c r="L14" s="2"/>
      <c r="M14" s="2" t="s">
        <v>116</v>
      </c>
      <c r="N14" s="2" t="s">
        <v>78</v>
      </c>
      <c r="O14" s="2"/>
      <c r="P14" s="2"/>
      <c r="Q14" s="2"/>
      <c r="R14" s="2"/>
      <c r="S14" s="2"/>
      <c r="T14" s="2" t="s">
        <v>371</v>
      </c>
      <c r="U14" s="2" t="s">
        <v>372</v>
      </c>
      <c r="V14" s="2" t="s">
        <v>373</v>
      </c>
      <c r="W14" s="2" t="s">
        <v>374</v>
      </c>
      <c r="X14" s="2" t="s">
        <v>375</v>
      </c>
      <c r="Y14" s="2" t="s">
        <v>376</v>
      </c>
      <c r="Z14" s="2" t="s">
        <v>377</v>
      </c>
      <c r="AA14" s="2"/>
      <c r="AB14" s="2" t="s">
        <v>378</v>
      </c>
      <c r="AC14" s="2" t="s">
        <v>379</v>
      </c>
      <c r="AD14" s="2" t="s">
        <v>380</v>
      </c>
      <c r="AE14" s="2" t="s">
        <v>381</v>
      </c>
      <c r="AF14" s="2" t="s">
        <v>382</v>
      </c>
      <c r="AG14" s="2">
        <v>31.0</v>
      </c>
      <c r="AH14" s="2">
        <v>5.0</v>
      </c>
      <c r="AI14" s="2">
        <v>5.0</v>
      </c>
      <c r="AJ14" s="2">
        <v>0.0</v>
      </c>
      <c r="AK14" s="2">
        <v>15.0</v>
      </c>
      <c r="AL14" s="2" t="s">
        <v>383</v>
      </c>
      <c r="AM14" s="2" t="s">
        <v>384</v>
      </c>
      <c r="AN14" s="2" t="s">
        <v>385</v>
      </c>
      <c r="AO14" s="2"/>
      <c r="AP14" s="2" t="s">
        <v>386</v>
      </c>
      <c r="AQ14" s="2"/>
      <c r="AR14" s="2" t="s">
        <v>387</v>
      </c>
      <c r="AS14" s="2" t="s">
        <v>388</v>
      </c>
      <c r="AT14" s="2" t="s">
        <v>252</v>
      </c>
      <c r="AU14" s="2">
        <v>2019.0</v>
      </c>
      <c r="AV14" s="2">
        <v>11.0</v>
      </c>
      <c r="AW14" s="2">
        <v>20.0</v>
      </c>
      <c r="AX14" s="2"/>
      <c r="AY14" s="2"/>
      <c r="AZ14" s="2"/>
      <c r="BA14" s="2"/>
      <c r="BB14" s="2"/>
      <c r="BC14" s="2"/>
      <c r="BD14" s="2">
        <v>5810.0</v>
      </c>
      <c r="BE14" s="2" t="s">
        <v>389</v>
      </c>
      <c r="BF14" s="3" t="str">
        <f>HYPERLINK("http://dx.doi.org/10.3390/su11205810","http://dx.doi.org/10.3390/su11205810")</f>
        <v>http://dx.doi.org/10.3390/su11205810</v>
      </c>
      <c r="BG14" s="2"/>
      <c r="BH14" s="2"/>
      <c r="BI14" s="2">
        <v>12.0</v>
      </c>
      <c r="BJ14" s="2" t="s">
        <v>390</v>
      </c>
      <c r="BK14" s="2" t="s">
        <v>363</v>
      </c>
      <c r="BL14" s="2" t="s">
        <v>391</v>
      </c>
      <c r="BM14" s="2" t="s">
        <v>392</v>
      </c>
      <c r="BN14" s="2"/>
      <c r="BO14" s="2" t="s">
        <v>272</v>
      </c>
      <c r="BP14" s="2"/>
      <c r="BQ14" s="2"/>
      <c r="BR14" s="2" t="s">
        <v>99</v>
      </c>
      <c r="BS14" s="2" t="s">
        <v>393</v>
      </c>
      <c r="BT14" s="2" t="str">
        <f>HYPERLINK("https%3A%2F%2Fwww.webofscience.com%2Fwos%2Fwoscc%2Ffull-record%2FWOS:000498398900266","View Full Record in Web of Science")</f>
        <v>View Full Record in Web of Science</v>
      </c>
    </row>
    <row r="15" ht="64.5" customHeight="1">
      <c r="A15" s="2" t="s">
        <v>72</v>
      </c>
      <c r="B15" s="2" t="s">
        <v>394</v>
      </c>
      <c r="C15" s="2"/>
      <c r="D15" s="2"/>
      <c r="E15" s="2"/>
      <c r="F15" s="2" t="s">
        <v>395</v>
      </c>
      <c r="G15" s="2"/>
      <c r="H15" s="2"/>
      <c r="I15" s="2" t="s">
        <v>396</v>
      </c>
      <c r="J15" s="2" t="s">
        <v>142</v>
      </c>
      <c r="K15" s="2"/>
      <c r="L15" s="2"/>
      <c r="M15" s="2" t="s">
        <v>116</v>
      </c>
      <c r="N15" s="2" t="s">
        <v>78</v>
      </c>
      <c r="O15" s="2"/>
      <c r="P15" s="2"/>
      <c r="Q15" s="2"/>
      <c r="R15" s="2"/>
      <c r="S15" s="2"/>
      <c r="T15" s="2" t="s">
        <v>397</v>
      </c>
      <c r="U15" s="2" t="s">
        <v>398</v>
      </c>
      <c r="V15" s="2" t="s">
        <v>399</v>
      </c>
      <c r="W15" s="2" t="s">
        <v>400</v>
      </c>
      <c r="X15" s="2" t="s">
        <v>401</v>
      </c>
      <c r="Y15" s="2" t="s">
        <v>402</v>
      </c>
      <c r="Z15" s="2" t="s">
        <v>403</v>
      </c>
      <c r="AA15" s="2" t="s">
        <v>404</v>
      </c>
      <c r="AB15" s="2" t="s">
        <v>405</v>
      </c>
      <c r="AC15" s="2"/>
      <c r="AD15" s="2"/>
      <c r="AE15" s="2"/>
      <c r="AF15" s="2" t="s">
        <v>406</v>
      </c>
      <c r="AG15" s="2">
        <v>57.0</v>
      </c>
      <c r="AH15" s="2">
        <v>16.0</v>
      </c>
      <c r="AI15" s="2">
        <v>16.0</v>
      </c>
      <c r="AJ15" s="2">
        <v>0.0</v>
      </c>
      <c r="AK15" s="2">
        <v>28.0</v>
      </c>
      <c r="AL15" s="2" t="s">
        <v>156</v>
      </c>
      <c r="AM15" s="2" t="s">
        <v>157</v>
      </c>
      <c r="AN15" s="2" t="s">
        <v>158</v>
      </c>
      <c r="AO15" s="2" t="s">
        <v>159</v>
      </c>
      <c r="AP15" s="2" t="s">
        <v>160</v>
      </c>
      <c r="AQ15" s="2"/>
      <c r="AR15" s="2" t="s">
        <v>161</v>
      </c>
      <c r="AS15" s="2" t="s">
        <v>162</v>
      </c>
      <c r="AT15" s="2"/>
      <c r="AU15" s="2">
        <v>2017.0</v>
      </c>
      <c r="AV15" s="2">
        <v>23.0</v>
      </c>
      <c r="AW15" s="2">
        <v>2.0</v>
      </c>
      <c r="AX15" s="2"/>
      <c r="AY15" s="2"/>
      <c r="AZ15" s="2"/>
      <c r="BA15" s="2"/>
      <c r="BB15" s="2">
        <v>231.0</v>
      </c>
      <c r="BC15" s="2">
        <v>251.0</v>
      </c>
      <c r="BD15" s="2"/>
      <c r="BE15" s="2" t="s">
        <v>407</v>
      </c>
      <c r="BF15" s="3" t="str">
        <f>HYPERLINK("http://dx.doi.org/10.1080/13504622.2015.1126807","http://dx.doi.org/10.1080/13504622.2015.1126807")</f>
        <v>http://dx.doi.org/10.1080/13504622.2015.1126807</v>
      </c>
      <c r="BG15" s="2"/>
      <c r="BH15" s="2"/>
      <c r="BI15" s="2">
        <v>21.0</v>
      </c>
      <c r="BJ15" s="2" t="s">
        <v>165</v>
      </c>
      <c r="BK15" s="2" t="s">
        <v>166</v>
      </c>
      <c r="BL15" s="2" t="s">
        <v>167</v>
      </c>
      <c r="BM15" s="2" t="s">
        <v>408</v>
      </c>
      <c r="BN15" s="2"/>
      <c r="BO15" s="2"/>
      <c r="BP15" s="2"/>
      <c r="BQ15" s="2"/>
      <c r="BR15" s="2" t="s">
        <v>99</v>
      </c>
      <c r="BS15" s="2" t="s">
        <v>409</v>
      </c>
      <c r="BT15" s="2" t="str">
        <f>HYPERLINK("https%3A%2F%2Fwww.webofscience.com%2Fwos%2Fwoscc%2Ffull-record%2FWOS:000393209400005","View Full Record in Web of Science")</f>
        <v>View Full Record in Web of Science</v>
      </c>
    </row>
    <row r="16" ht="64.5" customHeight="1">
      <c r="A16" s="2" t="s">
        <v>110</v>
      </c>
      <c r="B16" s="2" t="s">
        <v>410</v>
      </c>
      <c r="C16" s="2"/>
      <c r="D16" s="2" t="s">
        <v>411</v>
      </c>
      <c r="E16" s="2"/>
      <c r="F16" s="2" t="s">
        <v>412</v>
      </c>
      <c r="G16" s="2"/>
      <c r="H16" s="2"/>
      <c r="I16" s="2" t="s">
        <v>413</v>
      </c>
      <c r="J16" s="2" t="s">
        <v>414</v>
      </c>
      <c r="K16" s="2" t="s">
        <v>415</v>
      </c>
      <c r="L16" s="2"/>
      <c r="M16" s="2" t="s">
        <v>116</v>
      </c>
      <c r="N16" s="2" t="s">
        <v>117</v>
      </c>
      <c r="O16" s="2" t="s">
        <v>416</v>
      </c>
      <c r="P16" s="2" t="s">
        <v>417</v>
      </c>
      <c r="Q16" s="2" t="s">
        <v>418</v>
      </c>
      <c r="R16" s="2"/>
      <c r="S16" s="2"/>
      <c r="T16" s="2" t="s">
        <v>419</v>
      </c>
      <c r="U16" s="2"/>
      <c r="V16" s="2" t="s">
        <v>420</v>
      </c>
      <c r="W16" s="2" t="s">
        <v>421</v>
      </c>
      <c r="X16" s="2" t="s">
        <v>422</v>
      </c>
      <c r="Y16" s="2"/>
      <c r="Z16" s="2" t="s">
        <v>423</v>
      </c>
      <c r="AA16" s="2" t="s">
        <v>424</v>
      </c>
      <c r="AB16" s="2" t="s">
        <v>425</v>
      </c>
      <c r="AC16" s="2"/>
      <c r="AD16" s="2"/>
      <c r="AE16" s="2"/>
      <c r="AF16" s="2" t="s">
        <v>426</v>
      </c>
      <c r="AG16" s="2">
        <v>10.0</v>
      </c>
      <c r="AH16" s="2">
        <v>19.0</v>
      </c>
      <c r="AI16" s="2">
        <v>22.0</v>
      </c>
      <c r="AJ16" s="2">
        <v>1.0</v>
      </c>
      <c r="AK16" s="2">
        <v>24.0</v>
      </c>
      <c r="AL16" s="2" t="s">
        <v>427</v>
      </c>
      <c r="AM16" s="2" t="s">
        <v>428</v>
      </c>
      <c r="AN16" s="2" t="s">
        <v>429</v>
      </c>
      <c r="AO16" s="2" t="s">
        <v>430</v>
      </c>
      <c r="AP16" s="2"/>
      <c r="AQ16" s="2"/>
      <c r="AR16" s="2" t="s">
        <v>431</v>
      </c>
      <c r="AS16" s="2"/>
      <c r="AT16" s="2"/>
      <c r="AU16" s="2">
        <v>2011.0</v>
      </c>
      <c r="AV16" s="2">
        <v>12.0</v>
      </c>
      <c r="AW16" s="2"/>
      <c r="AX16" s="2"/>
      <c r="AY16" s="2"/>
      <c r="AZ16" s="2"/>
      <c r="BA16" s="2"/>
      <c r="BB16" s="2">
        <v>150.0</v>
      </c>
      <c r="BC16" s="2">
        <v>156.0</v>
      </c>
      <c r="BD16" s="2"/>
      <c r="BE16" s="2" t="s">
        <v>432</v>
      </c>
      <c r="BF16" s="3" t="str">
        <f>HYPERLINK("http://dx.doi.org/10.1016/j.sbspro.2011.02.021","http://dx.doi.org/10.1016/j.sbspro.2011.02.021")</f>
        <v>http://dx.doi.org/10.1016/j.sbspro.2011.02.021</v>
      </c>
      <c r="BG16" s="2"/>
      <c r="BH16" s="2"/>
      <c r="BI16" s="2">
        <v>7.0</v>
      </c>
      <c r="BJ16" s="2" t="s">
        <v>433</v>
      </c>
      <c r="BK16" s="2" t="s">
        <v>434</v>
      </c>
      <c r="BL16" s="2" t="s">
        <v>435</v>
      </c>
      <c r="BM16" s="2" t="s">
        <v>436</v>
      </c>
      <c r="BN16" s="2"/>
      <c r="BO16" s="2" t="s">
        <v>255</v>
      </c>
      <c r="BP16" s="2"/>
      <c r="BQ16" s="2"/>
      <c r="BR16" s="2" t="s">
        <v>99</v>
      </c>
      <c r="BS16" s="2" t="s">
        <v>437</v>
      </c>
      <c r="BT16" s="2" t="str">
        <f>HYPERLINK("https%3A%2F%2Fwww.webofscience.com%2Fwos%2Fwoscc%2Ffull-record%2FWOS:000298559900019","View Full Record in Web of Science")</f>
        <v>View Full Record in Web of Science</v>
      </c>
    </row>
    <row r="17" ht="64.5" customHeight="1">
      <c r="A17" s="2" t="s">
        <v>72</v>
      </c>
      <c r="B17" s="2" t="s">
        <v>438</v>
      </c>
      <c r="C17" s="2"/>
      <c r="D17" s="2"/>
      <c r="E17" s="2"/>
      <c r="F17" s="2" t="s">
        <v>439</v>
      </c>
      <c r="G17" s="2"/>
      <c r="H17" s="2"/>
      <c r="I17" s="2" t="s">
        <v>440</v>
      </c>
      <c r="J17" s="2" t="s">
        <v>206</v>
      </c>
      <c r="K17" s="2"/>
      <c r="L17" s="2"/>
      <c r="M17" s="2" t="s">
        <v>116</v>
      </c>
      <c r="N17" s="2" t="s">
        <v>78</v>
      </c>
      <c r="O17" s="2"/>
      <c r="P17" s="2"/>
      <c r="Q17" s="2"/>
      <c r="R17" s="2"/>
      <c r="S17" s="2"/>
      <c r="T17" s="2" t="s">
        <v>441</v>
      </c>
      <c r="U17" s="2" t="s">
        <v>442</v>
      </c>
      <c r="V17" s="2" t="s">
        <v>443</v>
      </c>
      <c r="W17" s="2" t="s">
        <v>444</v>
      </c>
      <c r="X17" s="2" t="s">
        <v>445</v>
      </c>
      <c r="Y17" s="2" t="s">
        <v>446</v>
      </c>
      <c r="Z17" s="2" t="s">
        <v>447</v>
      </c>
      <c r="AA17" s="2"/>
      <c r="AB17" s="2" t="s">
        <v>448</v>
      </c>
      <c r="AC17" s="2" t="s">
        <v>449</v>
      </c>
      <c r="AD17" s="2" t="s">
        <v>450</v>
      </c>
      <c r="AE17" s="2" t="s">
        <v>451</v>
      </c>
      <c r="AF17" s="2" t="s">
        <v>452</v>
      </c>
      <c r="AG17" s="2">
        <v>127.0</v>
      </c>
      <c r="AH17" s="2">
        <v>21.0</v>
      </c>
      <c r="AI17" s="2">
        <v>22.0</v>
      </c>
      <c r="AJ17" s="2">
        <v>18.0</v>
      </c>
      <c r="AK17" s="2">
        <v>59.0</v>
      </c>
      <c r="AL17" s="2" t="s">
        <v>216</v>
      </c>
      <c r="AM17" s="2" t="s">
        <v>189</v>
      </c>
      <c r="AN17" s="2" t="s">
        <v>217</v>
      </c>
      <c r="AO17" s="2" t="s">
        <v>218</v>
      </c>
      <c r="AP17" s="2" t="s">
        <v>219</v>
      </c>
      <c r="AQ17" s="2"/>
      <c r="AR17" s="2" t="s">
        <v>220</v>
      </c>
      <c r="AS17" s="2" t="s">
        <v>221</v>
      </c>
      <c r="AT17" s="2" t="s">
        <v>453</v>
      </c>
      <c r="AU17" s="2">
        <v>2023.0</v>
      </c>
      <c r="AV17" s="2">
        <v>186.0</v>
      </c>
      <c r="AW17" s="2"/>
      <c r="AX17" s="2"/>
      <c r="AY17" s="2"/>
      <c r="AZ17" s="2"/>
      <c r="BA17" s="2"/>
      <c r="BB17" s="2"/>
      <c r="BC17" s="2"/>
      <c r="BD17" s="2">
        <v>114467.0</v>
      </c>
      <c r="BE17" s="2" t="s">
        <v>454</v>
      </c>
      <c r="BF17" s="3" t="str">
        <f>HYPERLINK("http://dx.doi.org/10.1016/j.marpolbul.2022.114467","http://dx.doi.org/10.1016/j.marpolbul.2022.114467")</f>
        <v>http://dx.doi.org/10.1016/j.marpolbul.2022.114467</v>
      </c>
      <c r="BG17" s="2"/>
      <c r="BH17" s="2" t="s">
        <v>455</v>
      </c>
      <c r="BI17" s="2">
        <v>9.0</v>
      </c>
      <c r="BJ17" s="2" t="s">
        <v>225</v>
      </c>
      <c r="BK17" s="2" t="s">
        <v>226</v>
      </c>
      <c r="BL17" s="2" t="s">
        <v>227</v>
      </c>
      <c r="BM17" s="2" t="s">
        <v>456</v>
      </c>
      <c r="BN17" s="2">
        <v>3.6516497E7</v>
      </c>
      <c r="BO17" s="2" t="s">
        <v>457</v>
      </c>
      <c r="BP17" s="2"/>
      <c r="BQ17" s="2"/>
      <c r="BR17" s="2" t="s">
        <v>99</v>
      </c>
      <c r="BS17" s="2" t="s">
        <v>458</v>
      </c>
      <c r="BT17" s="2" t="str">
        <f>HYPERLINK("https%3A%2F%2Fwww.webofscience.com%2Fwos%2Fwoscc%2Ffull-record%2FWOS:000900967800002","View Full Record in Web of Science")</f>
        <v>View Full Record in Web of Science</v>
      </c>
    </row>
    <row r="18" ht="64.5" customHeight="1">
      <c r="A18" s="2" t="s">
        <v>72</v>
      </c>
      <c r="B18" s="2" t="s">
        <v>459</v>
      </c>
      <c r="C18" s="2"/>
      <c r="D18" s="2"/>
      <c r="E18" s="2"/>
      <c r="F18" s="2" t="s">
        <v>460</v>
      </c>
      <c r="G18" s="2"/>
      <c r="H18" s="2"/>
      <c r="I18" s="2" t="s">
        <v>461</v>
      </c>
      <c r="J18" s="2" t="s">
        <v>462</v>
      </c>
      <c r="K18" s="2"/>
      <c r="L18" s="2"/>
      <c r="M18" s="2" t="s">
        <v>116</v>
      </c>
      <c r="N18" s="2" t="s">
        <v>78</v>
      </c>
      <c r="O18" s="2"/>
      <c r="P18" s="2"/>
      <c r="Q18" s="2"/>
      <c r="R18" s="2"/>
      <c r="S18" s="2"/>
      <c r="T18" s="2" t="s">
        <v>463</v>
      </c>
      <c r="U18" s="2"/>
      <c r="V18" s="2" t="s">
        <v>464</v>
      </c>
      <c r="W18" s="2" t="s">
        <v>465</v>
      </c>
      <c r="X18" s="2" t="s">
        <v>375</v>
      </c>
      <c r="Y18" s="2" t="s">
        <v>466</v>
      </c>
      <c r="Z18" s="2" t="s">
        <v>306</v>
      </c>
      <c r="AA18" s="2" t="s">
        <v>182</v>
      </c>
      <c r="AB18" s="2" t="s">
        <v>183</v>
      </c>
      <c r="AC18" s="2"/>
      <c r="AD18" s="2"/>
      <c r="AE18" s="2"/>
      <c r="AF18" s="2" t="s">
        <v>467</v>
      </c>
      <c r="AG18" s="2">
        <v>25.0</v>
      </c>
      <c r="AH18" s="2">
        <v>8.0</v>
      </c>
      <c r="AI18" s="2">
        <v>9.0</v>
      </c>
      <c r="AJ18" s="2">
        <v>3.0</v>
      </c>
      <c r="AK18" s="2">
        <v>17.0</v>
      </c>
      <c r="AL18" s="2" t="s">
        <v>468</v>
      </c>
      <c r="AM18" s="2" t="s">
        <v>469</v>
      </c>
      <c r="AN18" s="2" t="s">
        <v>470</v>
      </c>
      <c r="AO18" s="2" t="s">
        <v>471</v>
      </c>
      <c r="AP18" s="2"/>
      <c r="AQ18" s="2"/>
      <c r="AR18" s="2" t="s">
        <v>462</v>
      </c>
      <c r="AS18" s="2" t="s">
        <v>472</v>
      </c>
      <c r="AT18" s="2" t="s">
        <v>473</v>
      </c>
      <c r="AU18" s="2">
        <v>2019.0</v>
      </c>
      <c r="AV18" s="2">
        <v>9.0</v>
      </c>
      <c r="AW18" s="2">
        <v>2.0</v>
      </c>
      <c r="AX18" s="2"/>
      <c r="AY18" s="2"/>
      <c r="AZ18" s="2"/>
      <c r="BA18" s="2"/>
      <c r="BB18" s="2"/>
      <c r="BC18" s="2"/>
      <c r="BD18" s="2">
        <v>2.1582440198441E15</v>
      </c>
      <c r="BE18" s="2" t="s">
        <v>474</v>
      </c>
      <c r="BF18" s="3" t="str">
        <f>HYPERLINK("http://dx.doi.org/10.1177/2158244019844085","http://dx.doi.org/10.1177/2158244019844085")</f>
        <v>http://dx.doi.org/10.1177/2158244019844085</v>
      </c>
      <c r="BG18" s="2"/>
      <c r="BH18" s="2"/>
      <c r="BI18" s="2">
        <v>15.0</v>
      </c>
      <c r="BJ18" s="2" t="s">
        <v>475</v>
      </c>
      <c r="BK18" s="2" t="s">
        <v>166</v>
      </c>
      <c r="BL18" s="2" t="s">
        <v>476</v>
      </c>
      <c r="BM18" s="2" t="s">
        <v>477</v>
      </c>
      <c r="BN18" s="2"/>
      <c r="BO18" s="2" t="s">
        <v>255</v>
      </c>
      <c r="BP18" s="2"/>
      <c r="BQ18" s="2"/>
      <c r="BR18" s="2" t="s">
        <v>99</v>
      </c>
      <c r="BS18" s="2" t="s">
        <v>478</v>
      </c>
      <c r="BT18" s="2" t="str">
        <f>HYPERLINK("https%3A%2F%2Fwww.webofscience.com%2Fwos%2Fwoscc%2Ffull-record%2FWOS:000464964000001","View Full Record in Web of Science")</f>
        <v>View Full Record in Web of Science</v>
      </c>
    </row>
    <row r="19" ht="64.5" customHeight="1">
      <c r="A19" s="2" t="s">
        <v>72</v>
      </c>
      <c r="B19" s="2" t="s">
        <v>479</v>
      </c>
      <c r="C19" s="2"/>
      <c r="D19" s="2"/>
      <c r="E19" s="2"/>
      <c r="F19" s="2" t="s">
        <v>480</v>
      </c>
      <c r="G19" s="2"/>
      <c r="H19" s="2"/>
      <c r="I19" s="2" t="s">
        <v>481</v>
      </c>
      <c r="J19" s="2" t="s">
        <v>482</v>
      </c>
      <c r="K19" s="2"/>
      <c r="L19" s="2"/>
      <c r="M19" s="2" t="s">
        <v>77</v>
      </c>
      <c r="N19" s="2" t="s">
        <v>78</v>
      </c>
      <c r="O19" s="2"/>
      <c r="P19" s="2"/>
      <c r="Q19" s="2"/>
      <c r="R19" s="2"/>
      <c r="S19" s="2"/>
      <c r="T19" s="2" t="s">
        <v>483</v>
      </c>
      <c r="U19" s="2"/>
      <c r="V19" s="2" t="s">
        <v>484</v>
      </c>
      <c r="W19" s="2" t="s">
        <v>485</v>
      </c>
      <c r="X19" s="2"/>
      <c r="Y19" s="2" t="s">
        <v>486</v>
      </c>
      <c r="Z19" s="2" t="s">
        <v>487</v>
      </c>
      <c r="AA19" s="2" t="s">
        <v>488</v>
      </c>
      <c r="AB19" s="2" t="s">
        <v>489</v>
      </c>
      <c r="AC19" s="2"/>
      <c r="AD19" s="2"/>
      <c r="AE19" s="2"/>
      <c r="AF19" s="2" t="s">
        <v>490</v>
      </c>
      <c r="AG19" s="2">
        <v>2.0</v>
      </c>
      <c r="AH19" s="2">
        <v>0.0</v>
      </c>
      <c r="AI19" s="2">
        <v>0.0</v>
      </c>
      <c r="AJ19" s="2">
        <v>4.0</v>
      </c>
      <c r="AK19" s="2">
        <v>16.0</v>
      </c>
      <c r="AL19" s="2" t="s">
        <v>491</v>
      </c>
      <c r="AM19" s="2" t="s">
        <v>492</v>
      </c>
      <c r="AN19" s="2" t="s">
        <v>493</v>
      </c>
      <c r="AO19" s="2" t="s">
        <v>494</v>
      </c>
      <c r="AP19" s="2" t="s">
        <v>495</v>
      </c>
      <c r="AQ19" s="2"/>
      <c r="AR19" s="2" t="s">
        <v>496</v>
      </c>
      <c r="AS19" s="2" t="s">
        <v>497</v>
      </c>
      <c r="AT19" s="2" t="s">
        <v>498</v>
      </c>
      <c r="AU19" s="2">
        <v>2022.0</v>
      </c>
      <c r="AV19" s="2">
        <v>39.0</v>
      </c>
      <c r="AW19" s="2">
        <v>2.0</v>
      </c>
      <c r="AX19" s="2"/>
      <c r="AY19" s="2"/>
      <c r="AZ19" s="2"/>
      <c r="BA19" s="2"/>
      <c r="BB19" s="2">
        <v>406.0</v>
      </c>
      <c r="BC19" s="2">
        <v>414.0</v>
      </c>
      <c r="BD19" s="2"/>
      <c r="BE19" s="2"/>
      <c r="BF19" s="2"/>
      <c r="BG19" s="2"/>
      <c r="BH19" s="2"/>
      <c r="BI19" s="2">
        <v>9.0</v>
      </c>
      <c r="BJ19" s="2" t="s">
        <v>331</v>
      </c>
      <c r="BK19" s="2" t="s">
        <v>96</v>
      </c>
      <c r="BL19" s="2" t="s">
        <v>331</v>
      </c>
      <c r="BM19" s="2" t="s">
        <v>499</v>
      </c>
      <c r="BN19" s="2"/>
      <c r="BO19" s="2"/>
      <c r="BP19" s="2"/>
      <c r="BQ19" s="2"/>
      <c r="BR19" s="2" t="s">
        <v>99</v>
      </c>
      <c r="BS19" s="2" t="s">
        <v>500</v>
      </c>
      <c r="BT19" s="2" t="str">
        <f>HYPERLINK("https%3A%2F%2Fwww.webofscience.com%2Fwos%2Fwoscc%2Ffull-record%2FWOS:000880810000022","View Full Record in Web of Science")</f>
        <v>View Full Record in Web of Science</v>
      </c>
    </row>
    <row r="20" ht="64.5" customHeight="1">
      <c r="A20" s="2" t="s">
        <v>72</v>
      </c>
      <c r="B20" s="2" t="s">
        <v>501</v>
      </c>
      <c r="C20" s="2"/>
      <c r="D20" s="2"/>
      <c r="E20" s="2"/>
      <c r="F20" s="2" t="s">
        <v>502</v>
      </c>
      <c r="G20" s="2"/>
      <c r="H20" s="2"/>
      <c r="I20" s="2" t="s">
        <v>503</v>
      </c>
      <c r="J20" s="2" t="s">
        <v>142</v>
      </c>
      <c r="K20" s="2"/>
      <c r="L20" s="2"/>
      <c r="M20" s="2" t="s">
        <v>116</v>
      </c>
      <c r="N20" s="2" t="s">
        <v>78</v>
      </c>
      <c r="O20" s="2"/>
      <c r="P20" s="2"/>
      <c r="Q20" s="2"/>
      <c r="R20" s="2"/>
      <c r="S20" s="2"/>
      <c r="T20" s="2" t="s">
        <v>504</v>
      </c>
      <c r="U20" s="2" t="s">
        <v>505</v>
      </c>
      <c r="V20" s="2" t="s">
        <v>506</v>
      </c>
      <c r="W20" s="2" t="s">
        <v>507</v>
      </c>
      <c r="X20" s="2" t="s">
        <v>508</v>
      </c>
      <c r="Y20" s="2" t="s">
        <v>509</v>
      </c>
      <c r="Z20" s="2" t="s">
        <v>510</v>
      </c>
      <c r="AA20" s="2"/>
      <c r="AB20" s="2" t="s">
        <v>511</v>
      </c>
      <c r="AC20" s="2"/>
      <c r="AD20" s="2"/>
      <c r="AE20" s="2"/>
      <c r="AF20" s="2" t="s">
        <v>512</v>
      </c>
      <c r="AG20" s="2">
        <v>63.0</v>
      </c>
      <c r="AH20" s="2">
        <v>7.0</v>
      </c>
      <c r="AI20" s="2">
        <v>8.0</v>
      </c>
      <c r="AJ20" s="2">
        <v>1.0</v>
      </c>
      <c r="AK20" s="2">
        <v>30.0</v>
      </c>
      <c r="AL20" s="2" t="s">
        <v>156</v>
      </c>
      <c r="AM20" s="2" t="s">
        <v>157</v>
      </c>
      <c r="AN20" s="2" t="s">
        <v>158</v>
      </c>
      <c r="AO20" s="2" t="s">
        <v>159</v>
      </c>
      <c r="AP20" s="2" t="s">
        <v>160</v>
      </c>
      <c r="AQ20" s="2"/>
      <c r="AR20" s="2" t="s">
        <v>161</v>
      </c>
      <c r="AS20" s="2" t="s">
        <v>162</v>
      </c>
      <c r="AT20" s="2" t="s">
        <v>513</v>
      </c>
      <c r="AU20" s="2">
        <v>2020.0</v>
      </c>
      <c r="AV20" s="2">
        <v>26.0</v>
      </c>
      <c r="AW20" s="2">
        <v>7.0</v>
      </c>
      <c r="AX20" s="2"/>
      <c r="AY20" s="2"/>
      <c r="AZ20" s="2"/>
      <c r="BA20" s="2"/>
      <c r="BB20" s="2">
        <v>969.0</v>
      </c>
      <c r="BC20" s="2">
        <v>988.0</v>
      </c>
      <c r="BD20" s="2"/>
      <c r="BE20" s="2" t="s">
        <v>514</v>
      </c>
      <c r="BF20" s="3" t="str">
        <f>HYPERLINK("http://dx.doi.org/10.1080/13504622.2020.1758631","http://dx.doi.org/10.1080/13504622.2020.1758631")</f>
        <v>http://dx.doi.org/10.1080/13504622.2020.1758631</v>
      </c>
      <c r="BG20" s="2"/>
      <c r="BH20" s="2" t="s">
        <v>515</v>
      </c>
      <c r="BI20" s="2">
        <v>20.0</v>
      </c>
      <c r="BJ20" s="2" t="s">
        <v>165</v>
      </c>
      <c r="BK20" s="2" t="s">
        <v>166</v>
      </c>
      <c r="BL20" s="2" t="s">
        <v>167</v>
      </c>
      <c r="BM20" s="2" t="s">
        <v>516</v>
      </c>
      <c r="BN20" s="2"/>
      <c r="BO20" s="2"/>
      <c r="BP20" s="2"/>
      <c r="BQ20" s="2"/>
      <c r="BR20" s="2" t="s">
        <v>99</v>
      </c>
      <c r="BS20" s="2" t="s">
        <v>517</v>
      </c>
      <c r="BT20" s="2" t="str">
        <f>HYPERLINK("https%3A%2F%2Fwww.webofscience.com%2Fwos%2Fwoscc%2Ffull-record%2FWOS:000532010100001","View Full Record in Web of Science")</f>
        <v>View Full Record in Web of Science</v>
      </c>
    </row>
    <row r="21" ht="64.5" customHeight="1">
      <c r="A21" s="2" t="s">
        <v>72</v>
      </c>
      <c r="B21" s="2" t="s">
        <v>518</v>
      </c>
      <c r="C21" s="2"/>
      <c r="D21" s="2"/>
      <c r="E21" s="2"/>
      <c r="F21" s="2" t="s">
        <v>519</v>
      </c>
      <c r="G21" s="2"/>
      <c r="H21" s="2"/>
      <c r="I21" s="2" t="s">
        <v>520</v>
      </c>
      <c r="J21" s="2" t="s">
        <v>370</v>
      </c>
      <c r="K21" s="2"/>
      <c r="L21" s="2"/>
      <c r="M21" s="2" t="s">
        <v>116</v>
      </c>
      <c r="N21" s="2" t="s">
        <v>78</v>
      </c>
      <c r="O21" s="2"/>
      <c r="P21" s="2"/>
      <c r="Q21" s="2"/>
      <c r="R21" s="2"/>
      <c r="S21" s="2"/>
      <c r="T21" s="2" t="s">
        <v>521</v>
      </c>
      <c r="U21" s="2" t="s">
        <v>522</v>
      </c>
      <c r="V21" s="2" t="s">
        <v>523</v>
      </c>
      <c r="W21" s="2" t="s">
        <v>524</v>
      </c>
      <c r="X21" s="2" t="s">
        <v>525</v>
      </c>
      <c r="Y21" s="2" t="s">
        <v>526</v>
      </c>
      <c r="Z21" s="2" t="s">
        <v>527</v>
      </c>
      <c r="AA21" s="2" t="s">
        <v>182</v>
      </c>
      <c r="AB21" s="2" t="s">
        <v>528</v>
      </c>
      <c r="AC21" s="2" t="s">
        <v>529</v>
      </c>
      <c r="AD21" s="2" t="s">
        <v>530</v>
      </c>
      <c r="AE21" s="2" t="s">
        <v>531</v>
      </c>
      <c r="AF21" s="2" t="s">
        <v>532</v>
      </c>
      <c r="AG21" s="2">
        <v>59.0</v>
      </c>
      <c r="AH21" s="2">
        <v>15.0</v>
      </c>
      <c r="AI21" s="2">
        <v>15.0</v>
      </c>
      <c r="AJ21" s="2">
        <v>4.0</v>
      </c>
      <c r="AK21" s="2">
        <v>32.0</v>
      </c>
      <c r="AL21" s="2" t="s">
        <v>383</v>
      </c>
      <c r="AM21" s="2" t="s">
        <v>384</v>
      </c>
      <c r="AN21" s="2" t="s">
        <v>385</v>
      </c>
      <c r="AO21" s="2"/>
      <c r="AP21" s="2" t="s">
        <v>386</v>
      </c>
      <c r="AQ21" s="2"/>
      <c r="AR21" s="2" t="s">
        <v>387</v>
      </c>
      <c r="AS21" s="2" t="s">
        <v>388</v>
      </c>
      <c r="AT21" s="2" t="s">
        <v>533</v>
      </c>
      <c r="AU21" s="2">
        <v>2020.0</v>
      </c>
      <c r="AV21" s="2">
        <v>12.0</v>
      </c>
      <c r="AW21" s="2">
        <v>17.0</v>
      </c>
      <c r="AX21" s="2"/>
      <c r="AY21" s="2"/>
      <c r="AZ21" s="2"/>
      <c r="BA21" s="2"/>
      <c r="BB21" s="2"/>
      <c r="BC21" s="2"/>
      <c r="BD21" s="2">
        <v>7115.0</v>
      </c>
      <c r="BE21" s="2" t="s">
        <v>534</v>
      </c>
      <c r="BF21" s="3" t="str">
        <f>HYPERLINK("http://dx.doi.org/10.3390/su12177115","http://dx.doi.org/10.3390/su12177115")</f>
        <v>http://dx.doi.org/10.3390/su12177115</v>
      </c>
      <c r="BG21" s="2"/>
      <c r="BH21" s="2"/>
      <c r="BI21" s="2">
        <v>18.0</v>
      </c>
      <c r="BJ21" s="2" t="s">
        <v>390</v>
      </c>
      <c r="BK21" s="2" t="s">
        <v>363</v>
      </c>
      <c r="BL21" s="2" t="s">
        <v>391</v>
      </c>
      <c r="BM21" s="2" t="s">
        <v>535</v>
      </c>
      <c r="BN21" s="2"/>
      <c r="BO21" s="2" t="s">
        <v>272</v>
      </c>
      <c r="BP21" s="2"/>
      <c r="BQ21" s="2"/>
      <c r="BR21" s="2" t="s">
        <v>99</v>
      </c>
      <c r="BS21" s="2" t="s">
        <v>536</v>
      </c>
      <c r="BT21" s="2" t="str">
        <f>HYPERLINK("https%3A%2F%2Fwww.webofscience.com%2Fwos%2Fwoscc%2Ffull-record%2FWOS:000570374800001","View Full Record in Web of Science")</f>
        <v>View Full Record in Web of Science</v>
      </c>
    </row>
    <row r="22" ht="64.5" customHeight="1">
      <c r="A22" s="2" t="s">
        <v>72</v>
      </c>
      <c r="B22" s="2" t="s">
        <v>537</v>
      </c>
      <c r="C22" s="2"/>
      <c r="D22" s="2"/>
      <c r="E22" s="2"/>
      <c r="F22" s="2" t="s">
        <v>538</v>
      </c>
      <c r="G22" s="2"/>
      <c r="H22" s="2"/>
      <c r="I22" s="2" t="s">
        <v>539</v>
      </c>
      <c r="J22" s="2" t="s">
        <v>540</v>
      </c>
      <c r="K22" s="2"/>
      <c r="L22" s="2"/>
      <c r="M22" s="2" t="s">
        <v>116</v>
      </c>
      <c r="N22" s="2" t="s">
        <v>78</v>
      </c>
      <c r="O22" s="2"/>
      <c r="P22" s="2"/>
      <c r="Q22" s="2"/>
      <c r="R22" s="2"/>
      <c r="S22" s="2"/>
      <c r="T22" s="2" t="s">
        <v>541</v>
      </c>
      <c r="U22" s="2" t="s">
        <v>542</v>
      </c>
      <c r="V22" s="2" t="s">
        <v>543</v>
      </c>
      <c r="W22" s="2" t="s">
        <v>544</v>
      </c>
      <c r="X22" s="2" t="s">
        <v>545</v>
      </c>
      <c r="Y22" s="2" t="s">
        <v>546</v>
      </c>
      <c r="Z22" s="2" t="s">
        <v>547</v>
      </c>
      <c r="AA22" s="2" t="s">
        <v>548</v>
      </c>
      <c r="AB22" s="2" t="s">
        <v>549</v>
      </c>
      <c r="AC22" s="2" t="s">
        <v>550</v>
      </c>
      <c r="AD22" s="2" t="s">
        <v>551</v>
      </c>
      <c r="AE22" s="2" t="s">
        <v>552</v>
      </c>
      <c r="AF22" s="2" t="s">
        <v>553</v>
      </c>
      <c r="AG22" s="2">
        <v>78.0</v>
      </c>
      <c r="AH22" s="2">
        <v>1.0</v>
      </c>
      <c r="AI22" s="2">
        <v>1.0</v>
      </c>
      <c r="AJ22" s="2">
        <v>12.0</v>
      </c>
      <c r="AK22" s="2">
        <v>24.0</v>
      </c>
      <c r="AL22" s="2" t="s">
        <v>383</v>
      </c>
      <c r="AM22" s="2" t="s">
        <v>384</v>
      </c>
      <c r="AN22" s="2" t="s">
        <v>385</v>
      </c>
      <c r="AO22" s="2"/>
      <c r="AP22" s="2" t="s">
        <v>554</v>
      </c>
      <c r="AQ22" s="2"/>
      <c r="AR22" s="2" t="s">
        <v>555</v>
      </c>
      <c r="AS22" s="2" t="s">
        <v>556</v>
      </c>
      <c r="AT22" s="2" t="s">
        <v>557</v>
      </c>
      <c r="AU22" s="2">
        <v>2023.0</v>
      </c>
      <c r="AV22" s="2">
        <v>15.0</v>
      </c>
      <c r="AW22" s="2">
        <v>11.0</v>
      </c>
      <c r="AX22" s="2"/>
      <c r="AY22" s="2"/>
      <c r="AZ22" s="2"/>
      <c r="BA22" s="2"/>
      <c r="BB22" s="2"/>
      <c r="BC22" s="2"/>
      <c r="BD22" s="2">
        <v>2095.0</v>
      </c>
      <c r="BE22" s="2" t="s">
        <v>558</v>
      </c>
      <c r="BF22" s="3" t="str">
        <f>HYPERLINK("http://dx.doi.org/10.3390/w15112095","http://dx.doi.org/10.3390/w15112095")</f>
        <v>http://dx.doi.org/10.3390/w15112095</v>
      </c>
      <c r="BG22" s="2"/>
      <c r="BH22" s="2"/>
      <c r="BI22" s="2">
        <v>14.0</v>
      </c>
      <c r="BJ22" s="2" t="s">
        <v>559</v>
      </c>
      <c r="BK22" s="2" t="s">
        <v>226</v>
      </c>
      <c r="BL22" s="2" t="s">
        <v>560</v>
      </c>
      <c r="BM22" s="2" t="s">
        <v>561</v>
      </c>
      <c r="BN22" s="2"/>
      <c r="BO22" s="2" t="s">
        <v>255</v>
      </c>
      <c r="BP22" s="2"/>
      <c r="BQ22" s="2"/>
      <c r="BR22" s="2" t="s">
        <v>99</v>
      </c>
      <c r="BS22" s="2" t="s">
        <v>562</v>
      </c>
      <c r="BT22" s="2" t="str">
        <f>HYPERLINK("https%3A%2F%2Fwww.webofscience.com%2Fwos%2Fwoscc%2Ffull-record%2FWOS:001004731800001","View Full Record in Web of Science")</f>
        <v>View Full Record in Web of Science</v>
      </c>
    </row>
    <row r="23" ht="64.5" customHeight="1">
      <c r="A23" s="2" t="s">
        <v>72</v>
      </c>
      <c r="B23" s="2" t="s">
        <v>563</v>
      </c>
      <c r="C23" s="2"/>
      <c r="D23" s="2"/>
      <c r="E23" s="2"/>
      <c r="F23" s="2" t="s">
        <v>564</v>
      </c>
      <c r="G23" s="2"/>
      <c r="H23" s="2"/>
      <c r="I23" s="2" t="s">
        <v>565</v>
      </c>
      <c r="J23" s="2" t="s">
        <v>174</v>
      </c>
      <c r="K23" s="2"/>
      <c r="L23" s="2"/>
      <c r="M23" s="2" t="s">
        <v>116</v>
      </c>
      <c r="N23" s="2" t="s">
        <v>78</v>
      </c>
      <c r="O23" s="2"/>
      <c r="P23" s="2"/>
      <c r="Q23" s="2"/>
      <c r="R23" s="2"/>
      <c r="S23" s="2"/>
      <c r="T23" s="2" t="s">
        <v>566</v>
      </c>
      <c r="U23" s="2" t="s">
        <v>567</v>
      </c>
      <c r="V23" s="2" t="s">
        <v>568</v>
      </c>
      <c r="W23" s="2" t="s">
        <v>569</v>
      </c>
      <c r="X23" s="2" t="s">
        <v>570</v>
      </c>
      <c r="Y23" s="2" t="s">
        <v>571</v>
      </c>
      <c r="Z23" s="2" t="s">
        <v>572</v>
      </c>
      <c r="AA23" s="2"/>
      <c r="AB23" s="2" t="s">
        <v>573</v>
      </c>
      <c r="AC23" s="2" t="s">
        <v>574</v>
      </c>
      <c r="AD23" s="2" t="s">
        <v>574</v>
      </c>
      <c r="AE23" s="2" t="s">
        <v>575</v>
      </c>
      <c r="AF23" s="2" t="s">
        <v>576</v>
      </c>
      <c r="AG23" s="2">
        <v>39.0</v>
      </c>
      <c r="AH23" s="2">
        <v>88.0</v>
      </c>
      <c r="AI23" s="2">
        <v>100.0</v>
      </c>
      <c r="AJ23" s="2">
        <v>2.0</v>
      </c>
      <c r="AK23" s="2">
        <v>64.0</v>
      </c>
      <c r="AL23" s="2" t="s">
        <v>188</v>
      </c>
      <c r="AM23" s="2" t="s">
        <v>189</v>
      </c>
      <c r="AN23" s="2" t="s">
        <v>190</v>
      </c>
      <c r="AO23" s="2" t="s">
        <v>191</v>
      </c>
      <c r="AP23" s="2" t="s">
        <v>192</v>
      </c>
      <c r="AQ23" s="2"/>
      <c r="AR23" s="2" t="s">
        <v>193</v>
      </c>
      <c r="AS23" s="2" t="s">
        <v>194</v>
      </c>
      <c r="AT23" s="2" t="s">
        <v>222</v>
      </c>
      <c r="AU23" s="2">
        <v>2015.0</v>
      </c>
      <c r="AV23" s="2">
        <v>58.0</v>
      </c>
      <c r="AW23" s="2"/>
      <c r="AX23" s="2"/>
      <c r="AY23" s="2"/>
      <c r="AZ23" s="2"/>
      <c r="BA23" s="2"/>
      <c r="BB23" s="2">
        <v>98.0</v>
      </c>
      <c r="BC23" s="2">
        <v>107.0</v>
      </c>
      <c r="BD23" s="2"/>
      <c r="BE23" s="2" t="s">
        <v>577</v>
      </c>
      <c r="BF23" s="3" t="str">
        <f>HYPERLINK("http://dx.doi.org/10.1016/j.marpol.2015.04.007","http://dx.doi.org/10.1016/j.marpol.2015.04.007")</f>
        <v>http://dx.doi.org/10.1016/j.marpol.2015.04.007</v>
      </c>
      <c r="BG23" s="2"/>
      <c r="BH23" s="2"/>
      <c r="BI23" s="2">
        <v>10.0</v>
      </c>
      <c r="BJ23" s="2" t="s">
        <v>198</v>
      </c>
      <c r="BK23" s="2" t="s">
        <v>166</v>
      </c>
      <c r="BL23" s="2" t="s">
        <v>199</v>
      </c>
      <c r="BM23" s="2" t="s">
        <v>578</v>
      </c>
      <c r="BN23" s="2"/>
      <c r="BO23" s="2"/>
      <c r="BP23" s="2"/>
      <c r="BQ23" s="2"/>
      <c r="BR23" s="2" t="s">
        <v>99</v>
      </c>
      <c r="BS23" s="2" t="s">
        <v>579</v>
      </c>
      <c r="BT23" s="2" t="str">
        <f>HYPERLINK("https%3A%2F%2Fwww.webofscience.com%2Fwos%2Fwoscc%2Ffull-record%2FWOS:000356745700012","View Full Record in Web of Science")</f>
        <v>View Full Record in Web of Science</v>
      </c>
    </row>
    <row r="24" ht="64.5" customHeight="1">
      <c r="A24" s="2" t="s">
        <v>72</v>
      </c>
      <c r="B24" s="2" t="s">
        <v>580</v>
      </c>
      <c r="C24" s="2"/>
      <c r="D24" s="2"/>
      <c r="E24" s="2"/>
      <c r="F24" s="2" t="s">
        <v>581</v>
      </c>
      <c r="G24" s="2"/>
      <c r="H24" s="2"/>
      <c r="I24" s="2" t="s">
        <v>582</v>
      </c>
      <c r="J24" s="2" t="s">
        <v>583</v>
      </c>
      <c r="K24" s="2"/>
      <c r="L24" s="2"/>
      <c r="M24" s="2" t="s">
        <v>116</v>
      </c>
      <c r="N24" s="2" t="s">
        <v>78</v>
      </c>
      <c r="O24" s="2"/>
      <c r="P24" s="2"/>
      <c r="Q24" s="2"/>
      <c r="R24" s="2"/>
      <c r="S24" s="2"/>
      <c r="T24" s="2" t="s">
        <v>584</v>
      </c>
      <c r="U24" s="2" t="s">
        <v>585</v>
      </c>
      <c r="V24" s="2" t="s">
        <v>586</v>
      </c>
      <c r="W24" s="2" t="s">
        <v>587</v>
      </c>
      <c r="X24" s="2" t="s">
        <v>304</v>
      </c>
      <c r="Y24" s="2" t="s">
        <v>588</v>
      </c>
      <c r="Z24" s="2" t="s">
        <v>589</v>
      </c>
      <c r="AA24" s="2" t="s">
        <v>182</v>
      </c>
      <c r="AB24" s="2" t="s">
        <v>183</v>
      </c>
      <c r="AC24" s="2" t="s">
        <v>590</v>
      </c>
      <c r="AD24" s="2" t="s">
        <v>380</v>
      </c>
      <c r="AE24" s="2" t="s">
        <v>591</v>
      </c>
      <c r="AF24" s="2" t="s">
        <v>592</v>
      </c>
      <c r="AG24" s="2">
        <v>35.0</v>
      </c>
      <c r="AH24" s="2">
        <v>8.0</v>
      </c>
      <c r="AI24" s="2">
        <v>8.0</v>
      </c>
      <c r="AJ24" s="2">
        <v>2.0</v>
      </c>
      <c r="AK24" s="2">
        <v>16.0</v>
      </c>
      <c r="AL24" s="2" t="s">
        <v>383</v>
      </c>
      <c r="AM24" s="2" t="s">
        <v>384</v>
      </c>
      <c r="AN24" s="2" t="s">
        <v>385</v>
      </c>
      <c r="AO24" s="2"/>
      <c r="AP24" s="2" t="s">
        <v>593</v>
      </c>
      <c r="AQ24" s="2"/>
      <c r="AR24" s="2" t="s">
        <v>594</v>
      </c>
      <c r="AS24" s="2" t="s">
        <v>595</v>
      </c>
      <c r="AT24" s="2" t="s">
        <v>596</v>
      </c>
      <c r="AU24" s="2">
        <v>2019.0</v>
      </c>
      <c r="AV24" s="2">
        <v>16.0</v>
      </c>
      <c r="AW24" s="2">
        <v>19.0</v>
      </c>
      <c r="AX24" s="2"/>
      <c r="AY24" s="2"/>
      <c r="AZ24" s="2"/>
      <c r="BA24" s="2"/>
      <c r="BB24" s="2"/>
      <c r="BC24" s="2"/>
      <c r="BD24" s="2">
        <v>3672.0</v>
      </c>
      <c r="BE24" s="2" t="s">
        <v>597</v>
      </c>
      <c r="BF24" s="3" t="str">
        <f>HYPERLINK("http://dx.doi.org/10.3390/ijerph16193672","http://dx.doi.org/10.3390/ijerph16193672")</f>
        <v>http://dx.doi.org/10.3390/ijerph16193672</v>
      </c>
      <c r="BG24" s="2"/>
      <c r="BH24" s="2"/>
      <c r="BI24" s="2">
        <v>12.0</v>
      </c>
      <c r="BJ24" s="2" t="s">
        <v>598</v>
      </c>
      <c r="BK24" s="2" t="s">
        <v>363</v>
      </c>
      <c r="BL24" s="2" t="s">
        <v>599</v>
      </c>
      <c r="BM24" s="2" t="s">
        <v>600</v>
      </c>
      <c r="BN24" s="2">
        <v>3.1574904E7</v>
      </c>
      <c r="BO24" s="2" t="s">
        <v>601</v>
      </c>
      <c r="BP24" s="2"/>
      <c r="BQ24" s="2"/>
      <c r="BR24" s="2" t="s">
        <v>99</v>
      </c>
      <c r="BS24" s="2" t="s">
        <v>602</v>
      </c>
      <c r="BT24" s="2" t="str">
        <f>HYPERLINK("https%3A%2F%2Fwww.webofscience.com%2Fwos%2Fwoscc%2Ffull-record%2FWOS:000494748600168","View Full Record in Web of Science")</f>
        <v>View Full Record in Web of Science</v>
      </c>
    </row>
    <row r="25" ht="64.5" customHeight="1">
      <c r="A25" s="2" t="s">
        <v>72</v>
      </c>
      <c r="B25" s="2" t="s">
        <v>603</v>
      </c>
      <c r="C25" s="2"/>
      <c r="D25" s="2"/>
      <c r="E25" s="2"/>
      <c r="F25" s="2" t="s">
        <v>604</v>
      </c>
      <c r="G25" s="2"/>
      <c r="H25" s="2"/>
      <c r="I25" s="2" t="s">
        <v>605</v>
      </c>
      <c r="J25" s="2" t="s">
        <v>233</v>
      </c>
      <c r="K25" s="2"/>
      <c r="L25" s="2"/>
      <c r="M25" s="2" t="s">
        <v>116</v>
      </c>
      <c r="N25" s="2" t="s">
        <v>78</v>
      </c>
      <c r="O25" s="2"/>
      <c r="P25" s="2"/>
      <c r="Q25" s="2"/>
      <c r="R25" s="2"/>
      <c r="S25" s="2"/>
      <c r="T25" s="2" t="s">
        <v>606</v>
      </c>
      <c r="U25" s="2" t="s">
        <v>607</v>
      </c>
      <c r="V25" s="2" t="s">
        <v>608</v>
      </c>
      <c r="W25" s="2" t="s">
        <v>609</v>
      </c>
      <c r="X25" s="2" t="s">
        <v>610</v>
      </c>
      <c r="Y25" s="2" t="s">
        <v>611</v>
      </c>
      <c r="Z25" s="2" t="s">
        <v>612</v>
      </c>
      <c r="AA25" s="2"/>
      <c r="AB25" s="2"/>
      <c r="AC25" s="2" t="s">
        <v>613</v>
      </c>
      <c r="AD25" s="2" t="s">
        <v>613</v>
      </c>
      <c r="AE25" s="2" t="s">
        <v>614</v>
      </c>
      <c r="AF25" s="2" t="s">
        <v>615</v>
      </c>
      <c r="AG25" s="2">
        <v>40.0</v>
      </c>
      <c r="AH25" s="2">
        <v>4.0</v>
      </c>
      <c r="AI25" s="2">
        <v>4.0</v>
      </c>
      <c r="AJ25" s="2">
        <v>7.0</v>
      </c>
      <c r="AK25" s="2">
        <v>32.0</v>
      </c>
      <c r="AL25" s="2" t="s">
        <v>246</v>
      </c>
      <c r="AM25" s="2" t="s">
        <v>247</v>
      </c>
      <c r="AN25" s="2" t="s">
        <v>248</v>
      </c>
      <c r="AO25" s="2"/>
      <c r="AP25" s="2" t="s">
        <v>249</v>
      </c>
      <c r="AQ25" s="2"/>
      <c r="AR25" s="2" t="s">
        <v>250</v>
      </c>
      <c r="AS25" s="2" t="s">
        <v>251</v>
      </c>
      <c r="AT25" s="2" t="s">
        <v>616</v>
      </c>
      <c r="AU25" s="2">
        <v>2022.0</v>
      </c>
      <c r="AV25" s="2">
        <v>9.0</v>
      </c>
      <c r="AW25" s="2"/>
      <c r="AX25" s="2"/>
      <c r="AY25" s="2"/>
      <c r="AZ25" s="2"/>
      <c r="BA25" s="2"/>
      <c r="BB25" s="2"/>
      <c r="BC25" s="2"/>
      <c r="BD25" s="2">
        <v>976006.0</v>
      </c>
      <c r="BE25" s="2" t="s">
        <v>617</v>
      </c>
      <c r="BF25" s="3" t="str">
        <f>HYPERLINK("http://dx.doi.org/10.3389/fmars.2022.976006","http://dx.doi.org/10.3389/fmars.2022.976006")</f>
        <v>http://dx.doi.org/10.3389/fmars.2022.976006</v>
      </c>
      <c r="BG25" s="2"/>
      <c r="BH25" s="2"/>
      <c r="BI25" s="2">
        <v>9.0</v>
      </c>
      <c r="BJ25" s="2" t="s">
        <v>225</v>
      </c>
      <c r="BK25" s="2" t="s">
        <v>226</v>
      </c>
      <c r="BL25" s="2" t="s">
        <v>227</v>
      </c>
      <c r="BM25" s="2" t="s">
        <v>618</v>
      </c>
      <c r="BN25" s="2"/>
      <c r="BO25" s="2" t="s">
        <v>255</v>
      </c>
      <c r="BP25" s="2"/>
      <c r="BQ25" s="2"/>
      <c r="BR25" s="2" t="s">
        <v>99</v>
      </c>
      <c r="BS25" s="2" t="s">
        <v>619</v>
      </c>
      <c r="BT25" s="2" t="str">
        <f>HYPERLINK("https%3A%2F%2Fwww.webofscience.com%2Fwos%2Fwoscc%2Ffull-record%2FWOS:000861868000001","View Full Record in Web of Science")</f>
        <v>View Full Record in Web of Science</v>
      </c>
    </row>
    <row r="26" ht="64.5" customHeight="1">
      <c r="A26" s="2" t="s">
        <v>72</v>
      </c>
      <c r="B26" s="2" t="s">
        <v>620</v>
      </c>
      <c r="C26" s="2"/>
      <c r="D26" s="2"/>
      <c r="E26" s="2"/>
      <c r="F26" s="2" t="s">
        <v>621</v>
      </c>
      <c r="G26" s="2"/>
      <c r="H26" s="2"/>
      <c r="I26" s="2" t="s">
        <v>622</v>
      </c>
      <c r="J26" s="2" t="s">
        <v>623</v>
      </c>
      <c r="K26" s="2"/>
      <c r="L26" s="2"/>
      <c r="M26" s="2" t="s">
        <v>116</v>
      </c>
      <c r="N26" s="2" t="s">
        <v>78</v>
      </c>
      <c r="O26" s="2"/>
      <c r="P26" s="2"/>
      <c r="Q26" s="2"/>
      <c r="R26" s="2"/>
      <c r="S26" s="2"/>
      <c r="T26" s="4" t="s">
        <v>121</v>
      </c>
      <c r="U26" s="2"/>
      <c r="V26" s="2" t="s">
        <v>624</v>
      </c>
      <c r="W26" s="2" t="s">
        <v>625</v>
      </c>
      <c r="X26" s="2"/>
      <c r="Y26" s="2" t="s">
        <v>626</v>
      </c>
      <c r="Z26" s="2" t="s">
        <v>627</v>
      </c>
      <c r="AA26" s="2"/>
      <c r="AB26" s="2" t="s">
        <v>628</v>
      </c>
      <c r="AC26" s="2"/>
      <c r="AD26" s="2"/>
      <c r="AE26" s="2"/>
      <c r="AF26" s="2"/>
      <c r="AG26" s="2">
        <v>0.0</v>
      </c>
      <c r="AH26" s="2">
        <v>0.0</v>
      </c>
      <c r="AI26" s="2">
        <v>0.0</v>
      </c>
      <c r="AJ26" s="2">
        <v>0.0</v>
      </c>
      <c r="AK26" s="2">
        <v>3.0</v>
      </c>
      <c r="AL26" s="2" t="s">
        <v>629</v>
      </c>
      <c r="AM26" s="2" t="s">
        <v>630</v>
      </c>
      <c r="AN26" s="2" t="s">
        <v>631</v>
      </c>
      <c r="AO26" s="2" t="s">
        <v>632</v>
      </c>
      <c r="AP26" s="2" t="s">
        <v>633</v>
      </c>
      <c r="AQ26" s="2"/>
      <c r="AR26" s="2" t="s">
        <v>634</v>
      </c>
      <c r="AS26" s="2" t="s">
        <v>635</v>
      </c>
      <c r="AT26" s="2" t="s">
        <v>636</v>
      </c>
      <c r="AU26" s="2">
        <v>2022.0</v>
      </c>
      <c r="AV26" s="2">
        <v>56.0</v>
      </c>
      <c r="AW26" s="2">
        <v>3.0</v>
      </c>
      <c r="AX26" s="2"/>
      <c r="AY26" s="2"/>
      <c r="AZ26" s="2"/>
      <c r="BA26" s="2"/>
      <c r="BB26" s="2">
        <v>114.0</v>
      </c>
      <c r="BC26" s="2">
        <v>114.0</v>
      </c>
      <c r="BD26" s="2"/>
      <c r="BE26" s="2"/>
      <c r="BF26" s="2"/>
      <c r="BG26" s="2"/>
      <c r="BH26" s="2"/>
      <c r="BI26" s="2">
        <v>1.0</v>
      </c>
      <c r="BJ26" s="2" t="s">
        <v>134</v>
      </c>
      <c r="BK26" s="2" t="s">
        <v>226</v>
      </c>
      <c r="BL26" s="2" t="s">
        <v>136</v>
      </c>
      <c r="BM26" s="2" t="s">
        <v>637</v>
      </c>
      <c r="BN26" s="2"/>
      <c r="BO26" s="2"/>
      <c r="BP26" s="2"/>
      <c r="BQ26" s="2"/>
      <c r="BR26" s="2" t="s">
        <v>99</v>
      </c>
      <c r="BS26" s="2" t="s">
        <v>638</v>
      </c>
      <c r="BT26" s="2" t="str">
        <f>HYPERLINK("https%3A%2F%2Fwww.webofscience.com%2Fwos%2Fwoscc%2Ffull-record%2FWOS:000811597500022","View Full Record in Web of Science")</f>
        <v>View Full Record in Web of Science</v>
      </c>
    </row>
    <row r="27" ht="64.5" customHeight="1">
      <c r="A27" s="2" t="s">
        <v>72</v>
      </c>
      <c r="B27" s="2" t="s">
        <v>639</v>
      </c>
      <c r="C27" s="2"/>
      <c r="D27" s="2"/>
      <c r="E27" s="2"/>
      <c r="F27" s="2" t="s">
        <v>640</v>
      </c>
      <c r="G27" s="2"/>
      <c r="H27" s="2"/>
      <c r="I27" s="2" t="s">
        <v>641</v>
      </c>
      <c r="J27" s="2" t="s">
        <v>642</v>
      </c>
      <c r="K27" s="2"/>
      <c r="L27" s="2"/>
      <c r="M27" s="2" t="s">
        <v>116</v>
      </c>
      <c r="N27" s="2" t="s">
        <v>643</v>
      </c>
      <c r="O27" s="2"/>
      <c r="P27" s="2"/>
      <c r="Q27" s="2"/>
      <c r="R27" s="2"/>
      <c r="S27" s="2"/>
      <c r="T27" s="4" t="s">
        <v>121</v>
      </c>
      <c r="U27" s="2" t="s">
        <v>644</v>
      </c>
      <c r="V27" s="2" t="s">
        <v>645</v>
      </c>
      <c r="W27" s="2" t="s">
        <v>646</v>
      </c>
      <c r="X27" s="2" t="s">
        <v>647</v>
      </c>
      <c r="Y27" s="2" t="s">
        <v>648</v>
      </c>
      <c r="Z27" s="2" t="s">
        <v>649</v>
      </c>
      <c r="AA27" s="2" t="s">
        <v>650</v>
      </c>
      <c r="AB27" s="2" t="s">
        <v>651</v>
      </c>
      <c r="AC27" s="2" t="s">
        <v>652</v>
      </c>
      <c r="AD27" s="2" t="s">
        <v>653</v>
      </c>
      <c r="AE27" s="2" t="s">
        <v>654</v>
      </c>
      <c r="AF27" s="2" t="s">
        <v>655</v>
      </c>
      <c r="AG27" s="2">
        <v>60.0</v>
      </c>
      <c r="AH27" s="2">
        <v>18.0</v>
      </c>
      <c r="AI27" s="2">
        <v>21.0</v>
      </c>
      <c r="AJ27" s="2">
        <v>2.0</v>
      </c>
      <c r="AK27" s="2">
        <v>40.0</v>
      </c>
      <c r="AL27" s="2" t="s">
        <v>656</v>
      </c>
      <c r="AM27" s="2" t="s">
        <v>657</v>
      </c>
      <c r="AN27" s="2" t="s">
        <v>658</v>
      </c>
      <c r="AO27" s="2" t="s">
        <v>659</v>
      </c>
      <c r="AP27" s="2" t="s">
        <v>660</v>
      </c>
      <c r="AQ27" s="2"/>
      <c r="AR27" s="2" t="s">
        <v>661</v>
      </c>
      <c r="AS27" s="2" t="s">
        <v>662</v>
      </c>
      <c r="AT27" s="2" t="s">
        <v>533</v>
      </c>
      <c r="AU27" s="2">
        <v>2017.0</v>
      </c>
      <c r="AV27" s="2">
        <v>15.0</v>
      </c>
      <c r="AW27" s="2">
        <v>7.0</v>
      </c>
      <c r="AX27" s="2"/>
      <c r="AY27" s="2"/>
      <c r="AZ27" s="2"/>
      <c r="BA27" s="2"/>
      <c r="BB27" s="2">
        <v>377.0</v>
      </c>
      <c r="BC27" s="2">
        <v>384.0</v>
      </c>
      <c r="BD27" s="2"/>
      <c r="BE27" s="2" t="s">
        <v>663</v>
      </c>
      <c r="BF27" s="3" t="str">
        <f>HYPERLINK("http://dx.doi.org/10.1002/fee.1519","http://dx.doi.org/10.1002/fee.1519")</f>
        <v>http://dx.doi.org/10.1002/fee.1519</v>
      </c>
      <c r="BG27" s="2"/>
      <c r="BH27" s="2"/>
      <c r="BI27" s="2">
        <v>8.0</v>
      </c>
      <c r="BJ27" s="2" t="s">
        <v>664</v>
      </c>
      <c r="BK27" s="2" t="s">
        <v>363</v>
      </c>
      <c r="BL27" s="2" t="s">
        <v>97</v>
      </c>
      <c r="BM27" s="2" t="s">
        <v>665</v>
      </c>
      <c r="BN27" s="2"/>
      <c r="BO27" s="2" t="s">
        <v>666</v>
      </c>
      <c r="BP27" s="2"/>
      <c r="BQ27" s="2"/>
      <c r="BR27" s="2" t="s">
        <v>99</v>
      </c>
      <c r="BS27" s="2" t="s">
        <v>667</v>
      </c>
      <c r="BT27" s="2" t="str">
        <f>HYPERLINK("https%3A%2F%2Fwww.webofscience.com%2Fwos%2Fwoscc%2Ffull-record%2FWOS:000408822300015","View Full Record in Web of Science")</f>
        <v>View Full Record in Web of Science</v>
      </c>
    </row>
    <row r="28" ht="64.5" customHeight="1">
      <c r="A28" s="2" t="s">
        <v>72</v>
      </c>
      <c r="B28" s="2" t="s">
        <v>668</v>
      </c>
      <c r="C28" s="2"/>
      <c r="D28" s="2"/>
      <c r="E28" s="2"/>
      <c r="F28" s="2" t="s">
        <v>669</v>
      </c>
      <c r="G28" s="2"/>
      <c r="H28" s="2"/>
      <c r="I28" s="2" t="s">
        <v>670</v>
      </c>
      <c r="J28" s="2" t="s">
        <v>671</v>
      </c>
      <c r="K28" s="2"/>
      <c r="L28" s="2"/>
      <c r="M28" s="2" t="s">
        <v>116</v>
      </c>
      <c r="N28" s="2" t="s">
        <v>78</v>
      </c>
      <c r="O28" s="2"/>
      <c r="P28" s="2"/>
      <c r="Q28" s="2"/>
      <c r="R28" s="2"/>
      <c r="S28" s="2"/>
      <c r="T28" s="2" t="s">
        <v>672</v>
      </c>
      <c r="U28" s="2" t="s">
        <v>673</v>
      </c>
      <c r="V28" s="2" t="s">
        <v>674</v>
      </c>
      <c r="W28" s="2" t="s">
        <v>675</v>
      </c>
      <c r="X28" s="2" t="s">
        <v>676</v>
      </c>
      <c r="Y28" s="2" t="s">
        <v>677</v>
      </c>
      <c r="Z28" s="2"/>
      <c r="AA28" s="2"/>
      <c r="AB28" s="2"/>
      <c r="AC28" s="2"/>
      <c r="AD28" s="2"/>
      <c r="AE28" s="2"/>
      <c r="AF28" s="2" t="s">
        <v>678</v>
      </c>
      <c r="AG28" s="2">
        <v>24.0</v>
      </c>
      <c r="AH28" s="2">
        <v>14.0</v>
      </c>
      <c r="AI28" s="2">
        <v>23.0</v>
      </c>
      <c r="AJ28" s="2">
        <v>1.0</v>
      </c>
      <c r="AK28" s="2">
        <v>42.0</v>
      </c>
      <c r="AL28" s="2" t="s">
        <v>679</v>
      </c>
      <c r="AM28" s="2" t="s">
        <v>630</v>
      </c>
      <c r="AN28" s="2" t="s">
        <v>680</v>
      </c>
      <c r="AO28" s="2" t="s">
        <v>681</v>
      </c>
      <c r="AP28" s="2"/>
      <c r="AQ28" s="2"/>
      <c r="AR28" s="2" t="s">
        <v>682</v>
      </c>
      <c r="AS28" s="2" t="s">
        <v>683</v>
      </c>
      <c r="AT28" s="2" t="s">
        <v>684</v>
      </c>
      <c r="AU28" s="2">
        <v>2008.0</v>
      </c>
      <c r="AV28" s="2">
        <v>29.0</v>
      </c>
      <c r="AW28" s="2">
        <v>6.0</v>
      </c>
      <c r="AX28" s="2"/>
      <c r="AY28" s="2"/>
      <c r="AZ28" s="2"/>
      <c r="BA28" s="2"/>
      <c r="BB28" s="2">
        <v>575.0</v>
      </c>
      <c r="BC28" s="2">
        <v>584.0</v>
      </c>
      <c r="BD28" s="2"/>
      <c r="BE28" s="2" t="s">
        <v>685</v>
      </c>
      <c r="BF28" s="3" t="str">
        <f>HYPERLINK("http://dx.doi.org/10.2747/0272-3646.29.6.575","http://dx.doi.org/10.2747/0272-3646.29.6.575")</f>
        <v>http://dx.doi.org/10.2747/0272-3646.29.6.575</v>
      </c>
      <c r="BG28" s="2"/>
      <c r="BH28" s="2"/>
      <c r="BI28" s="2">
        <v>10.0</v>
      </c>
      <c r="BJ28" s="2" t="s">
        <v>686</v>
      </c>
      <c r="BK28" s="2" t="s">
        <v>363</v>
      </c>
      <c r="BL28" s="2" t="s">
        <v>687</v>
      </c>
      <c r="BM28" s="2" t="s">
        <v>688</v>
      </c>
      <c r="BN28" s="2"/>
      <c r="BO28" s="2"/>
      <c r="BP28" s="2"/>
      <c r="BQ28" s="2"/>
      <c r="BR28" s="2" t="s">
        <v>99</v>
      </c>
      <c r="BS28" s="2" t="s">
        <v>689</v>
      </c>
      <c r="BT28" s="2" t="str">
        <f>HYPERLINK("https%3A%2F%2Fwww.webofscience.com%2Fwos%2Fwoscc%2Ffull-record%2FWOS:000264488400008","View Full Record in Web of Science")</f>
        <v>View Full Record in Web of Science</v>
      </c>
    </row>
    <row r="29" ht="64.5" customHeight="1">
      <c r="A29" s="2" t="s">
        <v>72</v>
      </c>
      <c r="B29" s="2" t="s">
        <v>690</v>
      </c>
      <c r="C29" s="2"/>
      <c r="D29" s="2"/>
      <c r="E29" s="2"/>
      <c r="F29" s="2" t="s">
        <v>691</v>
      </c>
      <c r="G29" s="2"/>
      <c r="H29" s="2"/>
      <c r="I29" s="2" t="s">
        <v>692</v>
      </c>
      <c r="J29" s="2" t="s">
        <v>370</v>
      </c>
      <c r="K29" s="2"/>
      <c r="L29" s="2"/>
      <c r="M29" s="2" t="s">
        <v>116</v>
      </c>
      <c r="N29" s="2" t="s">
        <v>78</v>
      </c>
      <c r="O29" s="2"/>
      <c r="P29" s="2"/>
      <c r="Q29" s="2"/>
      <c r="R29" s="2"/>
      <c r="S29" s="2"/>
      <c r="T29" s="2" t="s">
        <v>693</v>
      </c>
      <c r="U29" s="2" t="s">
        <v>694</v>
      </c>
      <c r="V29" s="2" t="s">
        <v>695</v>
      </c>
      <c r="W29" s="2" t="s">
        <v>696</v>
      </c>
      <c r="X29" s="2" t="s">
        <v>697</v>
      </c>
      <c r="Y29" s="2" t="s">
        <v>698</v>
      </c>
      <c r="Z29" s="2" t="s">
        <v>699</v>
      </c>
      <c r="AA29" s="2" t="s">
        <v>700</v>
      </c>
      <c r="AB29" s="2" t="s">
        <v>701</v>
      </c>
      <c r="AC29" s="2" t="s">
        <v>702</v>
      </c>
      <c r="AD29" s="2" t="s">
        <v>703</v>
      </c>
      <c r="AE29" s="2" t="s">
        <v>704</v>
      </c>
      <c r="AF29" s="2" t="s">
        <v>705</v>
      </c>
      <c r="AG29" s="2">
        <v>36.0</v>
      </c>
      <c r="AH29" s="2">
        <v>2.0</v>
      </c>
      <c r="AI29" s="2">
        <v>2.0</v>
      </c>
      <c r="AJ29" s="2">
        <v>4.0</v>
      </c>
      <c r="AK29" s="2">
        <v>18.0</v>
      </c>
      <c r="AL29" s="2" t="s">
        <v>383</v>
      </c>
      <c r="AM29" s="2" t="s">
        <v>384</v>
      </c>
      <c r="AN29" s="2" t="s">
        <v>385</v>
      </c>
      <c r="AO29" s="2"/>
      <c r="AP29" s="2" t="s">
        <v>386</v>
      </c>
      <c r="AQ29" s="2"/>
      <c r="AR29" s="2" t="s">
        <v>387</v>
      </c>
      <c r="AS29" s="2" t="s">
        <v>388</v>
      </c>
      <c r="AT29" s="2" t="s">
        <v>533</v>
      </c>
      <c r="AU29" s="2">
        <v>2021.0</v>
      </c>
      <c r="AV29" s="2">
        <v>13.0</v>
      </c>
      <c r="AW29" s="2">
        <v>17.0</v>
      </c>
      <c r="AX29" s="2"/>
      <c r="AY29" s="2"/>
      <c r="AZ29" s="2"/>
      <c r="BA29" s="2"/>
      <c r="BB29" s="2"/>
      <c r="BC29" s="2"/>
      <c r="BD29" s="2">
        <v>9684.0</v>
      </c>
      <c r="BE29" s="2" t="s">
        <v>706</v>
      </c>
      <c r="BF29" s="3" t="str">
        <f>HYPERLINK("http://dx.doi.org/10.3390/su13179684","http://dx.doi.org/10.3390/su13179684")</f>
        <v>http://dx.doi.org/10.3390/su13179684</v>
      </c>
      <c r="BG29" s="2"/>
      <c r="BH29" s="2"/>
      <c r="BI29" s="2">
        <v>15.0</v>
      </c>
      <c r="BJ29" s="2" t="s">
        <v>390</v>
      </c>
      <c r="BK29" s="2" t="s">
        <v>363</v>
      </c>
      <c r="BL29" s="2" t="s">
        <v>391</v>
      </c>
      <c r="BM29" s="2" t="s">
        <v>707</v>
      </c>
      <c r="BN29" s="2"/>
      <c r="BO29" s="2" t="s">
        <v>255</v>
      </c>
      <c r="BP29" s="2"/>
      <c r="BQ29" s="2"/>
      <c r="BR29" s="2" t="s">
        <v>99</v>
      </c>
      <c r="BS29" s="2" t="s">
        <v>708</v>
      </c>
      <c r="BT29" s="2" t="str">
        <f>HYPERLINK("https%3A%2F%2Fwww.webofscience.com%2Fwos%2Fwoscc%2Ffull-record%2FWOS:000694528700001","View Full Record in Web of Science")</f>
        <v>View Full Record in Web of Science</v>
      </c>
    </row>
    <row r="30" ht="64.5" customHeight="1">
      <c r="A30" s="2" t="s">
        <v>72</v>
      </c>
      <c r="B30" s="2" t="s">
        <v>709</v>
      </c>
      <c r="C30" s="2"/>
      <c r="D30" s="2"/>
      <c r="E30" s="2"/>
      <c r="F30" s="2" t="s">
        <v>710</v>
      </c>
      <c r="G30" s="2"/>
      <c r="H30" s="2"/>
      <c r="I30" s="2" t="s">
        <v>711</v>
      </c>
      <c r="J30" s="2" t="s">
        <v>712</v>
      </c>
      <c r="K30" s="2"/>
      <c r="L30" s="2"/>
      <c r="M30" s="2" t="s">
        <v>116</v>
      </c>
      <c r="N30" s="2" t="s">
        <v>78</v>
      </c>
      <c r="O30" s="2"/>
      <c r="P30" s="2"/>
      <c r="Q30" s="2"/>
      <c r="R30" s="2"/>
      <c r="S30" s="2"/>
      <c r="T30" s="2" t="s">
        <v>713</v>
      </c>
      <c r="U30" s="2" t="s">
        <v>714</v>
      </c>
      <c r="V30" s="2" t="s">
        <v>715</v>
      </c>
      <c r="W30" s="2" t="s">
        <v>716</v>
      </c>
      <c r="X30" s="2" t="s">
        <v>717</v>
      </c>
      <c r="Y30" s="2" t="s">
        <v>718</v>
      </c>
      <c r="Z30" s="2" t="s">
        <v>719</v>
      </c>
      <c r="AA30" s="2" t="s">
        <v>720</v>
      </c>
      <c r="AB30" s="2" t="s">
        <v>721</v>
      </c>
      <c r="AC30" s="2" t="s">
        <v>722</v>
      </c>
      <c r="AD30" s="2" t="s">
        <v>723</v>
      </c>
      <c r="AE30" s="2" t="s">
        <v>724</v>
      </c>
      <c r="AF30" s="2" t="s">
        <v>725</v>
      </c>
      <c r="AG30" s="2">
        <v>35.0</v>
      </c>
      <c r="AH30" s="2">
        <v>6.0</v>
      </c>
      <c r="AI30" s="2">
        <v>6.0</v>
      </c>
      <c r="AJ30" s="2">
        <v>2.0</v>
      </c>
      <c r="AK30" s="2">
        <v>12.0</v>
      </c>
      <c r="AL30" s="2" t="s">
        <v>726</v>
      </c>
      <c r="AM30" s="2" t="s">
        <v>727</v>
      </c>
      <c r="AN30" s="2" t="s">
        <v>728</v>
      </c>
      <c r="AO30" s="2" t="s">
        <v>729</v>
      </c>
      <c r="AP30" s="2"/>
      <c r="AQ30" s="2"/>
      <c r="AR30" s="2" t="s">
        <v>730</v>
      </c>
      <c r="AS30" s="2" t="s">
        <v>731</v>
      </c>
      <c r="AT30" s="2"/>
      <c r="AU30" s="2">
        <v>2022.0</v>
      </c>
      <c r="AV30" s="2">
        <v>23.0</v>
      </c>
      <c r="AW30" s="2">
        <v>2.0</v>
      </c>
      <c r="AX30" s="2"/>
      <c r="AY30" s="2"/>
      <c r="AZ30" s="2"/>
      <c r="BA30" s="2"/>
      <c r="BB30" s="2">
        <v>321.0</v>
      </c>
      <c r="BC30" s="2">
        <v>326.0</v>
      </c>
      <c r="BD30" s="2"/>
      <c r="BE30" s="2" t="s">
        <v>732</v>
      </c>
      <c r="BF30" s="3" t="str">
        <f>HYPERLINK("http://dx.doi.org/10.12681/mms.26608","http://dx.doi.org/10.12681/mms.26608")</f>
        <v>http://dx.doi.org/10.12681/mms.26608</v>
      </c>
      <c r="BG30" s="2"/>
      <c r="BH30" s="2"/>
      <c r="BI30" s="2">
        <v>7.0</v>
      </c>
      <c r="BJ30" s="2" t="s">
        <v>733</v>
      </c>
      <c r="BK30" s="2" t="s">
        <v>226</v>
      </c>
      <c r="BL30" s="2" t="s">
        <v>734</v>
      </c>
      <c r="BM30" s="2" t="s">
        <v>735</v>
      </c>
      <c r="BN30" s="2"/>
      <c r="BO30" s="2" t="s">
        <v>601</v>
      </c>
      <c r="BP30" s="2"/>
      <c r="BQ30" s="2"/>
      <c r="BR30" s="2" t="s">
        <v>99</v>
      </c>
      <c r="BS30" s="2" t="s">
        <v>736</v>
      </c>
      <c r="BT30" s="2" t="str">
        <f>HYPERLINK("https%3A%2F%2Fwww.webofscience.com%2Fwos%2Fwoscc%2Ffull-record%2FWOS:000782982600006","View Full Record in Web of Science")</f>
        <v>View Full Record in Web of Science</v>
      </c>
    </row>
    <row r="31" ht="64.5" customHeight="1">
      <c r="A31" s="2" t="s">
        <v>72</v>
      </c>
      <c r="B31" s="2" t="s">
        <v>737</v>
      </c>
      <c r="C31" s="2"/>
      <c r="D31" s="2"/>
      <c r="E31" s="2"/>
      <c r="F31" s="2" t="s">
        <v>738</v>
      </c>
      <c r="G31" s="2"/>
      <c r="H31" s="2"/>
      <c r="I31" s="2" t="s">
        <v>739</v>
      </c>
      <c r="J31" s="2" t="s">
        <v>174</v>
      </c>
      <c r="K31" s="2"/>
      <c r="L31" s="2"/>
      <c r="M31" s="2" t="s">
        <v>116</v>
      </c>
      <c r="N31" s="2" t="s">
        <v>78</v>
      </c>
      <c r="O31" s="2"/>
      <c r="P31" s="2"/>
      <c r="Q31" s="2"/>
      <c r="R31" s="2"/>
      <c r="S31" s="2"/>
      <c r="T31" s="2" t="s">
        <v>740</v>
      </c>
      <c r="U31" s="2" t="s">
        <v>741</v>
      </c>
      <c r="V31" s="2" t="s">
        <v>742</v>
      </c>
      <c r="W31" s="2" t="s">
        <v>743</v>
      </c>
      <c r="X31" s="2" t="s">
        <v>744</v>
      </c>
      <c r="Y31" s="2" t="s">
        <v>745</v>
      </c>
      <c r="Z31" s="2" t="s">
        <v>746</v>
      </c>
      <c r="AA31" s="2"/>
      <c r="AB31" s="2"/>
      <c r="AC31" s="2" t="s">
        <v>747</v>
      </c>
      <c r="AD31" s="2" t="s">
        <v>748</v>
      </c>
      <c r="AE31" s="2" t="s">
        <v>749</v>
      </c>
      <c r="AF31" s="2" t="s">
        <v>750</v>
      </c>
      <c r="AG31" s="2">
        <v>41.0</v>
      </c>
      <c r="AH31" s="2">
        <v>0.0</v>
      </c>
      <c r="AI31" s="2">
        <v>0.0</v>
      </c>
      <c r="AJ31" s="2">
        <v>0.0</v>
      </c>
      <c r="AK31" s="2">
        <v>0.0</v>
      </c>
      <c r="AL31" s="2" t="s">
        <v>188</v>
      </c>
      <c r="AM31" s="2" t="s">
        <v>290</v>
      </c>
      <c r="AN31" s="2" t="s">
        <v>291</v>
      </c>
      <c r="AO31" s="2" t="s">
        <v>191</v>
      </c>
      <c r="AP31" s="2" t="s">
        <v>192</v>
      </c>
      <c r="AQ31" s="2"/>
      <c r="AR31" s="2" t="s">
        <v>193</v>
      </c>
      <c r="AS31" s="2" t="s">
        <v>194</v>
      </c>
      <c r="AT31" s="2" t="s">
        <v>751</v>
      </c>
      <c r="AU31" s="2">
        <v>2024.0</v>
      </c>
      <c r="AV31" s="2">
        <v>165.0</v>
      </c>
      <c r="AW31" s="2"/>
      <c r="AX31" s="2"/>
      <c r="AY31" s="2"/>
      <c r="AZ31" s="2"/>
      <c r="BA31" s="2"/>
      <c r="BB31" s="2"/>
      <c r="BC31" s="2"/>
      <c r="BD31" s="2">
        <v>106157.0</v>
      </c>
      <c r="BE31" s="2" t="s">
        <v>752</v>
      </c>
      <c r="BF31" s="3" t="str">
        <f>HYPERLINK("http://dx.doi.org/10.1016/j.marpol.2024.106157","http://dx.doi.org/10.1016/j.marpol.2024.106157")</f>
        <v>http://dx.doi.org/10.1016/j.marpol.2024.106157</v>
      </c>
      <c r="BG31" s="2"/>
      <c r="BH31" s="2" t="s">
        <v>753</v>
      </c>
      <c r="BI31" s="2">
        <v>7.0</v>
      </c>
      <c r="BJ31" s="2" t="s">
        <v>198</v>
      </c>
      <c r="BK31" s="2" t="s">
        <v>166</v>
      </c>
      <c r="BL31" s="2" t="s">
        <v>199</v>
      </c>
      <c r="BM31" s="2" t="s">
        <v>754</v>
      </c>
      <c r="BN31" s="2"/>
      <c r="BO31" s="2" t="s">
        <v>201</v>
      </c>
      <c r="BP31" s="2"/>
      <c r="BQ31" s="2"/>
      <c r="BR31" s="2" t="s">
        <v>99</v>
      </c>
      <c r="BS31" s="2" t="s">
        <v>755</v>
      </c>
      <c r="BT31" s="2" t="str">
        <f>HYPERLINK("https%3A%2F%2Fwww.webofscience.com%2Fwos%2Fwoscc%2Ffull-record%2FWOS:001239403500001","View Full Record in Web of Science")</f>
        <v>View Full Record in Web of Science</v>
      </c>
    </row>
    <row r="32" ht="64.5" customHeight="1">
      <c r="A32" s="2" t="s">
        <v>72</v>
      </c>
      <c r="B32" s="2" t="s">
        <v>756</v>
      </c>
      <c r="C32" s="2"/>
      <c r="D32" s="2"/>
      <c r="E32" s="2"/>
      <c r="F32" s="2" t="s">
        <v>757</v>
      </c>
      <c r="G32" s="2"/>
      <c r="H32" s="2"/>
      <c r="I32" s="2" t="s">
        <v>758</v>
      </c>
      <c r="J32" s="2" t="s">
        <v>142</v>
      </c>
      <c r="K32" s="2"/>
      <c r="L32" s="2"/>
      <c r="M32" s="2" t="s">
        <v>116</v>
      </c>
      <c r="N32" s="2" t="s">
        <v>78</v>
      </c>
      <c r="O32" s="2"/>
      <c r="P32" s="2"/>
      <c r="Q32" s="2"/>
      <c r="R32" s="2"/>
      <c r="S32" s="2"/>
      <c r="T32" s="2" t="s">
        <v>759</v>
      </c>
      <c r="U32" s="2"/>
      <c r="V32" s="2" t="s">
        <v>760</v>
      </c>
      <c r="W32" s="2" t="s">
        <v>761</v>
      </c>
      <c r="X32" s="2" t="s">
        <v>762</v>
      </c>
      <c r="Y32" s="2" t="s">
        <v>763</v>
      </c>
      <c r="Z32" s="2" t="s">
        <v>764</v>
      </c>
      <c r="AA32" s="2" t="s">
        <v>765</v>
      </c>
      <c r="AB32" s="2" t="s">
        <v>766</v>
      </c>
      <c r="AC32" s="2" t="s">
        <v>767</v>
      </c>
      <c r="AD32" s="2" t="s">
        <v>767</v>
      </c>
      <c r="AE32" s="2" t="s">
        <v>768</v>
      </c>
      <c r="AF32" s="2" t="s">
        <v>769</v>
      </c>
      <c r="AG32" s="2">
        <v>46.0</v>
      </c>
      <c r="AH32" s="2">
        <v>59.0</v>
      </c>
      <c r="AI32" s="2">
        <v>62.0</v>
      </c>
      <c r="AJ32" s="2">
        <v>5.0</v>
      </c>
      <c r="AK32" s="2">
        <v>38.0</v>
      </c>
      <c r="AL32" s="2" t="s">
        <v>156</v>
      </c>
      <c r="AM32" s="2" t="s">
        <v>157</v>
      </c>
      <c r="AN32" s="2" t="s">
        <v>158</v>
      </c>
      <c r="AO32" s="2" t="s">
        <v>159</v>
      </c>
      <c r="AP32" s="2" t="s">
        <v>160</v>
      </c>
      <c r="AQ32" s="2"/>
      <c r="AR32" s="2" t="s">
        <v>161</v>
      </c>
      <c r="AS32" s="2" t="s">
        <v>162</v>
      </c>
      <c r="AT32" s="2" t="s">
        <v>163</v>
      </c>
      <c r="AU32" s="2">
        <v>2019.0</v>
      </c>
      <c r="AV32" s="2">
        <v>25.0</v>
      </c>
      <c r="AW32" s="2">
        <v>2.0</v>
      </c>
      <c r="AX32" s="2"/>
      <c r="AY32" s="2"/>
      <c r="AZ32" s="2"/>
      <c r="BA32" s="2"/>
      <c r="BB32" s="2">
        <v>238.0</v>
      </c>
      <c r="BC32" s="2">
        <v>263.0</v>
      </c>
      <c r="BD32" s="2"/>
      <c r="BE32" s="2" t="s">
        <v>770</v>
      </c>
      <c r="BF32" s="3" t="str">
        <f>HYPERLINK("http://dx.doi.org/10.1080/13504622.2018.1440381","http://dx.doi.org/10.1080/13504622.2018.1440381")</f>
        <v>http://dx.doi.org/10.1080/13504622.2018.1440381</v>
      </c>
      <c r="BG32" s="2"/>
      <c r="BH32" s="2"/>
      <c r="BI32" s="2">
        <v>26.0</v>
      </c>
      <c r="BJ32" s="2" t="s">
        <v>165</v>
      </c>
      <c r="BK32" s="2" t="s">
        <v>166</v>
      </c>
      <c r="BL32" s="2" t="s">
        <v>167</v>
      </c>
      <c r="BM32" s="2" t="s">
        <v>168</v>
      </c>
      <c r="BN32" s="2"/>
      <c r="BO32" s="2" t="s">
        <v>771</v>
      </c>
      <c r="BP32" s="2"/>
      <c r="BQ32" s="2"/>
      <c r="BR32" s="2" t="s">
        <v>99</v>
      </c>
      <c r="BS32" s="2" t="s">
        <v>772</v>
      </c>
      <c r="BT32" s="2" t="str">
        <f>HYPERLINK("https%3A%2F%2Fwww.webofscience.com%2Fwos%2Fwoscc%2Ffull-record%2FWOS:000469981100006","View Full Record in Web of Science")</f>
        <v>View Full Record in Web of Science</v>
      </c>
    </row>
    <row r="33" ht="64.5" customHeight="1">
      <c r="A33" s="2" t="s">
        <v>110</v>
      </c>
      <c r="B33" s="2" t="s">
        <v>773</v>
      </c>
      <c r="C33" s="2"/>
      <c r="D33" s="2"/>
      <c r="E33" s="2" t="s">
        <v>774</v>
      </c>
      <c r="F33" s="2" t="s">
        <v>775</v>
      </c>
      <c r="G33" s="2"/>
      <c r="H33" s="2"/>
      <c r="I33" s="2" t="s">
        <v>776</v>
      </c>
      <c r="J33" s="2" t="s">
        <v>777</v>
      </c>
      <c r="K33" s="2" t="s">
        <v>115</v>
      </c>
      <c r="L33" s="2"/>
      <c r="M33" s="2" t="s">
        <v>116</v>
      </c>
      <c r="N33" s="2" t="s">
        <v>117</v>
      </c>
      <c r="O33" s="2" t="s">
        <v>778</v>
      </c>
      <c r="P33" s="2" t="s">
        <v>779</v>
      </c>
      <c r="Q33" s="2" t="s">
        <v>780</v>
      </c>
      <c r="R33" s="2"/>
      <c r="S33" s="2"/>
      <c r="T33" s="4" t="s">
        <v>121</v>
      </c>
      <c r="U33" s="2"/>
      <c r="V33" s="2" t="s">
        <v>781</v>
      </c>
      <c r="W33" s="2" t="s">
        <v>782</v>
      </c>
      <c r="X33" s="2"/>
      <c r="Y33" s="2" t="s">
        <v>783</v>
      </c>
      <c r="Z33" s="2"/>
      <c r="AA33" s="2"/>
      <c r="AB33" s="2"/>
      <c r="AC33" s="2"/>
      <c r="AD33" s="2"/>
      <c r="AE33" s="2"/>
      <c r="AF33" s="2" t="s">
        <v>784</v>
      </c>
      <c r="AG33" s="2">
        <v>7.0</v>
      </c>
      <c r="AH33" s="2">
        <v>0.0</v>
      </c>
      <c r="AI33" s="2">
        <v>0.0</v>
      </c>
      <c r="AJ33" s="2">
        <v>0.0</v>
      </c>
      <c r="AK33" s="2">
        <v>11.0</v>
      </c>
      <c r="AL33" s="2" t="s">
        <v>129</v>
      </c>
      <c r="AM33" s="2" t="s">
        <v>130</v>
      </c>
      <c r="AN33" s="2" t="s">
        <v>131</v>
      </c>
      <c r="AO33" s="2" t="s">
        <v>132</v>
      </c>
      <c r="AP33" s="2"/>
      <c r="AQ33" s="2" t="s">
        <v>785</v>
      </c>
      <c r="AR33" s="2" t="s">
        <v>115</v>
      </c>
      <c r="AS33" s="2"/>
      <c r="AT33" s="2"/>
      <c r="AU33" s="2">
        <v>2008.0</v>
      </c>
      <c r="AV33" s="2"/>
      <c r="AW33" s="2"/>
      <c r="AX33" s="2"/>
      <c r="AY33" s="2"/>
      <c r="AZ33" s="2"/>
      <c r="BA33" s="2"/>
      <c r="BB33" s="2">
        <v>331.0</v>
      </c>
      <c r="BC33" s="2">
        <v>337.0</v>
      </c>
      <c r="BD33" s="2"/>
      <c r="BE33" s="2"/>
      <c r="BF33" s="2"/>
      <c r="BG33" s="2"/>
      <c r="BH33" s="2"/>
      <c r="BI33" s="2">
        <v>7.0</v>
      </c>
      <c r="BJ33" s="2" t="s">
        <v>786</v>
      </c>
      <c r="BK33" s="2" t="s">
        <v>135</v>
      </c>
      <c r="BL33" s="2" t="s">
        <v>136</v>
      </c>
      <c r="BM33" s="2" t="s">
        <v>787</v>
      </c>
      <c r="BN33" s="2"/>
      <c r="BO33" s="2"/>
      <c r="BP33" s="2"/>
      <c r="BQ33" s="2"/>
      <c r="BR33" s="2" t="s">
        <v>99</v>
      </c>
      <c r="BS33" s="2" t="s">
        <v>788</v>
      </c>
      <c r="BT33" s="2" t="str">
        <f>HYPERLINK("https%3A%2F%2Fwww.webofscience.com%2Fwos%2Fwoscc%2Ffull-record%2FWOS:000265654500051","View Full Record in Web of Science")</f>
        <v>View Full Record in Web of Science</v>
      </c>
    </row>
    <row r="34" ht="64.5" customHeight="1">
      <c r="A34" s="2" t="s">
        <v>72</v>
      </c>
      <c r="B34" s="2" t="s">
        <v>789</v>
      </c>
      <c r="C34" s="2"/>
      <c r="D34" s="2"/>
      <c r="E34" s="2"/>
      <c r="F34" s="2" t="s">
        <v>790</v>
      </c>
      <c r="G34" s="2"/>
      <c r="H34" s="2"/>
      <c r="I34" s="2" t="s">
        <v>791</v>
      </c>
      <c r="J34" s="2" t="s">
        <v>233</v>
      </c>
      <c r="K34" s="2"/>
      <c r="L34" s="2"/>
      <c r="M34" s="2" t="s">
        <v>116</v>
      </c>
      <c r="N34" s="2" t="s">
        <v>643</v>
      </c>
      <c r="O34" s="2"/>
      <c r="P34" s="2"/>
      <c r="Q34" s="2"/>
      <c r="R34" s="2"/>
      <c r="S34" s="2"/>
      <c r="T34" s="2" t="s">
        <v>792</v>
      </c>
      <c r="U34" s="2" t="s">
        <v>793</v>
      </c>
      <c r="V34" s="2" t="s">
        <v>794</v>
      </c>
      <c r="W34" s="2" t="s">
        <v>795</v>
      </c>
      <c r="X34" s="2" t="s">
        <v>796</v>
      </c>
      <c r="Y34" s="2" t="s">
        <v>797</v>
      </c>
      <c r="Z34" s="2" t="s">
        <v>798</v>
      </c>
      <c r="AA34" s="2" t="s">
        <v>799</v>
      </c>
      <c r="AB34" s="2" t="s">
        <v>800</v>
      </c>
      <c r="AC34" s="2"/>
      <c r="AD34" s="2"/>
      <c r="AE34" s="2"/>
      <c r="AF34" s="2" t="s">
        <v>801</v>
      </c>
      <c r="AG34" s="2">
        <v>103.0</v>
      </c>
      <c r="AH34" s="2">
        <v>40.0</v>
      </c>
      <c r="AI34" s="2">
        <v>41.0</v>
      </c>
      <c r="AJ34" s="2">
        <v>4.0</v>
      </c>
      <c r="AK34" s="2">
        <v>44.0</v>
      </c>
      <c r="AL34" s="2" t="s">
        <v>246</v>
      </c>
      <c r="AM34" s="2" t="s">
        <v>247</v>
      </c>
      <c r="AN34" s="2" t="s">
        <v>248</v>
      </c>
      <c r="AO34" s="2"/>
      <c r="AP34" s="2" t="s">
        <v>249</v>
      </c>
      <c r="AQ34" s="2"/>
      <c r="AR34" s="2" t="s">
        <v>250</v>
      </c>
      <c r="AS34" s="2" t="s">
        <v>251</v>
      </c>
      <c r="AT34" s="2" t="s">
        <v>802</v>
      </c>
      <c r="AU34" s="2">
        <v>2019.0</v>
      </c>
      <c r="AV34" s="2">
        <v>6.0</v>
      </c>
      <c r="AW34" s="2"/>
      <c r="AX34" s="2"/>
      <c r="AY34" s="2"/>
      <c r="AZ34" s="2"/>
      <c r="BA34" s="2"/>
      <c r="BB34" s="2"/>
      <c r="BC34" s="2"/>
      <c r="BD34" s="2">
        <v>273.0</v>
      </c>
      <c r="BE34" s="2" t="s">
        <v>803</v>
      </c>
      <c r="BF34" s="3" t="str">
        <f>HYPERLINK("http://dx.doi.org/10.3389/fmars.2019.00273","http://dx.doi.org/10.3389/fmars.2019.00273")</f>
        <v>http://dx.doi.org/10.3389/fmars.2019.00273</v>
      </c>
      <c r="BG34" s="2"/>
      <c r="BH34" s="2"/>
      <c r="BI34" s="2">
        <v>14.0</v>
      </c>
      <c r="BJ34" s="2" t="s">
        <v>225</v>
      </c>
      <c r="BK34" s="2" t="s">
        <v>363</v>
      </c>
      <c r="BL34" s="2" t="s">
        <v>227</v>
      </c>
      <c r="BM34" s="2" t="s">
        <v>804</v>
      </c>
      <c r="BN34" s="2"/>
      <c r="BO34" s="2" t="s">
        <v>255</v>
      </c>
      <c r="BP34" s="2"/>
      <c r="BQ34" s="2"/>
      <c r="BR34" s="2" t="s">
        <v>99</v>
      </c>
      <c r="BS34" s="2" t="s">
        <v>805</v>
      </c>
      <c r="BT34" s="2" t="str">
        <f>HYPERLINK("https%3A%2F%2Fwww.webofscience.com%2Fwos%2Fwoscc%2Ffull-record%2FWOS:000469255300002","View Full Record in Web of Science")</f>
        <v>View Full Record in Web of Science</v>
      </c>
    </row>
    <row r="35" ht="64.5" customHeight="1">
      <c r="A35" s="2" t="s">
        <v>72</v>
      </c>
      <c r="B35" s="2" t="s">
        <v>806</v>
      </c>
      <c r="C35" s="2"/>
      <c r="D35" s="2"/>
      <c r="E35" s="2"/>
      <c r="F35" s="2" t="s">
        <v>807</v>
      </c>
      <c r="G35" s="2"/>
      <c r="H35" s="2"/>
      <c r="I35" s="2" t="s">
        <v>808</v>
      </c>
      <c r="J35" s="2" t="s">
        <v>809</v>
      </c>
      <c r="K35" s="2"/>
      <c r="L35" s="2"/>
      <c r="M35" s="2" t="s">
        <v>116</v>
      </c>
      <c r="N35" s="2" t="s">
        <v>78</v>
      </c>
      <c r="O35" s="2"/>
      <c r="P35" s="2"/>
      <c r="Q35" s="2"/>
      <c r="R35" s="2"/>
      <c r="S35" s="2"/>
      <c r="T35" s="2" t="s">
        <v>810</v>
      </c>
      <c r="U35" s="2" t="s">
        <v>811</v>
      </c>
      <c r="V35" s="2" t="s">
        <v>812</v>
      </c>
      <c r="W35" s="2" t="s">
        <v>813</v>
      </c>
      <c r="X35" s="2" t="s">
        <v>814</v>
      </c>
      <c r="Y35" s="2" t="s">
        <v>815</v>
      </c>
      <c r="Z35" s="2" t="s">
        <v>816</v>
      </c>
      <c r="AA35" s="2"/>
      <c r="AB35" s="2"/>
      <c r="AC35" s="2" t="s">
        <v>817</v>
      </c>
      <c r="AD35" s="2" t="s">
        <v>818</v>
      </c>
      <c r="AE35" s="2" t="s">
        <v>819</v>
      </c>
      <c r="AF35" s="2" t="s">
        <v>820</v>
      </c>
      <c r="AG35" s="2">
        <v>50.0</v>
      </c>
      <c r="AH35" s="2">
        <v>4.0</v>
      </c>
      <c r="AI35" s="2">
        <v>4.0</v>
      </c>
      <c r="AJ35" s="2">
        <v>4.0</v>
      </c>
      <c r="AK35" s="2">
        <v>21.0</v>
      </c>
      <c r="AL35" s="2" t="s">
        <v>821</v>
      </c>
      <c r="AM35" s="2" t="s">
        <v>822</v>
      </c>
      <c r="AN35" s="2" t="s">
        <v>823</v>
      </c>
      <c r="AO35" s="2" t="s">
        <v>824</v>
      </c>
      <c r="AP35" s="2" t="s">
        <v>825</v>
      </c>
      <c r="AQ35" s="2"/>
      <c r="AR35" s="2" t="s">
        <v>826</v>
      </c>
      <c r="AS35" s="2" t="s">
        <v>827</v>
      </c>
      <c r="AT35" s="2"/>
      <c r="AU35" s="2">
        <v>2020.0</v>
      </c>
      <c r="AV35" s="2">
        <v>2.0</v>
      </c>
      <c r="AW35" s="2">
        <v>73.0</v>
      </c>
      <c r="AX35" s="2"/>
      <c r="AY35" s="2"/>
      <c r="AZ35" s="2"/>
      <c r="BA35" s="2"/>
      <c r="BB35" s="2">
        <v>121.0</v>
      </c>
      <c r="BC35" s="2">
        <v>143.0</v>
      </c>
      <c r="BD35" s="2"/>
      <c r="BE35" s="2" t="s">
        <v>828</v>
      </c>
      <c r="BF35" s="3" t="str">
        <f>HYPERLINK("http://dx.doi.org/10.34659/2020/2/20","http://dx.doi.org/10.34659/2020/2/20")</f>
        <v>http://dx.doi.org/10.34659/2020/2/20</v>
      </c>
      <c r="BG35" s="2"/>
      <c r="BH35" s="2"/>
      <c r="BI35" s="2">
        <v>23.0</v>
      </c>
      <c r="BJ35" s="2" t="s">
        <v>95</v>
      </c>
      <c r="BK35" s="2" t="s">
        <v>96</v>
      </c>
      <c r="BL35" s="2" t="s">
        <v>97</v>
      </c>
      <c r="BM35" s="2" t="s">
        <v>829</v>
      </c>
      <c r="BN35" s="2"/>
      <c r="BO35" s="2"/>
      <c r="BP35" s="2"/>
      <c r="BQ35" s="2"/>
      <c r="BR35" s="2" t="s">
        <v>99</v>
      </c>
      <c r="BS35" s="2" t="s">
        <v>830</v>
      </c>
      <c r="BT35" s="2" t="str">
        <f>HYPERLINK("https%3A%2F%2Fwww.webofscience.com%2Fwos%2Fwoscc%2Ffull-record%2FWOS:000561333200009","View Full Record in Web of Science")</f>
        <v>View Full Record in Web of Science</v>
      </c>
    </row>
    <row r="36" ht="64.5" customHeight="1">
      <c r="A36" s="2" t="s">
        <v>72</v>
      </c>
      <c r="B36" s="2" t="s">
        <v>831</v>
      </c>
      <c r="C36" s="2"/>
      <c r="D36" s="2"/>
      <c r="E36" s="2"/>
      <c r="F36" s="2" t="s">
        <v>832</v>
      </c>
      <c r="G36" s="2"/>
      <c r="H36" s="2"/>
      <c r="I36" s="2" t="s">
        <v>833</v>
      </c>
      <c r="J36" s="2" t="s">
        <v>370</v>
      </c>
      <c r="K36" s="2"/>
      <c r="L36" s="2"/>
      <c r="M36" s="2" t="s">
        <v>116</v>
      </c>
      <c r="N36" s="2" t="s">
        <v>78</v>
      </c>
      <c r="O36" s="2"/>
      <c r="P36" s="2"/>
      <c r="Q36" s="2"/>
      <c r="R36" s="2"/>
      <c r="S36" s="2"/>
      <c r="T36" s="2" t="s">
        <v>834</v>
      </c>
      <c r="U36" s="2" t="s">
        <v>835</v>
      </c>
      <c r="V36" s="2" t="s">
        <v>836</v>
      </c>
      <c r="W36" s="2" t="s">
        <v>837</v>
      </c>
      <c r="X36" s="2" t="s">
        <v>838</v>
      </c>
      <c r="Y36" s="2" t="s">
        <v>839</v>
      </c>
      <c r="Z36" s="2" t="s">
        <v>840</v>
      </c>
      <c r="AA36" s="2" t="s">
        <v>841</v>
      </c>
      <c r="AB36" s="2" t="s">
        <v>842</v>
      </c>
      <c r="AC36" s="2"/>
      <c r="AD36" s="2"/>
      <c r="AE36" s="2"/>
      <c r="AF36" s="2" t="s">
        <v>843</v>
      </c>
      <c r="AG36" s="2">
        <v>64.0</v>
      </c>
      <c r="AH36" s="2">
        <v>16.0</v>
      </c>
      <c r="AI36" s="2">
        <v>17.0</v>
      </c>
      <c r="AJ36" s="2">
        <v>11.0</v>
      </c>
      <c r="AK36" s="2">
        <v>60.0</v>
      </c>
      <c r="AL36" s="2" t="s">
        <v>383</v>
      </c>
      <c r="AM36" s="2" t="s">
        <v>384</v>
      </c>
      <c r="AN36" s="2" t="s">
        <v>385</v>
      </c>
      <c r="AO36" s="2"/>
      <c r="AP36" s="2" t="s">
        <v>386</v>
      </c>
      <c r="AQ36" s="2"/>
      <c r="AR36" s="2" t="s">
        <v>387</v>
      </c>
      <c r="AS36" s="2" t="s">
        <v>388</v>
      </c>
      <c r="AT36" s="2" t="s">
        <v>844</v>
      </c>
      <c r="AU36" s="2">
        <v>2020.0</v>
      </c>
      <c r="AV36" s="2">
        <v>12.0</v>
      </c>
      <c r="AW36" s="2">
        <v>24.0</v>
      </c>
      <c r="AX36" s="2"/>
      <c r="AY36" s="2"/>
      <c r="AZ36" s="2"/>
      <c r="BA36" s="2"/>
      <c r="BB36" s="2"/>
      <c r="BC36" s="2"/>
      <c r="BD36" s="2">
        <v>10647.0</v>
      </c>
      <c r="BE36" s="2" t="s">
        <v>845</v>
      </c>
      <c r="BF36" s="3" t="str">
        <f>HYPERLINK("http://dx.doi.org/10.3390/su122410647","http://dx.doi.org/10.3390/su122410647")</f>
        <v>http://dx.doi.org/10.3390/su122410647</v>
      </c>
      <c r="BG36" s="2"/>
      <c r="BH36" s="2"/>
      <c r="BI36" s="2">
        <v>12.0</v>
      </c>
      <c r="BJ36" s="2" t="s">
        <v>390</v>
      </c>
      <c r="BK36" s="2" t="s">
        <v>363</v>
      </c>
      <c r="BL36" s="2" t="s">
        <v>391</v>
      </c>
      <c r="BM36" s="2" t="s">
        <v>846</v>
      </c>
      <c r="BN36" s="2"/>
      <c r="BO36" s="2" t="s">
        <v>272</v>
      </c>
      <c r="BP36" s="2"/>
      <c r="BQ36" s="2"/>
      <c r="BR36" s="2" t="s">
        <v>99</v>
      </c>
      <c r="BS36" s="2" t="s">
        <v>847</v>
      </c>
      <c r="BT36" s="2" t="str">
        <f>HYPERLINK("https%3A%2F%2Fwww.webofscience.com%2Fwos%2Fwoscc%2Ffull-record%2FWOS:000603203600001","View Full Record in Web of Science")</f>
        <v>View Full Record in Web of Science</v>
      </c>
    </row>
    <row r="37" ht="64.5" customHeight="1">
      <c r="A37" s="2" t="s">
        <v>72</v>
      </c>
      <c r="B37" s="2" t="s">
        <v>848</v>
      </c>
      <c r="C37" s="2"/>
      <c r="D37" s="2"/>
      <c r="E37" s="2"/>
      <c r="F37" s="2" t="s">
        <v>849</v>
      </c>
      <c r="G37" s="2"/>
      <c r="H37" s="2"/>
      <c r="I37" s="2" t="s">
        <v>850</v>
      </c>
      <c r="J37" s="2" t="s">
        <v>851</v>
      </c>
      <c r="K37" s="2"/>
      <c r="L37" s="2"/>
      <c r="M37" s="2" t="s">
        <v>116</v>
      </c>
      <c r="N37" s="2" t="s">
        <v>78</v>
      </c>
      <c r="O37" s="2"/>
      <c r="P37" s="2"/>
      <c r="Q37" s="2"/>
      <c r="R37" s="2"/>
      <c r="S37" s="2"/>
      <c r="T37" s="4" t="s">
        <v>121</v>
      </c>
      <c r="U37" s="2" t="s">
        <v>852</v>
      </c>
      <c r="V37" s="2" t="s">
        <v>853</v>
      </c>
      <c r="W37" s="2" t="s">
        <v>854</v>
      </c>
      <c r="X37" s="2" t="s">
        <v>855</v>
      </c>
      <c r="Y37" s="2" t="s">
        <v>856</v>
      </c>
      <c r="Z37" s="2" t="s">
        <v>857</v>
      </c>
      <c r="AA37" s="2"/>
      <c r="AB37" s="2" t="s">
        <v>858</v>
      </c>
      <c r="AC37" s="2" t="s">
        <v>859</v>
      </c>
      <c r="AD37" s="2" t="s">
        <v>860</v>
      </c>
      <c r="AE37" s="2" t="s">
        <v>861</v>
      </c>
      <c r="AF37" s="2" t="s">
        <v>862</v>
      </c>
      <c r="AG37" s="2">
        <v>72.0</v>
      </c>
      <c r="AH37" s="2">
        <v>2.0</v>
      </c>
      <c r="AI37" s="2">
        <v>2.0</v>
      </c>
      <c r="AJ37" s="2">
        <v>13.0</v>
      </c>
      <c r="AK37" s="2">
        <v>22.0</v>
      </c>
      <c r="AL37" s="2" t="s">
        <v>188</v>
      </c>
      <c r="AM37" s="2" t="s">
        <v>189</v>
      </c>
      <c r="AN37" s="2" t="s">
        <v>190</v>
      </c>
      <c r="AO37" s="2" t="s">
        <v>863</v>
      </c>
      <c r="AP37" s="2" t="s">
        <v>864</v>
      </c>
      <c r="AQ37" s="2"/>
      <c r="AR37" s="2" t="s">
        <v>865</v>
      </c>
      <c r="AS37" s="2" t="s">
        <v>866</v>
      </c>
      <c r="AT37" s="2" t="s">
        <v>867</v>
      </c>
      <c r="AU37" s="2">
        <v>2023.0</v>
      </c>
      <c r="AV37" s="2">
        <v>405.0</v>
      </c>
      <c r="AW37" s="2"/>
      <c r="AX37" s="2"/>
      <c r="AY37" s="2"/>
      <c r="AZ37" s="2"/>
      <c r="BA37" s="2"/>
      <c r="BB37" s="2"/>
      <c r="BC37" s="2"/>
      <c r="BD37" s="2">
        <v>136874.0</v>
      </c>
      <c r="BE37" s="2" t="s">
        <v>868</v>
      </c>
      <c r="BF37" s="3" t="str">
        <f>HYPERLINK("http://dx.doi.org/10.1016/j.jclepro.2023.136874","http://dx.doi.org/10.1016/j.jclepro.2023.136874")</f>
        <v>http://dx.doi.org/10.1016/j.jclepro.2023.136874</v>
      </c>
      <c r="BG37" s="2"/>
      <c r="BH37" s="2" t="s">
        <v>869</v>
      </c>
      <c r="BI37" s="2">
        <v>12.0</v>
      </c>
      <c r="BJ37" s="2" t="s">
        <v>870</v>
      </c>
      <c r="BK37" s="2" t="s">
        <v>226</v>
      </c>
      <c r="BL37" s="2" t="s">
        <v>871</v>
      </c>
      <c r="BM37" s="2" t="s">
        <v>872</v>
      </c>
      <c r="BN37" s="2"/>
      <c r="BO37" s="2"/>
      <c r="BP37" s="2"/>
      <c r="BQ37" s="2"/>
      <c r="BR37" s="2" t="s">
        <v>99</v>
      </c>
      <c r="BS37" s="2" t="s">
        <v>873</v>
      </c>
      <c r="BT37" s="2" t="str">
        <f>HYPERLINK("https%3A%2F%2Fwww.webofscience.com%2Fwos%2Fwoscc%2Ffull-record%2FWOS:001054018200001","View Full Record in Web of Science")</f>
        <v>View Full Record in Web of Science</v>
      </c>
    </row>
    <row r="38" ht="64.5" customHeight="1">
      <c r="A38" s="2" t="s">
        <v>72</v>
      </c>
      <c r="B38" s="2" t="s">
        <v>874</v>
      </c>
      <c r="C38" s="2"/>
      <c r="D38" s="2"/>
      <c r="E38" s="2"/>
      <c r="F38" s="2" t="s">
        <v>875</v>
      </c>
      <c r="G38" s="2"/>
      <c r="H38" s="2"/>
      <c r="I38" s="2" t="s">
        <v>876</v>
      </c>
      <c r="J38" s="2" t="s">
        <v>233</v>
      </c>
      <c r="K38" s="2"/>
      <c r="L38" s="2"/>
      <c r="M38" s="2" t="s">
        <v>116</v>
      </c>
      <c r="N38" s="2" t="s">
        <v>78</v>
      </c>
      <c r="O38" s="2"/>
      <c r="P38" s="2"/>
      <c r="Q38" s="2"/>
      <c r="R38" s="2"/>
      <c r="S38" s="2"/>
      <c r="T38" s="2" t="s">
        <v>877</v>
      </c>
      <c r="U38" s="2" t="s">
        <v>878</v>
      </c>
      <c r="V38" s="2" t="s">
        <v>879</v>
      </c>
      <c r="W38" s="2" t="s">
        <v>880</v>
      </c>
      <c r="X38" s="2" t="s">
        <v>881</v>
      </c>
      <c r="Y38" s="2" t="s">
        <v>882</v>
      </c>
      <c r="Z38" s="2" t="s">
        <v>719</v>
      </c>
      <c r="AA38" s="2"/>
      <c r="AB38" s="2"/>
      <c r="AC38" s="2" t="s">
        <v>883</v>
      </c>
      <c r="AD38" s="2" t="s">
        <v>884</v>
      </c>
      <c r="AE38" s="2" t="s">
        <v>885</v>
      </c>
      <c r="AF38" s="2" t="s">
        <v>886</v>
      </c>
      <c r="AG38" s="2">
        <v>72.0</v>
      </c>
      <c r="AH38" s="2">
        <v>16.0</v>
      </c>
      <c r="AI38" s="2">
        <v>16.0</v>
      </c>
      <c r="AJ38" s="2">
        <v>5.0</v>
      </c>
      <c r="AK38" s="2">
        <v>48.0</v>
      </c>
      <c r="AL38" s="2" t="s">
        <v>246</v>
      </c>
      <c r="AM38" s="2" t="s">
        <v>247</v>
      </c>
      <c r="AN38" s="2" t="s">
        <v>248</v>
      </c>
      <c r="AO38" s="2"/>
      <c r="AP38" s="2" t="s">
        <v>249</v>
      </c>
      <c r="AQ38" s="2"/>
      <c r="AR38" s="2" t="s">
        <v>250</v>
      </c>
      <c r="AS38" s="2" t="s">
        <v>251</v>
      </c>
      <c r="AT38" s="2" t="s">
        <v>887</v>
      </c>
      <c r="AU38" s="2">
        <v>2021.0</v>
      </c>
      <c r="AV38" s="2">
        <v>8.0</v>
      </c>
      <c r="AW38" s="2"/>
      <c r="AX38" s="2"/>
      <c r="AY38" s="2"/>
      <c r="AZ38" s="2"/>
      <c r="BA38" s="2"/>
      <c r="BB38" s="2"/>
      <c r="BC38" s="2"/>
      <c r="BD38" s="2">
        <v>648492.0</v>
      </c>
      <c r="BE38" s="2" t="s">
        <v>888</v>
      </c>
      <c r="BF38" s="3" t="str">
        <f>HYPERLINK("http://dx.doi.org/10.3389/fmars.2021.648492","http://dx.doi.org/10.3389/fmars.2021.648492")</f>
        <v>http://dx.doi.org/10.3389/fmars.2021.648492</v>
      </c>
      <c r="BG38" s="2"/>
      <c r="BH38" s="2"/>
      <c r="BI38" s="2">
        <v>12.0</v>
      </c>
      <c r="BJ38" s="2" t="s">
        <v>225</v>
      </c>
      <c r="BK38" s="2" t="s">
        <v>363</v>
      </c>
      <c r="BL38" s="2" t="s">
        <v>227</v>
      </c>
      <c r="BM38" s="2" t="s">
        <v>889</v>
      </c>
      <c r="BN38" s="2"/>
      <c r="BO38" s="2" t="s">
        <v>272</v>
      </c>
      <c r="BP38" s="2"/>
      <c r="BQ38" s="2"/>
      <c r="BR38" s="2" t="s">
        <v>99</v>
      </c>
      <c r="BS38" s="2" t="s">
        <v>890</v>
      </c>
      <c r="BT38" s="2" t="str">
        <f>HYPERLINK("https%3A%2F%2Fwww.webofscience.com%2Fwos%2Fwoscc%2Ffull-record%2FWOS:000684307700001","View Full Record in Web of Science")</f>
        <v>View Full Record in Web of Science</v>
      </c>
    </row>
    <row r="39" ht="64.5" customHeight="1">
      <c r="A39" s="2" t="s">
        <v>72</v>
      </c>
      <c r="B39" s="2" t="s">
        <v>891</v>
      </c>
      <c r="C39" s="2"/>
      <c r="D39" s="2"/>
      <c r="E39" s="2"/>
      <c r="F39" s="2" t="s">
        <v>892</v>
      </c>
      <c r="G39" s="2"/>
      <c r="H39" s="2"/>
      <c r="I39" s="2" t="s">
        <v>893</v>
      </c>
      <c r="J39" s="2" t="s">
        <v>894</v>
      </c>
      <c r="K39" s="2"/>
      <c r="L39" s="2"/>
      <c r="M39" s="2" t="s">
        <v>116</v>
      </c>
      <c r="N39" s="2" t="s">
        <v>78</v>
      </c>
      <c r="O39" s="2"/>
      <c r="P39" s="2"/>
      <c r="Q39" s="2"/>
      <c r="R39" s="2"/>
      <c r="S39" s="2"/>
      <c r="T39" s="2" t="s">
        <v>895</v>
      </c>
      <c r="U39" s="2" t="s">
        <v>896</v>
      </c>
      <c r="V39" s="2" t="s">
        <v>897</v>
      </c>
      <c r="W39" s="2" t="s">
        <v>898</v>
      </c>
      <c r="X39" s="2" t="s">
        <v>899</v>
      </c>
      <c r="Y39" s="2" t="s">
        <v>900</v>
      </c>
      <c r="Z39" s="2" t="s">
        <v>901</v>
      </c>
      <c r="AA39" s="2" t="s">
        <v>902</v>
      </c>
      <c r="AB39" s="2" t="s">
        <v>903</v>
      </c>
      <c r="AC39" s="2"/>
      <c r="AD39" s="2"/>
      <c r="AE39" s="2"/>
      <c r="AF39" s="2" t="s">
        <v>904</v>
      </c>
      <c r="AG39" s="2">
        <v>22.0</v>
      </c>
      <c r="AH39" s="2">
        <v>1.0</v>
      </c>
      <c r="AI39" s="2">
        <v>1.0</v>
      </c>
      <c r="AJ39" s="2">
        <v>2.0</v>
      </c>
      <c r="AK39" s="2">
        <v>10.0</v>
      </c>
      <c r="AL39" s="2" t="s">
        <v>905</v>
      </c>
      <c r="AM39" s="2" t="s">
        <v>906</v>
      </c>
      <c r="AN39" s="2" t="s">
        <v>907</v>
      </c>
      <c r="AO39" s="2" t="s">
        <v>908</v>
      </c>
      <c r="AP39" s="2" t="s">
        <v>909</v>
      </c>
      <c r="AQ39" s="2"/>
      <c r="AR39" s="2" t="s">
        <v>910</v>
      </c>
      <c r="AS39" s="2" t="s">
        <v>911</v>
      </c>
      <c r="AT39" s="2"/>
      <c r="AU39" s="2">
        <v>2021.0</v>
      </c>
      <c r="AV39" s="2">
        <v>6.0</v>
      </c>
      <c r="AW39" s="2">
        <v>2.0</v>
      </c>
      <c r="AX39" s="2"/>
      <c r="AY39" s="2"/>
      <c r="AZ39" s="2"/>
      <c r="BA39" s="2"/>
      <c r="BB39" s="2">
        <v>403.0</v>
      </c>
      <c r="BC39" s="2">
        <v>423.0</v>
      </c>
      <c r="BD39" s="2"/>
      <c r="BE39" s="2" t="s">
        <v>912</v>
      </c>
      <c r="BF39" s="3" t="str">
        <f>HYPERLINK("http://dx.doi.org/10.24200/jonus.volx6iss2pp403-423","http://dx.doi.org/10.24200/jonus.volx6iss2pp403-423")</f>
        <v>http://dx.doi.org/10.24200/jonus.volx6iss2pp403-423</v>
      </c>
      <c r="BG39" s="2"/>
      <c r="BH39" s="2"/>
      <c r="BI39" s="2">
        <v>21.0</v>
      </c>
      <c r="BJ39" s="2" t="s">
        <v>913</v>
      </c>
      <c r="BK39" s="2" t="s">
        <v>96</v>
      </c>
      <c r="BL39" s="2" t="s">
        <v>913</v>
      </c>
      <c r="BM39" s="2" t="s">
        <v>914</v>
      </c>
      <c r="BN39" s="2"/>
      <c r="BO39" s="2"/>
      <c r="BP39" s="2"/>
      <c r="BQ39" s="2"/>
      <c r="BR39" s="2" t="s">
        <v>99</v>
      </c>
      <c r="BS39" s="2" t="s">
        <v>915</v>
      </c>
      <c r="BT39" s="2" t="str">
        <f>HYPERLINK("https%3A%2F%2Fwww.webofscience.com%2Fwos%2Fwoscc%2Ffull-record%2FWOS:000667284600019","View Full Record in Web of Science")</f>
        <v>View Full Record in Web of Science</v>
      </c>
    </row>
    <row r="40" ht="64.5" customHeight="1">
      <c r="A40" s="2" t="s">
        <v>72</v>
      </c>
      <c r="B40" s="2" t="s">
        <v>916</v>
      </c>
      <c r="C40" s="2"/>
      <c r="D40" s="2"/>
      <c r="E40" s="2"/>
      <c r="F40" s="2" t="s">
        <v>917</v>
      </c>
      <c r="G40" s="2"/>
      <c r="H40" s="2"/>
      <c r="I40" s="2" t="s">
        <v>918</v>
      </c>
      <c r="J40" s="2" t="s">
        <v>919</v>
      </c>
      <c r="K40" s="2"/>
      <c r="L40" s="2"/>
      <c r="M40" s="2" t="s">
        <v>116</v>
      </c>
      <c r="N40" s="2" t="s">
        <v>78</v>
      </c>
      <c r="O40" s="2"/>
      <c r="P40" s="2"/>
      <c r="Q40" s="2"/>
      <c r="R40" s="2"/>
      <c r="S40" s="2"/>
      <c r="T40" s="2" t="s">
        <v>920</v>
      </c>
      <c r="U40" s="2" t="s">
        <v>921</v>
      </c>
      <c r="V40" s="2" t="s">
        <v>922</v>
      </c>
      <c r="W40" s="2" t="s">
        <v>923</v>
      </c>
      <c r="X40" s="2" t="s">
        <v>924</v>
      </c>
      <c r="Y40" s="2" t="s">
        <v>925</v>
      </c>
      <c r="Z40" s="2" t="s">
        <v>926</v>
      </c>
      <c r="AA40" s="2"/>
      <c r="AB40" s="2" t="s">
        <v>927</v>
      </c>
      <c r="AC40" s="2" t="s">
        <v>928</v>
      </c>
      <c r="AD40" s="2" t="s">
        <v>929</v>
      </c>
      <c r="AE40" s="2" t="s">
        <v>930</v>
      </c>
      <c r="AF40" s="2" t="s">
        <v>931</v>
      </c>
      <c r="AG40" s="2">
        <v>55.0</v>
      </c>
      <c r="AH40" s="2">
        <v>7.0</v>
      </c>
      <c r="AI40" s="2">
        <v>7.0</v>
      </c>
      <c r="AJ40" s="2">
        <v>7.0</v>
      </c>
      <c r="AK40" s="2">
        <v>17.0</v>
      </c>
      <c r="AL40" s="2" t="s">
        <v>932</v>
      </c>
      <c r="AM40" s="2" t="s">
        <v>933</v>
      </c>
      <c r="AN40" s="2" t="s">
        <v>934</v>
      </c>
      <c r="AO40" s="2"/>
      <c r="AP40" s="2" t="s">
        <v>935</v>
      </c>
      <c r="AQ40" s="2"/>
      <c r="AR40" s="2" t="s">
        <v>936</v>
      </c>
      <c r="AS40" s="2" t="s">
        <v>937</v>
      </c>
      <c r="AT40" s="2" t="s">
        <v>938</v>
      </c>
      <c r="AU40" s="2">
        <v>2021.0</v>
      </c>
      <c r="AV40" s="2">
        <v>7.0</v>
      </c>
      <c r="AW40" s="2">
        <v>1.0</v>
      </c>
      <c r="AX40" s="2"/>
      <c r="AY40" s="2"/>
      <c r="AZ40" s="2"/>
      <c r="BA40" s="2"/>
      <c r="BB40" s="2">
        <v>96.0</v>
      </c>
      <c r="BC40" s="2">
        <v>133.0</v>
      </c>
      <c r="BD40" s="2"/>
      <c r="BE40" s="2" t="s">
        <v>939</v>
      </c>
      <c r="BF40" s="3" t="str">
        <f>HYPERLINK("http://dx.doi.org/10.1163/23641177-bja10019","http://dx.doi.org/10.1163/23641177-bja10019")</f>
        <v>http://dx.doi.org/10.1163/23641177-bja10019</v>
      </c>
      <c r="BG40" s="2"/>
      <c r="BH40" s="2"/>
      <c r="BI40" s="2">
        <v>38.0</v>
      </c>
      <c r="BJ40" s="2" t="s">
        <v>940</v>
      </c>
      <c r="BK40" s="2" t="s">
        <v>96</v>
      </c>
      <c r="BL40" s="2" t="s">
        <v>331</v>
      </c>
      <c r="BM40" s="2" t="s">
        <v>941</v>
      </c>
      <c r="BN40" s="2"/>
      <c r="BO40" s="2" t="s">
        <v>255</v>
      </c>
      <c r="BP40" s="2"/>
      <c r="BQ40" s="2"/>
      <c r="BR40" s="2" t="s">
        <v>99</v>
      </c>
      <c r="BS40" s="2" t="s">
        <v>942</v>
      </c>
      <c r="BT40" s="2" t="str">
        <f>HYPERLINK("https%3A%2F%2Fwww.webofscience.com%2Fwos%2Fwoscc%2Ffull-record%2FWOS:000904840000005","View Full Record in Web of Science")</f>
        <v>View Full Record in Web of Science</v>
      </c>
    </row>
    <row r="41" ht="64.5" customHeight="1">
      <c r="A41" s="2" t="s">
        <v>72</v>
      </c>
      <c r="B41" s="2" t="s">
        <v>943</v>
      </c>
      <c r="C41" s="2"/>
      <c r="D41" s="2"/>
      <c r="E41" s="2"/>
      <c r="F41" s="2" t="s">
        <v>944</v>
      </c>
      <c r="G41" s="2"/>
      <c r="H41" s="2"/>
      <c r="I41" s="2" t="s">
        <v>945</v>
      </c>
      <c r="J41" s="2" t="s">
        <v>233</v>
      </c>
      <c r="K41" s="2"/>
      <c r="L41" s="2"/>
      <c r="M41" s="2" t="s">
        <v>116</v>
      </c>
      <c r="N41" s="2" t="s">
        <v>78</v>
      </c>
      <c r="O41" s="2"/>
      <c r="P41" s="2"/>
      <c r="Q41" s="2"/>
      <c r="R41" s="2"/>
      <c r="S41" s="2"/>
      <c r="T41" s="2" t="s">
        <v>946</v>
      </c>
      <c r="U41" s="2" t="s">
        <v>947</v>
      </c>
      <c r="V41" s="2" t="s">
        <v>948</v>
      </c>
      <c r="W41" s="2" t="s">
        <v>949</v>
      </c>
      <c r="X41" s="2" t="s">
        <v>950</v>
      </c>
      <c r="Y41" s="2" t="s">
        <v>951</v>
      </c>
      <c r="Z41" s="2" t="s">
        <v>952</v>
      </c>
      <c r="AA41" s="2"/>
      <c r="AB41" s="2" t="s">
        <v>953</v>
      </c>
      <c r="AC41" s="2" t="s">
        <v>954</v>
      </c>
      <c r="AD41" s="2" t="s">
        <v>954</v>
      </c>
      <c r="AE41" s="2" t="s">
        <v>955</v>
      </c>
      <c r="AF41" s="2" t="s">
        <v>956</v>
      </c>
      <c r="AG41" s="2">
        <v>84.0</v>
      </c>
      <c r="AH41" s="2">
        <v>21.0</v>
      </c>
      <c r="AI41" s="2">
        <v>23.0</v>
      </c>
      <c r="AJ41" s="2">
        <v>2.0</v>
      </c>
      <c r="AK41" s="2">
        <v>23.0</v>
      </c>
      <c r="AL41" s="2" t="s">
        <v>246</v>
      </c>
      <c r="AM41" s="2" t="s">
        <v>247</v>
      </c>
      <c r="AN41" s="2" t="s">
        <v>248</v>
      </c>
      <c r="AO41" s="2"/>
      <c r="AP41" s="2" t="s">
        <v>249</v>
      </c>
      <c r="AQ41" s="2"/>
      <c r="AR41" s="2" t="s">
        <v>250</v>
      </c>
      <c r="AS41" s="2" t="s">
        <v>251</v>
      </c>
      <c r="AT41" s="2" t="s">
        <v>957</v>
      </c>
      <c r="AU41" s="2">
        <v>2019.0</v>
      </c>
      <c r="AV41" s="2">
        <v>6.0</v>
      </c>
      <c r="AW41" s="2"/>
      <c r="AX41" s="2"/>
      <c r="AY41" s="2"/>
      <c r="AZ41" s="2"/>
      <c r="BA41" s="2"/>
      <c r="BB41" s="2"/>
      <c r="BC41" s="2"/>
      <c r="BD41" s="2">
        <v>60.0</v>
      </c>
      <c r="BE41" s="2" t="s">
        <v>958</v>
      </c>
      <c r="BF41" s="3" t="str">
        <f>HYPERLINK("http://dx.doi.org/10.3389/fmars.2019.00060","http://dx.doi.org/10.3389/fmars.2019.00060")</f>
        <v>http://dx.doi.org/10.3389/fmars.2019.00060</v>
      </c>
      <c r="BG41" s="2"/>
      <c r="BH41" s="2"/>
      <c r="BI41" s="2">
        <v>13.0</v>
      </c>
      <c r="BJ41" s="2" t="s">
        <v>225</v>
      </c>
      <c r="BK41" s="2" t="s">
        <v>363</v>
      </c>
      <c r="BL41" s="2" t="s">
        <v>227</v>
      </c>
      <c r="BM41" s="2" t="s">
        <v>959</v>
      </c>
      <c r="BN41" s="2"/>
      <c r="BO41" s="2" t="s">
        <v>601</v>
      </c>
      <c r="BP41" s="2"/>
      <c r="BQ41" s="2"/>
      <c r="BR41" s="2" t="s">
        <v>99</v>
      </c>
      <c r="BS41" s="2" t="s">
        <v>960</v>
      </c>
      <c r="BT41" s="2" t="str">
        <f>HYPERLINK("https%3A%2F%2Fwww.webofscience.com%2Fwos%2Fwoscc%2Ffull-record%2FWOS:000462670400001","View Full Record in Web of Science")</f>
        <v>View Full Record in Web of Science</v>
      </c>
    </row>
    <row r="42" ht="64.5" customHeight="1">
      <c r="A42" s="2" t="s">
        <v>72</v>
      </c>
      <c r="B42" s="2" t="s">
        <v>961</v>
      </c>
      <c r="C42" s="2"/>
      <c r="D42" s="2"/>
      <c r="E42" s="2"/>
      <c r="F42" s="2" t="s">
        <v>962</v>
      </c>
      <c r="G42" s="2"/>
      <c r="H42" s="2"/>
      <c r="I42" s="2" t="s">
        <v>963</v>
      </c>
      <c r="J42" s="2" t="s">
        <v>583</v>
      </c>
      <c r="K42" s="2"/>
      <c r="L42" s="2"/>
      <c r="M42" s="2" t="s">
        <v>116</v>
      </c>
      <c r="N42" s="2" t="s">
        <v>78</v>
      </c>
      <c r="O42" s="2"/>
      <c r="P42" s="2"/>
      <c r="Q42" s="2"/>
      <c r="R42" s="2"/>
      <c r="S42" s="2"/>
      <c r="T42" s="2" t="s">
        <v>964</v>
      </c>
      <c r="U42" s="2" t="s">
        <v>965</v>
      </c>
      <c r="V42" s="2" t="s">
        <v>966</v>
      </c>
      <c r="W42" s="2" t="s">
        <v>967</v>
      </c>
      <c r="X42" s="2" t="s">
        <v>968</v>
      </c>
      <c r="Y42" s="2" t="s">
        <v>969</v>
      </c>
      <c r="Z42" s="2" t="s">
        <v>970</v>
      </c>
      <c r="AA42" s="2"/>
      <c r="AB42" s="2" t="s">
        <v>971</v>
      </c>
      <c r="AC42" s="2" t="s">
        <v>972</v>
      </c>
      <c r="AD42" s="2" t="s">
        <v>973</v>
      </c>
      <c r="AE42" s="2" t="s">
        <v>974</v>
      </c>
      <c r="AF42" s="2" t="s">
        <v>975</v>
      </c>
      <c r="AG42" s="2">
        <v>98.0</v>
      </c>
      <c r="AH42" s="2">
        <v>11.0</v>
      </c>
      <c r="AI42" s="2">
        <v>11.0</v>
      </c>
      <c r="AJ42" s="2">
        <v>6.0</v>
      </c>
      <c r="AK42" s="2">
        <v>41.0</v>
      </c>
      <c r="AL42" s="2" t="s">
        <v>383</v>
      </c>
      <c r="AM42" s="2" t="s">
        <v>384</v>
      </c>
      <c r="AN42" s="2" t="s">
        <v>385</v>
      </c>
      <c r="AO42" s="2"/>
      <c r="AP42" s="2" t="s">
        <v>593</v>
      </c>
      <c r="AQ42" s="2"/>
      <c r="AR42" s="2" t="s">
        <v>594</v>
      </c>
      <c r="AS42" s="2" t="s">
        <v>595</v>
      </c>
      <c r="AT42" s="2" t="s">
        <v>938</v>
      </c>
      <c r="AU42" s="2">
        <v>2021.0</v>
      </c>
      <c r="AV42" s="2">
        <v>18.0</v>
      </c>
      <c r="AW42" s="2">
        <v>11.0</v>
      </c>
      <c r="AX42" s="2"/>
      <c r="AY42" s="2"/>
      <c r="AZ42" s="2"/>
      <c r="BA42" s="2"/>
      <c r="BB42" s="2"/>
      <c r="BC42" s="2"/>
      <c r="BD42" s="2">
        <v>5819.0</v>
      </c>
      <c r="BE42" s="2" t="s">
        <v>976</v>
      </c>
      <c r="BF42" s="3" t="str">
        <f>HYPERLINK("http://dx.doi.org/10.3390/ijerph18115819","http://dx.doi.org/10.3390/ijerph18115819")</f>
        <v>http://dx.doi.org/10.3390/ijerph18115819</v>
      </c>
      <c r="BG42" s="2"/>
      <c r="BH42" s="2"/>
      <c r="BI42" s="2">
        <v>21.0</v>
      </c>
      <c r="BJ42" s="2" t="s">
        <v>598</v>
      </c>
      <c r="BK42" s="2" t="s">
        <v>363</v>
      </c>
      <c r="BL42" s="2" t="s">
        <v>599</v>
      </c>
      <c r="BM42" s="2" t="s">
        <v>977</v>
      </c>
      <c r="BN42" s="2">
        <v>3.4071524E7</v>
      </c>
      <c r="BO42" s="2" t="s">
        <v>601</v>
      </c>
      <c r="BP42" s="2"/>
      <c r="BQ42" s="2"/>
      <c r="BR42" s="2" t="s">
        <v>99</v>
      </c>
      <c r="BS42" s="2" t="s">
        <v>978</v>
      </c>
      <c r="BT42" s="2" t="str">
        <f>HYPERLINK("https%3A%2F%2Fwww.webofscience.com%2Fwos%2Fwoscc%2Ffull-record%2FWOS:000659990800001","View Full Record in Web of Science")</f>
        <v>View Full Record in Web of Science</v>
      </c>
    </row>
    <row r="43" ht="64.5" customHeight="1">
      <c r="A43" s="2" t="s">
        <v>72</v>
      </c>
      <c r="B43" s="2" t="s">
        <v>979</v>
      </c>
      <c r="C43" s="2"/>
      <c r="D43" s="2"/>
      <c r="E43" s="2"/>
      <c r="F43" s="2" t="s">
        <v>980</v>
      </c>
      <c r="G43" s="2"/>
      <c r="H43" s="2"/>
      <c r="I43" s="2" t="s">
        <v>981</v>
      </c>
      <c r="J43" s="2" t="s">
        <v>233</v>
      </c>
      <c r="K43" s="2"/>
      <c r="L43" s="2"/>
      <c r="M43" s="2" t="s">
        <v>116</v>
      </c>
      <c r="N43" s="2" t="s">
        <v>78</v>
      </c>
      <c r="O43" s="2"/>
      <c r="P43" s="2"/>
      <c r="Q43" s="2"/>
      <c r="R43" s="2"/>
      <c r="S43" s="2"/>
      <c r="T43" s="2" t="s">
        <v>982</v>
      </c>
      <c r="U43" s="2" t="s">
        <v>983</v>
      </c>
      <c r="V43" s="2" t="s">
        <v>984</v>
      </c>
      <c r="W43" s="2" t="s">
        <v>985</v>
      </c>
      <c r="X43" s="2" t="s">
        <v>986</v>
      </c>
      <c r="Y43" s="2" t="s">
        <v>987</v>
      </c>
      <c r="Z43" s="2" t="s">
        <v>988</v>
      </c>
      <c r="AA43" s="2" t="s">
        <v>989</v>
      </c>
      <c r="AB43" s="2" t="s">
        <v>990</v>
      </c>
      <c r="AC43" s="2" t="s">
        <v>991</v>
      </c>
      <c r="AD43" s="2" t="s">
        <v>153</v>
      </c>
      <c r="AE43" s="2" t="s">
        <v>992</v>
      </c>
      <c r="AF43" s="2" t="s">
        <v>993</v>
      </c>
      <c r="AG43" s="2">
        <v>46.0</v>
      </c>
      <c r="AH43" s="2">
        <v>25.0</v>
      </c>
      <c r="AI43" s="2">
        <v>26.0</v>
      </c>
      <c r="AJ43" s="2">
        <v>3.0</v>
      </c>
      <c r="AK43" s="2">
        <v>28.0</v>
      </c>
      <c r="AL43" s="2" t="s">
        <v>246</v>
      </c>
      <c r="AM43" s="2" t="s">
        <v>247</v>
      </c>
      <c r="AN43" s="2" t="s">
        <v>248</v>
      </c>
      <c r="AO43" s="2"/>
      <c r="AP43" s="2" t="s">
        <v>249</v>
      </c>
      <c r="AQ43" s="2"/>
      <c r="AR43" s="2" t="s">
        <v>250</v>
      </c>
      <c r="AS43" s="2" t="s">
        <v>251</v>
      </c>
      <c r="AT43" s="2" t="s">
        <v>994</v>
      </c>
      <c r="AU43" s="2">
        <v>2019.0</v>
      </c>
      <c r="AV43" s="2">
        <v>6.0</v>
      </c>
      <c r="AW43" s="2"/>
      <c r="AX43" s="2"/>
      <c r="AY43" s="2"/>
      <c r="AZ43" s="2"/>
      <c r="BA43" s="2"/>
      <c r="BB43" s="2"/>
      <c r="BC43" s="2"/>
      <c r="BD43" s="2">
        <v>288.0</v>
      </c>
      <c r="BE43" s="2" t="s">
        <v>995</v>
      </c>
      <c r="BF43" s="3" t="str">
        <f>HYPERLINK("http://dx.doi.org/10.3389/fmars.2019.00288","http://dx.doi.org/10.3389/fmars.2019.00288")</f>
        <v>http://dx.doi.org/10.3389/fmars.2019.00288</v>
      </c>
      <c r="BG43" s="2"/>
      <c r="BH43" s="2"/>
      <c r="BI43" s="2">
        <v>20.0</v>
      </c>
      <c r="BJ43" s="2" t="s">
        <v>225</v>
      </c>
      <c r="BK43" s="2" t="s">
        <v>363</v>
      </c>
      <c r="BL43" s="2" t="s">
        <v>227</v>
      </c>
      <c r="BM43" s="2" t="s">
        <v>996</v>
      </c>
      <c r="BN43" s="2"/>
      <c r="BO43" s="2" t="s">
        <v>272</v>
      </c>
      <c r="BP43" s="2"/>
      <c r="BQ43" s="2"/>
      <c r="BR43" s="2" t="s">
        <v>99</v>
      </c>
      <c r="BS43" s="2" t="s">
        <v>997</v>
      </c>
      <c r="BT43" s="2" t="str">
        <f>HYPERLINK("https%3A%2F%2Fwww.webofscience.com%2Fwos%2Fwoscc%2Ffull-record%2FWOS:000470789800001","View Full Record in Web of Science")</f>
        <v>View Full Record in Web of Science</v>
      </c>
    </row>
    <row r="44" ht="64.5" customHeight="1">
      <c r="A44" s="2" t="s">
        <v>72</v>
      </c>
      <c r="B44" s="2" t="s">
        <v>998</v>
      </c>
      <c r="C44" s="2"/>
      <c r="D44" s="2"/>
      <c r="E44" s="2"/>
      <c r="F44" s="2" t="s">
        <v>999</v>
      </c>
      <c r="G44" s="2"/>
      <c r="H44" s="2"/>
      <c r="I44" s="2" t="s">
        <v>1000</v>
      </c>
      <c r="J44" s="2" t="s">
        <v>1001</v>
      </c>
      <c r="K44" s="2"/>
      <c r="L44" s="2"/>
      <c r="M44" s="2" t="s">
        <v>116</v>
      </c>
      <c r="N44" s="2" t="s">
        <v>78</v>
      </c>
      <c r="O44" s="2"/>
      <c r="P44" s="2"/>
      <c r="Q44" s="2"/>
      <c r="R44" s="2"/>
      <c r="S44" s="2"/>
      <c r="T44" s="2" t="s">
        <v>1002</v>
      </c>
      <c r="U44" s="2" t="s">
        <v>1003</v>
      </c>
      <c r="V44" s="2" t="s">
        <v>1004</v>
      </c>
      <c r="W44" s="2" t="s">
        <v>1005</v>
      </c>
      <c r="X44" s="2" t="s">
        <v>1006</v>
      </c>
      <c r="Y44" s="2" t="s">
        <v>1007</v>
      </c>
      <c r="Z44" s="2" t="s">
        <v>1008</v>
      </c>
      <c r="AA44" s="2"/>
      <c r="AB44" s="2" t="s">
        <v>1009</v>
      </c>
      <c r="AC44" s="2" t="s">
        <v>1010</v>
      </c>
      <c r="AD44" s="2" t="s">
        <v>1010</v>
      </c>
      <c r="AE44" s="2" t="s">
        <v>1011</v>
      </c>
      <c r="AF44" s="2" t="s">
        <v>1012</v>
      </c>
      <c r="AG44" s="2">
        <v>58.0</v>
      </c>
      <c r="AH44" s="2">
        <v>16.0</v>
      </c>
      <c r="AI44" s="2">
        <v>17.0</v>
      </c>
      <c r="AJ44" s="2">
        <v>1.0</v>
      </c>
      <c r="AK44" s="2">
        <v>24.0</v>
      </c>
      <c r="AL44" s="2" t="s">
        <v>351</v>
      </c>
      <c r="AM44" s="2" t="s">
        <v>352</v>
      </c>
      <c r="AN44" s="2" t="s">
        <v>353</v>
      </c>
      <c r="AO44" s="2" t="s">
        <v>1013</v>
      </c>
      <c r="AP44" s="2" t="s">
        <v>1014</v>
      </c>
      <c r="AQ44" s="2"/>
      <c r="AR44" s="2" t="s">
        <v>1015</v>
      </c>
      <c r="AS44" s="2" t="s">
        <v>1016</v>
      </c>
      <c r="AT44" s="2" t="s">
        <v>1017</v>
      </c>
      <c r="AU44" s="2">
        <v>2020.0</v>
      </c>
      <c r="AV44" s="2">
        <v>22.0</v>
      </c>
      <c r="AW44" s="2">
        <v>2.0</v>
      </c>
      <c r="AX44" s="2"/>
      <c r="AY44" s="2"/>
      <c r="AZ44" s="2"/>
      <c r="BA44" s="2"/>
      <c r="BB44" s="2">
        <v>1599.0</v>
      </c>
      <c r="BC44" s="2">
        <v>1616.0</v>
      </c>
      <c r="BD44" s="2"/>
      <c r="BE44" s="2" t="s">
        <v>1018</v>
      </c>
      <c r="BF44" s="3" t="str">
        <f>HYPERLINK("http://dx.doi.org/10.1007/s10668-018-0226-8","http://dx.doi.org/10.1007/s10668-018-0226-8")</f>
        <v>http://dx.doi.org/10.1007/s10668-018-0226-8</v>
      </c>
      <c r="BG44" s="2"/>
      <c r="BH44" s="2"/>
      <c r="BI44" s="2">
        <v>18.0</v>
      </c>
      <c r="BJ44" s="2" t="s">
        <v>1019</v>
      </c>
      <c r="BK44" s="2" t="s">
        <v>363</v>
      </c>
      <c r="BL44" s="2" t="s">
        <v>391</v>
      </c>
      <c r="BM44" s="2" t="s">
        <v>1020</v>
      </c>
      <c r="BN44" s="2"/>
      <c r="BO44" s="2"/>
      <c r="BP44" s="2"/>
      <c r="BQ44" s="2"/>
      <c r="BR44" s="2" t="s">
        <v>99</v>
      </c>
      <c r="BS44" s="2" t="s">
        <v>1021</v>
      </c>
      <c r="BT44" s="2" t="str">
        <f>HYPERLINK("https%3A%2F%2Fwww.webofscience.com%2Fwos%2Fwoscc%2Ffull-record%2FWOS:000511659800044","View Full Record in Web of Science")</f>
        <v>View Full Record in Web of Science</v>
      </c>
    </row>
    <row r="45" ht="64.5" customHeight="1">
      <c r="A45" s="2" t="s">
        <v>110</v>
      </c>
      <c r="B45" s="2" t="s">
        <v>1022</v>
      </c>
      <c r="C45" s="2"/>
      <c r="D45" s="2" t="s">
        <v>1023</v>
      </c>
      <c r="E45" s="2"/>
      <c r="F45" s="2" t="s">
        <v>1024</v>
      </c>
      <c r="G45" s="2"/>
      <c r="H45" s="2"/>
      <c r="I45" s="2" t="s">
        <v>1025</v>
      </c>
      <c r="J45" s="2" t="s">
        <v>1026</v>
      </c>
      <c r="K45" s="2" t="s">
        <v>1027</v>
      </c>
      <c r="L45" s="2"/>
      <c r="M45" s="2" t="s">
        <v>116</v>
      </c>
      <c r="N45" s="2" t="s">
        <v>117</v>
      </c>
      <c r="O45" s="2" t="s">
        <v>1028</v>
      </c>
      <c r="P45" s="2" t="s">
        <v>1029</v>
      </c>
      <c r="Q45" s="2" t="s">
        <v>1030</v>
      </c>
      <c r="R45" s="2"/>
      <c r="S45" s="2" t="s">
        <v>1031</v>
      </c>
      <c r="T45" s="2" t="s">
        <v>1032</v>
      </c>
      <c r="U45" s="2"/>
      <c r="V45" s="2" t="s">
        <v>1033</v>
      </c>
      <c r="W45" s="2" t="s">
        <v>1034</v>
      </c>
      <c r="X45" s="2" t="s">
        <v>1035</v>
      </c>
      <c r="Y45" s="2" t="s">
        <v>1036</v>
      </c>
      <c r="Z45" s="2" t="s">
        <v>1037</v>
      </c>
      <c r="AA45" s="2" t="s">
        <v>1038</v>
      </c>
      <c r="AB45" s="2" t="s">
        <v>1039</v>
      </c>
      <c r="AC45" s="2" t="s">
        <v>1040</v>
      </c>
      <c r="AD45" s="2" t="s">
        <v>1041</v>
      </c>
      <c r="AE45" s="2" t="s">
        <v>1042</v>
      </c>
      <c r="AF45" s="2" t="s">
        <v>1043</v>
      </c>
      <c r="AG45" s="2">
        <v>23.0</v>
      </c>
      <c r="AH45" s="2">
        <v>0.0</v>
      </c>
      <c r="AI45" s="2">
        <v>0.0</v>
      </c>
      <c r="AJ45" s="2">
        <v>0.0</v>
      </c>
      <c r="AK45" s="2">
        <v>1.0</v>
      </c>
      <c r="AL45" s="2" t="s">
        <v>1044</v>
      </c>
      <c r="AM45" s="2" t="s">
        <v>1045</v>
      </c>
      <c r="AN45" s="2" t="s">
        <v>1046</v>
      </c>
      <c r="AO45" s="2" t="s">
        <v>1047</v>
      </c>
      <c r="AP45" s="2" t="s">
        <v>1048</v>
      </c>
      <c r="AQ45" s="2" t="s">
        <v>1049</v>
      </c>
      <c r="AR45" s="2" t="s">
        <v>1050</v>
      </c>
      <c r="AS45" s="2"/>
      <c r="AT45" s="2"/>
      <c r="AU45" s="2">
        <v>2022.0</v>
      </c>
      <c r="AV45" s="2">
        <v>1720.0</v>
      </c>
      <c r="AW45" s="2"/>
      <c r="AX45" s="2"/>
      <c r="AY45" s="2"/>
      <c r="AZ45" s="2"/>
      <c r="BA45" s="2"/>
      <c r="BB45" s="2">
        <v>446.0</v>
      </c>
      <c r="BC45" s="2">
        <v>453.0</v>
      </c>
      <c r="BD45" s="2"/>
      <c r="BE45" s="2" t="s">
        <v>1051</v>
      </c>
      <c r="BF45" s="3" t="str">
        <f>HYPERLINK("http://dx.doi.org/10.1007/978-3-031-22918-3_35","http://dx.doi.org/10.1007/978-3-031-22918-3_35")</f>
        <v>http://dx.doi.org/10.1007/978-3-031-22918-3_35</v>
      </c>
      <c r="BG45" s="2"/>
      <c r="BH45" s="2"/>
      <c r="BI45" s="2">
        <v>8.0</v>
      </c>
      <c r="BJ45" s="2" t="s">
        <v>1052</v>
      </c>
      <c r="BK45" s="2" t="s">
        <v>1053</v>
      </c>
      <c r="BL45" s="2" t="s">
        <v>1054</v>
      </c>
      <c r="BM45" s="2" t="s">
        <v>1055</v>
      </c>
      <c r="BN45" s="2"/>
      <c r="BO45" s="2"/>
      <c r="BP45" s="2"/>
      <c r="BQ45" s="2"/>
      <c r="BR45" s="2" t="s">
        <v>99</v>
      </c>
      <c r="BS45" s="2" t="s">
        <v>1056</v>
      </c>
      <c r="BT45" s="2" t="str">
        <f>HYPERLINK("https%3A%2F%2Fwww.webofscience.com%2Fwos%2Fwoscc%2Ffull-record%2FWOS:000976791200035","View Full Record in Web of Science")</f>
        <v>View Full Record in Web of Science</v>
      </c>
    </row>
    <row r="46" ht="64.5" customHeight="1">
      <c r="A46" s="2" t="s">
        <v>72</v>
      </c>
      <c r="B46" s="2" t="s">
        <v>1057</v>
      </c>
      <c r="C46" s="2"/>
      <c r="D46" s="2"/>
      <c r="E46" s="2"/>
      <c r="F46" s="2" t="s">
        <v>1058</v>
      </c>
      <c r="G46" s="2"/>
      <c r="H46" s="2"/>
      <c r="I46" s="2" t="s">
        <v>1059</v>
      </c>
      <c r="J46" s="2" t="s">
        <v>174</v>
      </c>
      <c r="K46" s="2"/>
      <c r="L46" s="2"/>
      <c r="M46" s="2" t="s">
        <v>116</v>
      </c>
      <c r="N46" s="2" t="s">
        <v>78</v>
      </c>
      <c r="O46" s="2"/>
      <c r="P46" s="2"/>
      <c r="Q46" s="2"/>
      <c r="R46" s="2"/>
      <c r="S46" s="2"/>
      <c r="T46" s="2" t="s">
        <v>1060</v>
      </c>
      <c r="U46" s="2" t="s">
        <v>1061</v>
      </c>
      <c r="V46" s="2" t="s">
        <v>1062</v>
      </c>
      <c r="W46" s="2" t="s">
        <v>1063</v>
      </c>
      <c r="X46" s="2" t="s">
        <v>1064</v>
      </c>
      <c r="Y46" s="2" t="s">
        <v>1065</v>
      </c>
      <c r="Z46" s="2" t="s">
        <v>1066</v>
      </c>
      <c r="AA46" s="2" t="s">
        <v>1067</v>
      </c>
      <c r="AB46" s="2" t="s">
        <v>1068</v>
      </c>
      <c r="AC46" s="2" t="s">
        <v>1069</v>
      </c>
      <c r="AD46" s="2" t="s">
        <v>1070</v>
      </c>
      <c r="AE46" s="2" t="s">
        <v>1071</v>
      </c>
      <c r="AF46" s="2" t="s">
        <v>1072</v>
      </c>
      <c r="AG46" s="2">
        <v>49.0</v>
      </c>
      <c r="AH46" s="2">
        <v>0.0</v>
      </c>
      <c r="AI46" s="2">
        <v>0.0</v>
      </c>
      <c r="AJ46" s="2">
        <v>3.0</v>
      </c>
      <c r="AK46" s="2">
        <v>3.0</v>
      </c>
      <c r="AL46" s="2" t="s">
        <v>188</v>
      </c>
      <c r="AM46" s="2" t="s">
        <v>290</v>
      </c>
      <c r="AN46" s="2" t="s">
        <v>291</v>
      </c>
      <c r="AO46" s="2" t="s">
        <v>191</v>
      </c>
      <c r="AP46" s="2" t="s">
        <v>192</v>
      </c>
      <c r="AQ46" s="2"/>
      <c r="AR46" s="2" t="s">
        <v>193</v>
      </c>
      <c r="AS46" s="2" t="s">
        <v>194</v>
      </c>
      <c r="AT46" s="2" t="s">
        <v>1073</v>
      </c>
      <c r="AU46" s="2">
        <v>2024.0</v>
      </c>
      <c r="AV46" s="2">
        <v>163.0</v>
      </c>
      <c r="AW46" s="2"/>
      <c r="AX46" s="2"/>
      <c r="AY46" s="2"/>
      <c r="AZ46" s="2"/>
      <c r="BA46" s="2"/>
      <c r="BB46" s="2"/>
      <c r="BC46" s="2"/>
      <c r="BD46" s="2">
        <v>106062.0</v>
      </c>
      <c r="BE46" s="2" t="s">
        <v>1074</v>
      </c>
      <c r="BF46" s="3" t="str">
        <f>HYPERLINK("http://dx.doi.org/10.1016/j.marpol.2024.106062","http://dx.doi.org/10.1016/j.marpol.2024.106062")</f>
        <v>http://dx.doi.org/10.1016/j.marpol.2024.106062</v>
      </c>
      <c r="BG46" s="2"/>
      <c r="BH46" s="2" t="s">
        <v>1075</v>
      </c>
      <c r="BI46" s="2">
        <v>12.0</v>
      </c>
      <c r="BJ46" s="2" t="s">
        <v>198</v>
      </c>
      <c r="BK46" s="2" t="s">
        <v>166</v>
      </c>
      <c r="BL46" s="2" t="s">
        <v>199</v>
      </c>
      <c r="BM46" s="2" t="s">
        <v>1076</v>
      </c>
      <c r="BN46" s="2"/>
      <c r="BO46" s="2" t="s">
        <v>201</v>
      </c>
      <c r="BP46" s="2"/>
      <c r="BQ46" s="2"/>
      <c r="BR46" s="2" t="s">
        <v>99</v>
      </c>
      <c r="BS46" s="2" t="s">
        <v>1077</v>
      </c>
      <c r="BT46" s="2" t="str">
        <f>HYPERLINK("https%3A%2F%2Fwww.webofscience.com%2Fwos%2Fwoscc%2Ffull-record%2FWOS:001204368400001","View Full Record in Web of Science")</f>
        <v>View Full Record in Web of Science</v>
      </c>
    </row>
    <row r="47" ht="64.5" customHeight="1">
      <c r="A47" s="2" t="s">
        <v>72</v>
      </c>
      <c r="B47" s="2" t="s">
        <v>1078</v>
      </c>
      <c r="C47" s="2"/>
      <c r="D47" s="2"/>
      <c r="E47" s="2"/>
      <c r="F47" s="2" t="s">
        <v>1079</v>
      </c>
      <c r="G47" s="2"/>
      <c r="H47" s="2"/>
      <c r="I47" s="2" t="s">
        <v>1080</v>
      </c>
      <c r="J47" s="2" t="s">
        <v>712</v>
      </c>
      <c r="K47" s="2"/>
      <c r="L47" s="2"/>
      <c r="M47" s="2" t="s">
        <v>116</v>
      </c>
      <c r="N47" s="2" t="s">
        <v>78</v>
      </c>
      <c r="O47" s="2"/>
      <c r="P47" s="2"/>
      <c r="Q47" s="2"/>
      <c r="R47" s="2"/>
      <c r="S47" s="2"/>
      <c r="T47" s="2" t="s">
        <v>1081</v>
      </c>
      <c r="U47" s="2"/>
      <c r="V47" s="2" t="s">
        <v>1082</v>
      </c>
      <c r="W47" s="2" t="s">
        <v>1083</v>
      </c>
      <c r="X47" s="2" t="s">
        <v>1084</v>
      </c>
      <c r="Y47" s="2" t="s">
        <v>1085</v>
      </c>
      <c r="Z47" s="2" t="s">
        <v>1086</v>
      </c>
      <c r="AA47" s="2" t="s">
        <v>1087</v>
      </c>
      <c r="AB47" s="2" t="s">
        <v>1088</v>
      </c>
      <c r="AC47" s="2"/>
      <c r="AD47" s="2"/>
      <c r="AE47" s="2"/>
      <c r="AF47" s="2" t="s">
        <v>1089</v>
      </c>
      <c r="AG47" s="2">
        <v>38.0</v>
      </c>
      <c r="AH47" s="2">
        <v>0.0</v>
      </c>
      <c r="AI47" s="2">
        <v>0.0</v>
      </c>
      <c r="AJ47" s="2">
        <v>5.0</v>
      </c>
      <c r="AK47" s="2">
        <v>5.0</v>
      </c>
      <c r="AL47" s="2" t="s">
        <v>726</v>
      </c>
      <c r="AM47" s="2" t="s">
        <v>727</v>
      </c>
      <c r="AN47" s="2" t="s">
        <v>728</v>
      </c>
      <c r="AO47" s="2" t="s">
        <v>729</v>
      </c>
      <c r="AP47" s="2"/>
      <c r="AQ47" s="2"/>
      <c r="AR47" s="2" t="s">
        <v>730</v>
      </c>
      <c r="AS47" s="2" t="s">
        <v>731</v>
      </c>
      <c r="AT47" s="2"/>
      <c r="AU47" s="2">
        <v>2024.0</v>
      </c>
      <c r="AV47" s="2">
        <v>25.0</v>
      </c>
      <c r="AW47" s="2">
        <v>1.0</v>
      </c>
      <c r="AX47" s="2"/>
      <c r="AY47" s="2"/>
      <c r="AZ47" s="2"/>
      <c r="BA47" s="2"/>
      <c r="BB47" s="2"/>
      <c r="BC47" s="2"/>
      <c r="BD47" s="2"/>
      <c r="BE47" s="2" t="s">
        <v>1090</v>
      </c>
      <c r="BF47" s="3" t="str">
        <f>HYPERLINK("http://dx.doi.org/10.12681/mms.35378","http://dx.doi.org/10.12681/mms.35378")</f>
        <v>http://dx.doi.org/10.12681/mms.35378</v>
      </c>
      <c r="BG47" s="2"/>
      <c r="BH47" s="2"/>
      <c r="BI47" s="2">
        <v>14.0</v>
      </c>
      <c r="BJ47" s="2" t="s">
        <v>733</v>
      </c>
      <c r="BK47" s="2" t="s">
        <v>226</v>
      </c>
      <c r="BL47" s="2" t="s">
        <v>734</v>
      </c>
      <c r="BM47" s="2" t="s">
        <v>1091</v>
      </c>
      <c r="BN47" s="2"/>
      <c r="BO47" s="2" t="s">
        <v>601</v>
      </c>
      <c r="BP47" s="2"/>
      <c r="BQ47" s="2"/>
      <c r="BR47" s="2" t="s">
        <v>99</v>
      </c>
      <c r="BS47" s="2" t="s">
        <v>1092</v>
      </c>
      <c r="BT47" s="2" t="str">
        <f>HYPERLINK("https%3A%2F%2Fwww.webofscience.com%2Fwos%2Fwoscc%2Ffull-record%2FWOS:001157122800001","View Full Record in Web of Science")</f>
        <v>View Full Record in Web of Science</v>
      </c>
    </row>
    <row r="48" ht="64.5" customHeight="1">
      <c r="A48" s="2" t="s">
        <v>72</v>
      </c>
      <c r="B48" s="2" t="s">
        <v>1093</v>
      </c>
      <c r="C48" s="2"/>
      <c r="D48" s="2"/>
      <c r="E48" s="2"/>
      <c r="F48" s="2" t="s">
        <v>1094</v>
      </c>
      <c r="G48" s="2"/>
      <c r="H48" s="2"/>
      <c r="I48" s="2" t="s">
        <v>1095</v>
      </c>
      <c r="J48" s="2" t="s">
        <v>1096</v>
      </c>
      <c r="K48" s="2"/>
      <c r="L48" s="2"/>
      <c r="M48" s="2" t="s">
        <v>116</v>
      </c>
      <c r="N48" s="2" t="s">
        <v>78</v>
      </c>
      <c r="O48" s="2"/>
      <c r="P48" s="2"/>
      <c r="Q48" s="2"/>
      <c r="R48" s="2"/>
      <c r="S48" s="2"/>
      <c r="T48" s="2" t="s">
        <v>1097</v>
      </c>
      <c r="U48" s="2" t="s">
        <v>1098</v>
      </c>
      <c r="V48" s="2" t="s">
        <v>1099</v>
      </c>
      <c r="W48" s="2" t="s">
        <v>1100</v>
      </c>
      <c r="X48" s="2" t="s">
        <v>1101</v>
      </c>
      <c r="Y48" s="2" t="s">
        <v>1102</v>
      </c>
      <c r="Z48" s="2" t="s">
        <v>1103</v>
      </c>
      <c r="AA48" s="2" t="s">
        <v>1104</v>
      </c>
      <c r="AB48" s="2" t="s">
        <v>1105</v>
      </c>
      <c r="AC48" s="2" t="s">
        <v>1106</v>
      </c>
      <c r="AD48" s="2" t="s">
        <v>1107</v>
      </c>
      <c r="AE48" s="2" t="s">
        <v>1108</v>
      </c>
      <c r="AF48" s="2" t="s">
        <v>1109</v>
      </c>
      <c r="AG48" s="2">
        <v>79.0</v>
      </c>
      <c r="AH48" s="2">
        <v>9.0</v>
      </c>
      <c r="AI48" s="2">
        <v>9.0</v>
      </c>
      <c r="AJ48" s="2">
        <v>2.0</v>
      </c>
      <c r="AK48" s="2">
        <v>22.0</v>
      </c>
      <c r="AL48" s="2" t="s">
        <v>156</v>
      </c>
      <c r="AM48" s="2" t="s">
        <v>157</v>
      </c>
      <c r="AN48" s="2" t="s">
        <v>158</v>
      </c>
      <c r="AO48" s="2" t="s">
        <v>1110</v>
      </c>
      <c r="AP48" s="2" t="s">
        <v>1111</v>
      </c>
      <c r="AQ48" s="2"/>
      <c r="AR48" s="2" t="s">
        <v>1112</v>
      </c>
      <c r="AS48" s="2" t="s">
        <v>1113</v>
      </c>
      <c r="AT48" s="2" t="s">
        <v>1114</v>
      </c>
      <c r="AU48" s="2">
        <v>2020.0</v>
      </c>
      <c r="AV48" s="2">
        <v>29.0</v>
      </c>
      <c r="AW48" s="2">
        <v>1.0</v>
      </c>
      <c r="AX48" s="2"/>
      <c r="AY48" s="2"/>
      <c r="AZ48" s="2"/>
      <c r="BA48" s="2"/>
      <c r="BB48" s="2">
        <v>89.0</v>
      </c>
      <c r="BC48" s="2">
        <v>107.0</v>
      </c>
      <c r="BD48" s="2"/>
      <c r="BE48" s="2" t="s">
        <v>1115</v>
      </c>
      <c r="BF48" s="3" t="str">
        <f>HYPERLINK("http://dx.doi.org/10.1080/1475939X.2020.1715241","http://dx.doi.org/10.1080/1475939X.2020.1715241")</f>
        <v>http://dx.doi.org/10.1080/1475939X.2020.1715241</v>
      </c>
      <c r="BG48" s="2"/>
      <c r="BH48" s="2" t="s">
        <v>1116</v>
      </c>
      <c r="BI48" s="2">
        <v>19.0</v>
      </c>
      <c r="BJ48" s="2" t="s">
        <v>331</v>
      </c>
      <c r="BK48" s="2" t="s">
        <v>166</v>
      </c>
      <c r="BL48" s="2" t="s">
        <v>331</v>
      </c>
      <c r="BM48" s="2" t="s">
        <v>1117</v>
      </c>
      <c r="BN48" s="2"/>
      <c r="BO48" s="2"/>
      <c r="BP48" s="2"/>
      <c r="BQ48" s="2"/>
      <c r="BR48" s="2" t="s">
        <v>99</v>
      </c>
      <c r="BS48" s="2" t="s">
        <v>1118</v>
      </c>
      <c r="BT48" s="2" t="str">
        <f>HYPERLINK("https%3A%2F%2Fwww.webofscience.com%2Fwos%2Fwoscc%2Ffull-record%2FWOS:000507660700001","View Full Record in Web of Science")</f>
        <v>View Full Record in Web of Science</v>
      </c>
    </row>
    <row r="49" ht="64.5" customHeight="1">
      <c r="A49" s="2" t="s">
        <v>72</v>
      </c>
      <c r="B49" s="2" t="s">
        <v>1119</v>
      </c>
      <c r="C49" s="2"/>
      <c r="D49" s="2"/>
      <c r="E49" s="2"/>
      <c r="F49" s="2" t="s">
        <v>1120</v>
      </c>
      <c r="G49" s="2"/>
      <c r="H49" s="2"/>
      <c r="I49" s="2" t="s">
        <v>1121</v>
      </c>
      <c r="J49" s="2" t="s">
        <v>1122</v>
      </c>
      <c r="K49" s="2"/>
      <c r="L49" s="2"/>
      <c r="M49" s="2" t="s">
        <v>116</v>
      </c>
      <c r="N49" s="2" t="s">
        <v>78</v>
      </c>
      <c r="O49" s="2"/>
      <c r="P49" s="2"/>
      <c r="Q49" s="2"/>
      <c r="R49" s="2"/>
      <c r="S49" s="2"/>
      <c r="T49" s="2" t="s">
        <v>1123</v>
      </c>
      <c r="U49" s="2" t="s">
        <v>1124</v>
      </c>
      <c r="V49" s="2" t="s">
        <v>1125</v>
      </c>
      <c r="W49" s="2" t="s">
        <v>1126</v>
      </c>
      <c r="X49" s="2" t="s">
        <v>1127</v>
      </c>
      <c r="Y49" s="2" t="s">
        <v>1128</v>
      </c>
      <c r="Z49" s="2" t="s">
        <v>1129</v>
      </c>
      <c r="AA49" s="2" t="s">
        <v>1130</v>
      </c>
      <c r="AB49" s="2" t="s">
        <v>1131</v>
      </c>
      <c r="AC49" s="2" t="s">
        <v>1132</v>
      </c>
      <c r="AD49" s="2" t="s">
        <v>1133</v>
      </c>
      <c r="AE49" s="2" t="s">
        <v>1134</v>
      </c>
      <c r="AF49" s="2" t="s">
        <v>1135</v>
      </c>
      <c r="AG49" s="2">
        <v>67.0</v>
      </c>
      <c r="AH49" s="2">
        <v>22.0</v>
      </c>
      <c r="AI49" s="2">
        <v>22.0</v>
      </c>
      <c r="AJ49" s="2">
        <v>4.0</v>
      </c>
      <c r="AK49" s="2">
        <v>28.0</v>
      </c>
      <c r="AL49" s="2" t="s">
        <v>383</v>
      </c>
      <c r="AM49" s="2" t="s">
        <v>384</v>
      </c>
      <c r="AN49" s="2" t="s">
        <v>385</v>
      </c>
      <c r="AO49" s="2"/>
      <c r="AP49" s="2" t="s">
        <v>1136</v>
      </c>
      <c r="AQ49" s="2"/>
      <c r="AR49" s="2" t="s">
        <v>1137</v>
      </c>
      <c r="AS49" s="2" t="s">
        <v>1138</v>
      </c>
      <c r="AT49" s="2" t="s">
        <v>1017</v>
      </c>
      <c r="AU49" s="2">
        <v>2021.0</v>
      </c>
      <c r="AV49" s="2">
        <v>11.0</v>
      </c>
      <c r="AW49" s="2">
        <v>2.0</v>
      </c>
      <c r="AX49" s="2"/>
      <c r="AY49" s="2"/>
      <c r="AZ49" s="2"/>
      <c r="BA49" s="2"/>
      <c r="BB49" s="2"/>
      <c r="BC49" s="2"/>
      <c r="BD49" s="2">
        <v>62.0</v>
      </c>
      <c r="BE49" s="2" t="s">
        <v>1139</v>
      </c>
      <c r="BF49" s="3" t="str">
        <f>HYPERLINK("http://dx.doi.org/10.3390/educsci11020062","http://dx.doi.org/10.3390/educsci11020062")</f>
        <v>http://dx.doi.org/10.3390/educsci11020062</v>
      </c>
      <c r="BG49" s="2"/>
      <c r="BH49" s="2"/>
      <c r="BI49" s="2">
        <v>21.0</v>
      </c>
      <c r="BJ49" s="2" t="s">
        <v>331</v>
      </c>
      <c r="BK49" s="2" t="s">
        <v>96</v>
      </c>
      <c r="BL49" s="2" t="s">
        <v>331</v>
      </c>
      <c r="BM49" s="2" t="s">
        <v>1140</v>
      </c>
      <c r="BN49" s="2"/>
      <c r="BO49" s="2" t="s">
        <v>601</v>
      </c>
      <c r="BP49" s="2"/>
      <c r="BQ49" s="2"/>
      <c r="BR49" s="2" t="s">
        <v>99</v>
      </c>
      <c r="BS49" s="2" t="s">
        <v>1141</v>
      </c>
      <c r="BT49" s="2" t="str">
        <f>HYPERLINK("https%3A%2F%2Fwww.webofscience.com%2Fwos%2Fwoscc%2Ffull-record%2FWOS:000622478700001","View Full Record in Web of Science")</f>
        <v>View Full Record in Web of Science</v>
      </c>
    </row>
    <row r="50" ht="64.5" customHeight="1">
      <c r="A50" s="2" t="s">
        <v>72</v>
      </c>
      <c r="B50" s="2" t="s">
        <v>1142</v>
      </c>
      <c r="C50" s="2"/>
      <c r="D50" s="2"/>
      <c r="E50" s="2"/>
      <c r="F50" s="2" t="s">
        <v>1143</v>
      </c>
      <c r="G50" s="2"/>
      <c r="H50" s="2"/>
      <c r="I50" s="2" t="s">
        <v>1144</v>
      </c>
      <c r="J50" s="2" t="s">
        <v>623</v>
      </c>
      <c r="K50" s="2"/>
      <c r="L50" s="2"/>
      <c r="M50" s="2" t="s">
        <v>116</v>
      </c>
      <c r="N50" s="2" t="s">
        <v>78</v>
      </c>
      <c r="O50" s="2"/>
      <c r="P50" s="2"/>
      <c r="Q50" s="2"/>
      <c r="R50" s="2"/>
      <c r="S50" s="2"/>
      <c r="T50" s="2" t="s">
        <v>1145</v>
      </c>
      <c r="U50" s="2" t="s">
        <v>1146</v>
      </c>
      <c r="V50" s="2" t="s">
        <v>1147</v>
      </c>
      <c r="W50" s="2" t="s">
        <v>1148</v>
      </c>
      <c r="X50" s="2" t="s">
        <v>1149</v>
      </c>
      <c r="Y50" s="2" t="s">
        <v>1150</v>
      </c>
      <c r="Z50" s="2" t="s">
        <v>1151</v>
      </c>
      <c r="AA50" s="2"/>
      <c r="AB50" s="2"/>
      <c r="AC50" s="2"/>
      <c r="AD50" s="2"/>
      <c r="AE50" s="2"/>
      <c r="AF50" s="2" t="s">
        <v>1152</v>
      </c>
      <c r="AG50" s="2">
        <v>35.0</v>
      </c>
      <c r="AH50" s="2">
        <v>0.0</v>
      </c>
      <c r="AI50" s="2">
        <v>0.0</v>
      </c>
      <c r="AJ50" s="2">
        <v>0.0</v>
      </c>
      <c r="AK50" s="2">
        <v>2.0</v>
      </c>
      <c r="AL50" s="2" t="s">
        <v>629</v>
      </c>
      <c r="AM50" s="2" t="s">
        <v>630</v>
      </c>
      <c r="AN50" s="2" t="s">
        <v>631</v>
      </c>
      <c r="AO50" s="2" t="s">
        <v>632</v>
      </c>
      <c r="AP50" s="2" t="s">
        <v>633</v>
      </c>
      <c r="AQ50" s="2"/>
      <c r="AR50" s="2" t="s">
        <v>634</v>
      </c>
      <c r="AS50" s="2" t="s">
        <v>635</v>
      </c>
      <c r="AT50" s="2" t="s">
        <v>636</v>
      </c>
      <c r="AU50" s="2">
        <v>2022.0</v>
      </c>
      <c r="AV50" s="2">
        <v>56.0</v>
      </c>
      <c r="AW50" s="2">
        <v>3.0</v>
      </c>
      <c r="AX50" s="2"/>
      <c r="AY50" s="2"/>
      <c r="AZ50" s="2"/>
      <c r="BA50" s="2"/>
      <c r="BB50" s="2">
        <v>91.0</v>
      </c>
      <c r="BC50" s="2">
        <v>100.0</v>
      </c>
      <c r="BD50" s="2"/>
      <c r="BE50" s="2"/>
      <c r="BF50" s="2"/>
      <c r="BG50" s="2"/>
      <c r="BH50" s="2"/>
      <c r="BI50" s="2">
        <v>10.0</v>
      </c>
      <c r="BJ50" s="2" t="s">
        <v>134</v>
      </c>
      <c r="BK50" s="2" t="s">
        <v>226</v>
      </c>
      <c r="BL50" s="2" t="s">
        <v>136</v>
      </c>
      <c r="BM50" s="2" t="s">
        <v>637</v>
      </c>
      <c r="BN50" s="2"/>
      <c r="BO50" s="2"/>
      <c r="BP50" s="2"/>
      <c r="BQ50" s="2"/>
      <c r="BR50" s="2" t="s">
        <v>99</v>
      </c>
      <c r="BS50" s="2" t="s">
        <v>1153</v>
      </c>
      <c r="BT50" s="2" t="str">
        <f>HYPERLINK("https%3A%2F%2Fwww.webofscience.com%2Fwos%2Fwoscc%2Ffull-record%2FWOS:000811597500015","View Full Record in Web of Science")</f>
        <v>View Full Record in Web of Science</v>
      </c>
    </row>
    <row r="51" ht="64.5" customHeight="1">
      <c r="A51" s="2" t="s">
        <v>72</v>
      </c>
      <c r="B51" s="2" t="s">
        <v>1154</v>
      </c>
      <c r="C51" s="2"/>
      <c r="D51" s="2"/>
      <c r="E51" s="2"/>
      <c r="F51" s="2" t="s">
        <v>1155</v>
      </c>
      <c r="G51" s="2"/>
      <c r="H51" s="2"/>
      <c r="I51" s="2" t="s">
        <v>1156</v>
      </c>
      <c r="J51" s="2" t="s">
        <v>1157</v>
      </c>
      <c r="K51" s="2"/>
      <c r="L51" s="2"/>
      <c r="M51" s="2" t="s">
        <v>116</v>
      </c>
      <c r="N51" s="2" t="s">
        <v>78</v>
      </c>
      <c r="O51" s="2"/>
      <c r="P51" s="2"/>
      <c r="Q51" s="2"/>
      <c r="R51" s="2"/>
      <c r="S51" s="2"/>
      <c r="T51" s="2" t="s">
        <v>1158</v>
      </c>
      <c r="U51" s="2" t="s">
        <v>1159</v>
      </c>
      <c r="V51" s="2" t="s">
        <v>1160</v>
      </c>
      <c r="W51" s="2" t="s">
        <v>1161</v>
      </c>
      <c r="X51" s="2" t="s">
        <v>1162</v>
      </c>
      <c r="Y51" s="2" t="s">
        <v>1163</v>
      </c>
      <c r="Z51" s="2" t="s">
        <v>1164</v>
      </c>
      <c r="AA51" s="2"/>
      <c r="AB51" s="2" t="s">
        <v>1165</v>
      </c>
      <c r="AC51" s="2"/>
      <c r="AD51" s="2"/>
      <c r="AE51" s="2"/>
      <c r="AF51" s="2" t="s">
        <v>1166</v>
      </c>
      <c r="AG51" s="2">
        <v>76.0</v>
      </c>
      <c r="AH51" s="2">
        <v>18.0</v>
      </c>
      <c r="AI51" s="2">
        <v>19.0</v>
      </c>
      <c r="AJ51" s="2">
        <v>8.0</v>
      </c>
      <c r="AK51" s="2">
        <v>41.0</v>
      </c>
      <c r="AL51" s="2" t="s">
        <v>156</v>
      </c>
      <c r="AM51" s="2" t="s">
        <v>157</v>
      </c>
      <c r="AN51" s="2" t="s">
        <v>158</v>
      </c>
      <c r="AO51" s="2" t="s">
        <v>1167</v>
      </c>
      <c r="AP51" s="2" t="s">
        <v>1168</v>
      </c>
      <c r="AQ51" s="2"/>
      <c r="AR51" s="2" t="s">
        <v>1169</v>
      </c>
      <c r="AS51" s="2" t="s">
        <v>1170</v>
      </c>
      <c r="AT51" s="2" t="s">
        <v>1171</v>
      </c>
      <c r="AU51" s="2">
        <v>2022.0</v>
      </c>
      <c r="AV51" s="2">
        <v>30.0</v>
      </c>
      <c r="AW51" s="2">
        <v>10.0</v>
      </c>
      <c r="AX51" s="2"/>
      <c r="AY51" s="2"/>
      <c r="AZ51" s="2" t="s">
        <v>359</v>
      </c>
      <c r="BA51" s="2"/>
      <c r="BB51" s="2">
        <v>2428.0</v>
      </c>
      <c r="BC51" s="2">
        <v>2447.0</v>
      </c>
      <c r="BD51" s="2"/>
      <c r="BE51" s="2" t="s">
        <v>1172</v>
      </c>
      <c r="BF51" s="3" t="str">
        <f>HYPERLINK("http://dx.doi.org/10.1080/09669582.2020.1850747","http://dx.doi.org/10.1080/09669582.2020.1850747")</f>
        <v>http://dx.doi.org/10.1080/09669582.2020.1850747</v>
      </c>
      <c r="BG51" s="2"/>
      <c r="BH51" s="2" t="s">
        <v>1173</v>
      </c>
      <c r="BI51" s="2">
        <v>20.0</v>
      </c>
      <c r="BJ51" s="2" t="s">
        <v>1174</v>
      </c>
      <c r="BK51" s="2" t="s">
        <v>166</v>
      </c>
      <c r="BL51" s="2" t="s">
        <v>1175</v>
      </c>
      <c r="BM51" s="2" t="s">
        <v>1176</v>
      </c>
      <c r="BN51" s="2"/>
      <c r="BO51" s="2" t="s">
        <v>1177</v>
      </c>
      <c r="BP51" s="2"/>
      <c r="BQ51" s="2"/>
      <c r="BR51" s="2" t="s">
        <v>99</v>
      </c>
      <c r="BS51" s="2" t="s">
        <v>1178</v>
      </c>
      <c r="BT51" s="2" t="str">
        <f>HYPERLINK("https%3A%2F%2Fwww.webofscience.com%2Fwos%2Fwoscc%2Ffull-record%2FWOS:000593086200001","View Full Record in Web of Science")</f>
        <v>View Full Record in Web of Science</v>
      </c>
    </row>
    <row r="52" ht="64.5" customHeight="1">
      <c r="A52" s="2" t="s">
        <v>110</v>
      </c>
      <c r="B52" s="2" t="s">
        <v>1179</v>
      </c>
      <c r="C52" s="2"/>
      <c r="D52" s="2" t="s">
        <v>1180</v>
      </c>
      <c r="E52" s="2"/>
      <c r="F52" s="2" t="s">
        <v>1181</v>
      </c>
      <c r="G52" s="2"/>
      <c r="H52" s="2"/>
      <c r="I52" s="2" t="s">
        <v>1182</v>
      </c>
      <c r="J52" s="2" t="s">
        <v>1183</v>
      </c>
      <c r="K52" s="2" t="s">
        <v>1184</v>
      </c>
      <c r="L52" s="2"/>
      <c r="M52" s="2" t="s">
        <v>116</v>
      </c>
      <c r="N52" s="2" t="s">
        <v>117</v>
      </c>
      <c r="O52" s="2" t="s">
        <v>1185</v>
      </c>
      <c r="P52" s="2" t="s">
        <v>1186</v>
      </c>
      <c r="Q52" s="2" t="s">
        <v>1187</v>
      </c>
      <c r="R52" s="2"/>
      <c r="S52" s="2"/>
      <c r="T52" s="2" t="s">
        <v>1188</v>
      </c>
      <c r="U52" s="2" t="s">
        <v>1189</v>
      </c>
      <c r="V52" s="2" t="s">
        <v>1190</v>
      </c>
      <c r="W52" s="2" t="s">
        <v>1191</v>
      </c>
      <c r="X52" s="2" t="s">
        <v>1192</v>
      </c>
      <c r="Y52" s="2" t="s">
        <v>1193</v>
      </c>
      <c r="Z52" s="2"/>
      <c r="AA52" s="2" t="s">
        <v>1194</v>
      </c>
      <c r="AB52" s="2" t="s">
        <v>1195</v>
      </c>
      <c r="AC52" s="2" t="s">
        <v>1196</v>
      </c>
      <c r="AD52" s="2" t="s">
        <v>1197</v>
      </c>
      <c r="AE52" s="2" t="s">
        <v>1198</v>
      </c>
      <c r="AF52" s="2" t="s">
        <v>1199</v>
      </c>
      <c r="AG52" s="2">
        <v>20.0</v>
      </c>
      <c r="AH52" s="2">
        <v>9.0</v>
      </c>
      <c r="AI52" s="2">
        <v>9.0</v>
      </c>
      <c r="AJ52" s="2">
        <v>1.0</v>
      </c>
      <c r="AK52" s="2">
        <v>7.0</v>
      </c>
      <c r="AL52" s="2" t="s">
        <v>1200</v>
      </c>
      <c r="AM52" s="2" t="s">
        <v>1201</v>
      </c>
      <c r="AN52" s="2" t="s">
        <v>1202</v>
      </c>
      <c r="AO52" s="2" t="s">
        <v>1203</v>
      </c>
      <c r="AP52" s="2"/>
      <c r="AQ52" s="2" t="s">
        <v>1204</v>
      </c>
      <c r="AR52" s="2" t="s">
        <v>1205</v>
      </c>
      <c r="AS52" s="2"/>
      <c r="AT52" s="2"/>
      <c r="AU52" s="2">
        <v>2018.0</v>
      </c>
      <c r="AV52" s="2"/>
      <c r="AW52" s="2"/>
      <c r="AX52" s="2"/>
      <c r="AY52" s="2"/>
      <c r="AZ52" s="2"/>
      <c r="BA52" s="2"/>
      <c r="BB52" s="2">
        <v>5058.0</v>
      </c>
      <c r="BC52" s="2">
        <v>5067.0</v>
      </c>
      <c r="BD52" s="2"/>
      <c r="BE52" s="2"/>
      <c r="BF52" s="2"/>
      <c r="BG52" s="2"/>
      <c r="BH52" s="2"/>
      <c r="BI52" s="2">
        <v>10.0</v>
      </c>
      <c r="BJ52" s="2" t="s">
        <v>331</v>
      </c>
      <c r="BK52" s="2" t="s">
        <v>434</v>
      </c>
      <c r="BL52" s="2" t="s">
        <v>331</v>
      </c>
      <c r="BM52" s="2" t="s">
        <v>1206</v>
      </c>
      <c r="BN52" s="2"/>
      <c r="BO52" s="2"/>
      <c r="BP52" s="2"/>
      <c r="BQ52" s="2"/>
      <c r="BR52" s="2" t="s">
        <v>99</v>
      </c>
      <c r="BS52" s="2" t="s">
        <v>1207</v>
      </c>
      <c r="BT52" s="2" t="str">
        <f>HYPERLINK("https%3A%2F%2Fwww.webofscience.com%2Fwos%2Fwoscc%2Ffull-record%2FWOS:000448704000002","View Full Record in Web of Science")</f>
        <v>View Full Record in Web of Science</v>
      </c>
    </row>
    <row r="53" ht="64.5" customHeight="1">
      <c r="A53" s="2" t="s">
        <v>72</v>
      </c>
      <c r="B53" s="2" t="s">
        <v>1208</v>
      </c>
      <c r="C53" s="2"/>
      <c r="D53" s="2"/>
      <c r="E53" s="2"/>
      <c r="F53" s="2" t="s">
        <v>1209</v>
      </c>
      <c r="G53" s="2"/>
      <c r="H53" s="2"/>
      <c r="I53" s="2" t="s">
        <v>1210</v>
      </c>
      <c r="J53" s="2" t="s">
        <v>1211</v>
      </c>
      <c r="K53" s="2"/>
      <c r="L53" s="2"/>
      <c r="M53" s="2" t="s">
        <v>116</v>
      </c>
      <c r="N53" s="2" t="s">
        <v>78</v>
      </c>
      <c r="O53" s="2"/>
      <c r="P53" s="2"/>
      <c r="Q53" s="2"/>
      <c r="R53" s="2"/>
      <c r="S53" s="2"/>
      <c r="T53" s="2" t="s">
        <v>1212</v>
      </c>
      <c r="U53" s="2" t="s">
        <v>1213</v>
      </c>
      <c r="V53" s="2" t="s">
        <v>1214</v>
      </c>
      <c r="W53" s="2" t="s">
        <v>1215</v>
      </c>
      <c r="X53" s="2" t="s">
        <v>1216</v>
      </c>
      <c r="Y53" s="2" t="s">
        <v>1217</v>
      </c>
      <c r="Z53" s="2" t="s">
        <v>1218</v>
      </c>
      <c r="AA53" s="2"/>
      <c r="AB53" s="2"/>
      <c r="AC53" s="2"/>
      <c r="AD53" s="2"/>
      <c r="AE53" s="2"/>
      <c r="AF53" s="2" t="s">
        <v>1219</v>
      </c>
      <c r="AG53" s="2">
        <v>18.0</v>
      </c>
      <c r="AH53" s="2">
        <v>1.0</v>
      </c>
      <c r="AI53" s="2">
        <v>1.0</v>
      </c>
      <c r="AJ53" s="2">
        <v>3.0</v>
      </c>
      <c r="AK53" s="2">
        <v>3.0</v>
      </c>
      <c r="AL53" s="2" t="s">
        <v>1220</v>
      </c>
      <c r="AM53" s="2" t="s">
        <v>1221</v>
      </c>
      <c r="AN53" s="2" t="s">
        <v>1222</v>
      </c>
      <c r="AO53" s="2" t="s">
        <v>1223</v>
      </c>
      <c r="AP53" s="2" t="s">
        <v>1224</v>
      </c>
      <c r="AQ53" s="2"/>
      <c r="AR53" s="2" t="s">
        <v>1225</v>
      </c>
      <c r="AS53" s="2" t="s">
        <v>1226</v>
      </c>
      <c r="AT53" s="2" t="s">
        <v>358</v>
      </c>
      <c r="AU53" s="2">
        <v>2024.0</v>
      </c>
      <c r="AV53" s="2">
        <v>13.0</v>
      </c>
      <c r="AW53" s="2">
        <v>1.0</v>
      </c>
      <c r="AX53" s="2"/>
      <c r="AY53" s="2"/>
      <c r="AZ53" s="2"/>
      <c r="BA53" s="2"/>
      <c r="BB53" s="2">
        <v>25.0</v>
      </c>
      <c r="BC53" s="2">
        <v>28.0</v>
      </c>
      <c r="BD53" s="2"/>
      <c r="BE53" s="2" t="s">
        <v>1227</v>
      </c>
      <c r="BF53" s="3" t="str">
        <f>HYPERLINK("http://dx.doi.org/10.1017/S204538172300014X","http://dx.doi.org/10.1017/S204538172300014X")</f>
        <v>http://dx.doi.org/10.1017/S204538172300014X</v>
      </c>
      <c r="BG53" s="2"/>
      <c r="BH53" s="2"/>
      <c r="BI53" s="2">
        <v>4.0</v>
      </c>
      <c r="BJ53" s="2" t="s">
        <v>1228</v>
      </c>
      <c r="BK53" s="2" t="s">
        <v>96</v>
      </c>
      <c r="BL53" s="2" t="s">
        <v>1229</v>
      </c>
      <c r="BM53" s="2" t="s">
        <v>1230</v>
      </c>
      <c r="BN53" s="2"/>
      <c r="BO53" s="2" t="s">
        <v>1231</v>
      </c>
      <c r="BP53" s="2"/>
      <c r="BQ53" s="2"/>
      <c r="BR53" s="2" t="s">
        <v>99</v>
      </c>
      <c r="BS53" s="2" t="s">
        <v>1232</v>
      </c>
      <c r="BT53" s="2" t="str">
        <f>HYPERLINK("https%3A%2F%2Fwww.webofscience.com%2Fwos%2Fwoscc%2Ffull-record%2FWOS:001193272200010","View Full Record in Web of Science")</f>
        <v>View Full Record in Web of Science</v>
      </c>
    </row>
    <row r="54" ht="64.5" customHeight="1">
      <c r="A54" s="2" t="s">
        <v>72</v>
      </c>
      <c r="B54" s="2" t="s">
        <v>1233</v>
      </c>
      <c r="C54" s="2"/>
      <c r="D54" s="2"/>
      <c r="E54" s="2"/>
      <c r="F54" s="2" t="s">
        <v>1234</v>
      </c>
      <c r="G54" s="2"/>
      <c r="H54" s="2"/>
      <c r="I54" s="2" t="s">
        <v>1235</v>
      </c>
      <c r="J54" s="2" t="s">
        <v>1236</v>
      </c>
      <c r="K54" s="2"/>
      <c r="L54" s="2"/>
      <c r="M54" s="2" t="s">
        <v>116</v>
      </c>
      <c r="N54" s="2" t="s">
        <v>78</v>
      </c>
      <c r="O54" s="2"/>
      <c r="P54" s="2"/>
      <c r="Q54" s="2"/>
      <c r="R54" s="2"/>
      <c r="S54" s="2"/>
      <c r="T54" s="2" t="s">
        <v>1237</v>
      </c>
      <c r="U54" s="2" t="s">
        <v>1238</v>
      </c>
      <c r="V54" s="2" t="s">
        <v>1239</v>
      </c>
      <c r="W54" s="2" t="s">
        <v>1240</v>
      </c>
      <c r="X54" s="2" t="s">
        <v>1241</v>
      </c>
      <c r="Y54" s="2" t="s">
        <v>1242</v>
      </c>
      <c r="Z54" s="2" t="s">
        <v>1243</v>
      </c>
      <c r="AA54" s="2"/>
      <c r="AB54" s="2" t="s">
        <v>1244</v>
      </c>
      <c r="AC54" s="2"/>
      <c r="AD54" s="2"/>
      <c r="AE54" s="2"/>
      <c r="AF54" s="2" t="s">
        <v>1245</v>
      </c>
      <c r="AG54" s="2">
        <v>21.0</v>
      </c>
      <c r="AH54" s="2">
        <v>4.0</v>
      </c>
      <c r="AI54" s="2">
        <v>4.0</v>
      </c>
      <c r="AJ54" s="2">
        <v>3.0</v>
      </c>
      <c r="AK54" s="2">
        <v>16.0</v>
      </c>
      <c r="AL54" s="2" t="s">
        <v>656</v>
      </c>
      <c r="AM54" s="2" t="s">
        <v>657</v>
      </c>
      <c r="AN54" s="2" t="s">
        <v>658</v>
      </c>
      <c r="AO54" s="2"/>
      <c r="AP54" s="2" t="s">
        <v>1246</v>
      </c>
      <c r="AQ54" s="2"/>
      <c r="AR54" s="2" t="s">
        <v>1247</v>
      </c>
      <c r="AS54" s="2" t="s">
        <v>1248</v>
      </c>
      <c r="AT54" s="2" t="s">
        <v>596</v>
      </c>
      <c r="AU54" s="2">
        <v>2019.0</v>
      </c>
      <c r="AV54" s="2">
        <v>1.0</v>
      </c>
      <c r="AW54" s="2">
        <v>10.0</v>
      </c>
      <c r="AX54" s="2"/>
      <c r="AY54" s="2"/>
      <c r="AZ54" s="2"/>
      <c r="BA54" s="2"/>
      <c r="BB54" s="2"/>
      <c r="BC54" s="2"/>
      <c r="BD54" s="2" t="s">
        <v>1249</v>
      </c>
      <c r="BE54" s="2" t="s">
        <v>1250</v>
      </c>
      <c r="BF54" s="3" t="str">
        <f>HYPERLINK("http://dx.doi.org/10.1111/csp2.102","http://dx.doi.org/10.1111/csp2.102")</f>
        <v>http://dx.doi.org/10.1111/csp2.102</v>
      </c>
      <c r="BG54" s="2"/>
      <c r="BH54" s="2"/>
      <c r="BI54" s="2">
        <v>11.0</v>
      </c>
      <c r="BJ54" s="2" t="s">
        <v>1251</v>
      </c>
      <c r="BK54" s="2" t="s">
        <v>226</v>
      </c>
      <c r="BL54" s="2" t="s">
        <v>1252</v>
      </c>
      <c r="BM54" s="2" t="s">
        <v>1253</v>
      </c>
      <c r="BN54" s="2"/>
      <c r="BO54" s="2" t="s">
        <v>255</v>
      </c>
      <c r="BP54" s="2"/>
      <c r="BQ54" s="2"/>
      <c r="BR54" s="2" t="s">
        <v>99</v>
      </c>
      <c r="BS54" s="2" t="s">
        <v>1254</v>
      </c>
      <c r="BT54" s="2" t="str">
        <f>HYPERLINK("https%3A%2F%2Fwww.webofscience.com%2Fwos%2Fwoscc%2Ffull-record%2FWOS:000577111500006","View Full Record in Web of Science")</f>
        <v>View Full Record in Web of Science</v>
      </c>
    </row>
    <row r="55" ht="64.5" customHeight="1">
      <c r="A55" s="2" t="s">
        <v>72</v>
      </c>
      <c r="B55" s="2" t="s">
        <v>1255</v>
      </c>
      <c r="C55" s="2"/>
      <c r="D55" s="2"/>
      <c r="E55" s="2"/>
      <c r="F55" s="2" t="s">
        <v>1256</v>
      </c>
      <c r="G55" s="2"/>
      <c r="H55" s="2"/>
      <c r="I55" s="2" t="s">
        <v>1257</v>
      </c>
      <c r="J55" s="2" t="s">
        <v>712</v>
      </c>
      <c r="K55" s="2"/>
      <c r="L55" s="2"/>
      <c r="M55" s="2" t="s">
        <v>116</v>
      </c>
      <c r="N55" s="2" t="s">
        <v>78</v>
      </c>
      <c r="O55" s="2"/>
      <c r="P55" s="2"/>
      <c r="Q55" s="2"/>
      <c r="R55" s="2"/>
      <c r="S55" s="2"/>
      <c r="T55" s="2" t="s">
        <v>1258</v>
      </c>
      <c r="U55" s="2"/>
      <c r="V55" s="2" t="s">
        <v>1259</v>
      </c>
      <c r="W55" s="2" t="s">
        <v>1260</v>
      </c>
      <c r="X55" s="2" t="s">
        <v>1261</v>
      </c>
      <c r="Y55" s="2" t="s">
        <v>1262</v>
      </c>
      <c r="Z55" s="2" t="s">
        <v>1263</v>
      </c>
      <c r="AA55" s="2"/>
      <c r="AB55" s="2" t="s">
        <v>267</v>
      </c>
      <c r="AC55" s="2"/>
      <c r="AD55" s="2"/>
      <c r="AE55" s="2"/>
      <c r="AF55" s="2" t="s">
        <v>1264</v>
      </c>
      <c r="AG55" s="2">
        <v>21.0</v>
      </c>
      <c r="AH55" s="2">
        <v>4.0</v>
      </c>
      <c r="AI55" s="2">
        <v>4.0</v>
      </c>
      <c r="AJ55" s="2">
        <v>4.0</v>
      </c>
      <c r="AK55" s="2">
        <v>11.0</v>
      </c>
      <c r="AL55" s="2" t="s">
        <v>726</v>
      </c>
      <c r="AM55" s="2" t="s">
        <v>727</v>
      </c>
      <c r="AN55" s="2" t="s">
        <v>728</v>
      </c>
      <c r="AO55" s="2" t="s">
        <v>729</v>
      </c>
      <c r="AP55" s="2"/>
      <c r="AQ55" s="2"/>
      <c r="AR55" s="2" t="s">
        <v>730</v>
      </c>
      <c r="AS55" s="2" t="s">
        <v>731</v>
      </c>
      <c r="AT55" s="2"/>
      <c r="AU55" s="2">
        <v>2022.0</v>
      </c>
      <c r="AV55" s="2">
        <v>23.0</v>
      </c>
      <c r="AW55" s="2">
        <v>2.0</v>
      </c>
      <c r="AX55" s="2"/>
      <c r="AY55" s="2"/>
      <c r="AZ55" s="2"/>
      <c r="BA55" s="2"/>
      <c r="BB55" s="2">
        <v>270.0</v>
      </c>
      <c r="BC55" s="2">
        <v>276.0</v>
      </c>
      <c r="BD55" s="2"/>
      <c r="BE55" s="2" t="s">
        <v>1265</v>
      </c>
      <c r="BF55" s="3" t="str">
        <f>HYPERLINK("http://dx.doi.org/10.12681/mms.27410","http://dx.doi.org/10.12681/mms.27410")</f>
        <v>http://dx.doi.org/10.12681/mms.27410</v>
      </c>
      <c r="BG55" s="2"/>
      <c r="BH55" s="2"/>
      <c r="BI55" s="2">
        <v>8.0</v>
      </c>
      <c r="BJ55" s="2" t="s">
        <v>733</v>
      </c>
      <c r="BK55" s="2" t="s">
        <v>226</v>
      </c>
      <c r="BL55" s="2" t="s">
        <v>734</v>
      </c>
      <c r="BM55" s="2" t="s">
        <v>735</v>
      </c>
      <c r="BN55" s="2"/>
      <c r="BO55" s="2" t="s">
        <v>255</v>
      </c>
      <c r="BP55" s="2"/>
      <c r="BQ55" s="2"/>
      <c r="BR55" s="2" t="s">
        <v>99</v>
      </c>
      <c r="BS55" s="2" t="s">
        <v>1266</v>
      </c>
      <c r="BT55" s="2" t="str">
        <f>HYPERLINK("https%3A%2F%2Fwww.webofscience.com%2Fwos%2Fwoscc%2Ffull-record%2FWOS:000782982600001","View Full Record in Web of Science")</f>
        <v>View Full Record in Web of Science</v>
      </c>
    </row>
    <row r="56" ht="64.5" customHeight="1">
      <c r="A56" s="2" t="s">
        <v>72</v>
      </c>
      <c r="B56" s="2" t="s">
        <v>1267</v>
      </c>
      <c r="C56" s="2"/>
      <c r="D56" s="2"/>
      <c r="E56" s="2"/>
      <c r="F56" s="2" t="s">
        <v>1268</v>
      </c>
      <c r="G56" s="2"/>
      <c r="H56" s="2"/>
      <c r="I56" s="2" t="s">
        <v>1269</v>
      </c>
      <c r="J56" s="2" t="s">
        <v>1270</v>
      </c>
      <c r="K56" s="2"/>
      <c r="L56" s="2"/>
      <c r="M56" s="2" t="s">
        <v>116</v>
      </c>
      <c r="N56" s="2" t="s">
        <v>78</v>
      </c>
      <c r="O56" s="2"/>
      <c r="P56" s="2"/>
      <c r="Q56" s="2"/>
      <c r="R56" s="2"/>
      <c r="S56" s="2"/>
      <c r="T56" s="2" t="s">
        <v>1271</v>
      </c>
      <c r="U56" s="2" t="s">
        <v>1272</v>
      </c>
      <c r="V56" s="2" t="s">
        <v>1273</v>
      </c>
      <c r="W56" s="2" t="s">
        <v>1274</v>
      </c>
      <c r="X56" s="2" t="s">
        <v>1275</v>
      </c>
      <c r="Y56" s="2" t="s">
        <v>1276</v>
      </c>
      <c r="Z56" s="2" t="s">
        <v>1277</v>
      </c>
      <c r="AA56" s="2"/>
      <c r="AB56" s="2"/>
      <c r="AC56" s="2"/>
      <c r="AD56" s="2"/>
      <c r="AE56" s="2"/>
      <c r="AF56" s="2" t="s">
        <v>1278</v>
      </c>
      <c r="AG56" s="2">
        <v>65.0</v>
      </c>
      <c r="AH56" s="2">
        <v>0.0</v>
      </c>
      <c r="AI56" s="2">
        <v>0.0</v>
      </c>
      <c r="AJ56" s="2">
        <v>2.0</v>
      </c>
      <c r="AK56" s="2">
        <v>30.0</v>
      </c>
      <c r="AL56" s="2" t="s">
        <v>1279</v>
      </c>
      <c r="AM56" s="2" t="s">
        <v>1280</v>
      </c>
      <c r="AN56" s="2" t="s">
        <v>1281</v>
      </c>
      <c r="AO56" s="2" t="s">
        <v>1282</v>
      </c>
      <c r="AP56" s="2"/>
      <c r="AQ56" s="2"/>
      <c r="AR56" s="2" t="s">
        <v>1283</v>
      </c>
      <c r="AS56" s="2" t="s">
        <v>1284</v>
      </c>
      <c r="AT56" s="2"/>
      <c r="AU56" s="2">
        <v>2020.0</v>
      </c>
      <c r="AV56" s="2">
        <v>45.0</v>
      </c>
      <c r="AW56" s="2">
        <v>203.0</v>
      </c>
      <c r="AX56" s="2"/>
      <c r="AY56" s="2"/>
      <c r="AZ56" s="2"/>
      <c r="BA56" s="2"/>
      <c r="BB56" s="2">
        <v>45.0</v>
      </c>
      <c r="BC56" s="2">
        <v>62.0</v>
      </c>
      <c r="BD56" s="2"/>
      <c r="BE56" s="2" t="s">
        <v>1285</v>
      </c>
      <c r="BF56" s="3" t="str">
        <f>HYPERLINK("http://dx.doi.org/10.15390/EB.2020.8647","http://dx.doi.org/10.15390/EB.2020.8647")</f>
        <v>http://dx.doi.org/10.15390/EB.2020.8647</v>
      </c>
      <c r="BG56" s="2"/>
      <c r="BH56" s="2"/>
      <c r="BI56" s="2">
        <v>18.0</v>
      </c>
      <c r="BJ56" s="2" t="s">
        <v>331</v>
      </c>
      <c r="BK56" s="2" t="s">
        <v>166</v>
      </c>
      <c r="BL56" s="2" t="s">
        <v>331</v>
      </c>
      <c r="BM56" s="2" t="s">
        <v>1286</v>
      </c>
      <c r="BN56" s="2"/>
      <c r="BO56" s="2" t="s">
        <v>255</v>
      </c>
      <c r="BP56" s="2"/>
      <c r="BQ56" s="2"/>
      <c r="BR56" s="2" t="s">
        <v>99</v>
      </c>
      <c r="BS56" s="2" t="s">
        <v>1287</v>
      </c>
      <c r="BT56" s="2" t="str">
        <f>HYPERLINK("https%3A%2F%2Fwww.webofscience.com%2Fwos%2Fwoscc%2Ffull-record%2FWOS:000561124200003","View Full Record in Web of Science")</f>
        <v>View Full Record in Web of Science</v>
      </c>
    </row>
    <row r="57" ht="64.5" customHeight="1">
      <c r="A57" s="2" t="s">
        <v>72</v>
      </c>
      <c r="B57" s="2" t="s">
        <v>1288</v>
      </c>
      <c r="C57" s="2"/>
      <c r="D57" s="2"/>
      <c r="E57" s="2"/>
      <c r="F57" s="2" t="s">
        <v>1289</v>
      </c>
      <c r="G57" s="2"/>
      <c r="H57" s="2"/>
      <c r="I57" s="2" t="s">
        <v>1290</v>
      </c>
      <c r="J57" s="2" t="s">
        <v>370</v>
      </c>
      <c r="K57" s="2"/>
      <c r="L57" s="2"/>
      <c r="M57" s="2" t="s">
        <v>116</v>
      </c>
      <c r="N57" s="2" t="s">
        <v>78</v>
      </c>
      <c r="O57" s="2"/>
      <c r="P57" s="2"/>
      <c r="Q57" s="2"/>
      <c r="R57" s="2"/>
      <c r="S57" s="2"/>
      <c r="T57" s="2" t="s">
        <v>1291</v>
      </c>
      <c r="U57" s="2"/>
      <c r="V57" s="2" t="s">
        <v>1292</v>
      </c>
      <c r="W57" s="2" t="s">
        <v>1293</v>
      </c>
      <c r="X57" s="2" t="s">
        <v>1294</v>
      </c>
      <c r="Y57" s="2" t="s">
        <v>1295</v>
      </c>
      <c r="Z57" s="2" t="s">
        <v>1296</v>
      </c>
      <c r="AA57" s="2" t="s">
        <v>182</v>
      </c>
      <c r="AB57" s="2" t="s">
        <v>183</v>
      </c>
      <c r="AC57" s="2"/>
      <c r="AD57" s="2"/>
      <c r="AE57" s="2"/>
      <c r="AF57" s="2" t="s">
        <v>1297</v>
      </c>
      <c r="AG57" s="2">
        <v>30.0</v>
      </c>
      <c r="AH57" s="2">
        <v>1.0</v>
      </c>
      <c r="AI57" s="2">
        <v>1.0</v>
      </c>
      <c r="AJ57" s="2">
        <v>3.0</v>
      </c>
      <c r="AK57" s="2">
        <v>8.0</v>
      </c>
      <c r="AL57" s="2" t="s">
        <v>383</v>
      </c>
      <c r="AM57" s="2" t="s">
        <v>384</v>
      </c>
      <c r="AN57" s="2" t="s">
        <v>385</v>
      </c>
      <c r="AO57" s="2"/>
      <c r="AP57" s="2" t="s">
        <v>386</v>
      </c>
      <c r="AQ57" s="2"/>
      <c r="AR57" s="2" t="s">
        <v>387</v>
      </c>
      <c r="AS57" s="2" t="s">
        <v>388</v>
      </c>
      <c r="AT57" s="2" t="s">
        <v>453</v>
      </c>
      <c r="AU57" s="2">
        <v>2023.0</v>
      </c>
      <c r="AV57" s="2">
        <v>15.0</v>
      </c>
      <c r="AW57" s="2">
        <v>2.0</v>
      </c>
      <c r="AX57" s="2"/>
      <c r="AY57" s="2"/>
      <c r="AZ57" s="2"/>
      <c r="BA57" s="2"/>
      <c r="BB57" s="2"/>
      <c r="BC57" s="2"/>
      <c r="BD57" s="2">
        <v>1043.0</v>
      </c>
      <c r="BE57" s="2" t="s">
        <v>1298</v>
      </c>
      <c r="BF57" s="3" t="str">
        <f>HYPERLINK("http://dx.doi.org/10.3390/su15021043","http://dx.doi.org/10.3390/su15021043")</f>
        <v>http://dx.doi.org/10.3390/su15021043</v>
      </c>
      <c r="BG57" s="2"/>
      <c r="BH57" s="2"/>
      <c r="BI57" s="2">
        <v>9.0</v>
      </c>
      <c r="BJ57" s="2" t="s">
        <v>390</v>
      </c>
      <c r="BK57" s="2" t="s">
        <v>363</v>
      </c>
      <c r="BL57" s="2" t="s">
        <v>391</v>
      </c>
      <c r="BM57" s="2" t="s">
        <v>1299</v>
      </c>
      <c r="BN57" s="2"/>
      <c r="BO57" s="2" t="s">
        <v>255</v>
      </c>
      <c r="BP57" s="2"/>
      <c r="BQ57" s="2"/>
      <c r="BR57" s="2" t="s">
        <v>99</v>
      </c>
      <c r="BS57" s="2" t="s">
        <v>1300</v>
      </c>
      <c r="BT57" s="2" t="str">
        <f>HYPERLINK("https%3A%2F%2Fwww.webofscience.com%2Fwos%2Fwoscc%2Ffull-record%2FWOS:000915719000001","View Full Record in Web of Science")</f>
        <v>View Full Record in Web of Science</v>
      </c>
    </row>
    <row r="58" ht="64.5" customHeight="1">
      <c r="A58" s="2" t="s">
        <v>72</v>
      </c>
      <c r="B58" s="2" t="s">
        <v>1301</v>
      </c>
      <c r="C58" s="2"/>
      <c r="D58" s="2"/>
      <c r="E58" s="2"/>
      <c r="F58" s="2" t="s">
        <v>1302</v>
      </c>
      <c r="G58" s="2"/>
      <c r="H58" s="2"/>
      <c r="I58" s="2" t="s">
        <v>1303</v>
      </c>
      <c r="J58" s="2" t="s">
        <v>1122</v>
      </c>
      <c r="K58" s="2"/>
      <c r="L58" s="2"/>
      <c r="M58" s="2" t="s">
        <v>116</v>
      </c>
      <c r="N58" s="2" t="s">
        <v>78</v>
      </c>
      <c r="O58" s="2"/>
      <c r="P58" s="2"/>
      <c r="Q58" s="2"/>
      <c r="R58" s="2"/>
      <c r="S58" s="2"/>
      <c r="T58" s="2" t="s">
        <v>1304</v>
      </c>
      <c r="U58" s="2" t="s">
        <v>1305</v>
      </c>
      <c r="V58" s="2" t="s">
        <v>1306</v>
      </c>
      <c r="W58" s="2" t="s">
        <v>1307</v>
      </c>
      <c r="X58" s="2" t="s">
        <v>1308</v>
      </c>
      <c r="Y58" s="2" t="s">
        <v>1309</v>
      </c>
      <c r="Z58" s="2" t="s">
        <v>1310</v>
      </c>
      <c r="AA58" s="2" t="s">
        <v>1311</v>
      </c>
      <c r="AB58" s="2" t="s">
        <v>1312</v>
      </c>
      <c r="AC58" s="2" t="s">
        <v>1313</v>
      </c>
      <c r="AD58" s="2" t="s">
        <v>1313</v>
      </c>
      <c r="AE58" s="2" t="s">
        <v>1314</v>
      </c>
      <c r="AF58" s="2" t="s">
        <v>1315</v>
      </c>
      <c r="AG58" s="2">
        <v>43.0</v>
      </c>
      <c r="AH58" s="2">
        <v>0.0</v>
      </c>
      <c r="AI58" s="2">
        <v>0.0</v>
      </c>
      <c r="AJ58" s="2">
        <v>5.0</v>
      </c>
      <c r="AK58" s="2">
        <v>5.0</v>
      </c>
      <c r="AL58" s="2" t="s">
        <v>383</v>
      </c>
      <c r="AM58" s="2" t="s">
        <v>384</v>
      </c>
      <c r="AN58" s="2" t="s">
        <v>385</v>
      </c>
      <c r="AO58" s="2"/>
      <c r="AP58" s="2" t="s">
        <v>1136</v>
      </c>
      <c r="AQ58" s="2"/>
      <c r="AR58" s="2" t="s">
        <v>1137</v>
      </c>
      <c r="AS58" s="2" t="s">
        <v>1138</v>
      </c>
      <c r="AT58" s="2" t="s">
        <v>1017</v>
      </c>
      <c r="AU58" s="2">
        <v>2024.0</v>
      </c>
      <c r="AV58" s="2">
        <v>14.0</v>
      </c>
      <c r="AW58" s="2">
        <v>2.0</v>
      </c>
      <c r="AX58" s="2"/>
      <c r="AY58" s="2"/>
      <c r="AZ58" s="2"/>
      <c r="BA58" s="2"/>
      <c r="BB58" s="2"/>
      <c r="BC58" s="2"/>
      <c r="BD58" s="2">
        <v>194.0</v>
      </c>
      <c r="BE58" s="2" t="s">
        <v>1316</v>
      </c>
      <c r="BF58" s="3" t="str">
        <f>HYPERLINK("http://dx.doi.org/10.3390/educsci14020194","http://dx.doi.org/10.3390/educsci14020194")</f>
        <v>http://dx.doi.org/10.3390/educsci14020194</v>
      </c>
      <c r="BG58" s="2"/>
      <c r="BH58" s="2"/>
      <c r="BI58" s="2">
        <v>12.0</v>
      </c>
      <c r="BJ58" s="2" t="s">
        <v>331</v>
      </c>
      <c r="BK58" s="2" t="s">
        <v>96</v>
      </c>
      <c r="BL58" s="2" t="s">
        <v>331</v>
      </c>
      <c r="BM58" s="2" t="s">
        <v>1317</v>
      </c>
      <c r="BN58" s="2"/>
      <c r="BO58" s="2" t="s">
        <v>272</v>
      </c>
      <c r="BP58" s="2"/>
      <c r="BQ58" s="2"/>
      <c r="BR58" s="2" t="s">
        <v>99</v>
      </c>
      <c r="BS58" s="2" t="s">
        <v>1318</v>
      </c>
      <c r="BT58" s="2" t="str">
        <f>HYPERLINK("https%3A%2F%2Fwww.webofscience.com%2Fwos%2Fwoscc%2Ffull-record%2FWOS:001169879700001","View Full Record in Web of Science")</f>
        <v>View Full Record in Web of Science</v>
      </c>
    </row>
    <row r="59" ht="64.5" customHeight="1">
      <c r="A59" s="2" t="s">
        <v>72</v>
      </c>
      <c r="B59" s="2" t="s">
        <v>1319</v>
      </c>
      <c r="C59" s="2"/>
      <c r="D59" s="2"/>
      <c r="E59" s="2"/>
      <c r="F59" s="2" t="s">
        <v>1320</v>
      </c>
      <c r="G59" s="2"/>
      <c r="H59" s="2"/>
      <c r="I59" s="2" t="s">
        <v>1321</v>
      </c>
      <c r="J59" s="2" t="s">
        <v>671</v>
      </c>
      <c r="K59" s="2"/>
      <c r="L59" s="2"/>
      <c r="M59" s="2" t="s">
        <v>116</v>
      </c>
      <c r="N59" s="2" t="s">
        <v>78</v>
      </c>
      <c r="O59" s="2"/>
      <c r="P59" s="2"/>
      <c r="Q59" s="2"/>
      <c r="R59" s="2"/>
      <c r="S59" s="2"/>
      <c r="T59" s="2" t="s">
        <v>1322</v>
      </c>
      <c r="U59" s="2"/>
      <c r="V59" s="2" t="s">
        <v>1323</v>
      </c>
      <c r="W59" s="2" t="s">
        <v>1324</v>
      </c>
      <c r="X59" s="2" t="s">
        <v>124</v>
      </c>
      <c r="Y59" s="2" t="s">
        <v>1325</v>
      </c>
      <c r="Z59" s="2"/>
      <c r="AA59" s="2" t="s">
        <v>1326</v>
      </c>
      <c r="AB59" s="2" t="s">
        <v>1327</v>
      </c>
      <c r="AC59" s="2"/>
      <c r="AD59" s="2"/>
      <c r="AE59" s="2"/>
      <c r="AF59" s="2" t="s">
        <v>1328</v>
      </c>
      <c r="AG59" s="2">
        <v>13.0</v>
      </c>
      <c r="AH59" s="2">
        <v>10.0</v>
      </c>
      <c r="AI59" s="2">
        <v>13.0</v>
      </c>
      <c r="AJ59" s="2">
        <v>1.0</v>
      </c>
      <c r="AK59" s="2">
        <v>20.0</v>
      </c>
      <c r="AL59" s="2" t="s">
        <v>1329</v>
      </c>
      <c r="AM59" s="2" t="s">
        <v>157</v>
      </c>
      <c r="AN59" s="2" t="s">
        <v>1330</v>
      </c>
      <c r="AO59" s="2" t="s">
        <v>681</v>
      </c>
      <c r="AP59" s="2" t="s">
        <v>1331</v>
      </c>
      <c r="AQ59" s="2"/>
      <c r="AR59" s="2" t="s">
        <v>682</v>
      </c>
      <c r="AS59" s="2" t="s">
        <v>683</v>
      </c>
      <c r="AT59" s="2" t="s">
        <v>684</v>
      </c>
      <c r="AU59" s="2">
        <v>2008.0</v>
      </c>
      <c r="AV59" s="2">
        <v>29.0</v>
      </c>
      <c r="AW59" s="2">
        <v>6.0</v>
      </c>
      <c r="AX59" s="2"/>
      <c r="AY59" s="2"/>
      <c r="AZ59" s="2"/>
      <c r="BA59" s="2"/>
      <c r="BB59" s="2">
        <v>487.0</v>
      </c>
      <c r="BC59" s="2">
        <v>499.0</v>
      </c>
      <c r="BD59" s="2"/>
      <c r="BE59" s="2" t="s">
        <v>1332</v>
      </c>
      <c r="BF59" s="3" t="str">
        <f>HYPERLINK("http://dx.doi.org/10.2747/0272-3646.29.6.487","http://dx.doi.org/10.2747/0272-3646.29.6.487")</f>
        <v>http://dx.doi.org/10.2747/0272-3646.29.6.487</v>
      </c>
      <c r="BG59" s="2"/>
      <c r="BH59" s="2"/>
      <c r="BI59" s="2">
        <v>13.0</v>
      </c>
      <c r="BJ59" s="2" t="s">
        <v>686</v>
      </c>
      <c r="BK59" s="2" t="s">
        <v>226</v>
      </c>
      <c r="BL59" s="2" t="s">
        <v>687</v>
      </c>
      <c r="BM59" s="2" t="s">
        <v>688</v>
      </c>
      <c r="BN59" s="2"/>
      <c r="BO59" s="2"/>
      <c r="BP59" s="2"/>
      <c r="BQ59" s="2"/>
      <c r="BR59" s="2" t="s">
        <v>99</v>
      </c>
      <c r="BS59" s="2" t="s">
        <v>1333</v>
      </c>
      <c r="BT59" s="2" t="str">
        <f>HYPERLINK("https%3A%2F%2Fwww.webofscience.com%2Fwos%2Fwoscc%2Ffull-record%2FWOS:000264488400002","View Full Record in Web of Science")</f>
        <v>View Full Record in Web of Science</v>
      </c>
    </row>
    <row r="60" ht="64.5" customHeight="1">
      <c r="A60" s="2" t="s">
        <v>72</v>
      </c>
      <c r="B60" s="2" t="s">
        <v>1334</v>
      </c>
      <c r="C60" s="2"/>
      <c r="D60" s="2"/>
      <c r="E60" s="2"/>
      <c r="F60" s="2" t="s">
        <v>1335</v>
      </c>
      <c r="G60" s="2"/>
      <c r="H60" s="2"/>
      <c r="I60" s="2" t="s">
        <v>1336</v>
      </c>
      <c r="J60" s="2" t="s">
        <v>1337</v>
      </c>
      <c r="K60" s="2"/>
      <c r="L60" s="2"/>
      <c r="M60" s="2" t="s">
        <v>116</v>
      </c>
      <c r="N60" s="2" t="s">
        <v>643</v>
      </c>
      <c r="O60" s="2"/>
      <c r="P60" s="2"/>
      <c r="Q60" s="2"/>
      <c r="R60" s="2"/>
      <c r="S60" s="2"/>
      <c r="T60" s="2" t="s">
        <v>1338</v>
      </c>
      <c r="U60" s="2" t="s">
        <v>1339</v>
      </c>
      <c r="V60" s="2" t="s">
        <v>1340</v>
      </c>
      <c r="W60" s="2" t="s">
        <v>1341</v>
      </c>
      <c r="X60" s="2" t="s">
        <v>1342</v>
      </c>
      <c r="Y60" s="2" t="s">
        <v>1343</v>
      </c>
      <c r="Z60" s="2" t="s">
        <v>1344</v>
      </c>
      <c r="AA60" s="2"/>
      <c r="AB60" s="2"/>
      <c r="AC60" s="2"/>
      <c r="AD60" s="2"/>
      <c r="AE60" s="2"/>
      <c r="AF60" s="2" t="s">
        <v>1345</v>
      </c>
      <c r="AG60" s="2">
        <v>69.0</v>
      </c>
      <c r="AH60" s="2">
        <v>55.0</v>
      </c>
      <c r="AI60" s="2">
        <v>56.0</v>
      </c>
      <c r="AJ60" s="2">
        <v>6.0</v>
      </c>
      <c r="AK60" s="2">
        <v>49.0</v>
      </c>
      <c r="AL60" s="2" t="s">
        <v>1346</v>
      </c>
      <c r="AM60" s="2" t="s">
        <v>428</v>
      </c>
      <c r="AN60" s="2" t="s">
        <v>1347</v>
      </c>
      <c r="AO60" s="2" t="s">
        <v>1348</v>
      </c>
      <c r="AP60" s="2" t="s">
        <v>1349</v>
      </c>
      <c r="AQ60" s="2"/>
      <c r="AR60" s="2" t="s">
        <v>1350</v>
      </c>
      <c r="AS60" s="2" t="s">
        <v>1351</v>
      </c>
      <c r="AT60" s="2" t="s">
        <v>292</v>
      </c>
      <c r="AU60" s="2">
        <v>2019.0</v>
      </c>
      <c r="AV60" s="2">
        <v>57.0</v>
      </c>
      <c r="AW60" s="2"/>
      <c r="AX60" s="2"/>
      <c r="AY60" s="2"/>
      <c r="AZ60" s="2"/>
      <c r="BA60" s="2"/>
      <c r="BB60" s="2"/>
      <c r="BC60" s="2"/>
      <c r="BD60" s="2">
        <v>101256.0</v>
      </c>
      <c r="BE60" s="2" t="s">
        <v>1352</v>
      </c>
      <c r="BF60" s="3" t="str">
        <f>HYPERLINK("http://dx.doi.org/10.1016/j.erss.2019.101256","http://dx.doi.org/10.1016/j.erss.2019.101256")</f>
        <v>http://dx.doi.org/10.1016/j.erss.2019.101256</v>
      </c>
      <c r="BG60" s="2"/>
      <c r="BH60" s="2"/>
      <c r="BI60" s="2">
        <v>8.0</v>
      </c>
      <c r="BJ60" s="2" t="s">
        <v>95</v>
      </c>
      <c r="BK60" s="2" t="s">
        <v>166</v>
      </c>
      <c r="BL60" s="2" t="s">
        <v>97</v>
      </c>
      <c r="BM60" s="2" t="s">
        <v>1353</v>
      </c>
      <c r="BN60" s="2"/>
      <c r="BO60" s="2"/>
      <c r="BP60" s="2"/>
      <c r="BQ60" s="2"/>
      <c r="BR60" s="2" t="s">
        <v>99</v>
      </c>
      <c r="BS60" s="2" t="s">
        <v>1354</v>
      </c>
      <c r="BT60" s="2" t="str">
        <f>HYPERLINK("https%3A%2F%2Fwww.webofscience.com%2Fwos%2Fwoscc%2Ffull-record%2FWOS:000487287200012","View Full Record in Web of Science")</f>
        <v>View Full Record in Web of Science</v>
      </c>
    </row>
    <row r="61" ht="64.5" customHeight="1">
      <c r="A61" s="2" t="s">
        <v>72</v>
      </c>
      <c r="B61" s="2" t="s">
        <v>1355</v>
      </c>
      <c r="C61" s="2"/>
      <c r="D61" s="2"/>
      <c r="E61" s="2"/>
      <c r="F61" s="2" t="s">
        <v>1356</v>
      </c>
      <c r="G61" s="2"/>
      <c r="H61" s="2"/>
      <c r="I61" s="2" t="s">
        <v>1357</v>
      </c>
      <c r="J61" s="2" t="s">
        <v>1358</v>
      </c>
      <c r="K61" s="2"/>
      <c r="L61" s="2"/>
      <c r="M61" s="2" t="s">
        <v>116</v>
      </c>
      <c r="N61" s="2" t="s">
        <v>78</v>
      </c>
      <c r="O61" s="2"/>
      <c r="P61" s="2"/>
      <c r="Q61" s="2"/>
      <c r="R61" s="2"/>
      <c r="S61" s="2"/>
      <c r="T61" s="4" t="s">
        <v>121</v>
      </c>
      <c r="U61" s="2" t="s">
        <v>1359</v>
      </c>
      <c r="V61" s="2" t="s">
        <v>1360</v>
      </c>
      <c r="W61" s="2" t="s">
        <v>1361</v>
      </c>
      <c r="X61" s="2" t="s">
        <v>1362</v>
      </c>
      <c r="Y61" s="2" t="s">
        <v>1363</v>
      </c>
      <c r="Z61" s="2" t="s">
        <v>1364</v>
      </c>
      <c r="AA61" s="2"/>
      <c r="AB61" s="2" t="s">
        <v>1365</v>
      </c>
      <c r="AC61" s="2" t="s">
        <v>1366</v>
      </c>
      <c r="AD61" s="2" t="s">
        <v>1367</v>
      </c>
      <c r="AE61" s="2" t="s">
        <v>1368</v>
      </c>
      <c r="AF61" s="2" t="s">
        <v>1369</v>
      </c>
      <c r="AG61" s="2">
        <v>93.0</v>
      </c>
      <c r="AH61" s="2">
        <v>2.0</v>
      </c>
      <c r="AI61" s="2">
        <v>2.0</v>
      </c>
      <c r="AJ61" s="2">
        <v>2.0</v>
      </c>
      <c r="AK61" s="2">
        <v>2.0</v>
      </c>
      <c r="AL61" s="2" t="s">
        <v>1346</v>
      </c>
      <c r="AM61" s="2" t="s">
        <v>428</v>
      </c>
      <c r="AN61" s="2" t="s">
        <v>1347</v>
      </c>
      <c r="AO61" s="2" t="s">
        <v>1370</v>
      </c>
      <c r="AP61" s="2"/>
      <c r="AQ61" s="2"/>
      <c r="AR61" s="2" t="s">
        <v>1371</v>
      </c>
      <c r="AS61" s="2" t="s">
        <v>1372</v>
      </c>
      <c r="AT61" s="2" t="s">
        <v>195</v>
      </c>
      <c r="AU61" s="2">
        <v>2024.0</v>
      </c>
      <c r="AV61" s="2">
        <v>34.0</v>
      </c>
      <c r="AW61" s="2"/>
      <c r="AX61" s="2"/>
      <c r="AY61" s="2"/>
      <c r="AZ61" s="2"/>
      <c r="BA61" s="2"/>
      <c r="BB61" s="2"/>
      <c r="BC61" s="2"/>
      <c r="BD61" s="2">
        <v>100449.0</v>
      </c>
      <c r="BE61" s="2" t="s">
        <v>1373</v>
      </c>
      <c r="BF61" s="3" t="str">
        <f>HYPERLINK("http://dx.doi.org/10.1016/j.cliser.2024.100449","http://dx.doi.org/10.1016/j.cliser.2024.100449")</f>
        <v>http://dx.doi.org/10.1016/j.cliser.2024.100449</v>
      </c>
      <c r="BG61" s="2"/>
      <c r="BH61" s="2" t="s">
        <v>1374</v>
      </c>
      <c r="BI61" s="2">
        <v>11.0</v>
      </c>
      <c r="BJ61" s="2" t="s">
        <v>1375</v>
      </c>
      <c r="BK61" s="2" t="s">
        <v>363</v>
      </c>
      <c r="BL61" s="2" t="s">
        <v>1376</v>
      </c>
      <c r="BM61" s="2" t="s">
        <v>1377</v>
      </c>
      <c r="BN61" s="2"/>
      <c r="BO61" s="2" t="s">
        <v>255</v>
      </c>
      <c r="BP61" s="2"/>
      <c r="BQ61" s="2"/>
      <c r="BR61" s="2" t="s">
        <v>99</v>
      </c>
      <c r="BS61" s="2" t="s">
        <v>1378</v>
      </c>
      <c r="BT61" s="2" t="str">
        <f>HYPERLINK("https%3A%2F%2Fwww.webofscience.com%2Fwos%2Fwoscc%2Ffull-record%2FWOS:001181617600001","View Full Record in Web of Science")</f>
        <v>View Full Record in Web of Science</v>
      </c>
    </row>
    <row r="62" ht="64.5" customHeight="1">
      <c r="A62" s="2" t="s">
        <v>110</v>
      </c>
      <c r="B62" s="2" t="s">
        <v>1379</v>
      </c>
      <c r="C62" s="2"/>
      <c r="D62" s="2" t="s">
        <v>1380</v>
      </c>
      <c r="E62" s="2"/>
      <c r="F62" s="2" t="s">
        <v>1381</v>
      </c>
      <c r="G62" s="2"/>
      <c r="H62" s="2"/>
      <c r="I62" s="2" t="s">
        <v>1382</v>
      </c>
      <c r="J62" s="2" t="s">
        <v>1383</v>
      </c>
      <c r="K62" s="2"/>
      <c r="L62" s="2"/>
      <c r="M62" s="2" t="s">
        <v>116</v>
      </c>
      <c r="N62" s="2" t="s">
        <v>117</v>
      </c>
      <c r="O62" s="2" t="s">
        <v>1384</v>
      </c>
      <c r="P62" s="2" t="s">
        <v>1385</v>
      </c>
      <c r="Q62" s="2" t="s">
        <v>1386</v>
      </c>
      <c r="R62" s="2"/>
      <c r="S62" s="2"/>
      <c r="T62" s="2" t="s">
        <v>1387</v>
      </c>
      <c r="U62" s="2" t="s">
        <v>1388</v>
      </c>
      <c r="V62" s="2" t="s">
        <v>1389</v>
      </c>
      <c r="W62" s="2" t="s">
        <v>1390</v>
      </c>
      <c r="X62" s="2" t="s">
        <v>1391</v>
      </c>
      <c r="Y62" s="2" t="s">
        <v>1392</v>
      </c>
      <c r="Z62" s="2" t="s">
        <v>1393</v>
      </c>
      <c r="AA62" s="2" t="s">
        <v>1394</v>
      </c>
      <c r="AB62" s="2" t="s">
        <v>1395</v>
      </c>
      <c r="AC62" s="2"/>
      <c r="AD62" s="2"/>
      <c r="AE62" s="2"/>
      <c r="AF62" s="2" t="s">
        <v>1396</v>
      </c>
      <c r="AG62" s="2">
        <v>40.0</v>
      </c>
      <c r="AH62" s="2">
        <v>4.0</v>
      </c>
      <c r="AI62" s="2">
        <v>4.0</v>
      </c>
      <c r="AJ62" s="2">
        <v>0.0</v>
      </c>
      <c r="AK62" s="2">
        <v>6.0</v>
      </c>
      <c r="AL62" s="2" t="s">
        <v>1397</v>
      </c>
      <c r="AM62" s="2" t="s">
        <v>130</v>
      </c>
      <c r="AN62" s="2" t="s">
        <v>1398</v>
      </c>
      <c r="AO62" s="2"/>
      <c r="AP62" s="2"/>
      <c r="AQ62" s="2" t="s">
        <v>1399</v>
      </c>
      <c r="AR62" s="2"/>
      <c r="AS62" s="2"/>
      <c r="AT62" s="2"/>
      <c r="AU62" s="2">
        <v>2019.0</v>
      </c>
      <c r="AV62" s="2"/>
      <c r="AW62" s="2"/>
      <c r="AX62" s="2"/>
      <c r="AY62" s="2"/>
      <c r="AZ62" s="2"/>
      <c r="BA62" s="2"/>
      <c r="BB62" s="2">
        <v>494.0</v>
      </c>
      <c r="BC62" s="2">
        <v>499.0</v>
      </c>
      <c r="BD62" s="2"/>
      <c r="BE62" s="2" t="s">
        <v>1400</v>
      </c>
      <c r="BF62" s="3" t="str">
        <f>HYPERLINK("http://dx.doi.org/10.1145/3362789.3362938","http://dx.doi.org/10.1145/3362789.3362938")</f>
        <v>http://dx.doi.org/10.1145/3362789.3362938</v>
      </c>
      <c r="BG62" s="2"/>
      <c r="BH62" s="2"/>
      <c r="BI62" s="2">
        <v>6.0</v>
      </c>
      <c r="BJ62" s="2" t="s">
        <v>1401</v>
      </c>
      <c r="BK62" s="2" t="s">
        <v>135</v>
      </c>
      <c r="BL62" s="2" t="s">
        <v>1402</v>
      </c>
      <c r="BM62" s="2" t="s">
        <v>1403</v>
      </c>
      <c r="BN62" s="2"/>
      <c r="BO62" s="2"/>
      <c r="BP62" s="2"/>
      <c r="BQ62" s="2"/>
      <c r="BR62" s="2" t="s">
        <v>99</v>
      </c>
      <c r="BS62" s="2" t="s">
        <v>1404</v>
      </c>
      <c r="BT62" s="2" t="str">
        <f>HYPERLINK("https%3A%2F%2Fwww.webofscience.com%2Fwos%2Fwoscc%2Ffull-record%2FWOS:000525516700076","View Full Record in Web of Science")</f>
        <v>View Full Record in Web of Science</v>
      </c>
    </row>
    <row r="63" ht="64.5" customHeight="1">
      <c r="A63" s="2" t="s">
        <v>72</v>
      </c>
      <c r="B63" s="2" t="s">
        <v>1405</v>
      </c>
      <c r="C63" s="2"/>
      <c r="D63" s="2"/>
      <c r="E63" s="2"/>
      <c r="F63" s="2" t="s">
        <v>1406</v>
      </c>
      <c r="G63" s="2"/>
      <c r="H63" s="2"/>
      <c r="I63" s="2" t="s">
        <v>1407</v>
      </c>
      <c r="J63" s="2" t="s">
        <v>174</v>
      </c>
      <c r="K63" s="2"/>
      <c r="L63" s="2"/>
      <c r="M63" s="2" t="s">
        <v>116</v>
      </c>
      <c r="N63" s="2" t="s">
        <v>78</v>
      </c>
      <c r="O63" s="2"/>
      <c r="P63" s="2"/>
      <c r="Q63" s="2"/>
      <c r="R63" s="2"/>
      <c r="S63" s="2"/>
      <c r="T63" s="2" t="s">
        <v>1408</v>
      </c>
      <c r="U63" s="2" t="s">
        <v>1409</v>
      </c>
      <c r="V63" s="2" t="s">
        <v>1410</v>
      </c>
      <c r="W63" s="2" t="s">
        <v>1411</v>
      </c>
      <c r="X63" s="2" t="s">
        <v>1412</v>
      </c>
      <c r="Y63" s="2" t="s">
        <v>1413</v>
      </c>
      <c r="Z63" s="2" t="s">
        <v>1414</v>
      </c>
      <c r="AA63" s="2" t="s">
        <v>1415</v>
      </c>
      <c r="AB63" s="2" t="s">
        <v>1416</v>
      </c>
      <c r="AC63" s="2" t="s">
        <v>1417</v>
      </c>
      <c r="AD63" s="2" t="s">
        <v>1418</v>
      </c>
      <c r="AE63" s="2" t="s">
        <v>1419</v>
      </c>
      <c r="AF63" s="2" t="s">
        <v>1420</v>
      </c>
      <c r="AG63" s="2">
        <v>45.0</v>
      </c>
      <c r="AH63" s="2">
        <v>1.0</v>
      </c>
      <c r="AI63" s="2">
        <v>1.0</v>
      </c>
      <c r="AJ63" s="2">
        <v>2.0</v>
      </c>
      <c r="AK63" s="2">
        <v>6.0</v>
      </c>
      <c r="AL63" s="2" t="s">
        <v>188</v>
      </c>
      <c r="AM63" s="2" t="s">
        <v>189</v>
      </c>
      <c r="AN63" s="2" t="s">
        <v>190</v>
      </c>
      <c r="AO63" s="2" t="s">
        <v>191</v>
      </c>
      <c r="AP63" s="2" t="s">
        <v>192</v>
      </c>
      <c r="AQ63" s="2"/>
      <c r="AR63" s="2" t="s">
        <v>193</v>
      </c>
      <c r="AS63" s="2" t="s">
        <v>194</v>
      </c>
      <c r="AT63" s="2" t="s">
        <v>358</v>
      </c>
      <c r="AU63" s="2">
        <v>2023.0</v>
      </c>
      <c r="AV63" s="2">
        <v>149.0</v>
      </c>
      <c r="AW63" s="2"/>
      <c r="AX63" s="2"/>
      <c r="AY63" s="2"/>
      <c r="AZ63" s="2"/>
      <c r="BA63" s="2"/>
      <c r="BB63" s="2"/>
      <c r="BC63" s="2"/>
      <c r="BD63" s="2">
        <v>105476.0</v>
      </c>
      <c r="BE63" s="2" t="s">
        <v>1421</v>
      </c>
      <c r="BF63" s="3" t="str">
        <f>HYPERLINK("http://dx.doi.org/10.1016/j.marpol.2023.105476","http://dx.doi.org/10.1016/j.marpol.2023.105476")</f>
        <v>http://dx.doi.org/10.1016/j.marpol.2023.105476</v>
      </c>
      <c r="BG63" s="2"/>
      <c r="BH63" s="2" t="s">
        <v>1422</v>
      </c>
      <c r="BI63" s="2">
        <v>9.0</v>
      </c>
      <c r="BJ63" s="2" t="s">
        <v>198</v>
      </c>
      <c r="BK63" s="2" t="s">
        <v>166</v>
      </c>
      <c r="BL63" s="2" t="s">
        <v>199</v>
      </c>
      <c r="BM63" s="2" t="s">
        <v>1423</v>
      </c>
      <c r="BN63" s="2"/>
      <c r="BO63" s="2" t="s">
        <v>1424</v>
      </c>
      <c r="BP63" s="2"/>
      <c r="BQ63" s="2"/>
      <c r="BR63" s="2" t="s">
        <v>99</v>
      </c>
      <c r="BS63" s="2" t="s">
        <v>1425</v>
      </c>
      <c r="BT63" s="2" t="str">
        <f>HYPERLINK("https%3A%2F%2Fwww.webofscience.com%2Fwos%2Fwoscc%2Ffull-record%2FWOS:000926445400001","View Full Record in Web of Science")</f>
        <v>View Full Record in Web of Science</v>
      </c>
    </row>
    <row r="64" ht="64.5" customHeight="1">
      <c r="A64" s="2" t="s">
        <v>72</v>
      </c>
      <c r="B64" s="2" t="s">
        <v>1426</v>
      </c>
      <c r="C64" s="2"/>
      <c r="D64" s="2"/>
      <c r="E64" s="2"/>
      <c r="F64" s="2" t="s">
        <v>1427</v>
      </c>
      <c r="G64" s="2"/>
      <c r="H64" s="2"/>
      <c r="I64" s="2" t="s">
        <v>1428</v>
      </c>
      <c r="J64" s="2" t="s">
        <v>1429</v>
      </c>
      <c r="K64" s="2"/>
      <c r="L64" s="2"/>
      <c r="M64" s="2" t="s">
        <v>116</v>
      </c>
      <c r="N64" s="2" t="s">
        <v>643</v>
      </c>
      <c r="O64" s="2"/>
      <c r="P64" s="2"/>
      <c r="Q64" s="2"/>
      <c r="R64" s="2"/>
      <c r="S64" s="2"/>
      <c r="T64" s="2" t="s">
        <v>1430</v>
      </c>
      <c r="U64" s="2" t="s">
        <v>1431</v>
      </c>
      <c r="V64" s="2" t="s">
        <v>1432</v>
      </c>
      <c r="W64" s="2" t="s">
        <v>1433</v>
      </c>
      <c r="X64" s="2" t="s">
        <v>1434</v>
      </c>
      <c r="Y64" s="2" t="s">
        <v>1435</v>
      </c>
      <c r="Z64" s="2" t="s">
        <v>1436</v>
      </c>
      <c r="AA64" s="2"/>
      <c r="AB64" s="2" t="s">
        <v>1437</v>
      </c>
      <c r="AC64" s="2" t="s">
        <v>1438</v>
      </c>
      <c r="AD64" s="2" t="s">
        <v>1439</v>
      </c>
      <c r="AE64" s="2" t="s">
        <v>1440</v>
      </c>
      <c r="AF64" s="2" t="s">
        <v>1441</v>
      </c>
      <c r="AG64" s="2">
        <v>52.0</v>
      </c>
      <c r="AH64" s="2">
        <v>0.0</v>
      </c>
      <c r="AI64" s="2">
        <v>0.0</v>
      </c>
      <c r="AJ64" s="2">
        <v>14.0</v>
      </c>
      <c r="AK64" s="2">
        <v>19.0</v>
      </c>
      <c r="AL64" s="2" t="s">
        <v>156</v>
      </c>
      <c r="AM64" s="2" t="s">
        <v>157</v>
      </c>
      <c r="AN64" s="2" t="s">
        <v>158</v>
      </c>
      <c r="AO64" s="2" t="s">
        <v>1442</v>
      </c>
      <c r="AP64" s="2" t="s">
        <v>1443</v>
      </c>
      <c r="AQ64" s="2"/>
      <c r="AR64" s="2" t="s">
        <v>1444</v>
      </c>
      <c r="AS64" s="2" t="s">
        <v>1445</v>
      </c>
      <c r="AT64" s="2" t="s">
        <v>1446</v>
      </c>
      <c r="AU64" s="2">
        <v>2024.0</v>
      </c>
      <c r="AV64" s="2">
        <v>55.0</v>
      </c>
      <c r="AW64" s="2">
        <v>3.0</v>
      </c>
      <c r="AX64" s="2"/>
      <c r="AY64" s="2"/>
      <c r="AZ64" s="2"/>
      <c r="BA64" s="2"/>
      <c r="BB64" s="2">
        <v>191.0</v>
      </c>
      <c r="BC64" s="2">
        <v>202.0</v>
      </c>
      <c r="BD64" s="2"/>
      <c r="BE64" s="2" t="s">
        <v>1447</v>
      </c>
      <c r="BF64" s="3" t="str">
        <f>HYPERLINK("http://dx.doi.org/10.1080/00958964.2023.2283694","http://dx.doi.org/10.1080/00958964.2023.2283694")</f>
        <v>http://dx.doi.org/10.1080/00958964.2023.2283694</v>
      </c>
      <c r="BG64" s="2"/>
      <c r="BH64" s="2" t="s">
        <v>1448</v>
      </c>
      <c r="BI64" s="2">
        <v>12.0</v>
      </c>
      <c r="BJ64" s="2" t="s">
        <v>165</v>
      </c>
      <c r="BK64" s="2" t="s">
        <v>166</v>
      </c>
      <c r="BL64" s="2" t="s">
        <v>167</v>
      </c>
      <c r="BM64" s="2" t="s">
        <v>1449</v>
      </c>
      <c r="BN64" s="2"/>
      <c r="BO64" s="2"/>
      <c r="BP64" s="2"/>
      <c r="BQ64" s="2"/>
      <c r="BR64" s="2" t="s">
        <v>99</v>
      </c>
      <c r="BS64" s="2" t="s">
        <v>1450</v>
      </c>
      <c r="BT64" s="2" t="str">
        <f>HYPERLINK("https%3A%2F%2Fwww.webofscience.com%2Fwos%2Fwoscc%2Ffull-record%2FWOS:001120808800001","View Full Record in Web of Science")</f>
        <v>View Full Record in Web of Science</v>
      </c>
    </row>
    <row r="65" ht="64.5" customHeight="1">
      <c r="A65" s="2" t="s">
        <v>110</v>
      </c>
      <c r="B65" s="2" t="s">
        <v>1451</v>
      </c>
      <c r="C65" s="2"/>
      <c r="D65" s="2"/>
      <c r="E65" s="2" t="s">
        <v>774</v>
      </c>
      <c r="F65" s="2" t="s">
        <v>1452</v>
      </c>
      <c r="G65" s="2"/>
      <c r="H65" s="2"/>
      <c r="I65" s="2" t="s">
        <v>1453</v>
      </c>
      <c r="J65" s="2" t="s">
        <v>777</v>
      </c>
      <c r="K65" s="2" t="s">
        <v>115</v>
      </c>
      <c r="L65" s="2"/>
      <c r="M65" s="2" t="s">
        <v>116</v>
      </c>
      <c r="N65" s="2" t="s">
        <v>117</v>
      </c>
      <c r="O65" s="2" t="s">
        <v>778</v>
      </c>
      <c r="P65" s="2" t="s">
        <v>779</v>
      </c>
      <c r="Q65" s="2" t="s">
        <v>780</v>
      </c>
      <c r="R65" s="2"/>
      <c r="S65" s="2"/>
      <c r="T65" s="4" t="s">
        <v>121</v>
      </c>
      <c r="U65" s="2"/>
      <c r="V65" s="2" t="s">
        <v>1454</v>
      </c>
      <c r="W65" s="2" t="s">
        <v>1455</v>
      </c>
      <c r="X65" s="2"/>
      <c r="Y65" s="2" t="s">
        <v>1456</v>
      </c>
      <c r="Z65" s="2"/>
      <c r="AA65" s="2"/>
      <c r="AB65" s="2"/>
      <c r="AC65" s="2"/>
      <c r="AD65" s="2"/>
      <c r="AE65" s="2"/>
      <c r="AF65" s="2" t="s">
        <v>1457</v>
      </c>
      <c r="AG65" s="2">
        <v>16.0</v>
      </c>
      <c r="AH65" s="2">
        <v>2.0</v>
      </c>
      <c r="AI65" s="2">
        <v>2.0</v>
      </c>
      <c r="AJ65" s="2">
        <v>1.0</v>
      </c>
      <c r="AK65" s="2">
        <v>13.0</v>
      </c>
      <c r="AL65" s="2" t="s">
        <v>129</v>
      </c>
      <c r="AM65" s="2" t="s">
        <v>130</v>
      </c>
      <c r="AN65" s="2" t="s">
        <v>131</v>
      </c>
      <c r="AO65" s="2" t="s">
        <v>132</v>
      </c>
      <c r="AP65" s="2"/>
      <c r="AQ65" s="2" t="s">
        <v>785</v>
      </c>
      <c r="AR65" s="2" t="s">
        <v>115</v>
      </c>
      <c r="AS65" s="2"/>
      <c r="AT65" s="2"/>
      <c r="AU65" s="2">
        <v>2008.0</v>
      </c>
      <c r="AV65" s="2"/>
      <c r="AW65" s="2"/>
      <c r="AX65" s="2"/>
      <c r="AY65" s="2"/>
      <c r="AZ65" s="2"/>
      <c r="BA65" s="2"/>
      <c r="BB65" s="2">
        <v>524.0</v>
      </c>
      <c r="BC65" s="2" t="s">
        <v>1458</v>
      </c>
      <c r="BD65" s="2"/>
      <c r="BE65" s="2"/>
      <c r="BF65" s="2"/>
      <c r="BG65" s="2"/>
      <c r="BH65" s="2"/>
      <c r="BI65" s="2">
        <v>3.0</v>
      </c>
      <c r="BJ65" s="2" t="s">
        <v>786</v>
      </c>
      <c r="BK65" s="2" t="s">
        <v>135</v>
      </c>
      <c r="BL65" s="2" t="s">
        <v>136</v>
      </c>
      <c r="BM65" s="2" t="s">
        <v>787</v>
      </c>
      <c r="BN65" s="2"/>
      <c r="BO65" s="2"/>
      <c r="BP65" s="2"/>
      <c r="BQ65" s="2"/>
      <c r="BR65" s="2" t="s">
        <v>99</v>
      </c>
      <c r="BS65" s="2" t="s">
        <v>1459</v>
      </c>
      <c r="BT65" s="2" t="str">
        <f>HYPERLINK("https%3A%2F%2Fwww.webofscience.com%2Fwos%2Fwoscc%2Ffull-record%2FWOS:000265654500079","View Full Record in Web of Science")</f>
        <v>View Full Record in Web of Science</v>
      </c>
    </row>
    <row r="66" ht="64.5" customHeight="1">
      <c r="A66" s="2" t="s">
        <v>72</v>
      </c>
      <c r="B66" s="2" t="s">
        <v>1460</v>
      </c>
      <c r="C66" s="2"/>
      <c r="D66" s="2"/>
      <c r="E66" s="2"/>
      <c r="F66" s="2" t="s">
        <v>1461</v>
      </c>
      <c r="G66" s="2"/>
      <c r="H66" s="2"/>
      <c r="I66" s="2" t="s">
        <v>1462</v>
      </c>
      <c r="J66" s="2" t="s">
        <v>1429</v>
      </c>
      <c r="K66" s="2"/>
      <c r="L66" s="2"/>
      <c r="M66" s="2" t="s">
        <v>116</v>
      </c>
      <c r="N66" s="2" t="s">
        <v>78</v>
      </c>
      <c r="O66" s="2"/>
      <c r="P66" s="2"/>
      <c r="Q66" s="2"/>
      <c r="R66" s="2"/>
      <c r="S66" s="2"/>
      <c r="T66" s="2" t="s">
        <v>1463</v>
      </c>
      <c r="U66" s="2" t="s">
        <v>1464</v>
      </c>
      <c r="V66" s="2" t="s">
        <v>1465</v>
      </c>
      <c r="W66" s="2" t="s">
        <v>1466</v>
      </c>
      <c r="X66" s="2" t="s">
        <v>1467</v>
      </c>
      <c r="Y66" s="2" t="s">
        <v>1468</v>
      </c>
      <c r="Z66" s="2" t="s">
        <v>1469</v>
      </c>
      <c r="AA66" s="2" t="s">
        <v>700</v>
      </c>
      <c r="AB66" s="2" t="s">
        <v>1470</v>
      </c>
      <c r="AC66" s="2"/>
      <c r="AD66" s="2"/>
      <c r="AE66" s="2"/>
      <c r="AF66" s="2" t="s">
        <v>1471</v>
      </c>
      <c r="AG66" s="2">
        <v>74.0</v>
      </c>
      <c r="AH66" s="2">
        <v>71.0</v>
      </c>
      <c r="AI66" s="2">
        <v>76.0</v>
      </c>
      <c r="AJ66" s="2">
        <v>7.0</v>
      </c>
      <c r="AK66" s="2">
        <v>50.0</v>
      </c>
      <c r="AL66" s="2" t="s">
        <v>156</v>
      </c>
      <c r="AM66" s="2" t="s">
        <v>157</v>
      </c>
      <c r="AN66" s="2" t="s">
        <v>158</v>
      </c>
      <c r="AO66" s="2" t="s">
        <v>1442</v>
      </c>
      <c r="AP66" s="2" t="s">
        <v>1443</v>
      </c>
      <c r="AQ66" s="2"/>
      <c r="AR66" s="2" t="s">
        <v>1444</v>
      </c>
      <c r="AS66" s="2" t="s">
        <v>1445</v>
      </c>
      <c r="AT66" s="2"/>
      <c r="AU66" s="2">
        <v>2013.0</v>
      </c>
      <c r="AV66" s="2">
        <v>44.0</v>
      </c>
      <c r="AW66" s="2">
        <v>1.0</v>
      </c>
      <c r="AX66" s="2"/>
      <c r="AY66" s="2"/>
      <c r="AZ66" s="2"/>
      <c r="BA66" s="2"/>
      <c r="BB66" s="2">
        <v>38.0</v>
      </c>
      <c r="BC66" s="2">
        <v>55.0</v>
      </c>
      <c r="BD66" s="2"/>
      <c r="BE66" s="2" t="s">
        <v>1472</v>
      </c>
      <c r="BF66" s="3" t="str">
        <f>HYPERLINK("http://dx.doi.org/10.1080/00958964.2012.711378","http://dx.doi.org/10.1080/00958964.2012.711378")</f>
        <v>http://dx.doi.org/10.1080/00958964.2012.711378</v>
      </c>
      <c r="BG66" s="2"/>
      <c r="BH66" s="2"/>
      <c r="BI66" s="2">
        <v>18.0</v>
      </c>
      <c r="BJ66" s="2" t="s">
        <v>165</v>
      </c>
      <c r="BK66" s="2" t="s">
        <v>166</v>
      </c>
      <c r="BL66" s="2" t="s">
        <v>167</v>
      </c>
      <c r="BM66" s="2" t="s">
        <v>1473</v>
      </c>
      <c r="BN66" s="2"/>
      <c r="BO66" s="2"/>
      <c r="BP66" s="2"/>
      <c r="BQ66" s="2"/>
      <c r="BR66" s="2" t="s">
        <v>99</v>
      </c>
      <c r="BS66" s="2" t="s">
        <v>1474</v>
      </c>
      <c r="BT66" s="2" t="str">
        <f>HYPERLINK("https%3A%2F%2Fwww.webofscience.com%2Fwos%2Fwoscc%2Ffull-record%2FWOS:000311368400003","View Full Record in Web of Science")</f>
        <v>View Full Record in Web of Science</v>
      </c>
    </row>
    <row r="67" ht="64.5" customHeight="1">
      <c r="A67" s="2" t="s">
        <v>72</v>
      </c>
      <c r="B67" s="2" t="s">
        <v>1475</v>
      </c>
      <c r="C67" s="2"/>
      <c r="D67" s="2"/>
      <c r="E67" s="2"/>
      <c r="F67" s="2" t="s">
        <v>1476</v>
      </c>
      <c r="G67" s="2"/>
      <c r="H67" s="2"/>
      <c r="I67" s="2" t="s">
        <v>1477</v>
      </c>
      <c r="J67" s="2" t="s">
        <v>1478</v>
      </c>
      <c r="K67" s="2"/>
      <c r="L67" s="2"/>
      <c r="M67" s="2" t="s">
        <v>116</v>
      </c>
      <c r="N67" s="2" t="s">
        <v>78</v>
      </c>
      <c r="O67" s="2"/>
      <c r="P67" s="2"/>
      <c r="Q67" s="2"/>
      <c r="R67" s="2"/>
      <c r="S67" s="2"/>
      <c r="T67" s="2" t="s">
        <v>1479</v>
      </c>
      <c r="U67" s="2" t="s">
        <v>1480</v>
      </c>
      <c r="V67" s="2" t="s">
        <v>1481</v>
      </c>
      <c r="W67" s="2" t="s">
        <v>1482</v>
      </c>
      <c r="X67" s="2" t="s">
        <v>1483</v>
      </c>
      <c r="Y67" s="2" t="s">
        <v>1484</v>
      </c>
      <c r="Z67" s="2" t="s">
        <v>1485</v>
      </c>
      <c r="AA67" s="2" t="s">
        <v>1486</v>
      </c>
      <c r="AB67" s="2" t="s">
        <v>1487</v>
      </c>
      <c r="AC67" s="2"/>
      <c r="AD67" s="2"/>
      <c r="AE67" s="2"/>
      <c r="AF67" s="2" t="s">
        <v>1488</v>
      </c>
      <c r="AG67" s="2">
        <v>130.0</v>
      </c>
      <c r="AH67" s="2">
        <v>7.0</v>
      </c>
      <c r="AI67" s="2">
        <v>7.0</v>
      </c>
      <c r="AJ67" s="2">
        <v>1.0</v>
      </c>
      <c r="AK67" s="2">
        <v>34.0</v>
      </c>
      <c r="AL67" s="2" t="s">
        <v>656</v>
      </c>
      <c r="AM67" s="2" t="s">
        <v>657</v>
      </c>
      <c r="AN67" s="2" t="s">
        <v>658</v>
      </c>
      <c r="AO67" s="2" t="s">
        <v>1489</v>
      </c>
      <c r="AP67" s="2" t="s">
        <v>1490</v>
      </c>
      <c r="AQ67" s="2"/>
      <c r="AR67" s="2" t="s">
        <v>1491</v>
      </c>
      <c r="AS67" s="2" t="s">
        <v>1492</v>
      </c>
      <c r="AT67" s="2" t="s">
        <v>844</v>
      </c>
      <c r="AU67" s="2">
        <v>2021.0</v>
      </c>
      <c r="AV67" s="2">
        <v>58.0</v>
      </c>
      <c r="AW67" s="2">
        <v>10.0</v>
      </c>
      <c r="AX67" s="2"/>
      <c r="AY67" s="2"/>
      <c r="AZ67" s="2"/>
      <c r="BA67" s="2"/>
      <c r="BB67" s="2">
        <v>1527.0</v>
      </c>
      <c r="BC67" s="2">
        <v>1556.0</v>
      </c>
      <c r="BD67" s="2"/>
      <c r="BE67" s="2" t="s">
        <v>1493</v>
      </c>
      <c r="BF67" s="3" t="str">
        <f>HYPERLINK("http://dx.doi.org/10.1002/tea.21717","http://dx.doi.org/10.1002/tea.21717")</f>
        <v>http://dx.doi.org/10.1002/tea.21717</v>
      </c>
      <c r="BG67" s="2"/>
      <c r="BH67" s="2" t="s">
        <v>1494</v>
      </c>
      <c r="BI67" s="2">
        <v>30.0</v>
      </c>
      <c r="BJ67" s="2" t="s">
        <v>331</v>
      </c>
      <c r="BK67" s="2" t="s">
        <v>166</v>
      </c>
      <c r="BL67" s="2" t="s">
        <v>331</v>
      </c>
      <c r="BM67" s="2" t="s">
        <v>1495</v>
      </c>
      <c r="BN67" s="2"/>
      <c r="BO67" s="2"/>
      <c r="BP67" s="2"/>
      <c r="BQ67" s="2"/>
      <c r="BR67" s="2" t="s">
        <v>99</v>
      </c>
      <c r="BS67" s="2" t="s">
        <v>1496</v>
      </c>
      <c r="BT67" s="2" t="str">
        <f>HYPERLINK("https%3A%2F%2Fwww.webofscience.com%2Fwos%2Fwoscc%2Ffull-record%2FWOS:000664341800001","View Full Record in Web of Science")</f>
        <v>View Full Record in Web of Science</v>
      </c>
    </row>
    <row r="68" ht="64.5" customHeight="1">
      <c r="A68" s="2" t="s">
        <v>72</v>
      </c>
      <c r="B68" s="2" t="s">
        <v>1497</v>
      </c>
      <c r="C68" s="2"/>
      <c r="D68" s="2"/>
      <c r="E68" s="2"/>
      <c r="F68" s="2" t="s">
        <v>1498</v>
      </c>
      <c r="G68" s="2"/>
      <c r="H68" s="2"/>
      <c r="I68" s="2" t="s">
        <v>1499</v>
      </c>
      <c r="J68" s="2" t="s">
        <v>1500</v>
      </c>
      <c r="K68" s="2"/>
      <c r="L68" s="2"/>
      <c r="M68" s="2" t="s">
        <v>116</v>
      </c>
      <c r="N68" s="2" t="s">
        <v>78</v>
      </c>
      <c r="O68" s="2"/>
      <c r="P68" s="2"/>
      <c r="Q68" s="2"/>
      <c r="R68" s="2"/>
      <c r="S68" s="2"/>
      <c r="T68" s="4" t="s">
        <v>121</v>
      </c>
      <c r="U68" s="2" t="s">
        <v>1501</v>
      </c>
      <c r="V68" s="2" t="s">
        <v>1502</v>
      </c>
      <c r="W68" s="2" t="s">
        <v>1503</v>
      </c>
      <c r="X68" s="2" t="s">
        <v>1504</v>
      </c>
      <c r="Y68" s="2" t="s">
        <v>1505</v>
      </c>
      <c r="Z68" s="2" t="s">
        <v>1506</v>
      </c>
      <c r="AA68" s="2"/>
      <c r="AB68" s="2" t="s">
        <v>1507</v>
      </c>
      <c r="AC68" s="2" t="s">
        <v>1508</v>
      </c>
      <c r="AD68" s="2" t="s">
        <v>1509</v>
      </c>
      <c r="AE68" s="2" t="s">
        <v>1510</v>
      </c>
      <c r="AF68" s="2" t="s">
        <v>1511</v>
      </c>
      <c r="AG68" s="2">
        <v>55.0</v>
      </c>
      <c r="AH68" s="2">
        <v>0.0</v>
      </c>
      <c r="AI68" s="2">
        <v>0.0</v>
      </c>
      <c r="AJ68" s="2">
        <v>3.0</v>
      </c>
      <c r="AK68" s="2">
        <v>3.0</v>
      </c>
      <c r="AL68" s="2" t="s">
        <v>1512</v>
      </c>
      <c r="AM68" s="2" t="s">
        <v>1513</v>
      </c>
      <c r="AN68" s="2" t="s">
        <v>1514</v>
      </c>
      <c r="AO68" s="2"/>
      <c r="AP68" s="2" t="s">
        <v>1515</v>
      </c>
      <c r="AQ68" s="2"/>
      <c r="AR68" s="2" t="s">
        <v>1516</v>
      </c>
      <c r="AS68" s="2" t="s">
        <v>1517</v>
      </c>
      <c r="AT68" s="2" t="s">
        <v>1518</v>
      </c>
      <c r="AU68" s="2">
        <v>2024.0</v>
      </c>
      <c r="AV68" s="2">
        <v>5.0</v>
      </c>
      <c r="AW68" s="2">
        <v>1.0</v>
      </c>
      <c r="AX68" s="2"/>
      <c r="AY68" s="2"/>
      <c r="AZ68" s="2"/>
      <c r="BA68" s="2"/>
      <c r="BB68" s="2"/>
      <c r="BC68" s="2"/>
      <c r="BD68" s="2">
        <v>226.0</v>
      </c>
      <c r="BE68" s="2" t="s">
        <v>1519</v>
      </c>
      <c r="BF68" s="3" t="str">
        <f>HYPERLINK("http://dx.doi.org/10.1038/s43247-024-01392-w","http://dx.doi.org/10.1038/s43247-024-01392-w")</f>
        <v>http://dx.doi.org/10.1038/s43247-024-01392-w</v>
      </c>
      <c r="BG68" s="2"/>
      <c r="BH68" s="2"/>
      <c r="BI68" s="2">
        <v>8.0</v>
      </c>
      <c r="BJ68" s="2" t="s">
        <v>1520</v>
      </c>
      <c r="BK68" s="2" t="s">
        <v>226</v>
      </c>
      <c r="BL68" s="2" t="s">
        <v>1521</v>
      </c>
      <c r="BM68" s="2" t="s">
        <v>1522</v>
      </c>
      <c r="BN68" s="2"/>
      <c r="BO68" s="2" t="s">
        <v>255</v>
      </c>
      <c r="BP68" s="2"/>
      <c r="BQ68" s="2"/>
      <c r="BR68" s="2" t="s">
        <v>99</v>
      </c>
      <c r="BS68" s="2" t="s">
        <v>1523</v>
      </c>
      <c r="BT68" s="2" t="str">
        <f>HYPERLINK("https%3A%2F%2Fwww.webofscience.com%2Fwos%2Fwoscc%2Ffull-record%2FWOS:001210808600002","View Full Record in Web of Science")</f>
        <v>View Full Record in Web of Science</v>
      </c>
    </row>
    <row r="69" ht="64.5" customHeight="1">
      <c r="A69" s="2" t="s">
        <v>72</v>
      </c>
      <c r="B69" s="2" t="s">
        <v>1524</v>
      </c>
      <c r="C69" s="2"/>
      <c r="D69" s="2"/>
      <c r="E69" s="2"/>
      <c r="F69" s="2" t="s">
        <v>1525</v>
      </c>
      <c r="G69" s="2"/>
      <c r="H69" s="2"/>
      <c r="I69" s="2" t="s">
        <v>1526</v>
      </c>
      <c r="J69" s="2" t="s">
        <v>1527</v>
      </c>
      <c r="K69" s="2"/>
      <c r="L69" s="2"/>
      <c r="M69" s="2" t="s">
        <v>116</v>
      </c>
      <c r="N69" s="2" t="s">
        <v>78</v>
      </c>
      <c r="O69" s="2"/>
      <c r="P69" s="2"/>
      <c r="Q69" s="2"/>
      <c r="R69" s="2"/>
      <c r="S69" s="2"/>
      <c r="T69" s="2" t="s">
        <v>1528</v>
      </c>
      <c r="U69" s="2" t="s">
        <v>1529</v>
      </c>
      <c r="V69" s="2" t="s">
        <v>1530</v>
      </c>
      <c r="W69" s="2" t="s">
        <v>1531</v>
      </c>
      <c r="X69" s="2" t="s">
        <v>1532</v>
      </c>
      <c r="Y69" s="2" t="s">
        <v>1533</v>
      </c>
      <c r="Z69" s="2" t="s">
        <v>1534</v>
      </c>
      <c r="AA69" s="2"/>
      <c r="AB69" s="2" t="s">
        <v>1535</v>
      </c>
      <c r="AC69" s="2" t="s">
        <v>1536</v>
      </c>
      <c r="AD69" s="2" t="s">
        <v>1537</v>
      </c>
      <c r="AE69" s="2" t="s">
        <v>1538</v>
      </c>
      <c r="AF69" s="2" t="s">
        <v>1539</v>
      </c>
      <c r="AG69" s="2">
        <v>48.0</v>
      </c>
      <c r="AH69" s="2">
        <v>10.0</v>
      </c>
      <c r="AI69" s="2">
        <v>10.0</v>
      </c>
      <c r="AJ69" s="2">
        <v>3.0</v>
      </c>
      <c r="AK69" s="2">
        <v>36.0</v>
      </c>
      <c r="AL69" s="2" t="s">
        <v>1540</v>
      </c>
      <c r="AM69" s="2" t="s">
        <v>1541</v>
      </c>
      <c r="AN69" s="2" t="s">
        <v>1542</v>
      </c>
      <c r="AO69" s="2" t="s">
        <v>1543</v>
      </c>
      <c r="AP69" s="2"/>
      <c r="AQ69" s="2"/>
      <c r="AR69" s="2" t="s">
        <v>1527</v>
      </c>
      <c r="AS69" s="2" t="s">
        <v>1544</v>
      </c>
      <c r="AT69" s="2"/>
      <c r="AU69" s="2">
        <v>2020.0</v>
      </c>
      <c r="AV69" s="2">
        <v>8.0</v>
      </c>
      <c r="AW69" s="2"/>
      <c r="AX69" s="2"/>
      <c r="AY69" s="2"/>
      <c r="AZ69" s="2"/>
      <c r="BA69" s="2"/>
      <c r="BB69" s="2">
        <v>196931.0</v>
      </c>
      <c r="BC69" s="2">
        <v>196939.0</v>
      </c>
      <c r="BD69" s="2"/>
      <c r="BE69" s="2" t="s">
        <v>1545</v>
      </c>
      <c r="BF69" s="3" t="str">
        <f>HYPERLINK("http://dx.doi.org/10.1109/ACCESS.2020.3034438","http://dx.doi.org/10.1109/ACCESS.2020.3034438")</f>
        <v>http://dx.doi.org/10.1109/ACCESS.2020.3034438</v>
      </c>
      <c r="BG69" s="2"/>
      <c r="BH69" s="2"/>
      <c r="BI69" s="2">
        <v>9.0</v>
      </c>
      <c r="BJ69" s="2" t="s">
        <v>1546</v>
      </c>
      <c r="BK69" s="2" t="s">
        <v>363</v>
      </c>
      <c r="BL69" s="2" t="s">
        <v>1547</v>
      </c>
      <c r="BM69" s="2" t="s">
        <v>1548</v>
      </c>
      <c r="BN69" s="2"/>
      <c r="BO69" s="2" t="s">
        <v>255</v>
      </c>
      <c r="BP69" s="2"/>
      <c r="BQ69" s="2"/>
      <c r="BR69" s="2" t="s">
        <v>99</v>
      </c>
      <c r="BS69" s="2" t="s">
        <v>1549</v>
      </c>
      <c r="BT69" s="2" t="str">
        <f>HYPERLINK("https%3A%2F%2Fwww.webofscience.com%2Fwos%2Fwoscc%2Ffull-record%2FWOS:000589763900001","View Full Record in Web of Science")</f>
        <v>View Full Record in Web of Science</v>
      </c>
    </row>
    <row r="70" ht="64.5" customHeight="1">
      <c r="A70" s="2" t="s">
        <v>72</v>
      </c>
      <c r="B70" s="2" t="s">
        <v>1550</v>
      </c>
      <c r="C70" s="2"/>
      <c r="D70" s="2"/>
      <c r="E70" s="2"/>
      <c r="F70" s="2" t="s">
        <v>1551</v>
      </c>
      <c r="G70" s="2"/>
      <c r="H70" s="2"/>
      <c r="I70" s="2" t="s">
        <v>1552</v>
      </c>
      <c r="J70" s="2" t="s">
        <v>1553</v>
      </c>
      <c r="K70" s="2"/>
      <c r="L70" s="2"/>
      <c r="M70" s="2" t="s">
        <v>116</v>
      </c>
      <c r="N70" s="2" t="s">
        <v>78</v>
      </c>
      <c r="O70" s="2"/>
      <c r="P70" s="2"/>
      <c r="Q70" s="2"/>
      <c r="R70" s="2"/>
      <c r="S70" s="2"/>
      <c r="T70" s="2" t="s">
        <v>1554</v>
      </c>
      <c r="U70" s="2"/>
      <c r="V70" s="2" t="s">
        <v>1555</v>
      </c>
      <c r="W70" s="2" t="s">
        <v>1556</v>
      </c>
      <c r="X70" s="2" t="s">
        <v>1557</v>
      </c>
      <c r="Y70" s="2" t="s">
        <v>1558</v>
      </c>
      <c r="Z70" s="2"/>
      <c r="AA70" s="2" t="s">
        <v>1559</v>
      </c>
      <c r="AB70" s="2" t="s">
        <v>1560</v>
      </c>
      <c r="AC70" s="2"/>
      <c r="AD70" s="2"/>
      <c r="AE70" s="2"/>
      <c r="AF70" s="2" t="s">
        <v>1561</v>
      </c>
      <c r="AG70" s="2">
        <v>7.0</v>
      </c>
      <c r="AH70" s="2">
        <v>1.0</v>
      </c>
      <c r="AI70" s="2">
        <v>1.0</v>
      </c>
      <c r="AJ70" s="2">
        <v>0.0</v>
      </c>
      <c r="AK70" s="2">
        <v>6.0</v>
      </c>
      <c r="AL70" s="2" t="s">
        <v>1562</v>
      </c>
      <c r="AM70" s="2" t="s">
        <v>1563</v>
      </c>
      <c r="AN70" s="2" t="s">
        <v>1564</v>
      </c>
      <c r="AO70" s="2" t="s">
        <v>1565</v>
      </c>
      <c r="AP70" s="2" t="s">
        <v>1566</v>
      </c>
      <c r="AQ70" s="2"/>
      <c r="AR70" s="2" t="s">
        <v>1567</v>
      </c>
      <c r="AS70" s="2" t="s">
        <v>1568</v>
      </c>
      <c r="AT70" s="2"/>
      <c r="AU70" s="2">
        <v>2019.0</v>
      </c>
      <c r="AV70" s="2">
        <v>8.0</v>
      </c>
      <c r="AW70" s="2">
        <v>5.0</v>
      </c>
      <c r="AX70" s="2"/>
      <c r="AY70" s="2"/>
      <c r="AZ70" s="2" t="s">
        <v>359</v>
      </c>
      <c r="BA70" s="2"/>
      <c r="BB70" s="2">
        <v>187.0</v>
      </c>
      <c r="BC70" s="2">
        <v>196.0</v>
      </c>
      <c r="BD70" s="2"/>
      <c r="BE70" s="2" t="s">
        <v>1569</v>
      </c>
      <c r="BF70" s="3" t="str">
        <f>HYPERLINK("http://dx.doi.org/10.14207/ejsd.2019.v8n5p187","http://dx.doi.org/10.14207/ejsd.2019.v8n5p187")</f>
        <v>http://dx.doi.org/10.14207/ejsd.2019.v8n5p187</v>
      </c>
      <c r="BG70" s="2"/>
      <c r="BH70" s="2"/>
      <c r="BI70" s="2">
        <v>10.0</v>
      </c>
      <c r="BJ70" s="2" t="s">
        <v>1570</v>
      </c>
      <c r="BK70" s="2" t="s">
        <v>96</v>
      </c>
      <c r="BL70" s="2" t="s">
        <v>97</v>
      </c>
      <c r="BM70" s="2" t="s">
        <v>1571</v>
      </c>
      <c r="BN70" s="2"/>
      <c r="BO70" s="2" t="s">
        <v>255</v>
      </c>
      <c r="BP70" s="2"/>
      <c r="BQ70" s="2"/>
      <c r="BR70" s="2" t="s">
        <v>99</v>
      </c>
      <c r="BS70" s="2" t="s">
        <v>1572</v>
      </c>
      <c r="BT70" s="2" t="str">
        <f>HYPERLINK("https%3A%2F%2Fwww.webofscience.com%2Fwos%2Fwoscc%2Ffull-record%2FWOS:000488622800024","View Full Record in Web of Science")</f>
        <v>View Full Record in Web of Science</v>
      </c>
    </row>
    <row r="71" ht="64.5" customHeight="1">
      <c r="A71" s="2" t="s">
        <v>72</v>
      </c>
      <c r="B71" s="2" t="s">
        <v>1573</v>
      </c>
      <c r="C71" s="2"/>
      <c r="D71" s="2"/>
      <c r="E71" s="2"/>
      <c r="F71" s="2" t="s">
        <v>1574</v>
      </c>
      <c r="G71" s="2"/>
      <c r="H71" s="2"/>
      <c r="I71" s="2" t="s">
        <v>1575</v>
      </c>
      <c r="J71" s="2" t="s">
        <v>1576</v>
      </c>
      <c r="K71" s="2"/>
      <c r="L71" s="2"/>
      <c r="M71" s="2" t="s">
        <v>116</v>
      </c>
      <c r="N71" s="2" t="s">
        <v>643</v>
      </c>
      <c r="O71" s="2"/>
      <c r="P71" s="2"/>
      <c r="Q71" s="2"/>
      <c r="R71" s="2"/>
      <c r="S71" s="2"/>
      <c r="T71" s="2" t="s">
        <v>1577</v>
      </c>
      <c r="U71" s="2" t="s">
        <v>1578</v>
      </c>
      <c r="V71" s="2" t="s">
        <v>1579</v>
      </c>
      <c r="W71" s="2" t="s">
        <v>1580</v>
      </c>
      <c r="X71" s="2" t="s">
        <v>1581</v>
      </c>
      <c r="Y71" s="2" t="s">
        <v>1582</v>
      </c>
      <c r="Z71" s="2" t="s">
        <v>1583</v>
      </c>
      <c r="AA71" s="2" t="s">
        <v>1584</v>
      </c>
      <c r="AB71" s="2" t="s">
        <v>1585</v>
      </c>
      <c r="AC71" s="2" t="s">
        <v>1586</v>
      </c>
      <c r="AD71" s="2" t="s">
        <v>1586</v>
      </c>
      <c r="AE71" s="2" t="s">
        <v>1587</v>
      </c>
      <c r="AF71" s="2" t="s">
        <v>1588</v>
      </c>
      <c r="AG71" s="2">
        <v>145.0</v>
      </c>
      <c r="AH71" s="2">
        <v>1.0</v>
      </c>
      <c r="AI71" s="2">
        <v>1.0</v>
      </c>
      <c r="AJ71" s="2">
        <v>9.0</v>
      </c>
      <c r="AK71" s="2">
        <v>15.0</v>
      </c>
      <c r="AL71" s="2" t="s">
        <v>383</v>
      </c>
      <c r="AM71" s="2" t="s">
        <v>384</v>
      </c>
      <c r="AN71" s="2" t="s">
        <v>385</v>
      </c>
      <c r="AO71" s="2"/>
      <c r="AP71" s="2" t="s">
        <v>1589</v>
      </c>
      <c r="AQ71" s="2"/>
      <c r="AR71" s="2" t="s">
        <v>1576</v>
      </c>
      <c r="AS71" s="2" t="s">
        <v>1590</v>
      </c>
      <c r="AT71" s="2" t="s">
        <v>292</v>
      </c>
      <c r="AU71" s="2">
        <v>2023.0</v>
      </c>
      <c r="AV71" s="2">
        <v>16.0</v>
      </c>
      <c r="AW71" s="2">
        <v>21.0</v>
      </c>
      <c r="AX71" s="2"/>
      <c r="AY71" s="2"/>
      <c r="AZ71" s="2"/>
      <c r="BA71" s="2"/>
      <c r="BB71" s="2"/>
      <c r="BC71" s="2"/>
      <c r="BD71" s="2">
        <v>7235.0</v>
      </c>
      <c r="BE71" s="2" t="s">
        <v>1591</v>
      </c>
      <c r="BF71" s="3" t="str">
        <f>HYPERLINK("http://dx.doi.org/10.3390/en16217235","http://dx.doi.org/10.3390/en16217235")</f>
        <v>http://dx.doi.org/10.3390/en16217235</v>
      </c>
      <c r="BG71" s="2"/>
      <c r="BH71" s="2"/>
      <c r="BI71" s="2">
        <v>19.0</v>
      </c>
      <c r="BJ71" s="2" t="s">
        <v>1592</v>
      </c>
      <c r="BK71" s="2" t="s">
        <v>226</v>
      </c>
      <c r="BL71" s="2" t="s">
        <v>1592</v>
      </c>
      <c r="BM71" s="2" t="s">
        <v>1593</v>
      </c>
      <c r="BN71" s="2"/>
      <c r="BO71" s="2" t="s">
        <v>1594</v>
      </c>
      <c r="BP71" s="2"/>
      <c r="BQ71" s="2"/>
      <c r="BR71" s="2" t="s">
        <v>99</v>
      </c>
      <c r="BS71" s="2" t="s">
        <v>1595</v>
      </c>
      <c r="BT71" s="2" t="str">
        <f>HYPERLINK("https%3A%2F%2Fwww.webofscience.com%2Fwos%2Fwoscc%2Ffull-record%2FWOS:001100270100001","View Full Record in Web of Science")</f>
        <v>View Full Record in Web of Science</v>
      </c>
    </row>
    <row r="72" ht="64.5" customHeight="1">
      <c r="A72" s="2" t="s">
        <v>72</v>
      </c>
      <c r="B72" s="2" t="s">
        <v>1596</v>
      </c>
      <c r="C72" s="2"/>
      <c r="D72" s="2"/>
      <c r="E72" s="2"/>
      <c r="F72" s="2" t="s">
        <v>1597</v>
      </c>
      <c r="G72" s="2"/>
      <c r="H72" s="2"/>
      <c r="I72" s="2" t="s">
        <v>1598</v>
      </c>
      <c r="J72" s="2" t="s">
        <v>142</v>
      </c>
      <c r="K72" s="2"/>
      <c r="L72" s="2"/>
      <c r="M72" s="2" t="s">
        <v>116</v>
      </c>
      <c r="N72" s="2" t="s">
        <v>1599</v>
      </c>
      <c r="O72" s="2"/>
      <c r="P72" s="2"/>
      <c r="Q72" s="2"/>
      <c r="R72" s="2"/>
      <c r="S72" s="2"/>
      <c r="T72" s="2" t="s">
        <v>1600</v>
      </c>
      <c r="U72" s="2" t="s">
        <v>1601</v>
      </c>
      <c r="V72" s="2" t="s">
        <v>1602</v>
      </c>
      <c r="W72" s="2" t="s">
        <v>1603</v>
      </c>
      <c r="X72" s="2" t="s">
        <v>1604</v>
      </c>
      <c r="Y72" s="2" t="s">
        <v>1605</v>
      </c>
      <c r="Z72" s="2" t="s">
        <v>1606</v>
      </c>
      <c r="AA72" s="2"/>
      <c r="AB72" s="2" t="s">
        <v>1607</v>
      </c>
      <c r="AC72" s="2" t="s">
        <v>1608</v>
      </c>
      <c r="AD72" s="2" t="s">
        <v>1608</v>
      </c>
      <c r="AE72" s="2" t="s">
        <v>1609</v>
      </c>
      <c r="AF72" s="2" t="s">
        <v>1610</v>
      </c>
      <c r="AG72" s="2">
        <v>79.0</v>
      </c>
      <c r="AH72" s="2">
        <v>0.0</v>
      </c>
      <c r="AI72" s="2">
        <v>0.0</v>
      </c>
      <c r="AJ72" s="2">
        <v>2.0</v>
      </c>
      <c r="AK72" s="2">
        <v>2.0</v>
      </c>
      <c r="AL72" s="2" t="s">
        <v>156</v>
      </c>
      <c r="AM72" s="2" t="s">
        <v>157</v>
      </c>
      <c r="AN72" s="2" t="s">
        <v>158</v>
      </c>
      <c r="AO72" s="2" t="s">
        <v>159</v>
      </c>
      <c r="AP72" s="2" t="s">
        <v>160</v>
      </c>
      <c r="AQ72" s="2"/>
      <c r="AR72" s="2" t="s">
        <v>161</v>
      </c>
      <c r="AS72" s="2" t="s">
        <v>162</v>
      </c>
      <c r="AT72" s="2" t="s">
        <v>1611</v>
      </c>
      <c r="AU72" s="2">
        <v>2024.0</v>
      </c>
      <c r="AV72" s="2"/>
      <c r="AW72" s="2"/>
      <c r="AX72" s="2"/>
      <c r="AY72" s="2"/>
      <c r="AZ72" s="2"/>
      <c r="BA72" s="2"/>
      <c r="BB72" s="2"/>
      <c r="BC72" s="2"/>
      <c r="BD72" s="2"/>
      <c r="BE72" s="2" t="s">
        <v>1612</v>
      </c>
      <c r="BF72" s="3" t="str">
        <f>HYPERLINK("http://dx.doi.org/10.1080/13504622.2024.2357342","http://dx.doi.org/10.1080/13504622.2024.2357342")</f>
        <v>http://dx.doi.org/10.1080/13504622.2024.2357342</v>
      </c>
      <c r="BG72" s="2"/>
      <c r="BH72" s="2" t="s">
        <v>753</v>
      </c>
      <c r="BI72" s="2">
        <v>22.0</v>
      </c>
      <c r="BJ72" s="2" t="s">
        <v>165</v>
      </c>
      <c r="BK72" s="2" t="s">
        <v>166</v>
      </c>
      <c r="BL72" s="2" t="s">
        <v>167</v>
      </c>
      <c r="BM72" s="2" t="s">
        <v>1613</v>
      </c>
      <c r="BN72" s="2"/>
      <c r="BO72" s="2" t="s">
        <v>201</v>
      </c>
      <c r="BP72" s="2"/>
      <c r="BQ72" s="2"/>
      <c r="BR72" s="2" t="s">
        <v>99</v>
      </c>
      <c r="BS72" s="2" t="s">
        <v>1614</v>
      </c>
      <c r="BT72" s="2" t="str">
        <f>HYPERLINK("https%3A%2F%2Fwww.webofscience.com%2Fwos%2Fwoscc%2Ffull-record%2FWOS:001231045300001","View Full Record in Web of Science")</f>
        <v>View Full Record in Web of Science</v>
      </c>
    </row>
    <row r="73" ht="64.5" customHeight="1">
      <c r="A73" s="2" t="s">
        <v>72</v>
      </c>
      <c r="B73" s="2" t="s">
        <v>1615</v>
      </c>
      <c r="C73" s="2"/>
      <c r="D73" s="2"/>
      <c r="E73" s="2"/>
      <c r="F73" s="2" t="s">
        <v>1616</v>
      </c>
      <c r="G73" s="2"/>
      <c r="H73" s="2"/>
      <c r="I73" s="2" t="s">
        <v>1617</v>
      </c>
      <c r="J73" s="2" t="s">
        <v>233</v>
      </c>
      <c r="K73" s="2"/>
      <c r="L73" s="2"/>
      <c r="M73" s="2" t="s">
        <v>116</v>
      </c>
      <c r="N73" s="2" t="s">
        <v>78</v>
      </c>
      <c r="O73" s="2"/>
      <c r="P73" s="2"/>
      <c r="Q73" s="2"/>
      <c r="R73" s="2"/>
      <c r="S73" s="2"/>
      <c r="T73" s="2" t="s">
        <v>1618</v>
      </c>
      <c r="U73" s="2"/>
      <c r="V73" s="2" t="s">
        <v>1619</v>
      </c>
      <c r="W73" s="2" t="s">
        <v>1620</v>
      </c>
      <c r="X73" s="2" t="s">
        <v>1621</v>
      </c>
      <c r="Y73" s="2" t="s">
        <v>1622</v>
      </c>
      <c r="Z73" s="2" t="s">
        <v>1623</v>
      </c>
      <c r="AA73" s="2" t="s">
        <v>1624</v>
      </c>
      <c r="AB73" s="2" t="s">
        <v>1625</v>
      </c>
      <c r="AC73" s="2" t="s">
        <v>1626</v>
      </c>
      <c r="AD73" s="2" t="s">
        <v>1627</v>
      </c>
      <c r="AE73" s="2"/>
      <c r="AF73" s="2" t="s">
        <v>1628</v>
      </c>
      <c r="AG73" s="2">
        <v>20.0</v>
      </c>
      <c r="AH73" s="2">
        <v>11.0</v>
      </c>
      <c r="AI73" s="2">
        <v>11.0</v>
      </c>
      <c r="AJ73" s="2">
        <v>1.0</v>
      </c>
      <c r="AK73" s="2">
        <v>15.0</v>
      </c>
      <c r="AL73" s="2" t="s">
        <v>246</v>
      </c>
      <c r="AM73" s="2" t="s">
        <v>247</v>
      </c>
      <c r="AN73" s="2" t="s">
        <v>248</v>
      </c>
      <c r="AO73" s="2"/>
      <c r="AP73" s="2" t="s">
        <v>249</v>
      </c>
      <c r="AQ73" s="2"/>
      <c r="AR73" s="2" t="s">
        <v>250</v>
      </c>
      <c r="AS73" s="2" t="s">
        <v>251</v>
      </c>
      <c r="AT73" s="2" t="s">
        <v>1629</v>
      </c>
      <c r="AU73" s="2">
        <v>2019.0</v>
      </c>
      <c r="AV73" s="2">
        <v>6.0</v>
      </c>
      <c r="AW73" s="2"/>
      <c r="AX73" s="2"/>
      <c r="AY73" s="2"/>
      <c r="AZ73" s="2"/>
      <c r="BA73" s="2"/>
      <c r="BB73" s="2"/>
      <c r="BC73" s="2"/>
      <c r="BD73" s="2">
        <v>340.0</v>
      </c>
      <c r="BE73" s="2" t="s">
        <v>1630</v>
      </c>
      <c r="BF73" s="3" t="str">
        <f>HYPERLINK("http://dx.doi.org/10.3389/fmars.2019.00340","http://dx.doi.org/10.3389/fmars.2019.00340")</f>
        <v>http://dx.doi.org/10.3389/fmars.2019.00340</v>
      </c>
      <c r="BG73" s="2"/>
      <c r="BH73" s="2"/>
      <c r="BI73" s="2">
        <v>7.0</v>
      </c>
      <c r="BJ73" s="2" t="s">
        <v>225</v>
      </c>
      <c r="BK73" s="2" t="s">
        <v>226</v>
      </c>
      <c r="BL73" s="2" t="s">
        <v>227</v>
      </c>
      <c r="BM73" s="2" t="s">
        <v>1631</v>
      </c>
      <c r="BN73" s="2"/>
      <c r="BO73" s="2" t="s">
        <v>1632</v>
      </c>
      <c r="BP73" s="2"/>
      <c r="BQ73" s="2"/>
      <c r="BR73" s="2" t="s">
        <v>99</v>
      </c>
      <c r="BS73" s="2" t="s">
        <v>1633</v>
      </c>
      <c r="BT73" s="2" t="str">
        <f>HYPERLINK("https%3A%2F%2Fwww.webofscience.com%2Fwos%2Fwoscc%2Ffull-record%2FWOS:000472620300001","View Full Record in Web of Science")</f>
        <v>View Full Record in Web of Science</v>
      </c>
    </row>
    <row r="74" ht="64.5" customHeight="1">
      <c r="A74" s="2" t="s">
        <v>72</v>
      </c>
      <c r="B74" s="2" t="s">
        <v>1634</v>
      </c>
      <c r="C74" s="2"/>
      <c r="D74" s="2"/>
      <c r="E74" s="2"/>
      <c r="F74" s="2" t="s">
        <v>1635</v>
      </c>
      <c r="G74" s="2"/>
      <c r="H74" s="2"/>
      <c r="I74" s="2" t="s">
        <v>1636</v>
      </c>
      <c r="J74" s="2" t="s">
        <v>1637</v>
      </c>
      <c r="K74" s="2"/>
      <c r="L74" s="2"/>
      <c r="M74" s="2" t="s">
        <v>116</v>
      </c>
      <c r="N74" s="2" t="s">
        <v>78</v>
      </c>
      <c r="O74" s="2"/>
      <c r="P74" s="2"/>
      <c r="Q74" s="2"/>
      <c r="R74" s="2"/>
      <c r="S74" s="2"/>
      <c r="T74" s="2" t="s">
        <v>1638</v>
      </c>
      <c r="U74" s="2" t="s">
        <v>1639</v>
      </c>
      <c r="V74" s="2" t="s">
        <v>1640</v>
      </c>
      <c r="W74" s="2" t="s">
        <v>1641</v>
      </c>
      <c r="X74" s="2" t="s">
        <v>1642</v>
      </c>
      <c r="Y74" s="2" t="s">
        <v>1643</v>
      </c>
      <c r="Z74" s="2" t="s">
        <v>1644</v>
      </c>
      <c r="AA74" s="2" t="s">
        <v>1645</v>
      </c>
      <c r="AB74" s="2" t="s">
        <v>1646</v>
      </c>
      <c r="AC74" s="2"/>
      <c r="AD74" s="2"/>
      <c r="AE74" s="2"/>
      <c r="AF74" s="2" t="s">
        <v>1647</v>
      </c>
      <c r="AG74" s="2">
        <v>55.0</v>
      </c>
      <c r="AH74" s="2">
        <v>0.0</v>
      </c>
      <c r="AI74" s="2">
        <v>0.0</v>
      </c>
      <c r="AJ74" s="2">
        <v>4.0</v>
      </c>
      <c r="AK74" s="2">
        <v>6.0</v>
      </c>
      <c r="AL74" s="2" t="s">
        <v>1648</v>
      </c>
      <c r="AM74" s="2" t="s">
        <v>1649</v>
      </c>
      <c r="AN74" s="2" t="s">
        <v>1650</v>
      </c>
      <c r="AO74" s="2" t="s">
        <v>1651</v>
      </c>
      <c r="AP74" s="2"/>
      <c r="AQ74" s="2"/>
      <c r="AR74" s="2" t="s">
        <v>1652</v>
      </c>
      <c r="AS74" s="2" t="s">
        <v>1653</v>
      </c>
      <c r="AT74" s="2" t="s">
        <v>533</v>
      </c>
      <c r="AU74" s="2">
        <v>2023.0</v>
      </c>
      <c r="AV74" s="2">
        <v>20.0</v>
      </c>
      <c r="AW74" s="2">
        <v>3.0</v>
      </c>
      <c r="AX74" s="2"/>
      <c r="AY74" s="2"/>
      <c r="AZ74" s="2"/>
      <c r="BA74" s="2"/>
      <c r="BB74" s="2"/>
      <c r="BC74" s="2"/>
      <c r="BD74" s="2">
        <v>3501.0</v>
      </c>
      <c r="BE74" s="2" t="s">
        <v>1654</v>
      </c>
      <c r="BF74" s="3" t="str">
        <f>HYPERLINK("http://dx.doi.org/10.25267/Rev_Eureka_ensen_divulg_cienc.2023.v20.i3.3501","http://dx.doi.org/10.25267/Rev_Eureka_ensen_divulg_cienc.2023.v20.i3.3501")</f>
        <v>http://dx.doi.org/10.25267/Rev_Eureka_ensen_divulg_cienc.2023.v20.i3.3501</v>
      </c>
      <c r="BG74" s="2"/>
      <c r="BH74" s="2"/>
      <c r="BI74" s="2">
        <v>21.0</v>
      </c>
      <c r="BJ74" s="2" t="s">
        <v>331</v>
      </c>
      <c r="BK74" s="2" t="s">
        <v>96</v>
      </c>
      <c r="BL74" s="2" t="s">
        <v>331</v>
      </c>
      <c r="BM74" s="2" t="s">
        <v>1655</v>
      </c>
      <c r="BN74" s="2"/>
      <c r="BO74" s="2" t="s">
        <v>272</v>
      </c>
      <c r="BP74" s="2"/>
      <c r="BQ74" s="2"/>
      <c r="BR74" s="2" t="s">
        <v>99</v>
      </c>
      <c r="BS74" s="2" t="s">
        <v>1656</v>
      </c>
      <c r="BT74" s="2" t="str">
        <f>HYPERLINK("https%3A%2F%2Fwww.webofscience.com%2Fwos%2Fwoscc%2Ffull-record%2FWOS:001095750900010","View Full Record in Web of Science")</f>
        <v>View Full Record in Web of Science</v>
      </c>
    </row>
    <row r="75" ht="64.5" customHeight="1">
      <c r="A75" s="2" t="s">
        <v>72</v>
      </c>
      <c r="B75" s="2" t="s">
        <v>1657</v>
      </c>
      <c r="C75" s="2"/>
      <c r="D75" s="2"/>
      <c r="E75" s="2"/>
      <c r="F75" s="2" t="s">
        <v>1658</v>
      </c>
      <c r="G75" s="2"/>
      <c r="H75" s="2"/>
      <c r="I75" s="2" t="s">
        <v>1659</v>
      </c>
      <c r="J75" s="2" t="s">
        <v>206</v>
      </c>
      <c r="K75" s="2"/>
      <c r="L75" s="2"/>
      <c r="M75" s="2" t="s">
        <v>116</v>
      </c>
      <c r="N75" s="2" t="s">
        <v>78</v>
      </c>
      <c r="O75" s="2"/>
      <c r="P75" s="2"/>
      <c r="Q75" s="2"/>
      <c r="R75" s="2"/>
      <c r="S75" s="2"/>
      <c r="T75" s="2" t="s">
        <v>1660</v>
      </c>
      <c r="U75" s="2" t="s">
        <v>1661</v>
      </c>
      <c r="V75" s="2" t="s">
        <v>1662</v>
      </c>
      <c r="W75" s="2" t="s">
        <v>1663</v>
      </c>
      <c r="X75" s="2" t="s">
        <v>1664</v>
      </c>
      <c r="Y75" s="2" t="s">
        <v>1665</v>
      </c>
      <c r="Z75" s="2" t="s">
        <v>1666</v>
      </c>
      <c r="AA75" s="2" t="s">
        <v>1667</v>
      </c>
      <c r="AB75" s="2" t="s">
        <v>1668</v>
      </c>
      <c r="AC75" s="2" t="s">
        <v>1669</v>
      </c>
      <c r="AD75" s="2" t="s">
        <v>1669</v>
      </c>
      <c r="AE75" s="2" t="s">
        <v>1670</v>
      </c>
      <c r="AF75" s="2" t="s">
        <v>1671</v>
      </c>
      <c r="AG75" s="2">
        <v>44.0</v>
      </c>
      <c r="AH75" s="2">
        <v>0.0</v>
      </c>
      <c r="AI75" s="2">
        <v>0.0</v>
      </c>
      <c r="AJ75" s="2">
        <v>2.0</v>
      </c>
      <c r="AK75" s="2">
        <v>2.0</v>
      </c>
      <c r="AL75" s="2" t="s">
        <v>216</v>
      </c>
      <c r="AM75" s="2" t="s">
        <v>189</v>
      </c>
      <c r="AN75" s="2" t="s">
        <v>217</v>
      </c>
      <c r="AO75" s="2" t="s">
        <v>218</v>
      </c>
      <c r="AP75" s="2" t="s">
        <v>219</v>
      </c>
      <c r="AQ75" s="2"/>
      <c r="AR75" s="2" t="s">
        <v>220</v>
      </c>
      <c r="AS75" s="2" t="s">
        <v>221</v>
      </c>
      <c r="AT75" s="2" t="s">
        <v>844</v>
      </c>
      <c r="AU75" s="2">
        <v>2023.0</v>
      </c>
      <c r="AV75" s="2">
        <v>197.0</v>
      </c>
      <c r="AW75" s="2"/>
      <c r="AX75" s="2"/>
      <c r="AY75" s="2"/>
      <c r="AZ75" s="2"/>
      <c r="BA75" s="2"/>
      <c r="BB75" s="2"/>
      <c r="BC75" s="2"/>
      <c r="BD75" s="2">
        <v>115690.0</v>
      </c>
      <c r="BE75" s="2" t="s">
        <v>1672</v>
      </c>
      <c r="BF75" s="3" t="str">
        <f>HYPERLINK("http://dx.doi.org/10.1016/j.marpolbul.2023.115690","http://dx.doi.org/10.1016/j.marpolbul.2023.115690")</f>
        <v>http://dx.doi.org/10.1016/j.marpolbul.2023.115690</v>
      </c>
      <c r="BG75" s="2"/>
      <c r="BH75" s="2" t="s">
        <v>1448</v>
      </c>
      <c r="BI75" s="2">
        <v>12.0</v>
      </c>
      <c r="BJ75" s="2" t="s">
        <v>225</v>
      </c>
      <c r="BK75" s="2" t="s">
        <v>226</v>
      </c>
      <c r="BL75" s="2" t="s">
        <v>227</v>
      </c>
      <c r="BM75" s="2" t="s">
        <v>1673</v>
      </c>
      <c r="BN75" s="2">
        <v>3.7922753E7</v>
      </c>
      <c r="BO75" s="2"/>
      <c r="BP75" s="2"/>
      <c r="BQ75" s="2"/>
      <c r="BR75" s="2" t="s">
        <v>99</v>
      </c>
      <c r="BS75" s="2" t="s">
        <v>1674</v>
      </c>
      <c r="BT75" s="2" t="str">
        <f>HYPERLINK("https%3A%2F%2Fwww.webofscience.com%2Fwos%2Fwoscc%2Ffull-record%2FWOS:001105263700001","View Full Record in Web of Science")</f>
        <v>View Full Record in Web of Science</v>
      </c>
    </row>
    <row r="76" ht="64.5" customHeight="1">
      <c r="A76" s="2" t="s">
        <v>72</v>
      </c>
      <c r="B76" s="2" t="s">
        <v>1379</v>
      </c>
      <c r="C76" s="2"/>
      <c r="D76" s="2"/>
      <c r="E76" s="2"/>
      <c r="F76" s="2" t="s">
        <v>1381</v>
      </c>
      <c r="G76" s="2"/>
      <c r="H76" s="2"/>
      <c r="I76" s="2" t="s">
        <v>1675</v>
      </c>
      <c r="J76" s="2" t="s">
        <v>1576</v>
      </c>
      <c r="K76" s="2"/>
      <c r="L76" s="2"/>
      <c r="M76" s="2" t="s">
        <v>116</v>
      </c>
      <c r="N76" s="2" t="s">
        <v>78</v>
      </c>
      <c r="O76" s="2"/>
      <c r="P76" s="2"/>
      <c r="Q76" s="2"/>
      <c r="R76" s="2"/>
      <c r="S76" s="2"/>
      <c r="T76" s="2" t="s">
        <v>1676</v>
      </c>
      <c r="U76" s="2" t="s">
        <v>1677</v>
      </c>
      <c r="V76" s="2" t="s">
        <v>1678</v>
      </c>
      <c r="W76" s="2" t="s">
        <v>1679</v>
      </c>
      <c r="X76" s="2" t="s">
        <v>1680</v>
      </c>
      <c r="Y76" s="2" t="s">
        <v>1681</v>
      </c>
      <c r="Z76" s="2" t="s">
        <v>1393</v>
      </c>
      <c r="AA76" s="2" t="s">
        <v>1394</v>
      </c>
      <c r="AB76" s="2" t="s">
        <v>1682</v>
      </c>
      <c r="AC76" s="2" t="s">
        <v>1683</v>
      </c>
      <c r="AD76" s="2" t="s">
        <v>1684</v>
      </c>
      <c r="AE76" s="2" t="s">
        <v>1685</v>
      </c>
      <c r="AF76" s="2" t="s">
        <v>1686</v>
      </c>
      <c r="AG76" s="2">
        <v>42.0</v>
      </c>
      <c r="AH76" s="2">
        <v>8.0</v>
      </c>
      <c r="AI76" s="2">
        <v>8.0</v>
      </c>
      <c r="AJ76" s="2">
        <v>4.0</v>
      </c>
      <c r="AK76" s="2">
        <v>15.0</v>
      </c>
      <c r="AL76" s="2" t="s">
        <v>383</v>
      </c>
      <c r="AM76" s="2" t="s">
        <v>384</v>
      </c>
      <c r="AN76" s="2" t="s">
        <v>385</v>
      </c>
      <c r="AO76" s="2"/>
      <c r="AP76" s="2" t="s">
        <v>1589</v>
      </c>
      <c r="AQ76" s="2"/>
      <c r="AR76" s="2" t="s">
        <v>1576</v>
      </c>
      <c r="AS76" s="2" t="s">
        <v>1590</v>
      </c>
      <c r="AT76" s="2" t="s">
        <v>751</v>
      </c>
      <c r="AU76" s="2">
        <v>2020.0</v>
      </c>
      <c r="AV76" s="2">
        <v>13.0</v>
      </c>
      <c r="AW76" s="2">
        <v>13.0</v>
      </c>
      <c r="AX76" s="2"/>
      <c r="AY76" s="2"/>
      <c r="AZ76" s="2"/>
      <c r="BA76" s="2"/>
      <c r="BB76" s="2"/>
      <c r="BC76" s="2"/>
      <c r="BD76" s="2">
        <v>3412.0</v>
      </c>
      <c r="BE76" s="2" t="s">
        <v>1687</v>
      </c>
      <c r="BF76" s="3" t="str">
        <f>HYPERLINK("http://dx.doi.org/10.3390/en13133412","http://dx.doi.org/10.3390/en13133412")</f>
        <v>http://dx.doi.org/10.3390/en13133412</v>
      </c>
      <c r="BG76" s="2"/>
      <c r="BH76" s="2"/>
      <c r="BI76" s="2">
        <v>22.0</v>
      </c>
      <c r="BJ76" s="2" t="s">
        <v>1592</v>
      </c>
      <c r="BK76" s="2" t="s">
        <v>363</v>
      </c>
      <c r="BL76" s="2" t="s">
        <v>1592</v>
      </c>
      <c r="BM76" s="2" t="s">
        <v>1688</v>
      </c>
      <c r="BN76" s="2"/>
      <c r="BO76" s="2" t="s">
        <v>272</v>
      </c>
      <c r="BP76" s="2"/>
      <c r="BQ76" s="2"/>
      <c r="BR76" s="2" t="s">
        <v>99</v>
      </c>
      <c r="BS76" s="2" t="s">
        <v>1689</v>
      </c>
      <c r="BT76" s="2" t="str">
        <f>HYPERLINK("https%3A%2F%2Fwww.webofscience.com%2Fwos%2Fwoscc%2Ffull-record%2FWOS:000555052500001","View Full Record in Web of Science")</f>
        <v>View Full Record in Web of Science</v>
      </c>
    </row>
    <row r="77" ht="64.5" customHeight="1">
      <c r="A77" s="2" t="s">
        <v>72</v>
      </c>
      <c r="B77" s="2" t="s">
        <v>1690</v>
      </c>
      <c r="C77" s="2"/>
      <c r="D77" s="2"/>
      <c r="E77" s="2"/>
      <c r="F77" s="2" t="s">
        <v>1691</v>
      </c>
      <c r="G77" s="2"/>
      <c r="H77" s="2"/>
      <c r="I77" s="2" t="s">
        <v>1692</v>
      </c>
      <c r="J77" s="2" t="s">
        <v>671</v>
      </c>
      <c r="K77" s="2"/>
      <c r="L77" s="2"/>
      <c r="M77" s="2" t="s">
        <v>116</v>
      </c>
      <c r="N77" s="2" t="s">
        <v>78</v>
      </c>
      <c r="O77" s="2"/>
      <c r="P77" s="2"/>
      <c r="Q77" s="2"/>
      <c r="R77" s="2"/>
      <c r="S77" s="2"/>
      <c r="T77" s="2" t="s">
        <v>1693</v>
      </c>
      <c r="U77" s="2" t="s">
        <v>1694</v>
      </c>
      <c r="V77" s="2" t="s">
        <v>1695</v>
      </c>
      <c r="W77" s="2" t="s">
        <v>1696</v>
      </c>
      <c r="X77" s="2" t="s">
        <v>1697</v>
      </c>
      <c r="Y77" s="2" t="s">
        <v>1698</v>
      </c>
      <c r="Z77" s="2"/>
      <c r="AA77" s="2"/>
      <c r="AB77" s="2"/>
      <c r="AC77" s="2"/>
      <c r="AD77" s="2"/>
      <c r="AE77" s="2"/>
      <c r="AF77" s="2" t="s">
        <v>1699</v>
      </c>
      <c r="AG77" s="2">
        <v>49.0</v>
      </c>
      <c r="AH77" s="2">
        <v>48.0</v>
      </c>
      <c r="AI77" s="2">
        <v>77.0</v>
      </c>
      <c r="AJ77" s="2">
        <v>6.0</v>
      </c>
      <c r="AK77" s="2">
        <v>69.0</v>
      </c>
      <c r="AL77" s="2" t="s">
        <v>1329</v>
      </c>
      <c r="AM77" s="2" t="s">
        <v>157</v>
      </c>
      <c r="AN77" s="2" t="s">
        <v>1330</v>
      </c>
      <c r="AO77" s="2" t="s">
        <v>681</v>
      </c>
      <c r="AP77" s="2" t="s">
        <v>1331</v>
      </c>
      <c r="AQ77" s="2"/>
      <c r="AR77" s="2" t="s">
        <v>682</v>
      </c>
      <c r="AS77" s="2" t="s">
        <v>683</v>
      </c>
      <c r="AT77" s="2" t="s">
        <v>684</v>
      </c>
      <c r="AU77" s="2">
        <v>2008.0</v>
      </c>
      <c r="AV77" s="2">
        <v>29.0</v>
      </c>
      <c r="AW77" s="2">
        <v>6.0</v>
      </c>
      <c r="AX77" s="2"/>
      <c r="AY77" s="2"/>
      <c r="AZ77" s="2"/>
      <c r="BA77" s="2"/>
      <c r="BB77" s="2">
        <v>512.0</v>
      </c>
      <c r="BC77" s="2">
        <v>528.0</v>
      </c>
      <c r="BD77" s="2"/>
      <c r="BE77" s="2" t="s">
        <v>1700</v>
      </c>
      <c r="BF77" s="3" t="str">
        <f>HYPERLINK("http://dx.doi.org/10.2747/0272-3646.29.6.512","http://dx.doi.org/10.2747/0272-3646.29.6.512")</f>
        <v>http://dx.doi.org/10.2747/0272-3646.29.6.512</v>
      </c>
      <c r="BG77" s="2"/>
      <c r="BH77" s="2"/>
      <c r="BI77" s="2">
        <v>17.0</v>
      </c>
      <c r="BJ77" s="2" t="s">
        <v>686</v>
      </c>
      <c r="BK77" s="2" t="s">
        <v>226</v>
      </c>
      <c r="BL77" s="2" t="s">
        <v>687</v>
      </c>
      <c r="BM77" s="2" t="s">
        <v>688</v>
      </c>
      <c r="BN77" s="2"/>
      <c r="BO77" s="2"/>
      <c r="BP77" s="2"/>
      <c r="BQ77" s="2"/>
      <c r="BR77" s="2" t="s">
        <v>99</v>
      </c>
      <c r="BS77" s="2" t="s">
        <v>1701</v>
      </c>
      <c r="BT77" s="2" t="str">
        <f>HYPERLINK("https%3A%2F%2Fwww.webofscience.com%2Fwos%2Fwoscc%2Ffull-record%2FWOS:000264488400004","View Full Record in Web of Science")</f>
        <v>View Full Record in Web of Science</v>
      </c>
    </row>
    <row r="78" ht="64.5" customHeight="1">
      <c r="A78" s="2" t="s">
        <v>110</v>
      </c>
      <c r="B78" s="2" t="s">
        <v>1702</v>
      </c>
      <c r="C78" s="2"/>
      <c r="D78" s="2"/>
      <c r="E78" s="2" t="s">
        <v>129</v>
      </c>
      <c r="F78" s="2" t="s">
        <v>1703</v>
      </c>
      <c r="G78" s="2"/>
      <c r="H78" s="2"/>
      <c r="I78" s="2" t="s">
        <v>1704</v>
      </c>
      <c r="J78" s="2" t="s">
        <v>1705</v>
      </c>
      <c r="K78" s="2" t="s">
        <v>1706</v>
      </c>
      <c r="L78" s="2"/>
      <c r="M78" s="2" t="s">
        <v>116</v>
      </c>
      <c r="N78" s="2" t="s">
        <v>117</v>
      </c>
      <c r="O78" s="2" t="s">
        <v>1707</v>
      </c>
      <c r="P78" s="2" t="s">
        <v>1708</v>
      </c>
      <c r="Q78" s="2" t="s">
        <v>1709</v>
      </c>
      <c r="R78" s="2"/>
      <c r="S78" s="2"/>
      <c r="T78" s="2" t="s">
        <v>1710</v>
      </c>
      <c r="U78" s="2" t="s">
        <v>1711</v>
      </c>
      <c r="V78" s="2" t="s">
        <v>1712</v>
      </c>
      <c r="W78" s="2" t="s">
        <v>1713</v>
      </c>
      <c r="X78" s="2" t="s">
        <v>1714</v>
      </c>
      <c r="Y78" s="2" t="s">
        <v>1715</v>
      </c>
      <c r="Z78" s="2" t="s">
        <v>1716</v>
      </c>
      <c r="AA78" s="2"/>
      <c r="AB78" s="2"/>
      <c r="AC78" s="2"/>
      <c r="AD78" s="2"/>
      <c r="AE78" s="2"/>
      <c r="AF78" s="2" t="s">
        <v>1717</v>
      </c>
      <c r="AG78" s="2">
        <v>27.0</v>
      </c>
      <c r="AH78" s="2">
        <v>3.0</v>
      </c>
      <c r="AI78" s="2">
        <v>3.0</v>
      </c>
      <c r="AJ78" s="2">
        <v>0.0</v>
      </c>
      <c r="AK78" s="2">
        <v>6.0</v>
      </c>
      <c r="AL78" s="2" t="s">
        <v>129</v>
      </c>
      <c r="AM78" s="2" t="s">
        <v>130</v>
      </c>
      <c r="AN78" s="2" t="s">
        <v>131</v>
      </c>
      <c r="AO78" s="2" t="s">
        <v>1718</v>
      </c>
      <c r="AP78" s="2"/>
      <c r="AQ78" s="2"/>
      <c r="AR78" s="2" t="s">
        <v>1719</v>
      </c>
      <c r="AS78" s="2"/>
      <c r="AT78" s="2"/>
      <c r="AU78" s="2">
        <v>2014.0</v>
      </c>
      <c r="AV78" s="2"/>
      <c r="AW78" s="2"/>
      <c r="AX78" s="2"/>
      <c r="AY78" s="2"/>
      <c r="AZ78" s="2"/>
      <c r="BA78" s="2"/>
      <c r="BB78" s="2"/>
      <c r="BC78" s="2"/>
      <c r="BD78" s="2"/>
      <c r="BE78" s="2"/>
      <c r="BF78" s="2"/>
      <c r="BG78" s="2"/>
      <c r="BH78" s="2"/>
      <c r="BI78" s="2">
        <v>5.0</v>
      </c>
      <c r="BJ78" s="2" t="s">
        <v>1720</v>
      </c>
      <c r="BK78" s="2" t="s">
        <v>135</v>
      </c>
      <c r="BL78" s="2" t="s">
        <v>1721</v>
      </c>
      <c r="BM78" s="2" t="s">
        <v>1722</v>
      </c>
      <c r="BN78" s="2"/>
      <c r="BO78" s="2"/>
      <c r="BP78" s="2"/>
      <c r="BQ78" s="2"/>
      <c r="BR78" s="2" t="s">
        <v>99</v>
      </c>
      <c r="BS78" s="2" t="s">
        <v>1723</v>
      </c>
      <c r="BT78" s="2" t="str">
        <f>HYPERLINK("https%3A%2F%2Fwww.webofscience.com%2Fwos%2Fwoscc%2Ffull-record%2FWOS:000380455100004","View Full Record in Web of Science")</f>
        <v>View Full Record in Web of Science</v>
      </c>
    </row>
    <row r="79" ht="64.5" customHeight="1">
      <c r="A79" s="2" t="s">
        <v>72</v>
      </c>
      <c r="B79" s="2" t="s">
        <v>1724</v>
      </c>
      <c r="C79" s="2"/>
      <c r="D79" s="2"/>
      <c r="E79" s="2"/>
      <c r="F79" s="2" t="s">
        <v>1725</v>
      </c>
      <c r="G79" s="2"/>
      <c r="H79" s="2"/>
      <c r="I79" s="2" t="s">
        <v>1726</v>
      </c>
      <c r="J79" s="2" t="s">
        <v>1727</v>
      </c>
      <c r="K79" s="2"/>
      <c r="L79" s="2"/>
      <c r="M79" s="2" t="s">
        <v>116</v>
      </c>
      <c r="N79" s="2" t="s">
        <v>78</v>
      </c>
      <c r="O79" s="2"/>
      <c r="P79" s="2"/>
      <c r="Q79" s="2"/>
      <c r="R79" s="2"/>
      <c r="S79" s="2"/>
      <c r="T79" s="2" t="s">
        <v>1728</v>
      </c>
      <c r="U79" s="2"/>
      <c r="V79" s="2" t="s">
        <v>1729</v>
      </c>
      <c r="W79" s="2" t="s">
        <v>1730</v>
      </c>
      <c r="X79" s="2" t="s">
        <v>1731</v>
      </c>
      <c r="Y79" s="2" t="s">
        <v>1732</v>
      </c>
      <c r="Z79" s="2" t="s">
        <v>1733</v>
      </c>
      <c r="AA79" s="2"/>
      <c r="AB79" s="2"/>
      <c r="AC79" s="2"/>
      <c r="AD79" s="2"/>
      <c r="AE79" s="2"/>
      <c r="AF79" s="2" t="s">
        <v>1734</v>
      </c>
      <c r="AG79" s="2">
        <v>38.0</v>
      </c>
      <c r="AH79" s="2">
        <v>4.0</v>
      </c>
      <c r="AI79" s="2">
        <v>4.0</v>
      </c>
      <c r="AJ79" s="2">
        <v>11.0</v>
      </c>
      <c r="AK79" s="2">
        <v>68.0</v>
      </c>
      <c r="AL79" s="2" t="s">
        <v>1735</v>
      </c>
      <c r="AM79" s="2" t="s">
        <v>1736</v>
      </c>
      <c r="AN79" s="2" t="s">
        <v>1737</v>
      </c>
      <c r="AO79" s="2" t="s">
        <v>1738</v>
      </c>
      <c r="AP79" s="2" t="s">
        <v>1739</v>
      </c>
      <c r="AQ79" s="2"/>
      <c r="AR79" s="2" t="s">
        <v>1740</v>
      </c>
      <c r="AS79" s="2" t="s">
        <v>1741</v>
      </c>
      <c r="AT79" s="2"/>
      <c r="AU79" s="2">
        <v>2021.0</v>
      </c>
      <c r="AV79" s="2">
        <v>23.0</v>
      </c>
      <c r="AW79" s="2">
        <v>2.0</v>
      </c>
      <c r="AX79" s="2"/>
      <c r="AY79" s="2"/>
      <c r="AZ79" s="2"/>
      <c r="BA79" s="2"/>
      <c r="BB79" s="2">
        <v>151.0</v>
      </c>
      <c r="BC79" s="2">
        <v>168.0</v>
      </c>
      <c r="BD79" s="2"/>
      <c r="BE79" s="2" t="s">
        <v>1742</v>
      </c>
      <c r="BF79" s="3" t="str">
        <f>HYPERLINK("http://dx.doi.org/10.1504/IJGW.2021.112894","http://dx.doi.org/10.1504/IJGW.2021.112894")</f>
        <v>http://dx.doi.org/10.1504/IJGW.2021.112894</v>
      </c>
      <c r="BG79" s="2"/>
      <c r="BH79" s="2"/>
      <c r="BI79" s="2">
        <v>18.0</v>
      </c>
      <c r="BJ79" s="2" t="s">
        <v>1570</v>
      </c>
      <c r="BK79" s="2" t="s">
        <v>363</v>
      </c>
      <c r="BL79" s="2" t="s">
        <v>97</v>
      </c>
      <c r="BM79" s="2" t="s">
        <v>1743</v>
      </c>
      <c r="BN79" s="2"/>
      <c r="BO79" s="2"/>
      <c r="BP79" s="2"/>
      <c r="BQ79" s="2"/>
      <c r="BR79" s="2" t="s">
        <v>99</v>
      </c>
      <c r="BS79" s="2" t="s">
        <v>1744</v>
      </c>
      <c r="BT79" s="2" t="str">
        <f>HYPERLINK("https%3A%2F%2Fwww.webofscience.com%2Fwos%2Fwoscc%2Ffull-record%2FWOS:000617677900005","View Full Record in Web of Science")</f>
        <v>View Full Record in Web of Science</v>
      </c>
    </row>
    <row r="80" ht="64.5" customHeight="1">
      <c r="A80" s="2" t="s">
        <v>72</v>
      </c>
      <c r="B80" s="2" t="s">
        <v>1745</v>
      </c>
      <c r="C80" s="2"/>
      <c r="D80" s="2"/>
      <c r="E80" s="2"/>
      <c r="F80" s="2" t="s">
        <v>1746</v>
      </c>
      <c r="G80" s="2"/>
      <c r="H80" s="2"/>
      <c r="I80" s="2" t="s">
        <v>1747</v>
      </c>
      <c r="J80" s="2" t="s">
        <v>370</v>
      </c>
      <c r="K80" s="2"/>
      <c r="L80" s="2"/>
      <c r="M80" s="2" t="s">
        <v>116</v>
      </c>
      <c r="N80" s="2" t="s">
        <v>78</v>
      </c>
      <c r="O80" s="2"/>
      <c r="P80" s="2"/>
      <c r="Q80" s="2"/>
      <c r="R80" s="2"/>
      <c r="S80" s="2"/>
      <c r="T80" s="2" t="s">
        <v>1748</v>
      </c>
      <c r="U80" s="2" t="s">
        <v>1749</v>
      </c>
      <c r="V80" s="2" t="s">
        <v>1750</v>
      </c>
      <c r="W80" s="2" t="s">
        <v>1751</v>
      </c>
      <c r="X80" s="2" t="s">
        <v>1294</v>
      </c>
      <c r="Y80" s="2" t="s">
        <v>1752</v>
      </c>
      <c r="Z80" s="2" t="s">
        <v>1753</v>
      </c>
      <c r="AA80" s="2" t="s">
        <v>182</v>
      </c>
      <c r="AB80" s="2" t="s">
        <v>183</v>
      </c>
      <c r="AC80" s="2" t="s">
        <v>529</v>
      </c>
      <c r="AD80" s="2" t="s">
        <v>530</v>
      </c>
      <c r="AE80" s="2" t="s">
        <v>531</v>
      </c>
      <c r="AF80" s="2" t="s">
        <v>1754</v>
      </c>
      <c r="AG80" s="2">
        <v>33.0</v>
      </c>
      <c r="AH80" s="2">
        <v>7.0</v>
      </c>
      <c r="AI80" s="2">
        <v>7.0</v>
      </c>
      <c r="AJ80" s="2">
        <v>3.0</v>
      </c>
      <c r="AK80" s="2">
        <v>21.0</v>
      </c>
      <c r="AL80" s="2" t="s">
        <v>383</v>
      </c>
      <c r="AM80" s="2" t="s">
        <v>384</v>
      </c>
      <c r="AN80" s="2" t="s">
        <v>385</v>
      </c>
      <c r="AO80" s="2"/>
      <c r="AP80" s="2" t="s">
        <v>386</v>
      </c>
      <c r="AQ80" s="2"/>
      <c r="AR80" s="2" t="s">
        <v>387</v>
      </c>
      <c r="AS80" s="2" t="s">
        <v>388</v>
      </c>
      <c r="AT80" s="2" t="s">
        <v>195</v>
      </c>
      <c r="AU80" s="2">
        <v>2021.0</v>
      </c>
      <c r="AV80" s="2">
        <v>13.0</v>
      </c>
      <c r="AW80" s="2">
        <v>8.0</v>
      </c>
      <c r="AX80" s="2"/>
      <c r="AY80" s="2"/>
      <c r="AZ80" s="2"/>
      <c r="BA80" s="2"/>
      <c r="BB80" s="2"/>
      <c r="BC80" s="2"/>
      <c r="BD80" s="2">
        <v>4314.0</v>
      </c>
      <c r="BE80" s="2" t="s">
        <v>1755</v>
      </c>
      <c r="BF80" s="3" t="str">
        <f>HYPERLINK("http://dx.doi.org/10.3390/su13084314","http://dx.doi.org/10.3390/su13084314")</f>
        <v>http://dx.doi.org/10.3390/su13084314</v>
      </c>
      <c r="BG80" s="2"/>
      <c r="BH80" s="2"/>
      <c r="BI80" s="2">
        <v>25.0</v>
      </c>
      <c r="BJ80" s="2" t="s">
        <v>390</v>
      </c>
      <c r="BK80" s="2" t="s">
        <v>363</v>
      </c>
      <c r="BL80" s="2" t="s">
        <v>391</v>
      </c>
      <c r="BM80" s="2" t="s">
        <v>1756</v>
      </c>
      <c r="BN80" s="2"/>
      <c r="BO80" s="2" t="s">
        <v>601</v>
      </c>
      <c r="BP80" s="2"/>
      <c r="BQ80" s="2"/>
      <c r="BR80" s="2" t="s">
        <v>99</v>
      </c>
      <c r="BS80" s="2" t="s">
        <v>1757</v>
      </c>
      <c r="BT80" s="2" t="str">
        <f>HYPERLINK("https%3A%2F%2Fwww.webofscience.com%2Fwos%2Fwoscc%2Ffull-record%2FWOS:000645365100001","View Full Record in Web of Science")</f>
        <v>View Full Record in Web of Science</v>
      </c>
    </row>
    <row r="81" ht="64.5" customHeight="1">
      <c r="A81" s="2" t="s">
        <v>72</v>
      </c>
      <c r="B81" s="2" t="s">
        <v>1758</v>
      </c>
      <c r="C81" s="2"/>
      <c r="D81" s="2"/>
      <c r="E81" s="2"/>
      <c r="F81" s="2" t="s">
        <v>1759</v>
      </c>
      <c r="G81" s="2"/>
      <c r="H81" s="2"/>
      <c r="I81" s="2" t="s">
        <v>1760</v>
      </c>
      <c r="J81" s="2" t="s">
        <v>671</v>
      </c>
      <c r="K81" s="2"/>
      <c r="L81" s="2"/>
      <c r="M81" s="2" t="s">
        <v>116</v>
      </c>
      <c r="N81" s="2" t="s">
        <v>78</v>
      </c>
      <c r="O81" s="2"/>
      <c r="P81" s="2"/>
      <c r="Q81" s="2"/>
      <c r="R81" s="2"/>
      <c r="S81" s="2"/>
      <c r="T81" s="2" t="s">
        <v>1761</v>
      </c>
      <c r="U81" s="2" t="s">
        <v>1762</v>
      </c>
      <c r="V81" s="2" t="s">
        <v>1763</v>
      </c>
      <c r="W81" s="2" t="s">
        <v>1764</v>
      </c>
      <c r="X81" s="2" t="s">
        <v>1765</v>
      </c>
      <c r="Y81" s="2" t="s">
        <v>1766</v>
      </c>
      <c r="Z81" s="2"/>
      <c r="AA81" s="2"/>
      <c r="AB81" s="2"/>
      <c r="AC81" s="2"/>
      <c r="AD81" s="2"/>
      <c r="AE81" s="2"/>
      <c r="AF81" s="2" t="s">
        <v>1767</v>
      </c>
      <c r="AG81" s="2">
        <v>20.0</v>
      </c>
      <c r="AH81" s="2">
        <v>11.0</v>
      </c>
      <c r="AI81" s="2">
        <v>11.0</v>
      </c>
      <c r="AJ81" s="2">
        <v>1.0</v>
      </c>
      <c r="AK81" s="2">
        <v>18.0</v>
      </c>
      <c r="AL81" s="2" t="s">
        <v>679</v>
      </c>
      <c r="AM81" s="2" t="s">
        <v>630</v>
      </c>
      <c r="AN81" s="2" t="s">
        <v>680</v>
      </c>
      <c r="AO81" s="2" t="s">
        <v>681</v>
      </c>
      <c r="AP81" s="2"/>
      <c r="AQ81" s="2"/>
      <c r="AR81" s="2" t="s">
        <v>682</v>
      </c>
      <c r="AS81" s="2" t="s">
        <v>683</v>
      </c>
      <c r="AT81" s="2" t="s">
        <v>684</v>
      </c>
      <c r="AU81" s="2">
        <v>2008.0</v>
      </c>
      <c r="AV81" s="2">
        <v>29.0</v>
      </c>
      <c r="AW81" s="2">
        <v>6.0</v>
      </c>
      <c r="AX81" s="2"/>
      <c r="AY81" s="2"/>
      <c r="AZ81" s="2"/>
      <c r="BA81" s="2"/>
      <c r="BB81" s="2">
        <v>561.0</v>
      </c>
      <c r="BC81" s="2">
        <v>574.0</v>
      </c>
      <c r="BD81" s="2"/>
      <c r="BE81" s="2" t="s">
        <v>1768</v>
      </c>
      <c r="BF81" s="3" t="str">
        <f>HYPERLINK("http://dx.doi.org/10.2747/0272-3646.29.6.561","http://dx.doi.org/10.2747/0272-3646.29.6.561")</f>
        <v>http://dx.doi.org/10.2747/0272-3646.29.6.561</v>
      </c>
      <c r="BG81" s="2"/>
      <c r="BH81" s="2"/>
      <c r="BI81" s="2">
        <v>14.0</v>
      </c>
      <c r="BJ81" s="2" t="s">
        <v>686</v>
      </c>
      <c r="BK81" s="2" t="s">
        <v>226</v>
      </c>
      <c r="BL81" s="2" t="s">
        <v>687</v>
      </c>
      <c r="BM81" s="2" t="s">
        <v>688</v>
      </c>
      <c r="BN81" s="2"/>
      <c r="BO81" s="2"/>
      <c r="BP81" s="2"/>
      <c r="BQ81" s="2"/>
      <c r="BR81" s="2" t="s">
        <v>99</v>
      </c>
      <c r="BS81" s="2" t="s">
        <v>1769</v>
      </c>
      <c r="BT81" s="2" t="str">
        <f>HYPERLINK("https%3A%2F%2Fwww.webofscience.com%2Fwos%2Fwoscc%2Ffull-record%2FWOS:000264488400007","View Full Record in Web of Science")</f>
        <v>View Full Record in Web of Science</v>
      </c>
    </row>
    <row r="82" ht="64.5" customHeight="1">
      <c r="A82" s="2" t="s">
        <v>72</v>
      </c>
      <c r="B82" s="2" t="s">
        <v>1770</v>
      </c>
      <c r="C82" s="2"/>
      <c r="D82" s="2"/>
      <c r="E82" s="2"/>
      <c r="F82" s="2" t="s">
        <v>1771</v>
      </c>
      <c r="G82" s="2"/>
      <c r="H82" s="2"/>
      <c r="I82" s="2" t="s">
        <v>1772</v>
      </c>
      <c r="J82" s="2" t="s">
        <v>1773</v>
      </c>
      <c r="K82" s="2"/>
      <c r="L82" s="2"/>
      <c r="M82" s="2" t="s">
        <v>116</v>
      </c>
      <c r="N82" s="2" t="s">
        <v>78</v>
      </c>
      <c r="O82" s="2"/>
      <c r="P82" s="2"/>
      <c r="Q82" s="2"/>
      <c r="R82" s="2"/>
      <c r="S82" s="2"/>
      <c r="T82" s="2" t="s">
        <v>1774</v>
      </c>
      <c r="U82" s="2" t="s">
        <v>1775</v>
      </c>
      <c r="V82" s="2" t="s">
        <v>1776</v>
      </c>
      <c r="W82" s="2" t="s">
        <v>1777</v>
      </c>
      <c r="X82" s="2" t="s">
        <v>1778</v>
      </c>
      <c r="Y82" s="2" t="s">
        <v>1779</v>
      </c>
      <c r="Z82" s="2" t="s">
        <v>1780</v>
      </c>
      <c r="AA82" s="2"/>
      <c r="AB82" s="2" t="s">
        <v>1781</v>
      </c>
      <c r="AC82" s="2" t="s">
        <v>1782</v>
      </c>
      <c r="AD82" s="2" t="s">
        <v>1782</v>
      </c>
      <c r="AE82" s="2" t="s">
        <v>1783</v>
      </c>
      <c r="AF82" s="2" t="s">
        <v>1784</v>
      </c>
      <c r="AG82" s="2">
        <v>32.0</v>
      </c>
      <c r="AH82" s="2">
        <v>5.0</v>
      </c>
      <c r="AI82" s="2">
        <v>5.0</v>
      </c>
      <c r="AJ82" s="2">
        <v>7.0</v>
      </c>
      <c r="AK82" s="2">
        <v>26.0</v>
      </c>
      <c r="AL82" s="2" t="s">
        <v>1785</v>
      </c>
      <c r="AM82" s="2" t="s">
        <v>1786</v>
      </c>
      <c r="AN82" s="2" t="s">
        <v>1787</v>
      </c>
      <c r="AO82" s="2" t="s">
        <v>1788</v>
      </c>
      <c r="AP82" s="2" t="s">
        <v>1789</v>
      </c>
      <c r="AQ82" s="2"/>
      <c r="AR82" s="2" t="s">
        <v>1790</v>
      </c>
      <c r="AS82" s="2" t="s">
        <v>1791</v>
      </c>
      <c r="AT82" s="2" t="s">
        <v>195</v>
      </c>
      <c r="AU82" s="2">
        <v>2015.0</v>
      </c>
      <c r="AV82" s="2">
        <v>141.0</v>
      </c>
      <c r="AW82" s="2">
        <v>2.0</v>
      </c>
      <c r="AX82" s="2"/>
      <c r="AY82" s="2"/>
      <c r="AZ82" s="2" t="s">
        <v>359</v>
      </c>
      <c r="BA82" s="2"/>
      <c r="BB82" s="2"/>
      <c r="BC82" s="2"/>
      <c r="BD82" s="2" t="s">
        <v>1792</v>
      </c>
      <c r="BE82" s="2" t="s">
        <v>1793</v>
      </c>
      <c r="BF82" s="3" t="str">
        <f>HYPERLINK("http://dx.doi.org/10.1061/(ASCE)EI.1943-5541.0000210","http://dx.doi.org/10.1061/(ASCE)EI.1943-5541.0000210")</f>
        <v>http://dx.doi.org/10.1061/(ASCE)EI.1943-5541.0000210</v>
      </c>
      <c r="BG82" s="2"/>
      <c r="BH82" s="2"/>
      <c r="BI82" s="2">
        <v>10.0</v>
      </c>
      <c r="BJ82" s="2" t="s">
        <v>1794</v>
      </c>
      <c r="BK82" s="2" t="s">
        <v>363</v>
      </c>
      <c r="BL82" s="2" t="s">
        <v>1795</v>
      </c>
      <c r="BM82" s="2" t="s">
        <v>1796</v>
      </c>
      <c r="BN82" s="2"/>
      <c r="BO82" s="2"/>
      <c r="BP82" s="2"/>
      <c r="BQ82" s="2"/>
      <c r="BR82" s="2" t="s">
        <v>99</v>
      </c>
      <c r="BS82" s="2" t="s">
        <v>1797</v>
      </c>
      <c r="BT82" s="2" t="str">
        <f>HYPERLINK("https%3A%2F%2Fwww.webofscience.com%2Fwos%2Fwoscc%2Ffull-record%2FWOS:000351473700003","View Full Record in Web of Science")</f>
        <v>View Full Record in Web of Science</v>
      </c>
    </row>
    <row r="83" ht="64.5" customHeight="1">
      <c r="A83" s="2" t="s">
        <v>72</v>
      </c>
      <c r="B83" s="2" t="s">
        <v>1798</v>
      </c>
      <c r="C83" s="2"/>
      <c r="D83" s="2"/>
      <c r="E83" s="2"/>
      <c r="F83" s="2" t="s">
        <v>1799</v>
      </c>
      <c r="G83" s="2"/>
      <c r="H83" s="2"/>
      <c r="I83" s="2" t="s">
        <v>1800</v>
      </c>
      <c r="J83" s="2" t="s">
        <v>1801</v>
      </c>
      <c r="K83" s="2"/>
      <c r="L83" s="2"/>
      <c r="M83" s="2" t="s">
        <v>116</v>
      </c>
      <c r="N83" s="2" t="s">
        <v>78</v>
      </c>
      <c r="O83" s="2"/>
      <c r="P83" s="2"/>
      <c r="Q83" s="2"/>
      <c r="R83" s="2"/>
      <c r="S83" s="2"/>
      <c r="T83" s="2" t="s">
        <v>1802</v>
      </c>
      <c r="U83" s="2" t="s">
        <v>1803</v>
      </c>
      <c r="V83" s="2" t="s">
        <v>1804</v>
      </c>
      <c r="W83" s="2" t="s">
        <v>1805</v>
      </c>
      <c r="X83" s="2" t="s">
        <v>1806</v>
      </c>
      <c r="Y83" s="2" t="s">
        <v>1807</v>
      </c>
      <c r="Z83" s="2" t="s">
        <v>764</v>
      </c>
      <c r="AA83" s="2"/>
      <c r="AB83" s="2" t="s">
        <v>1808</v>
      </c>
      <c r="AC83" s="2" t="s">
        <v>1809</v>
      </c>
      <c r="AD83" s="2" t="s">
        <v>1810</v>
      </c>
      <c r="AE83" s="2" t="s">
        <v>1811</v>
      </c>
      <c r="AF83" s="2" t="s">
        <v>1812</v>
      </c>
      <c r="AG83" s="2">
        <v>48.0</v>
      </c>
      <c r="AH83" s="2">
        <v>14.0</v>
      </c>
      <c r="AI83" s="2">
        <v>16.0</v>
      </c>
      <c r="AJ83" s="2">
        <v>3.0</v>
      </c>
      <c r="AK83" s="2">
        <v>34.0</v>
      </c>
      <c r="AL83" s="2" t="s">
        <v>156</v>
      </c>
      <c r="AM83" s="2" t="s">
        <v>157</v>
      </c>
      <c r="AN83" s="2" t="s">
        <v>158</v>
      </c>
      <c r="AO83" s="2" t="s">
        <v>1813</v>
      </c>
      <c r="AP83" s="2" t="s">
        <v>1814</v>
      </c>
      <c r="AQ83" s="2"/>
      <c r="AR83" s="2" t="s">
        <v>1815</v>
      </c>
      <c r="AS83" s="2" t="s">
        <v>1816</v>
      </c>
      <c r="AT83" s="2"/>
      <c r="AU83" s="2">
        <v>2017.0</v>
      </c>
      <c r="AV83" s="2">
        <v>39.0</v>
      </c>
      <c r="AW83" s="2">
        <v>16.0</v>
      </c>
      <c r="AX83" s="2"/>
      <c r="AY83" s="2"/>
      <c r="AZ83" s="2"/>
      <c r="BA83" s="2"/>
      <c r="BB83" s="2">
        <v>2151.0</v>
      </c>
      <c r="BC83" s="2">
        <v>2170.0</v>
      </c>
      <c r="BD83" s="2"/>
      <c r="BE83" s="2" t="s">
        <v>1817</v>
      </c>
      <c r="BF83" s="3" t="str">
        <f>HYPERLINK("http://dx.doi.org/10.1080/09500693.2017.1365184","http://dx.doi.org/10.1080/09500693.2017.1365184")</f>
        <v>http://dx.doi.org/10.1080/09500693.2017.1365184</v>
      </c>
      <c r="BG83" s="2"/>
      <c r="BH83" s="2"/>
      <c r="BI83" s="2">
        <v>20.0</v>
      </c>
      <c r="BJ83" s="2" t="s">
        <v>331</v>
      </c>
      <c r="BK83" s="2" t="s">
        <v>166</v>
      </c>
      <c r="BL83" s="2" t="s">
        <v>331</v>
      </c>
      <c r="BM83" s="2" t="s">
        <v>1818</v>
      </c>
      <c r="BN83" s="2"/>
      <c r="BO83" s="2"/>
      <c r="BP83" s="2"/>
      <c r="BQ83" s="2"/>
      <c r="BR83" s="2" t="s">
        <v>99</v>
      </c>
      <c r="BS83" s="2" t="s">
        <v>1819</v>
      </c>
      <c r="BT83" s="2" t="str">
        <f>HYPERLINK("https%3A%2F%2Fwww.webofscience.com%2Fwos%2Fwoscc%2Ffull-record%2FWOS:000416788500001","View Full Record in Web of Science")</f>
        <v>View Full Record in Web of Science</v>
      </c>
    </row>
    <row r="84" ht="64.5" customHeight="1">
      <c r="A84" s="2" t="s">
        <v>72</v>
      </c>
      <c r="B84" s="2" t="s">
        <v>1820</v>
      </c>
      <c r="C84" s="2"/>
      <c r="D84" s="2"/>
      <c r="E84" s="2"/>
      <c r="F84" s="2" t="s">
        <v>1821</v>
      </c>
      <c r="G84" s="2"/>
      <c r="H84" s="2"/>
      <c r="I84" s="2" t="s">
        <v>1822</v>
      </c>
      <c r="J84" s="2" t="s">
        <v>1823</v>
      </c>
      <c r="K84" s="2"/>
      <c r="L84" s="2"/>
      <c r="M84" s="2" t="s">
        <v>116</v>
      </c>
      <c r="N84" s="2" t="s">
        <v>78</v>
      </c>
      <c r="O84" s="2"/>
      <c r="P84" s="2"/>
      <c r="Q84" s="2"/>
      <c r="R84" s="2"/>
      <c r="S84" s="2"/>
      <c r="T84" s="2" t="s">
        <v>1824</v>
      </c>
      <c r="U84" s="2" t="s">
        <v>1825</v>
      </c>
      <c r="V84" s="2" t="s">
        <v>1826</v>
      </c>
      <c r="W84" s="2" t="s">
        <v>1827</v>
      </c>
      <c r="X84" s="2" t="s">
        <v>1828</v>
      </c>
      <c r="Y84" s="2" t="s">
        <v>1829</v>
      </c>
      <c r="Z84" s="2" t="s">
        <v>1830</v>
      </c>
      <c r="AA84" s="2"/>
      <c r="AB84" s="2" t="s">
        <v>1831</v>
      </c>
      <c r="AC84" s="2" t="s">
        <v>1832</v>
      </c>
      <c r="AD84" s="2" t="s">
        <v>1833</v>
      </c>
      <c r="AE84" s="2" t="s">
        <v>1834</v>
      </c>
      <c r="AF84" s="2" t="s">
        <v>1835</v>
      </c>
      <c r="AG84" s="2">
        <v>50.0</v>
      </c>
      <c r="AH84" s="2">
        <v>3.0</v>
      </c>
      <c r="AI84" s="2">
        <v>4.0</v>
      </c>
      <c r="AJ84" s="2">
        <v>5.0</v>
      </c>
      <c r="AK84" s="2">
        <v>6.0</v>
      </c>
      <c r="AL84" s="2" t="s">
        <v>188</v>
      </c>
      <c r="AM84" s="2" t="s">
        <v>290</v>
      </c>
      <c r="AN84" s="2" t="s">
        <v>291</v>
      </c>
      <c r="AO84" s="2" t="s">
        <v>1836</v>
      </c>
      <c r="AP84" s="2" t="s">
        <v>1837</v>
      </c>
      <c r="AQ84" s="2"/>
      <c r="AR84" s="2" t="s">
        <v>1838</v>
      </c>
      <c r="AS84" s="2" t="s">
        <v>1839</v>
      </c>
      <c r="AT84" s="2" t="s">
        <v>1840</v>
      </c>
      <c r="AU84" s="2">
        <v>2023.0</v>
      </c>
      <c r="AV84" s="2">
        <v>235.0</v>
      </c>
      <c r="AW84" s="2"/>
      <c r="AX84" s="2"/>
      <c r="AY84" s="2"/>
      <c r="AZ84" s="2"/>
      <c r="BA84" s="2"/>
      <c r="BB84" s="2"/>
      <c r="BC84" s="2"/>
      <c r="BD84" s="2">
        <v>106494.0</v>
      </c>
      <c r="BE84" s="2" t="s">
        <v>1841</v>
      </c>
      <c r="BF84" s="3" t="str">
        <f>HYPERLINK("http://dx.doi.org/10.1016/j.ocecoaman.2023.106494","http://dx.doi.org/10.1016/j.ocecoaman.2023.106494")</f>
        <v>http://dx.doi.org/10.1016/j.ocecoaman.2023.106494</v>
      </c>
      <c r="BG84" s="2"/>
      <c r="BH84" s="2" t="s">
        <v>1422</v>
      </c>
      <c r="BI84" s="2">
        <v>8.0</v>
      </c>
      <c r="BJ84" s="2" t="s">
        <v>1842</v>
      </c>
      <c r="BK84" s="2" t="s">
        <v>226</v>
      </c>
      <c r="BL84" s="2" t="s">
        <v>1842</v>
      </c>
      <c r="BM84" s="2" t="s">
        <v>1843</v>
      </c>
      <c r="BN84" s="2"/>
      <c r="BO84" s="2"/>
      <c r="BP84" s="2"/>
      <c r="BQ84" s="2"/>
      <c r="BR84" s="2" t="s">
        <v>99</v>
      </c>
      <c r="BS84" s="2" t="s">
        <v>1844</v>
      </c>
      <c r="BT84" s="2" t="str">
        <f>HYPERLINK("https%3A%2F%2Fwww.webofscience.com%2Fwos%2Fwoscc%2Ffull-record%2FWOS:001058018000001","View Full Record in Web of Science")</f>
        <v>View Full Record in Web of Science</v>
      </c>
    </row>
    <row r="85" ht="64.5" customHeight="1">
      <c r="A85" s="2" t="s">
        <v>72</v>
      </c>
      <c r="B85" s="2" t="s">
        <v>1845</v>
      </c>
      <c r="C85" s="2"/>
      <c r="D85" s="2"/>
      <c r="E85" s="2"/>
      <c r="F85" s="2" t="s">
        <v>1846</v>
      </c>
      <c r="G85" s="2"/>
      <c r="H85" s="2"/>
      <c r="I85" s="2" t="s">
        <v>1847</v>
      </c>
      <c r="J85" s="2" t="s">
        <v>142</v>
      </c>
      <c r="K85" s="2"/>
      <c r="L85" s="2"/>
      <c r="M85" s="2" t="s">
        <v>116</v>
      </c>
      <c r="N85" s="2" t="s">
        <v>1599</v>
      </c>
      <c r="O85" s="2"/>
      <c r="P85" s="2"/>
      <c r="Q85" s="2"/>
      <c r="R85" s="2"/>
      <c r="S85" s="2"/>
      <c r="T85" s="2" t="s">
        <v>1848</v>
      </c>
      <c r="U85" s="2" t="s">
        <v>1849</v>
      </c>
      <c r="V85" s="2" t="s">
        <v>1850</v>
      </c>
      <c r="W85" s="2" t="s">
        <v>1851</v>
      </c>
      <c r="X85" s="2" t="s">
        <v>1852</v>
      </c>
      <c r="Y85" s="2" t="s">
        <v>1853</v>
      </c>
      <c r="Z85" s="2" t="s">
        <v>1854</v>
      </c>
      <c r="AA85" s="2"/>
      <c r="AB85" s="2"/>
      <c r="AC85" s="2" t="s">
        <v>1855</v>
      </c>
      <c r="AD85" s="2" t="s">
        <v>1855</v>
      </c>
      <c r="AE85" s="2" t="s">
        <v>1856</v>
      </c>
      <c r="AF85" s="2" t="s">
        <v>1857</v>
      </c>
      <c r="AG85" s="2">
        <v>42.0</v>
      </c>
      <c r="AH85" s="2">
        <v>0.0</v>
      </c>
      <c r="AI85" s="2">
        <v>0.0</v>
      </c>
      <c r="AJ85" s="2">
        <v>10.0</v>
      </c>
      <c r="AK85" s="2">
        <v>10.0</v>
      </c>
      <c r="AL85" s="2" t="s">
        <v>156</v>
      </c>
      <c r="AM85" s="2" t="s">
        <v>157</v>
      </c>
      <c r="AN85" s="2" t="s">
        <v>158</v>
      </c>
      <c r="AO85" s="2" t="s">
        <v>159</v>
      </c>
      <c r="AP85" s="2" t="s">
        <v>160</v>
      </c>
      <c r="AQ85" s="2"/>
      <c r="AR85" s="2" t="s">
        <v>161</v>
      </c>
      <c r="AS85" s="2" t="s">
        <v>162</v>
      </c>
      <c r="AT85" s="2" t="s">
        <v>1858</v>
      </c>
      <c r="AU85" s="2">
        <v>2024.0</v>
      </c>
      <c r="AV85" s="2"/>
      <c r="AW85" s="2"/>
      <c r="AX85" s="2"/>
      <c r="AY85" s="2"/>
      <c r="AZ85" s="2"/>
      <c r="BA85" s="2"/>
      <c r="BB85" s="2"/>
      <c r="BC85" s="2"/>
      <c r="BD85" s="2"/>
      <c r="BE85" s="2" t="s">
        <v>1859</v>
      </c>
      <c r="BF85" s="3" t="str">
        <f>HYPERLINK("http://dx.doi.org/10.1080/13504622.2024.2309588","http://dx.doi.org/10.1080/13504622.2024.2309588")</f>
        <v>http://dx.doi.org/10.1080/13504622.2024.2309588</v>
      </c>
      <c r="BG85" s="2"/>
      <c r="BH85" s="2" t="s">
        <v>1860</v>
      </c>
      <c r="BI85" s="2">
        <v>19.0</v>
      </c>
      <c r="BJ85" s="2" t="s">
        <v>165</v>
      </c>
      <c r="BK85" s="2" t="s">
        <v>166</v>
      </c>
      <c r="BL85" s="2" t="s">
        <v>167</v>
      </c>
      <c r="BM85" s="2" t="s">
        <v>1861</v>
      </c>
      <c r="BN85" s="2"/>
      <c r="BO85" s="2"/>
      <c r="BP85" s="2"/>
      <c r="BQ85" s="2"/>
      <c r="BR85" s="2" t="s">
        <v>99</v>
      </c>
      <c r="BS85" s="2" t="s">
        <v>1862</v>
      </c>
      <c r="BT85" s="2" t="str">
        <f>HYPERLINK("https%3A%2F%2Fwww.webofscience.com%2Fwos%2Fwoscc%2Ffull-record%2FWOS:001153722000001","View Full Record in Web of Science")</f>
        <v>View Full Record in Web of Science</v>
      </c>
    </row>
    <row r="86" ht="64.5" customHeight="1">
      <c r="A86" s="2" t="s">
        <v>72</v>
      </c>
      <c r="B86" s="2" t="s">
        <v>1379</v>
      </c>
      <c r="C86" s="2"/>
      <c r="D86" s="2"/>
      <c r="E86" s="2"/>
      <c r="F86" s="2" t="s">
        <v>1381</v>
      </c>
      <c r="G86" s="2"/>
      <c r="H86" s="2"/>
      <c r="I86" s="2" t="s">
        <v>1863</v>
      </c>
      <c r="J86" s="2" t="s">
        <v>1864</v>
      </c>
      <c r="K86" s="2"/>
      <c r="L86" s="2"/>
      <c r="M86" s="2" t="s">
        <v>116</v>
      </c>
      <c r="N86" s="2" t="s">
        <v>1865</v>
      </c>
      <c r="O86" s="2" t="s">
        <v>1866</v>
      </c>
      <c r="P86" s="2" t="s">
        <v>1867</v>
      </c>
      <c r="Q86" s="2" t="s">
        <v>1868</v>
      </c>
      <c r="R86" s="2"/>
      <c r="S86" s="2" t="s">
        <v>1869</v>
      </c>
      <c r="T86" s="2" t="s">
        <v>1870</v>
      </c>
      <c r="U86" s="2" t="s">
        <v>1871</v>
      </c>
      <c r="V86" s="2" t="s">
        <v>1872</v>
      </c>
      <c r="W86" s="2" t="s">
        <v>1873</v>
      </c>
      <c r="X86" s="2" t="s">
        <v>1391</v>
      </c>
      <c r="Y86" s="2" t="s">
        <v>1874</v>
      </c>
      <c r="Z86" s="2" t="s">
        <v>1875</v>
      </c>
      <c r="AA86" s="2" t="s">
        <v>1394</v>
      </c>
      <c r="AB86" s="2" t="s">
        <v>1682</v>
      </c>
      <c r="AC86" s="2"/>
      <c r="AD86" s="2"/>
      <c r="AE86" s="2"/>
      <c r="AF86" s="2" t="s">
        <v>1876</v>
      </c>
      <c r="AG86" s="2">
        <v>34.0</v>
      </c>
      <c r="AH86" s="2">
        <v>39.0</v>
      </c>
      <c r="AI86" s="2">
        <v>39.0</v>
      </c>
      <c r="AJ86" s="2">
        <v>3.0</v>
      </c>
      <c r="AK86" s="2">
        <v>21.0</v>
      </c>
      <c r="AL86" s="2" t="s">
        <v>1346</v>
      </c>
      <c r="AM86" s="2" t="s">
        <v>428</v>
      </c>
      <c r="AN86" s="2" t="s">
        <v>1347</v>
      </c>
      <c r="AO86" s="2" t="s">
        <v>1877</v>
      </c>
      <c r="AP86" s="2"/>
      <c r="AQ86" s="2"/>
      <c r="AR86" s="2" t="s">
        <v>1878</v>
      </c>
      <c r="AS86" s="2" t="s">
        <v>1879</v>
      </c>
      <c r="AT86" s="2" t="s">
        <v>1017</v>
      </c>
      <c r="AU86" s="2">
        <v>2020.0</v>
      </c>
      <c r="AV86" s="2">
        <v>6.0</v>
      </c>
      <c r="AW86" s="2"/>
      <c r="AX86" s="2"/>
      <c r="AY86" s="2">
        <v>1.0</v>
      </c>
      <c r="AZ86" s="2"/>
      <c r="BA86" s="2"/>
      <c r="BB86" s="2">
        <v>454.0</v>
      </c>
      <c r="BC86" s="2">
        <v>459.0</v>
      </c>
      <c r="BD86" s="2"/>
      <c r="BE86" s="2" t="s">
        <v>1880</v>
      </c>
      <c r="BF86" s="3" t="str">
        <f>HYPERLINK("http://dx.doi.org/10.1016/j.egyr.2019.09.007","http://dx.doi.org/10.1016/j.egyr.2019.09.007")</f>
        <v>http://dx.doi.org/10.1016/j.egyr.2019.09.007</v>
      </c>
      <c r="BG86" s="2"/>
      <c r="BH86" s="2"/>
      <c r="BI86" s="2">
        <v>6.0</v>
      </c>
      <c r="BJ86" s="2" t="s">
        <v>1592</v>
      </c>
      <c r="BK86" s="2" t="s">
        <v>1881</v>
      </c>
      <c r="BL86" s="2" t="s">
        <v>1592</v>
      </c>
      <c r="BM86" s="2" t="s">
        <v>1882</v>
      </c>
      <c r="BN86" s="2"/>
      <c r="BO86" s="2" t="s">
        <v>255</v>
      </c>
      <c r="BP86" s="2"/>
      <c r="BQ86" s="2"/>
      <c r="BR86" s="2" t="s">
        <v>99</v>
      </c>
      <c r="BS86" s="2" t="s">
        <v>1883</v>
      </c>
      <c r="BT86" s="2" t="str">
        <f>HYPERLINK("https%3A%2F%2Fwww.webofscience.com%2Fwos%2Fwoscc%2Ffull-record%2FWOS:000518455400071","View Full Record in Web of Science")</f>
        <v>View Full Record in Web of Science</v>
      </c>
    </row>
    <row r="87" ht="64.5" customHeight="1">
      <c r="A87" s="2" t="s">
        <v>110</v>
      </c>
      <c r="B87" s="2" t="s">
        <v>1884</v>
      </c>
      <c r="C87" s="2"/>
      <c r="D87" s="2" t="s">
        <v>1885</v>
      </c>
      <c r="E87" s="2"/>
      <c r="F87" s="2" t="s">
        <v>1886</v>
      </c>
      <c r="G87" s="2"/>
      <c r="H87" s="2"/>
      <c r="I87" s="2" t="s">
        <v>1887</v>
      </c>
      <c r="J87" s="2" t="s">
        <v>1888</v>
      </c>
      <c r="K87" s="2"/>
      <c r="L87" s="2"/>
      <c r="M87" s="2" t="s">
        <v>116</v>
      </c>
      <c r="N87" s="2" t="s">
        <v>117</v>
      </c>
      <c r="O87" s="2" t="s">
        <v>1889</v>
      </c>
      <c r="P87" s="2" t="s">
        <v>1890</v>
      </c>
      <c r="Q87" s="2" t="s">
        <v>1891</v>
      </c>
      <c r="R87" s="2"/>
      <c r="S87" s="2"/>
      <c r="T87" s="4" t="s">
        <v>121</v>
      </c>
      <c r="U87" s="2"/>
      <c r="V87" s="2" t="s">
        <v>1892</v>
      </c>
      <c r="W87" s="2" t="s">
        <v>1893</v>
      </c>
      <c r="X87" s="2"/>
      <c r="Y87" s="2" t="s">
        <v>1894</v>
      </c>
      <c r="Z87" s="2" t="s">
        <v>1895</v>
      </c>
      <c r="AA87" s="2" t="s">
        <v>1896</v>
      </c>
      <c r="AB87" s="2"/>
      <c r="AC87" s="2"/>
      <c r="AD87" s="2"/>
      <c r="AE87" s="2"/>
      <c r="AF87" s="2" t="s">
        <v>1897</v>
      </c>
      <c r="AG87" s="2">
        <v>14.0</v>
      </c>
      <c r="AH87" s="2">
        <v>1.0</v>
      </c>
      <c r="AI87" s="2">
        <v>1.0</v>
      </c>
      <c r="AJ87" s="2">
        <v>0.0</v>
      </c>
      <c r="AK87" s="2">
        <v>1.0</v>
      </c>
      <c r="AL87" s="2" t="s">
        <v>1898</v>
      </c>
      <c r="AM87" s="2" t="s">
        <v>1899</v>
      </c>
      <c r="AN87" s="2" t="s">
        <v>1900</v>
      </c>
      <c r="AO87" s="2"/>
      <c r="AP87" s="2"/>
      <c r="AQ87" s="2" t="s">
        <v>1901</v>
      </c>
      <c r="AR87" s="2"/>
      <c r="AS87" s="2"/>
      <c r="AT87" s="2"/>
      <c r="AU87" s="2">
        <v>2014.0</v>
      </c>
      <c r="AV87" s="2"/>
      <c r="AW87" s="2"/>
      <c r="AX87" s="2"/>
      <c r="AY87" s="2"/>
      <c r="AZ87" s="2"/>
      <c r="BA87" s="2"/>
      <c r="BB87" s="2"/>
      <c r="BC87" s="2"/>
      <c r="BD87" s="2"/>
      <c r="BE87" s="2"/>
      <c r="BF87" s="2"/>
      <c r="BG87" s="2"/>
      <c r="BH87" s="2"/>
      <c r="BI87" s="2">
        <v>8.0</v>
      </c>
      <c r="BJ87" s="2" t="s">
        <v>1902</v>
      </c>
      <c r="BK87" s="2" t="s">
        <v>135</v>
      </c>
      <c r="BL87" s="2" t="s">
        <v>1902</v>
      </c>
      <c r="BM87" s="2" t="s">
        <v>1903</v>
      </c>
      <c r="BN87" s="2"/>
      <c r="BO87" s="2"/>
      <c r="BP87" s="2"/>
      <c r="BQ87" s="2"/>
      <c r="BR87" s="2" t="s">
        <v>99</v>
      </c>
      <c r="BS87" s="2" t="s">
        <v>1904</v>
      </c>
      <c r="BT87" s="2" t="str">
        <f>HYPERLINK("https%3A%2F%2Fwww.webofscience.com%2Fwos%2Fwoscc%2Ffull-record%2FWOS:000390002500006","View Full Record in Web of Science")</f>
        <v>View Full Record in Web of Science</v>
      </c>
    </row>
    <row r="88" ht="64.5" customHeight="1">
      <c r="A88" s="2" t="s">
        <v>72</v>
      </c>
      <c r="B88" s="2" t="s">
        <v>1905</v>
      </c>
      <c r="C88" s="2"/>
      <c r="D88" s="2"/>
      <c r="E88" s="2"/>
      <c r="F88" s="2" t="s">
        <v>1906</v>
      </c>
      <c r="G88" s="2"/>
      <c r="H88" s="2"/>
      <c r="I88" s="2" t="s">
        <v>1907</v>
      </c>
      <c r="J88" s="2" t="s">
        <v>712</v>
      </c>
      <c r="K88" s="2"/>
      <c r="L88" s="2"/>
      <c r="M88" s="2" t="s">
        <v>116</v>
      </c>
      <c r="N88" s="2" t="s">
        <v>78</v>
      </c>
      <c r="O88" s="2"/>
      <c r="P88" s="2"/>
      <c r="Q88" s="2"/>
      <c r="R88" s="2"/>
      <c r="S88" s="2"/>
      <c r="T88" s="2" t="s">
        <v>1908</v>
      </c>
      <c r="U88" s="2" t="s">
        <v>1909</v>
      </c>
      <c r="V88" s="2" t="s">
        <v>1910</v>
      </c>
      <c r="W88" s="2" t="s">
        <v>1911</v>
      </c>
      <c r="X88" s="2" t="s">
        <v>1912</v>
      </c>
      <c r="Y88" s="2" t="s">
        <v>1913</v>
      </c>
      <c r="Z88" s="2" t="s">
        <v>1914</v>
      </c>
      <c r="AA88" s="2" t="s">
        <v>1915</v>
      </c>
      <c r="AB88" s="2" t="s">
        <v>1916</v>
      </c>
      <c r="AC88" s="2"/>
      <c r="AD88" s="2"/>
      <c r="AE88" s="2"/>
      <c r="AF88" s="2" t="s">
        <v>1917</v>
      </c>
      <c r="AG88" s="2">
        <v>29.0</v>
      </c>
      <c r="AH88" s="2">
        <v>16.0</v>
      </c>
      <c r="AI88" s="2">
        <v>16.0</v>
      </c>
      <c r="AJ88" s="2">
        <v>2.0</v>
      </c>
      <c r="AK88" s="2">
        <v>18.0</v>
      </c>
      <c r="AL88" s="2" t="s">
        <v>726</v>
      </c>
      <c r="AM88" s="2" t="s">
        <v>727</v>
      </c>
      <c r="AN88" s="2" t="s">
        <v>728</v>
      </c>
      <c r="AO88" s="2" t="s">
        <v>729</v>
      </c>
      <c r="AP88" s="2"/>
      <c r="AQ88" s="2"/>
      <c r="AR88" s="2" t="s">
        <v>730</v>
      </c>
      <c r="AS88" s="2" t="s">
        <v>731</v>
      </c>
      <c r="AT88" s="2"/>
      <c r="AU88" s="2">
        <v>2020.0</v>
      </c>
      <c r="AV88" s="2">
        <v>21.0</v>
      </c>
      <c r="AW88" s="2">
        <v>3.0</v>
      </c>
      <c r="AX88" s="2"/>
      <c r="AY88" s="2"/>
      <c r="AZ88" s="2"/>
      <c r="BA88" s="2"/>
      <c r="BB88" s="2">
        <v>592.0</v>
      </c>
      <c r="BC88" s="2">
        <v>598.0</v>
      </c>
      <c r="BD88" s="2"/>
      <c r="BE88" s="2" t="s">
        <v>1918</v>
      </c>
      <c r="BF88" s="3" t="str">
        <f>HYPERLINK("http://dx.doi.org/10.12681/mms.23400","http://dx.doi.org/10.12681/mms.23400")</f>
        <v>http://dx.doi.org/10.12681/mms.23400</v>
      </c>
      <c r="BG88" s="2"/>
      <c r="BH88" s="2"/>
      <c r="BI88" s="2">
        <v>7.0</v>
      </c>
      <c r="BJ88" s="2" t="s">
        <v>733</v>
      </c>
      <c r="BK88" s="2" t="s">
        <v>226</v>
      </c>
      <c r="BL88" s="2" t="s">
        <v>734</v>
      </c>
      <c r="BM88" s="2" t="s">
        <v>1919</v>
      </c>
      <c r="BN88" s="2"/>
      <c r="BO88" s="2" t="s">
        <v>255</v>
      </c>
      <c r="BP88" s="2"/>
      <c r="BQ88" s="2"/>
      <c r="BR88" s="2" t="s">
        <v>99</v>
      </c>
      <c r="BS88" s="2" t="s">
        <v>1920</v>
      </c>
      <c r="BT88" s="2" t="str">
        <f>HYPERLINK("https%3A%2F%2Fwww.webofscience.com%2Fwos%2Fwoscc%2Ffull-record%2FWOS:000589690900009","View Full Record in Web of Science")</f>
        <v>View Full Record in Web of Science</v>
      </c>
    </row>
    <row r="89" ht="64.5" customHeight="1">
      <c r="A89" s="2" t="s">
        <v>72</v>
      </c>
      <c r="B89" s="2" t="s">
        <v>1379</v>
      </c>
      <c r="C89" s="2"/>
      <c r="D89" s="2"/>
      <c r="E89" s="2"/>
      <c r="F89" s="2" t="s">
        <v>1381</v>
      </c>
      <c r="G89" s="2"/>
      <c r="H89" s="2"/>
      <c r="I89" s="2" t="s">
        <v>1921</v>
      </c>
      <c r="J89" s="2" t="s">
        <v>1864</v>
      </c>
      <c r="K89" s="2"/>
      <c r="L89" s="2"/>
      <c r="M89" s="2" t="s">
        <v>116</v>
      </c>
      <c r="N89" s="2" t="s">
        <v>1865</v>
      </c>
      <c r="O89" s="2" t="s">
        <v>1922</v>
      </c>
      <c r="P89" s="2" t="s">
        <v>1923</v>
      </c>
      <c r="Q89" s="2" t="s">
        <v>1924</v>
      </c>
      <c r="R89" s="2"/>
      <c r="S89" s="2" t="s">
        <v>1925</v>
      </c>
      <c r="T89" s="2" t="s">
        <v>1926</v>
      </c>
      <c r="U89" s="2" t="s">
        <v>1927</v>
      </c>
      <c r="V89" s="2" t="s">
        <v>1928</v>
      </c>
      <c r="W89" s="2" t="s">
        <v>1679</v>
      </c>
      <c r="X89" s="2" t="s">
        <v>1680</v>
      </c>
      <c r="Y89" s="2" t="s">
        <v>1929</v>
      </c>
      <c r="Z89" s="2" t="s">
        <v>1875</v>
      </c>
      <c r="AA89" s="2" t="s">
        <v>1930</v>
      </c>
      <c r="AB89" s="2" t="s">
        <v>1931</v>
      </c>
      <c r="AC89" s="2" t="s">
        <v>1932</v>
      </c>
      <c r="AD89" s="2" t="s">
        <v>1933</v>
      </c>
      <c r="AE89" s="2" t="s">
        <v>1934</v>
      </c>
      <c r="AF89" s="2" t="s">
        <v>1935</v>
      </c>
      <c r="AG89" s="2">
        <v>23.0</v>
      </c>
      <c r="AH89" s="2">
        <v>14.0</v>
      </c>
      <c r="AI89" s="2">
        <v>14.0</v>
      </c>
      <c r="AJ89" s="2">
        <v>6.0</v>
      </c>
      <c r="AK89" s="2">
        <v>23.0</v>
      </c>
      <c r="AL89" s="2" t="s">
        <v>1346</v>
      </c>
      <c r="AM89" s="2" t="s">
        <v>428</v>
      </c>
      <c r="AN89" s="2" t="s">
        <v>1347</v>
      </c>
      <c r="AO89" s="2" t="s">
        <v>1877</v>
      </c>
      <c r="AP89" s="2"/>
      <c r="AQ89" s="2"/>
      <c r="AR89" s="2" t="s">
        <v>1878</v>
      </c>
      <c r="AS89" s="2" t="s">
        <v>1879</v>
      </c>
      <c r="AT89" s="2" t="s">
        <v>844</v>
      </c>
      <c r="AU89" s="2">
        <v>2020.0</v>
      </c>
      <c r="AV89" s="2">
        <v>6.0</v>
      </c>
      <c r="AW89" s="2"/>
      <c r="AX89" s="2"/>
      <c r="AY89" s="2">
        <v>8.0</v>
      </c>
      <c r="AZ89" s="2" t="s">
        <v>359</v>
      </c>
      <c r="BA89" s="2"/>
      <c r="BB89" s="2">
        <v>243.0</v>
      </c>
      <c r="BC89" s="2">
        <v>249.0</v>
      </c>
      <c r="BD89" s="2"/>
      <c r="BE89" s="2" t="s">
        <v>1936</v>
      </c>
      <c r="BF89" s="3" t="str">
        <f>HYPERLINK("http://dx.doi.org/10.1016/j.egyr.2020.11.117","http://dx.doi.org/10.1016/j.egyr.2020.11.117")</f>
        <v>http://dx.doi.org/10.1016/j.egyr.2020.11.117</v>
      </c>
      <c r="BG89" s="2"/>
      <c r="BH89" s="2"/>
      <c r="BI89" s="2">
        <v>7.0</v>
      </c>
      <c r="BJ89" s="2" t="s">
        <v>1592</v>
      </c>
      <c r="BK89" s="2" t="s">
        <v>1881</v>
      </c>
      <c r="BL89" s="2" t="s">
        <v>1592</v>
      </c>
      <c r="BM89" s="2" t="s">
        <v>1937</v>
      </c>
      <c r="BN89" s="2"/>
      <c r="BO89" s="2" t="s">
        <v>255</v>
      </c>
      <c r="BP89" s="2"/>
      <c r="BQ89" s="2"/>
      <c r="BR89" s="2" t="s">
        <v>99</v>
      </c>
      <c r="BS89" s="2" t="s">
        <v>1938</v>
      </c>
      <c r="BT89" s="2" t="str">
        <f>HYPERLINK("https%3A%2F%2Fwww.webofscience.com%2Fwos%2Fwoscc%2Ffull-record%2FWOS:000604373600038","View Full Record in Web of Science")</f>
        <v>View Full Record in Web of Science</v>
      </c>
    </row>
    <row r="90" ht="64.5" customHeight="1">
      <c r="A90" s="2" t="s">
        <v>72</v>
      </c>
      <c r="B90" s="2" t="s">
        <v>1657</v>
      </c>
      <c r="C90" s="2"/>
      <c r="D90" s="2"/>
      <c r="E90" s="2"/>
      <c r="F90" s="2" t="s">
        <v>1658</v>
      </c>
      <c r="G90" s="2"/>
      <c r="H90" s="2"/>
      <c r="I90" s="2" t="s">
        <v>1939</v>
      </c>
      <c r="J90" s="2" t="s">
        <v>174</v>
      </c>
      <c r="K90" s="2"/>
      <c r="L90" s="2"/>
      <c r="M90" s="2" t="s">
        <v>116</v>
      </c>
      <c r="N90" s="2" t="s">
        <v>78</v>
      </c>
      <c r="O90" s="2"/>
      <c r="P90" s="2"/>
      <c r="Q90" s="2"/>
      <c r="R90" s="2"/>
      <c r="S90" s="2"/>
      <c r="T90" s="2" t="s">
        <v>1940</v>
      </c>
      <c r="U90" s="2" t="s">
        <v>1941</v>
      </c>
      <c r="V90" s="2" t="s">
        <v>1942</v>
      </c>
      <c r="W90" s="2" t="s">
        <v>1663</v>
      </c>
      <c r="X90" s="2" t="s">
        <v>1664</v>
      </c>
      <c r="Y90" s="2" t="s">
        <v>1665</v>
      </c>
      <c r="Z90" s="2" t="s">
        <v>1666</v>
      </c>
      <c r="AA90" s="2" t="s">
        <v>1667</v>
      </c>
      <c r="AB90" s="2"/>
      <c r="AC90" s="2" t="s">
        <v>1943</v>
      </c>
      <c r="AD90" s="2" t="s">
        <v>1944</v>
      </c>
      <c r="AE90" s="2" t="s">
        <v>1945</v>
      </c>
      <c r="AF90" s="2" t="s">
        <v>1946</v>
      </c>
      <c r="AG90" s="2">
        <v>44.0</v>
      </c>
      <c r="AH90" s="2">
        <v>0.0</v>
      </c>
      <c r="AI90" s="2">
        <v>0.0</v>
      </c>
      <c r="AJ90" s="2">
        <v>1.0</v>
      </c>
      <c r="AK90" s="2">
        <v>1.0</v>
      </c>
      <c r="AL90" s="2" t="s">
        <v>188</v>
      </c>
      <c r="AM90" s="2" t="s">
        <v>290</v>
      </c>
      <c r="AN90" s="2" t="s">
        <v>291</v>
      </c>
      <c r="AO90" s="2" t="s">
        <v>191</v>
      </c>
      <c r="AP90" s="2" t="s">
        <v>192</v>
      </c>
      <c r="AQ90" s="2"/>
      <c r="AR90" s="2" t="s">
        <v>193</v>
      </c>
      <c r="AS90" s="2" t="s">
        <v>194</v>
      </c>
      <c r="AT90" s="2" t="s">
        <v>222</v>
      </c>
      <c r="AU90" s="2">
        <v>2024.0</v>
      </c>
      <c r="AV90" s="2">
        <v>166.0</v>
      </c>
      <c r="AW90" s="2"/>
      <c r="AX90" s="2"/>
      <c r="AY90" s="2"/>
      <c r="AZ90" s="2"/>
      <c r="BA90" s="2"/>
      <c r="BB90" s="2"/>
      <c r="BC90" s="2"/>
      <c r="BD90" s="2">
        <v>106220.0</v>
      </c>
      <c r="BE90" s="2" t="s">
        <v>1947</v>
      </c>
      <c r="BF90" s="3" t="str">
        <f>HYPERLINK("http://dx.doi.org/10.1016/j.marpol.2024.106220","http://dx.doi.org/10.1016/j.marpol.2024.106220")</f>
        <v>http://dx.doi.org/10.1016/j.marpol.2024.106220</v>
      </c>
      <c r="BG90" s="2"/>
      <c r="BH90" s="2"/>
      <c r="BI90" s="2">
        <v>8.0</v>
      </c>
      <c r="BJ90" s="2" t="s">
        <v>198</v>
      </c>
      <c r="BK90" s="2" t="s">
        <v>166</v>
      </c>
      <c r="BL90" s="2" t="s">
        <v>199</v>
      </c>
      <c r="BM90" s="2" t="s">
        <v>1948</v>
      </c>
      <c r="BN90" s="2"/>
      <c r="BO90" s="2"/>
      <c r="BP90" s="2"/>
      <c r="BQ90" s="2"/>
      <c r="BR90" s="2" t="s">
        <v>99</v>
      </c>
      <c r="BS90" s="2" t="s">
        <v>1949</v>
      </c>
      <c r="BT90" s="2" t="str">
        <f>HYPERLINK("https%3A%2F%2Fwww.webofscience.com%2Fwos%2Fwoscc%2Ffull-record%2FWOS:001249888500001","View Full Record in Web of Science")</f>
        <v>View Full Record in Web of Science</v>
      </c>
    </row>
    <row r="91" ht="64.5" customHeight="1">
      <c r="A91" s="2" t="s">
        <v>72</v>
      </c>
      <c r="B91" s="2" t="s">
        <v>1950</v>
      </c>
      <c r="C91" s="2"/>
      <c r="D91" s="2"/>
      <c r="E91" s="2"/>
      <c r="F91" s="2" t="s">
        <v>1951</v>
      </c>
      <c r="G91" s="2"/>
      <c r="H91" s="2"/>
      <c r="I91" s="2" t="s">
        <v>1952</v>
      </c>
      <c r="J91" s="2" t="s">
        <v>712</v>
      </c>
      <c r="K91" s="2"/>
      <c r="L91" s="2"/>
      <c r="M91" s="2" t="s">
        <v>116</v>
      </c>
      <c r="N91" s="2" t="s">
        <v>78</v>
      </c>
      <c r="O91" s="2"/>
      <c r="P91" s="2"/>
      <c r="Q91" s="2"/>
      <c r="R91" s="2"/>
      <c r="S91" s="2"/>
      <c r="T91" s="2" t="s">
        <v>1953</v>
      </c>
      <c r="U91" s="2" t="s">
        <v>1954</v>
      </c>
      <c r="V91" s="2" t="s">
        <v>1955</v>
      </c>
      <c r="W91" s="2" t="s">
        <v>1956</v>
      </c>
      <c r="X91" s="2" t="s">
        <v>1957</v>
      </c>
      <c r="Y91" s="2" t="s">
        <v>1958</v>
      </c>
      <c r="Z91" s="2" t="s">
        <v>1959</v>
      </c>
      <c r="AA91" s="2" t="s">
        <v>1960</v>
      </c>
      <c r="AB91" s="2" t="s">
        <v>1961</v>
      </c>
      <c r="AC91" s="2" t="s">
        <v>1962</v>
      </c>
      <c r="AD91" s="2" t="s">
        <v>1962</v>
      </c>
      <c r="AE91" s="2" t="s">
        <v>1963</v>
      </c>
      <c r="AF91" s="2" t="s">
        <v>1964</v>
      </c>
      <c r="AG91" s="2">
        <v>34.0</v>
      </c>
      <c r="AH91" s="2">
        <v>1.0</v>
      </c>
      <c r="AI91" s="2">
        <v>1.0</v>
      </c>
      <c r="AJ91" s="2">
        <v>1.0</v>
      </c>
      <c r="AK91" s="2">
        <v>16.0</v>
      </c>
      <c r="AL91" s="2" t="s">
        <v>726</v>
      </c>
      <c r="AM91" s="2" t="s">
        <v>727</v>
      </c>
      <c r="AN91" s="2" t="s">
        <v>728</v>
      </c>
      <c r="AO91" s="2" t="s">
        <v>729</v>
      </c>
      <c r="AP91" s="2"/>
      <c r="AQ91" s="2"/>
      <c r="AR91" s="2" t="s">
        <v>730</v>
      </c>
      <c r="AS91" s="2" t="s">
        <v>731</v>
      </c>
      <c r="AT91" s="2"/>
      <c r="AU91" s="2">
        <v>2022.0</v>
      </c>
      <c r="AV91" s="2">
        <v>23.0</v>
      </c>
      <c r="AW91" s="2">
        <v>2.0</v>
      </c>
      <c r="AX91" s="2"/>
      <c r="AY91" s="2"/>
      <c r="AZ91" s="2"/>
      <c r="BA91" s="2"/>
      <c r="BB91" s="2">
        <v>389.0</v>
      </c>
      <c r="BC91" s="2">
        <v>404.0</v>
      </c>
      <c r="BD91" s="2"/>
      <c r="BE91" s="2" t="s">
        <v>1965</v>
      </c>
      <c r="BF91" s="3" t="str">
        <f>HYPERLINK("http://dx.doi.org/10.12681/mms.26931","http://dx.doi.org/10.12681/mms.26931")</f>
        <v>http://dx.doi.org/10.12681/mms.26931</v>
      </c>
      <c r="BG91" s="2"/>
      <c r="BH91" s="2"/>
      <c r="BI91" s="2">
        <v>17.0</v>
      </c>
      <c r="BJ91" s="2" t="s">
        <v>733</v>
      </c>
      <c r="BK91" s="2" t="s">
        <v>226</v>
      </c>
      <c r="BL91" s="2" t="s">
        <v>734</v>
      </c>
      <c r="BM91" s="2" t="s">
        <v>735</v>
      </c>
      <c r="BN91" s="2"/>
      <c r="BO91" s="2" t="s">
        <v>255</v>
      </c>
      <c r="BP91" s="2"/>
      <c r="BQ91" s="2"/>
      <c r="BR91" s="2" t="s">
        <v>99</v>
      </c>
      <c r="BS91" s="2" t="s">
        <v>1966</v>
      </c>
      <c r="BT91" s="2" t="str">
        <f>HYPERLINK("https%3A%2F%2Fwww.webofscience.com%2Fwos%2Fwoscc%2Ffull-record%2FWOS:000782982600012","View Full Record in Web of Science")</f>
        <v>View Full Record in Web of Science</v>
      </c>
    </row>
    <row r="92" ht="64.5" customHeight="1">
      <c r="A92" s="2" t="s">
        <v>72</v>
      </c>
      <c r="B92" s="2" t="s">
        <v>1967</v>
      </c>
      <c r="C92" s="2"/>
      <c r="D92" s="2"/>
      <c r="E92" s="2"/>
      <c r="F92" s="2" t="s">
        <v>1968</v>
      </c>
      <c r="G92" s="2"/>
      <c r="H92" s="2"/>
      <c r="I92" s="2" t="s">
        <v>1969</v>
      </c>
      <c r="J92" s="2" t="s">
        <v>712</v>
      </c>
      <c r="K92" s="2"/>
      <c r="L92" s="2"/>
      <c r="M92" s="2" t="s">
        <v>116</v>
      </c>
      <c r="N92" s="2" t="s">
        <v>78</v>
      </c>
      <c r="O92" s="2"/>
      <c r="P92" s="2"/>
      <c r="Q92" s="2"/>
      <c r="R92" s="2"/>
      <c r="S92" s="2"/>
      <c r="T92" s="2" t="s">
        <v>1970</v>
      </c>
      <c r="U92" s="2" t="s">
        <v>1971</v>
      </c>
      <c r="V92" s="2" t="s">
        <v>1972</v>
      </c>
      <c r="W92" s="2" t="s">
        <v>1973</v>
      </c>
      <c r="X92" s="2" t="s">
        <v>1974</v>
      </c>
      <c r="Y92" s="2" t="s">
        <v>1975</v>
      </c>
      <c r="Z92" s="2" t="s">
        <v>1976</v>
      </c>
      <c r="AA92" s="2" t="s">
        <v>1977</v>
      </c>
      <c r="AB92" s="2" t="s">
        <v>1978</v>
      </c>
      <c r="AC92" s="2"/>
      <c r="AD92" s="2"/>
      <c r="AE92" s="2"/>
      <c r="AF92" s="2" t="s">
        <v>1979</v>
      </c>
      <c r="AG92" s="2">
        <v>53.0</v>
      </c>
      <c r="AH92" s="2">
        <v>5.0</v>
      </c>
      <c r="AI92" s="2">
        <v>5.0</v>
      </c>
      <c r="AJ92" s="2">
        <v>2.0</v>
      </c>
      <c r="AK92" s="2">
        <v>14.0</v>
      </c>
      <c r="AL92" s="2" t="s">
        <v>726</v>
      </c>
      <c r="AM92" s="2" t="s">
        <v>727</v>
      </c>
      <c r="AN92" s="2" t="s">
        <v>728</v>
      </c>
      <c r="AO92" s="2" t="s">
        <v>729</v>
      </c>
      <c r="AP92" s="2"/>
      <c r="AQ92" s="2"/>
      <c r="AR92" s="2" t="s">
        <v>730</v>
      </c>
      <c r="AS92" s="2" t="s">
        <v>731</v>
      </c>
      <c r="AT92" s="2"/>
      <c r="AU92" s="2">
        <v>2022.0</v>
      </c>
      <c r="AV92" s="2">
        <v>23.0</v>
      </c>
      <c r="AW92" s="2">
        <v>2.0</v>
      </c>
      <c r="AX92" s="2"/>
      <c r="AY92" s="2"/>
      <c r="AZ92" s="2"/>
      <c r="BA92" s="2"/>
      <c r="BB92" s="2">
        <v>277.0</v>
      </c>
      <c r="BC92" s="2">
        <v>288.0</v>
      </c>
      <c r="BD92" s="2"/>
      <c r="BE92" s="2" t="s">
        <v>1980</v>
      </c>
      <c r="BF92" s="3" t="str">
        <f>HYPERLINK("http://dx.doi.org/10.12681/mms.26989","http://dx.doi.org/10.12681/mms.26989")</f>
        <v>http://dx.doi.org/10.12681/mms.26989</v>
      </c>
      <c r="BG92" s="2"/>
      <c r="BH92" s="2"/>
      <c r="BI92" s="2">
        <v>13.0</v>
      </c>
      <c r="BJ92" s="2" t="s">
        <v>733</v>
      </c>
      <c r="BK92" s="2" t="s">
        <v>226</v>
      </c>
      <c r="BL92" s="2" t="s">
        <v>734</v>
      </c>
      <c r="BM92" s="2" t="s">
        <v>735</v>
      </c>
      <c r="BN92" s="2"/>
      <c r="BO92" s="2" t="s">
        <v>255</v>
      </c>
      <c r="BP92" s="2"/>
      <c r="BQ92" s="2"/>
      <c r="BR92" s="2" t="s">
        <v>99</v>
      </c>
      <c r="BS92" s="2" t="s">
        <v>1981</v>
      </c>
      <c r="BT92" s="2" t="str">
        <f>HYPERLINK("https%3A%2F%2Fwww.webofscience.com%2Fwos%2Fwoscc%2Ffull-record%2FWOS:000782982600002","View Full Record in Web of Science")</f>
        <v>View Full Record in Web of Science</v>
      </c>
    </row>
    <row r="93" ht="64.5" customHeight="1">
      <c r="A93" s="2" t="s">
        <v>110</v>
      </c>
      <c r="B93" s="2" t="s">
        <v>1982</v>
      </c>
      <c r="C93" s="2"/>
      <c r="D93" s="2"/>
      <c r="E93" s="2" t="s">
        <v>129</v>
      </c>
      <c r="F93" s="2" t="s">
        <v>1983</v>
      </c>
      <c r="G93" s="2"/>
      <c r="H93" s="2"/>
      <c r="I93" s="2" t="s">
        <v>1984</v>
      </c>
      <c r="J93" s="2" t="s">
        <v>1985</v>
      </c>
      <c r="K93" s="2" t="s">
        <v>115</v>
      </c>
      <c r="L93" s="2"/>
      <c r="M93" s="2" t="s">
        <v>116</v>
      </c>
      <c r="N93" s="2" t="s">
        <v>117</v>
      </c>
      <c r="O93" s="2" t="s">
        <v>1986</v>
      </c>
      <c r="P93" s="2" t="s">
        <v>1987</v>
      </c>
      <c r="Q93" s="2" t="s">
        <v>1988</v>
      </c>
      <c r="R93" s="2"/>
      <c r="S93" s="2"/>
      <c r="T93" s="4" t="s">
        <v>121</v>
      </c>
      <c r="U93" s="2"/>
      <c r="V93" s="2" t="s">
        <v>1989</v>
      </c>
      <c r="W93" s="2" t="s">
        <v>1990</v>
      </c>
      <c r="X93" s="2" t="s">
        <v>1991</v>
      </c>
      <c r="Y93" s="2" t="s">
        <v>1992</v>
      </c>
      <c r="Z93" s="2"/>
      <c r="AA93" s="2"/>
      <c r="AB93" s="2"/>
      <c r="AC93" s="2" t="s">
        <v>1993</v>
      </c>
      <c r="AD93" s="2" t="s">
        <v>1994</v>
      </c>
      <c r="AE93" s="2" t="s">
        <v>1995</v>
      </c>
      <c r="AF93" s="2" t="s">
        <v>1996</v>
      </c>
      <c r="AG93" s="2">
        <v>9.0</v>
      </c>
      <c r="AH93" s="2">
        <v>0.0</v>
      </c>
      <c r="AI93" s="2">
        <v>0.0</v>
      </c>
      <c r="AJ93" s="2">
        <v>0.0</v>
      </c>
      <c r="AK93" s="2">
        <v>8.0</v>
      </c>
      <c r="AL93" s="2" t="s">
        <v>129</v>
      </c>
      <c r="AM93" s="2" t="s">
        <v>130</v>
      </c>
      <c r="AN93" s="2" t="s">
        <v>131</v>
      </c>
      <c r="AO93" s="2" t="s">
        <v>132</v>
      </c>
      <c r="AP93" s="2"/>
      <c r="AQ93" s="2" t="s">
        <v>1997</v>
      </c>
      <c r="AR93" s="2" t="s">
        <v>115</v>
      </c>
      <c r="AS93" s="2"/>
      <c r="AT93" s="2"/>
      <c r="AU93" s="2">
        <v>2007.0</v>
      </c>
      <c r="AV93" s="2"/>
      <c r="AW93" s="2"/>
      <c r="AX93" s="2"/>
      <c r="AY93" s="2"/>
      <c r="AZ93" s="2"/>
      <c r="BA93" s="2"/>
      <c r="BB93" s="2">
        <v>1556.0</v>
      </c>
      <c r="BC93" s="2" t="s">
        <v>1458</v>
      </c>
      <c r="BD93" s="2"/>
      <c r="BE93" s="2"/>
      <c r="BF93" s="2"/>
      <c r="BG93" s="2"/>
      <c r="BH93" s="2"/>
      <c r="BI93" s="2">
        <v>2.0</v>
      </c>
      <c r="BJ93" s="2" t="s">
        <v>1998</v>
      </c>
      <c r="BK93" s="2" t="s">
        <v>135</v>
      </c>
      <c r="BL93" s="2" t="s">
        <v>1999</v>
      </c>
      <c r="BM93" s="2" t="s">
        <v>2000</v>
      </c>
      <c r="BN93" s="2"/>
      <c r="BO93" s="2"/>
      <c r="BP93" s="2"/>
      <c r="BQ93" s="2"/>
      <c r="BR93" s="2" t="s">
        <v>99</v>
      </c>
      <c r="BS93" s="2" t="s">
        <v>2001</v>
      </c>
      <c r="BT93" s="2" t="str">
        <f>HYPERLINK("https%3A%2F%2Fwww.webofscience.com%2Fwos%2Fwoscc%2Ffull-record%2FWOS:000256526301043","View Full Record in Web of Science")</f>
        <v>View Full Record in Web of Science</v>
      </c>
    </row>
    <row r="94" ht="64.5" customHeight="1">
      <c r="A94" s="2" t="s">
        <v>72</v>
      </c>
      <c r="B94" s="2" t="s">
        <v>2002</v>
      </c>
      <c r="C94" s="2"/>
      <c r="D94" s="2"/>
      <c r="E94" s="2"/>
      <c r="F94" s="2" t="s">
        <v>2003</v>
      </c>
      <c r="G94" s="2"/>
      <c r="H94" s="2"/>
      <c r="I94" s="2" t="s">
        <v>2004</v>
      </c>
      <c r="J94" s="2" t="s">
        <v>2005</v>
      </c>
      <c r="K94" s="2"/>
      <c r="L94" s="2"/>
      <c r="M94" s="2" t="s">
        <v>116</v>
      </c>
      <c r="N94" s="2" t="s">
        <v>78</v>
      </c>
      <c r="O94" s="2"/>
      <c r="P94" s="2"/>
      <c r="Q94" s="2"/>
      <c r="R94" s="2"/>
      <c r="S94" s="2"/>
      <c r="T94" s="2" t="s">
        <v>2006</v>
      </c>
      <c r="U94" s="2" t="s">
        <v>2007</v>
      </c>
      <c r="V94" s="2" t="s">
        <v>2008</v>
      </c>
      <c r="W94" s="2" t="s">
        <v>2009</v>
      </c>
      <c r="X94" s="2" t="s">
        <v>2010</v>
      </c>
      <c r="Y94" s="2" t="s">
        <v>2011</v>
      </c>
      <c r="Z94" s="2"/>
      <c r="AA94" s="2" t="s">
        <v>2012</v>
      </c>
      <c r="AB94" s="2" t="s">
        <v>2013</v>
      </c>
      <c r="AC94" s="2"/>
      <c r="AD94" s="2"/>
      <c r="AE94" s="2"/>
      <c r="AF94" s="2" t="s">
        <v>2014</v>
      </c>
      <c r="AG94" s="2">
        <v>31.0</v>
      </c>
      <c r="AH94" s="2">
        <v>9.0</v>
      </c>
      <c r="AI94" s="2">
        <v>14.0</v>
      </c>
      <c r="AJ94" s="2">
        <v>1.0</v>
      </c>
      <c r="AK94" s="2">
        <v>32.0</v>
      </c>
      <c r="AL94" s="2" t="s">
        <v>2015</v>
      </c>
      <c r="AM94" s="2" t="s">
        <v>2016</v>
      </c>
      <c r="AN94" s="2" t="s">
        <v>2017</v>
      </c>
      <c r="AO94" s="2" t="s">
        <v>2018</v>
      </c>
      <c r="AP94" s="2" t="s">
        <v>2019</v>
      </c>
      <c r="AQ94" s="2"/>
      <c r="AR94" s="2" t="s">
        <v>2020</v>
      </c>
      <c r="AS94" s="2" t="s">
        <v>2021</v>
      </c>
      <c r="AT94" s="2"/>
      <c r="AU94" s="2">
        <v>2016.0</v>
      </c>
      <c r="AV94" s="2">
        <v>115.0</v>
      </c>
      <c r="AW94" s="2">
        <v>5.0</v>
      </c>
      <c r="AX94" s="2"/>
      <c r="AY94" s="2"/>
      <c r="AZ94" s="2"/>
      <c r="BA94" s="2"/>
      <c r="BB94" s="2">
        <v>187.0</v>
      </c>
      <c r="BC94" s="2">
        <v>197.0</v>
      </c>
      <c r="BD94" s="2"/>
      <c r="BE94" s="2" t="s">
        <v>2022</v>
      </c>
      <c r="BF94" s="3" t="str">
        <f>HYPERLINK("http://dx.doi.org/10.1080/00221341.2015.1105851","http://dx.doi.org/10.1080/00221341.2015.1105851")</f>
        <v>http://dx.doi.org/10.1080/00221341.2015.1105851</v>
      </c>
      <c r="BG94" s="2"/>
      <c r="BH94" s="2"/>
      <c r="BI94" s="2">
        <v>11.0</v>
      </c>
      <c r="BJ94" s="2" t="s">
        <v>2023</v>
      </c>
      <c r="BK94" s="2" t="s">
        <v>166</v>
      </c>
      <c r="BL94" s="2" t="s">
        <v>2023</v>
      </c>
      <c r="BM94" s="2" t="s">
        <v>2024</v>
      </c>
      <c r="BN94" s="2"/>
      <c r="BO94" s="2"/>
      <c r="BP94" s="2"/>
      <c r="BQ94" s="2"/>
      <c r="BR94" s="2" t="s">
        <v>99</v>
      </c>
      <c r="BS94" s="2" t="s">
        <v>2025</v>
      </c>
      <c r="BT94" s="2" t="str">
        <f>HYPERLINK("https%3A%2F%2Fwww.webofscience.com%2Fwos%2Fwoscc%2Ffull-record%2FWOS:000384221200001","View Full Record in Web of Science")</f>
        <v>View Full Record in Web of Science</v>
      </c>
    </row>
    <row r="95" ht="64.5" customHeight="1">
      <c r="A95" s="2" t="s">
        <v>72</v>
      </c>
      <c r="B95" s="2" t="s">
        <v>2026</v>
      </c>
      <c r="C95" s="2"/>
      <c r="D95" s="2"/>
      <c r="E95" s="2"/>
      <c r="F95" s="2" t="s">
        <v>2027</v>
      </c>
      <c r="G95" s="2"/>
      <c r="H95" s="2"/>
      <c r="I95" s="2" t="s">
        <v>2028</v>
      </c>
      <c r="J95" s="2" t="s">
        <v>142</v>
      </c>
      <c r="K95" s="2"/>
      <c r="L95" s="2"/>
      <c r="M95" s="2" t="s">
        <v>116</v>
      </c>
      <c r="N95" s="2" t="s">
        <v>78</v>
      </c>
      <c r="O95" s="2"/>
      <c r="P95" s="2"/>
      <c r="Q95" s="2"/>
      <c r="R95" s="2"/>
      <c r="S95" s="2"/>
      <c r="T95" s="2" t="s">
        <v>2029</v>
      </c>
      <c r="U95" s="2" t="s">
        <v>2030</v>
      </c>
      <c r="V95" s="2" t="s">
        <v>2031</v>
      </c>
      <c r="W95" s="2" t="s">
        <v>2032</v>
      </c>
      <c r="X95" s="2" t="s">
        <v>2033</v>
      </c>
      <c r="Y95" s="2" t="s">
        <v>2034</v>
      </c>
      <c r="Z95" s="2" t="s">
        <v>2035</v>
      </c>
      <c r="AA95" s="2" t="s">
        <v>2036</v>
      </c>
      <c r="AB95" s="2" t="s">
        <v>2037</v>
      </c>
      <c r="AC95" s="2" t="s">
        <v>2038</v>
      </c>
      <c r="AD95" s="2" t="s">
        <v>2039</v>
      </c>
      <c r="AE95" s="2" t="s">
        <v>2040</v>
      </c>
      <c r="AF95" s="2" t="s">
        <v>2041</v>
      </c>
      <c r="AG95" s="2">
        <v>73.0</v>
      </c>
      <c r="AH95" s="2">
        <v>10.0</v>
      </c>
      <c r="AI95" s="2">
        <v>10.0</v>
      </c>
      <c r="AJ95" s="2">
        <v>7.0</v>
      </c>
      <c r="AK95" s="2">
        <v>39.0</v>
      </c>
      <c r="AL95" s="2" t="s">
        <v>156</v>
      </c>
      <c r="AM95" s="2" t="s">
        <v>157</v>
      </c>
      <c r="AN95" s="2" t="s">
        <v>158</v>
      </c>
      <c r="AO95" s="2" t="s">
        <v>159</v>
      </c>
      <c r="AP95" s="2" t="s">
        <v>160</v>
      </c>
      <c r="AQ95" s="2"/>
      <c r="AR95" s="2" t="s">
        <v>161</v>
      </c>
      <c r="AS95" s="2" t="s">
        <v>162</v>
      </c>
      <c r="AT95" s="2" t="s">
        <v>2042</v>
      </c>
      <c r="AU95" s="2">
        <v>2022.0</v>
      </c>
      <c r="AV95" s="2">
        <v>28.0</v>
      </c>
      <c r="AW95" s="2">
        <v>2.0</v>
      </c>
      <c r="AX95" s="2"/>
      <c r="AY95" s="2"/>
      <c r="AZ95" s="2"/>
      <c r="BA95" s="2"/>
      <c r="BB95" s="2">
        <v>276.0</v>
      </c>
      <c r="BC95" s="2">
        <v>294.0</v>
      </c>
      <c r="BD95" s="2"/>
      <c r="BE95" s="2" t="s">
        <v>2043</v>
      </c>
      <c r="BF95" s="3" t="str">
        <f>HYPERLINK("http://dx.doi.org/10.1080/13504622.2021.1986469","http://dx.doi.org/10.1080/13504622.2021.1986469")</f>
        <v>http://dx.doi.org/10.1080/13504622.2021.1986469</v>
      </c>
      <c r="BG95" s="2"/>
      <c r="BH95" s="2" t="s">
        <v>2044</v>
      </c>
      <c r="BI95" s="2">
        <v>19.0</v>
      </c>
      <c r="BJ95" s="2" t="s">
        <v>165</v>
      </c>
      <c r="BK95" s="2" t="s">
        <v>166</v>
      </c>
      <c r="BL95" s="2" t="s">
        <v>167</v>
      </c>
      <c r="BM95" s="2" t="s">
        <v>2045</v>
      </c>
      <c r="BN95" s="2"/>
      <c r="BO95" s="2" t="s">
        <v>2046</v>
      </c>
      <c r="BP95" s="2"/>
      <c r="BQ95" s="2"/>
      <c r="BR95" s="2" t="s">
        <v>99</v>
      </c>
      <c r="BS95" s="2" t="s">
        <v>2047</v>
      </c>
      <c r="BT95" s="2" t="str">
        <f>HYPERLINK("https%3A%2F%2Fwww.webofscience.com%2Fwos%2Fwoscc%2Ffull-record%2FWOS:000707258700001","View Full Record in Web of Science")</f>
        <v>View Full Record in Web of Science</v>
      </c>
    </row>
    <row r="96" ht="64.5" customHeight="1">
      <c r="A96" s="2" t="s">
        <v>72</v>
      </c>
      <c r="B96" s="2" t="s">
        <v>2048</v>
      </c>
      <c r="C96" s="2"/>
      <c r="D96" s="2"/>
      <c r="E96" s="2"/>
      <c r="F96" s="2" t="s">
        <v>2049</v>
      </c>
      <c r="G96" s="2"/>
      <c r="H96" s="2"/>
      <c r="I96" s="2" t="s">
        <v>2050</v>
      </c>
      <c r="J96" s="2" t="s">
        <v>2051</v>
      </c>
      <c r="K96" s="2"/>
      <c r="L96" s="2"/>
      <c r="M96" s="2" t="s">
        <v>116</v>
      </c>
      <c r="N96" s="2" t="s">
        <v>78</v>
      </c>
      <c r="O96" s="2"/>
      <c r="P96" s="2"/>
      <c r="Q96" s="2"/>
      <c r="R96" s="2"/>
      <c r="S96" s="2"/>
      <c r="T96" s="2" t="s">
        <v>2052</v>
      </c>
      <c r="U96" s="2" t="s">
        <v>2053</v>
      </c>
      <c r="V96" s="2" t="s">
        <v>2054</v>
      </c>
      <c r="W96" s="2" t="s">
        <v>2055</v>
      </c>
      <c r="X96" s="2" t="s">
        <v>2056</v>
      </c>
      <c r="Y96" s="2" t="s">
        <v>2057</v>
      </c>
      <c r="Z96" s="2" t="s">
        <v>2058</v>
      </c>
      <c r="AA96" s="2"/>
      <c r="AB96" s="2" t="s">
        <v>2059</v>
      </c>
      <c r="AC96" s="2"/>
      <c r="AD96" s="2"/>
      <c r="AE96" s="2"/>
      <c r="AF96" s="2" t="s">
        <v>2060</v>
      </c>
      <c r="AG96" s="2">
        <v>52.0</v>
      </c>
      <c r="AH96" s="2">
        <v>3.0</v>
      </c>
      <c r="AI96" s="2">
        <v>3.0</v>
      </c>
      <c r="AJ96" s="2">
        <v>3.0</v>
      </c>
      <c r="AK96" s="2">
        <v>7.0</v>
      </c>
      <c r="AL96" s="2" t="s">
        <v>188</v>
      </c>
      <c r="AM96" s="2" t="s">
        <v>189</v>
      </c>
      <c r="AN96" s="2" t="s">
        <v>190</v>
      </c>
      <c r="AO96" s="2"/>
      <c r="AP96" s="2" t="s">
        <v>2061</v>
      </c>
      <c r="AQ96" s="2"/>
      <c r="AR96" s="2" t="s">
        <v>2051</v>
      </c>
      <c r="AS96" s="2" t="s">
        <v>2062</v>
      </c>
      <c r="AT96" s="2" t="s">
        <v>292</v>
      </c>
      <c r="AU96" s="2">
        <v>2022.0</v>
      </c>
      <c r="AV96" s="2">
        <v>8.0</v>
      </c>
      <c r="AW96" s="2">
        <v>11.0</v>
      </c>
      <c r="AX96" s="2"/>
      <c r="AY96" s="2"/>
      <c r="AZ96" s="2"/>
      <c r="BA96" s="2"/>
      <c r="BB96" s="2"/>
      <c r="BC96" s="2"/>
      <c r="BD96" s="2" t="s">
        <v>2063</v>
      </c>
      <c r="BE96" s="2" t="s">
        <v>2064</v>
      </c>
      <c r="BF96" s="3" t="str">
        <f>HYPERLINK("http://dx.doi.org/10.1016/j.heliyon.2022.e11449","http://dx.doi.org/10.1016/j.heliyon.2022.e11449")</f>
        <v>http://dx.doi.org/10.1016/j.heliyon.2022.e11449</v>
      </c>
      <c r="BG96" s="2"/>
      <c r="BH96" s="2" t="s">
        <v>2065</v>
      </c>
      <c r="BI96" s="2">
        <v>7.0</v>
      </c>
      <c r="BJ96" s="2" t="s">
        <v>2066</v>
      </c>
      <c r="BK96" s="2" t="s">
        <v>226</v>
      </c>
      <c r="BL96" s="2" t="s">
        <v>2067</v>
      </c>
      <c r="BM96" s="2" t="s">
        <v>2068</v>
      </c>
      <c r="BN96" s="2">
        <v>3.6387546E7</v>
      </c>
      <c r="BO96" s="2" t="s">
        <v>272</v>
      </c>
      <c r="BP96" s="2"/>
      <c r="BQ96" s="2"/>
      <c r="BR96" s="2" t="s">
        <v>99</v>
      </c>
      <c r="BS96" s="2" t="s">
        <v>2069</v>
      </c>
      <c r="BT96" s="2" t="str">
        <f>HYPERLINK("https%3A%2F%2Fwww.webofscience.com%2Fwos%2Fwoscc%2Ffull-record%2FWOS:000904332400006","View Full Record in Web of Science")</f>
        <v>View Full Record in Web of Science</v>
      </c>
    </row>
    <row r="97" ht="64.5" customHeight="1">
      <c r="A97" s="2" t="s">
        <v>72</v>
      </c>
      <c r="B97" s="2" t="s">
        <v>2070</v>
      </c>
      <c r="C97" s="2"/>
      <c r="D97" s="2"/>
      <c r="E97" s="2"/>
      <c r="F97" s="2" t="s">
        <v>2071</v>
      </c>
      <c r="G97" s="2"/>
      <c r="H97" s="2"/>
      <c r="I97" s="2" t="s">
        <v>2072</v>
      </c>
      <c r="J97" s="2" t="s">
        <v>142</v>
      </c>
      <c r="K97" s="2"/>
      <c r="L97" s="2"/>
      <c r="M97" s="2" t="s">
        <v>116</v>
      </c>
      <c r="N97" s="2" t="s">
        <v>78</v>
      </c>
      <c r="O97" s="2"/>
      <c r="P97" s="2"/>
      <c r="Q97" s="2"/>
      <c r="R97" s="2"/>
      <c r="S97" s="2"/>
      <c r="T97" s="2" t="s">
        <v>2073</v>
      </c>
      <c r="U97" s="2"/>
      <c r="V97" s="2" t="s">
        <v>2074</v>
      </c>
      <c r="W97" s="2" t="s">
        <v>2075</v>
      </c>
      <c r="X97" s="2" t="s">
        <v>1434</v>
      </c>
      <c r="Y97" s="2" t="s">
        <v>2076</v>
      </c>
      <c r="Z97" s="2" t="s">
        <v>1436</v>
      </c>
      <c r="AA97" s="2"/>
      <c r="AB97" s="2" t="s">
        <v>1437</v>
      </c>
      <c r="AC97" s="2"/>
      <c r="AD97" s="2"/>
      <c r="AE97" s="2"/>
      <c r="AF97" s="2" t="s">
        <v>2077</v>
      </c>
      <c r="AG97" s="2">
        <v>78.0</v>
      </c>
      <c r="AH97" s="2">
        <v>3.0</v>
      </c>
      <c r="AI97" s="2">
        <v>3.0</v>
      </c>
      <c r="AJ97" s="2">
        <v>5.0</v>
      </c>
      <c r="AK97" s="2">
        <v>21.0</v>
      </c>
      <c r="AL97" s="2" t="s">
        <v>156</v>
      </c>
      <c r="AM97" s="2" t="s">
        <v>157</v>
      </c>
      <c r="AN97" s="2" t="s">
        <v>158</v>
      </c>
      <c r="AO97" s="2" t="s">
        <v>159</v>
      </c>
      <c r="AP97" s="2" t="s">
        <v>160</v>
      </c>
      <c r="AQ97" s="2"/>
      <c r="AR97" s="2" t="s">
        <v>161</v>
      </c>
      <c r="AS97" s="2" t="s">
        <v>162</v>
      </c>
      <c r="AT97" s="2" t="s">
        <v>2078</v>
      </c>
      <c r="AU97" s="2">
        <v>2023.0</v>
      </c>
      <c r="AV97" s="2">
        <v>29.0</v>
      </c>
      <c r="AW97" s="2">
        <v>10.0</v>
      </c>
      <c r="AX97" s="2"/>
      <c r="AY97" s="2"/>
      <c r="AZ97" s="2"/>
      <c r="BA97" s="2"/>
      <c r="BB97" s="2">
        <v>1515.0</v>
      </c>
      <c r="BC97" s="2">
        <v>1529.0</v>
      </c>
      <c r="BD97" s="2"/>
      <c r="BE97" s="2" t="s">
        <v>2079</v>
      </c>
      <c r="BF97" s="3" t="str">
        <f>HYPERLINK("http://dx.doi.org/10.1080/13504622.2023.2175794","http://dx.doi.org/10.1080/13504622.2023.2175794")</f>
        <v>http://dx.doi.org/10.1080/13504622.2023.2175794</v>
      </c>
      <c r="BG97" s="2"/>
      <c r="BH97" s="2" t="s">
        <v>1422</v>
      </c>
      <c r="BI97" s="2">
        <v>15.0</v>
      </c>
      <c r="BJ97" s="2" t="s">
        <v>165</v>
      </c>
      <c r="BK97" s="2" t="s">
        <v>166</v>
      </c>
      <c r="BL97" s="2" t="s">
        <v>167</v>
      </c>
      <c r="BM97" s="2" t="s">
        <v>2080</v>
      </c>
      <c r="BN97" s="2"/>
      <c r="BO97" s="2"/>
      <c r="BP97" s="2"/>
      <c r="BQ97" s="2"/>
      <c r="BR97" s="2" t="s">
        <v>99</v>
      </c>
      <c r="BS97" s="2" t="s">
        <v>2081</v>
      </c>
      <c r="BT97" s="2" t="str">
        <f>HYPERLINK("https%3A%2F%2Fwww.webofscience.com%2Fwos%2Fwoscc%2Ffull-record%2FWOS:000930861600001","View Full Record in Web of Science")</f>
        <v>View Full Record in Web of Science</v>
      </c>
    </row>
    <row r="98" ht="64.5" customHeight="1">
      <c r="A98" s="2" t="s">
        <v>72</v>
      </c>
      <c r="B98" s="2" t="s">
        <v>2082</v>
      </c>
      <c r="C98" s="2"/>
      <c r="D98" s="2"/>
      <c r="E98" s="2"/>
      <c r="F98" s="2" t="s">
        <v>2083</v>
      </c>
      <c r="G98" s="2"/>
      <c r="H98" s="2"/>
      <c r="I98" s="2" t="s">
        <v>2084</v>
      </c>
      <c r="J98" s="2" t="s">
        <v>540</v>
      </c>
      <c r="K98" s="2"/>
      <c r="L98" s="2"/>
      <c r="M98" s="2" t="s">
        <v>116</v>
      </c>
      <c r="N98" s="2" t="s">
        <v>78</v>
      </c>
      <c r="O98" s="2"/>
      <c r="P98" s="2"/>
      <c r="Q98" s="2"/>
      <c r="R98" s="2"/>
      <c r="S98" s="2"/>
      <c r="T98" s="2" t="s">
        <v>2085</v>
      </c>
      <c r="U98" s="2" t="s">
        <v>2086</v>
      </c>
      <c r="V98" s="2" t="s">
        <v>2087</v>
      </c>
      <c r="W98" s="2" t="s">
        <v>2088</v>
      </c>
      <c r="X98" s="2" t="s">
        <v>2089</v>
      </c>
      <c r="Y98" s="2" t="s">
        <v>2090</v>
      </c>
      <c r="Z98" s="2" t="s">
        <v>2091</v>
      </c>
      <c r="AA98" s="2" t="s">
        <v>2092</v>
      </c>
      <c r="AB98" s="2" t="s">
        <v>2093</v>
      </c>
      <c r="AC98" s="2" t="s">
        <v>2094</v>
      </c>
      <c r="AD98" s="2" t="s">
        <v>2095</v>
      </c>
      <c r="AE98" s="2" t="s">
        <v>2096</v>
      </c>
      <c r="AF98" s="2" t="s">
        <v>2097</v>
      </c>
      <c r="AG98" s="2">
        <v>31.0</v>
      </c>
      <c r="AH98" s="2">
        <v>3.0</v>
      </c>
      <c r="AI98" s="2">
        <v>3.0</v>
      </c>
      <c r="AJ98" s="2">
        <v>0.0</v>
      </c>
      <c r="AK98" s="2">
        <v>10.0</v>
      </c>
      <c r="AL98" s="2" t="s">
        <v>383</v>
      </c>
      <c r="AM98" s="2" t="s">
        <v>384</v>
      </c>
      <c r="AN98" s="2" t="s">
        <v>385</v>
      </c>
      <c r="AO98" s="2"/>
      <c r="AP98" s="2" t="s">
        <v>554</v>
      </c>
      <c r="AQ98" s="2"/>
      <c r="AR98" s="2" t="s">
        <v>555</v>
      </c>
      <c r="AS98" s="2" t="s">
        <v>556</v>
      </c>
      <c r="AT98" s="2" t="s">
        <v>938</v>
      </c>
      <c r="AU98" s="2">
        <v>2022.0</v>
      </c>
      <c r="AV98" s="2">
        <v>14.0</v>
      </c>
      <c r="AW98" s="2">
        <v>12.0</v>
      </c>
      <c r="AX98" s="2"/>
      <c r="AY98" s="2"/>
      <c r="AZ98" s="2"/>
      <c r="BA98" s="2"/>
      <c r="BB98" s="2"/>
      <c r="BC98" s="2"/>
      <c r="BD98" s="2">
        <v>1843.0</v>
      </c>
      <c r="BE98" s="2" t="s">
        <v>2098</v>
      </c>
      <c r="BF98" s="3" t="str">
        <f>HYPERLINK("http://dx.doi.org/10.3390/w14121843","http://dx.doi.org/10.3390/w14121843")</f>
        <v>http://dx.doi.org/10.3390/w14121843</v>
      </c>
      <c r="BG98" s="2"/>
      <c r="BH98" s="2"/>
      <c r="BI98" s="2">
        <v>14.0</v>
      </c>
      <c r="BJ98" s="2" t="s">
        <v>559</v>
      </c>
      <c r="BK98" s="2" t="s">
        <v>226</v>
      </c>
      <c r="BL98" s="2" t="s">
        <v>560</v>
      </c>
      <c r="BM98" s="2" t="s">
        <v>2099</v>
      </c>
      <c r="BN98" s="2"/>
      <c r="BO98" s="2" t="s">
        <v>2100</v>
      </c>
      <c r="BP98" s="2"/>
      <c r="BQ98" s="2"/>
      <c r="BR98" s="2" t="s">
        <v>99</v>
      </c>
      <c r="BS98" s="2" t="s">
        <v>2101</v>
      </c>
      <c r="BT98" s="2" t="str">
        <f>HYPERLINK("https%3A%2F%2Fwww.webofscience.com%2Fwos%2Fwoscc%2Ffull-record%2FWOS:000817679500001","View Full Record in Web of Science")</f>
        <v>View Full Record in Web of Science</v>
      </c>
    </row>
    <row r="99" ht="64.5" customHeight="1">
      <c r="A99" s="2" t="s">
        <v>72</v>
      </c>
      <c r="B99" s="2" t="s">
        <v>2102</v>
      </c>
      <c r="C99" s="2"/>
      <c r="D99" s="2"/>
      <c r="E99" s="2"/>
      <c r="F99" s="2" t="s">
        <v>2103</v>
      </c>
      <c r="G99" s="2"/>
      <c r="H99" s="2"/>
      <c r="I99" s="2" t="s">
        <v>2104</v>
      </c>
      <c r="J99" s="2" t="s">
        <v>2105</v>
      </c>
      <c r="K99" s="2"/>
      <c r="L99" s="2"/>
      <c r="M99" s="2" t="s">
        <v>116</v>
      </c>
      <c r="N99" s="2" t="s">
        <v>78</v>
      </c>
      <c r="O99" s="2"/>
      <c r="P99" s="2"/>
      <c r="Q99" s="2"/>
      <c r="R99" s="2"/>
      <c r="S99" s="2"/>
      <c r="T99" s="2" t="s">
        <v>2106</v>
      </c>
      <c r="U99" s="2" t="s">
        <v>2107</v>
      </c>
      <c r="V99" s="2" t="s">
        <v>2108</v>
      </c>
      <c r="W99" s="2" t="s">
        <v>2109</v>
      </c>
      <c r="X99" s="2" t="s">
        <v>2110</v>
      </c>
      <c r="Y99" s="2" t="s">
        <v>2111</v>
      </c>
      <c r="Z99" s="2" t="s">
        <v>2112</v>
      </c>
      <c r="AA99" s="2" t="s">
        <v>2113</v>
      </c>
      <c r="AB99" s="2" t="s">
        <v>2114</v>
      </c>
      <c r="AC99" s="2"/>
      <c r="AD99" s="2"/>
      <c r="AE99" s="2"/>
      <c r="AF99" s="2" t="s">
        <v>2115</v>
      </c>
      <c r="AG99" s="2">
        <v>49.0</v>
      </c>
      <c r="AH99" s="2">
        <v>48.0</v>
      </c>
      <c r="AI99" s="2">
        <v>53.0</v>
      </c>
      <c r="AJ99" s="2">
        <v>5.0</v>
      </c>
      <c r="AK99" s="2">
        <v>58.0</v>
      </c>
      <c r="AL99" s="2" t="s">
        <v>2116</v>
      </c>
      <c r="AM99" s="2" t="s">
        <v>2117</v>
      </c>
      <c r="AN99" s="2" t="s">
        <v>2118</v>
      </c>
      <c r="AO99" s="2" t="s">
        <v>2119</v>
      </c>
      <c r="AP99" s="2" t="s">
        <v>2120</v>
      </c>
      <c r="AQ99" s="2"/>
      <c r="AR99" s="2" t="s">
        <v>2121</v>
      </c>
      <c r="AS99" s="2" t="s">
        <v>2122</v>
      </c>
      <c r="AT99" s="2"/>
      <c r="AU99" s="2">
        <v>2015.0</v>
      </c>
      <c r="AV99" s="2">
        <v>16.0</v>
      </c>
      <c r="AW99" s="2">
        <v>4.0</v>
      </c>
      <c r="AX99" s="2"/>
      <c r="AY99" s="2"/>
      <c r="AZ99" s="2"/>
      <c r="BA99" s="2"/>
      <c r="BB99" s="2">
        <v>456.0</v>
      </c>
      <c r="BC99" s="2">
        <v>473.0</v>
      </c>
      <c r="BD99" s="2"/>
      <c r="BE99" s="2" t="s">
        <v>2123</v>
      </c>
      <c r="BF99" s="3" t="str">
        <f>HYPERLINK("http://dx.doi.org/10.1108/IJSHE-12-2013-0166","http://dx.doi.org/10.1108/IJSHE-12-2013-0166")</f>
        <v>http://dx.doi.org/10.1108/IJSHE-12-2013-0166</v>
      </c>
      <c r="BG99" s="2"/>
      <c r="BH99" s="2"/>
      <c r="BI99" s="2">
        <v>18.0</v>
      </c>
      <c r="BJ99" s="2" t="s">
        <v>2124</v>
      </c>
      <c r="BK99" s="2" t="s">
        <v>166</v>
      </c>
      <c r="BL99" s="2" t="s">
        <v>2125</v>
      </c>
      <c r="BM99" s="2" t="s">
        <v>2126</v>
      </c>
      <c r="BN99" s="2"/>
      <c r="BO99" s="2" t="s">
        <v>2127</v>
      </c>
      <c r="BP99" s="2"/>
      <c r="BQ99" s="2"/>
      <c r="BR99" s="2" t="s">
        <v>99</v>
      </c>
      <c r="BS99" s="2" t="s">
        <v>2128</v>
      </c>
      <c r="BT99" s="2" t="str">
        <f>HYPERLINK("https%3A%2F%2Fwww.webofscience.com%2Fwos%2Fwoscc%2Ffull-record%2FWOS:000357391700005","View Full Record in Web of Science")</f>
        <v>View Full Record in Web of Science</v>
      </c>
    </row>
    <row r="100" ht="64.5" customHeight="1">
      <c r="A100" s="2" t="s">
        <v>72</v>
      </c>
      <c r="B100" s="2" t="s">
        <v>2129</v>
      </c>
      <c r="C100" s="2"/>
      <c r="D100" s="2"/>
      <c r="E100" s="2"/>
      <c r="F100" s="2" t="s">
        <v>2130</v>
      </c>
      <c r="G100" s="2"/>
      <c r="H100" s="2"/>
      <c r="I100" s="2" t="s">
        <v>2131</v>
      </c>
      <c r="J100" s="2" t="s">
        <v>1576</v>
      </c>
      <c r="K100" s="2"/>
      <c r="L100" s="2"/>
      <c r="M100" s="2" t="s">
        <v>116</v>
      </c>
      <c r="N100" s="2" t="s">
        <v>78</v>
      </c>
      <c r="O100" s="2"/>
      <c r="P100" s="2"/>
      <c r="Q100" s="2"/>
      <c r="R100" s="2"/>
      <c r="S100" s="2"/>
      <c r="T100" s="2" t="s">
        <v>2132</v>
      </c>
      <c r="U100" s="2" t="s">
        <v>2133</v>
      </c>
      <c r="V100" s="2" t="s">
        <v>2134</v>
      </c>
      <c r="W100" s="2" t="s">
        <v>2135</v>
      </c>
      <c r="X100" s="2" t="s">
        <v>2136</v>
      </c>
      <c r="Y100" s="2" t="s">
        <v>2137</v>
      </c>
      <c r="Z100" s="2" t="s">
        <v>2138</v>
      </c>
      <c r="AA100" s="2" t="s">
        <v>2139</v>
      </c>
      <c r="AB100" s="2" t="s">
        <v>2140</v>
      </c>
      <c r="AC100" s="2" t="s">
        <v>2141</v>
      </c>
      <c r="AD100" s="2" t="s">
        <v>2142</v>
      </c>
      <c r="AE100" s="2" t="s">
        <v>2143</v>
      </c>
      <c r="AF100" s="2" t="s">
        <v>2144</v>
      </c>
      <c r="AG100" s="2">
        <v>44.0</v>
      </c>
      <c r="AH100" s="2">
        <v>0.0</v>
      </c>
      <c r="AI100" s="2">
        <v>0.0</v>
      </c>
      <c r="AJ100" s="2">
        <v>12.0</v>
      </c>
      <c r="AK100" s="2">
        <v>15.0</v>
      </c>
      <c r="AL100" s="2" t="s">
        <v>383</v>
      </c>
      <c r="AM100" s="2" t="s">
        <v>384</v>
      </c>
      <c r="AN100" s="2" t="s">
        <v>385</v>
      </c>
      <c r="AO100" s="2"/>
      <c r="AP100" s="2" t="s">
        <v>1589</v>
      </c>
      <c r="AQ100" s="2"/>
      <c r="AR100" s="2" t="s">
        <v>1576</v>
      </c>
      <c r="AS100" s="2" t="s">
        <v>1590</v>
      </c>
      <c r="AT100" s="2" t="s">
        <v>596</v>
      </c>
      <c r="AU100" s="2">
        <v>2023.0</v>
      </c>
      <c r="AV100" s="2">
        <v>16.0</v>
      </c>
      <c r="AW100" s="2">
        <v>20.0</v>
      </c>
      <c r="AX100" s="2"/>
      <c r="AY100" s="2"/>
      <c r="AZ100" s="2"/>
      <c r="BA100" s="2"/>
      <c r="BB100" s="2"/>
      <c r="BC100" s="2"/>
      <c r="BD100" s="2">
        <v>7135.0</v>
      </c>
      <c r="BE100" s="2" t="s">
        <v>2145</v>
      </c>
      <c r="BF100" s="3" t="str">
        <f>HYPERLINK("http://dx.doi.org/10.3390/en16207135","http://dx.doi.org/10.3390/en16207135")</f>
        <v>http://dx.doi.org/10.3390/en16207135</v>
      </c>
      <c r="BG100" s="2"/>
      <c r="BH100" s="2"/>
      <c r="BI100" s="2">
        <v>17.0</v>
      </c>
      <c r="BJ100" s="2" t="s">
        <v>1592</v>
      </c>
      <c r="BK100" s="2" t="s">
        <v>226</v>
      </c>
      <c r="BL100" s="2" t="s">
        <v>1592</v>
      </c>
      <c r="BM100" s="2" t="s">
        <v>2146</v>
      </c>
      <c r="BN100" s="2"/>
      <c r="BO100" s="2" t="s">
        <v>255</v>
      </c>
      <c r="BP100" s="2"/>
      <c r="BQ100" s="2"/>
      <c r="BR100" s="2" t="s">
        <v>99</v>
      </c>
      <c r="BS100" s="2" t="s">
        <v>2147</v>
      </c>
      <c r="BT100" s="2" t="str">
        <f>HYPERLINK("https%3A%2F%2Fwww.webofscience.com%2Fwos%2Fwoscc%2Ffull-record%2FWOS:001095302400001","View Full Record in Web of Science")</f>
        <v>View Full Record in Web of Science</v>
      </c>
    </row>
    <row r="101" ht="64.5" customHeight="1">
      <c r="A101" s="2" t="s">
        <v>72</v>
      </c>
      <c r="B101" s="2" t="s">
        <v>2148</v>
      </c>
      <c r="C101" s="2"/>
      <c r="D101" s="2"/>
      <c r="E101" s="2"/>
      <c r="F101" s="2" t="s">
        <v>2149</v>
      </c>
      <c r="G101" s="2"/>
      <c r="H101" s="2"/>
      <c r="I101" s="2" t="s">
        <v>2150</v>
      </c>
      <c r="J101" s="2" t="s">
        <v>2151</v>
      </c>
      <c r="K101" s="2"/>
      <c r="L101" s="2"/>
      <c r="M101" s="2" t="s">
        <v>116</v>
      </c>
      <c r="N101" s="2" t="s">
        <v>643</v>
      </c>
      <c r="O101" s="2"/>
      <c r="P101" s="2"/>
      <c r="Q101" s="2"/>
      <c r="R101" s="2"/>
      <c r="S101" s="2"/>
      <c r="T101" s="2" t="s">
        <v>2152</v>
      </c>
      <c r="U101" s="2" t="s">
        <v>2153</v>
      </c>
      <c r="V101" s="2" t="s">
        <v>2154</v>
      </c>
      <c r="W101" s="2" t="s">
        <v>2155</v>
      </c>
      <c r="X101" s="2" t="s">
        <v>2156</v>
      </c>
      <c r="Y101" s="2" t="s">
        <v>2157</v>
      </c>
      <c r="Z101" s="2" t="s">
        <v>2158</v>
      </c>
      <c r="AA101" s="2" t="s">
        <v>2159</v>
      </c>
      <c r="AB101" s="2" t="s">
        <v>2160</v>
      </c>
      <c r="AC101" s="2"/>
      <c r="AD101" s="2"/>
      <c r="AE101" s="2"/>
      <c r="AF101" s="2" t="s">
        <v>2161</v>
      </c>
      <c r="AG101" s="2">
        <v>77.0</v>
      </c>
      <c r="AH101" s="2">
        <v>2.0</v>
      </c>
      <c r="AI101" s="2">
        <v>2.0</v>
      </c>
      <c r="AJ101" s="2">
        <v>6.0</v>
      </c>
      <c r="AK101" s="2">
        <v>18.0</v>
      </c>
      <c r="AL101" s="2" t="s">
        <v>2162</v>
      </c>
      <c r="AM101" s="2" t="s">
        <v>2163</v>
      </c>
      <c r="AN101" s="2" t="s">
        <v>2164</v>
      </c>
      <c r="AO101" s="2" t="s">
        <v>2165</v>
      </c>
      <c r="AP101" s="2"/>
      <c r="AQ101" s="2"/>
      <c r="AR101" s="2" t="s">
        <v>2166</v>
      </c>
      <c r="AS101" s="2" t="s">
        <v>2167</v>
      </c>
      <c r="AT101" s="2"/>
      <c r="AU101" s="2">
        <v>2023.0</v>
      </c>
      <c r="AV101" s="2">
        <v>13.0</v>
      </c>
      <c r="AW101" s="2">
        <v>1.0</v>
      </c>
      <c r="AX101" s="2"/>
      <c r="AY101" s="2"/>
      <c r="AZ101" s="2"/>
      <c r="BA101" s="2"/>
      <c r="BB101" s="2">
        <v>145.0</v>
      </c>
      <c r="BC101" s="2">
        <v>155.0</v>
      </c>
      <c r="BD101" s="2"/>
      <c r="BE101" s="2" t="s">
        <v>2168</v>
      </c>
      <c r="BF101" s="3" t="str">
        <f>HYPERLINK("http://dx.doi.org/10.47750/pegegog.13.01.17","http://dx.doi.org/10.47750/pegegog.13.01.17")</f>
        <v>http://dx.doi.org/10.47750/pegegog.13.01.17</v>
      </c>
      <c r="BG101" s="2"/>
      <c r="BH101" s="2"/>
      <c r="BI101" s="2">
        <v>11.0</v>
      </c>
      <c r="BJ101" s="2" t="s">
        <v>331</v>
      </c>
      <c r="BK101" s="2" t="s">
        <v>96</v>
      </c>
      <c r="BL101" s="2" t="s">
        <v>331</v>
      </c>
      <c r="BM101" s="2" t="s">
        <v>2169</v>
      </c>
      <c r="BN101" s="2"/>
      <c r="BO101" s="2" t="s">
        <v>2170</v>
      </c>
      <c r="BP101" s="2"/>
      <c r="BQ101" s="2"/>
      <c r="BR101" s="2" t="s">
        <v>99</v>
      </c>
      <c r="BS101" s="2" t="s">
        <v>2171</v>
      </c>
      <c r="BT101" s="2" t="str">
        <f>HYPERLINK("https%3A%2F%2Fwww.webofscience.com%2Fwos%2Fwoscc%2Ffull-record%2FWOS:000998160600016","View Full Record in Web of Science")</f>
        <v>View Full Record in Web of Science</v>
      </c>
    </row>
    <row r="102" ht="64.5" customHeight="1">
      <c r="A102" s="2" t="s">
        <v>72</v>
      </c>
      <c r="B102" s="2" t="s">
        <v>2172</v>
      </c>
      <c r="C102" s="2"/>
      <c r="D102" s="2"/>
      <c r="E102" s="2"/>
      <c r="F102" s="2" t="s">
        <v>2173</v>
      </c>
      <c r="G102" s="2"/>
      <c r="H102" s="2"/>
      <c r="I102" s="2" t="s">
        <v>2174</v>
      </c>
      <c r="J102" s="2" t="s">
        <v>2175</v>
      </c>
      <c r="K102" s="2"/>
      <c r="L102" s="2"/>
      <c r="M102" s="2" t="s">
        <v>116</v>
      </c>
      <c r="N102" s="2" t="s">
        <v>78</v>
      </c>
      <c r="O102" s="2"/>
      <c r="P102" s="2"/>
      <c r="Q102" s="2"/>
      <c r="R102" s="2"/>
      <c r="S102" s="2"/>
      <c r="T102" s="2" t="s">
        <v>2176</v>
      </c>
      <c r="U102" s="2" t="s">
        <v>2177</v>
      </c>
      <c r="V102" s="2" t="s">
        <v>2178</v>
      </c>
      <c r="W102" s="2" t="s">
        <v>2179</v>
      </c>
      <c r="X102" s="2" t="s">
        <v>2180</v>
      </c>
      <c r="Y102" s="2" t="s">
        <v>2181</v>
      </c>
      <c r="Z102" s="2" t="s">
        <v>2182</v>
      </c>
      <c r="AA102" s="2" t="s">
        <v>2183</v>
      </c>
      <c r="AB102" s="2" t="s">
        <v>2184</v>
      </c>
      <c r="AC102" s="2" t="s">
        <v>2185</v>
      </c>
      <c r="AD102" s="2" t="s">
        <v>2185</v>
      </c>
      <c r="AE102" s="2" t="s">
        <v>2186</v>
      </c>
      <c r="AF102" s="2" t="s">
        <v>2187</v>
      </c>
      <c r="AG102" s="2">
        <v>59.0</v>
      </c>
      <c r="AH102" s="2">
        <v>0.0</v>
      </c>
      <c r="AI102" s="2">
        <v>0.0</v>
      </c>
      <c r="AJ102" s="2">
        <v>8.0</v>
      </c>
      <c r="AK102" s="2">
        <v>10.0</v>
      </c>
      <c r="AL102" s="2" t="s">
        <v>656</v>
      </c>
      <c r="AM102" s="2" t="s">
        <v>657</v>
      </c>
      <c r="AN102" s="2" t="s">
        <v>658</v>
      </c>
      <c r="AO102" s="2"/>
      <c r="AP102" s="2" t="s">
        <v>2188</v>
      </c>
      <c r="AQ102" s="2"/>
      <c r="AR102" s="2" t="s">
        <v>2189</v>
      </c>
      <c r="AS102" s="2" t="s">
        <v>2190</v>
      </c>
      <c r="AT102" s="2" t="s">
        <v>596</v>
      </c>
      <c r="AU102" s="2">
        <v>2023.0</v>
      </c>
      <c r="AV102" s="2">
        <v>5.0</v>
      </c>
      <c r="AW102" s="2">
        <v>5.0</v>
      </c>
      <c r="AX102" s="2"/>
      <c r="AY102" s="2"/>
      <c r="AZ102" s="2"/>
      <c r="BA102" s="2"/>
      <c r="BB102" s="2">
        <v>1622.0</v>
      </c>
      <c r="BC102" s="2">
        <v>1635.0</v>
      </c>
      <c r="BD102" s="2"/>
      <c r="BE102" s="2" t="s">
        <v>2191</v>
      </c>
      <c r="BF102" s="3" t="str">
        <f>HYPERLINK("http://dx.doi.org/10.1002/pan3.10528","http://dx.doi.org/10.1002/pan3.10528")</f>
        <v>http://dx.doi.org/10.1002/pan3.10528</v>
      </c>
      <c r="BG102" s="2"/>
      <c r="BH102" s="2" t="s">
        <v>294</v>
      </c>
      <c r="BI102" s="2">
        <v>14.0</v>
      </c>
      <c r="BJ102" s="2" t="s">
        <v>2192</v>
      </c>
      <c r="BK102" s="2" t="s">
        <v>226</v>
      </c>
      <c r="BL102" s="2" t="s">
        <v>2193</v>
      </c>
      <c r="BM102" s="2" t="s">
        <v>2194</v>
      </c>
      <c r="BN102" s="2"/>
      <c r="BO102" s="2" t="s">
        <v>255</v>
      </c>
      <c r="BP102" s="2"/>
      <c r="BQ102" s="2"/>
      <c r="BR102" s="2" t="s">
        <v>99</v>
      </c>
      <c r="BS102" s="2" t="s">
        <v>2195</v>
      </c>
      <c r="BT102" s="2" t="str">
        <f>HYPERLINK("https%3A%2F%2Fwww.webofscience.com%2Fwos%2Fwoscc%2Ffull-record%2FWOS:001060910000001","View Full Record in Web of Science")</f>
        <v>View Full Record in Web of Science</v>
      </c>
    </row>
    <row r="103" ht="64.5" customHeight="1">
      <c r="A103" s="2" t="s">
        <v>110</v>
      </c>
      <c r="B103" s="2" t="s">
        <v>2196</v>
      </c>
      <c r="C103" s="2"/>
      <c r="D103" s="2"/>
      <c r="E103" s="2"/>
      <c r="F103" s="2" t="s">
        <v>2197</v>
      </c>
      <c r="G103" s="2"/>
      <c r="H103" s="2"/>
      <c r="I103" s="2" t="s">
        <v>2198</v>
      </c>
      <c r="J103" s="2" t="s">
        <v>114</v>
      </c>
      <c r="K103" s="2" t="s">
        <v>115</v>
      </c>
      <c r="L103" s="2"/>
      <c r="M103" s="2" t="s">
        <v>116</v>
      </c>
      <c r="N103" s="2" t="s">
        <v>117</v>
      </c>
      <c r="O103" s="2" t="s">
        <v>118</v>
      </c>
      <c r="P103" s="2" t="s">
        <v>119</v>
      </c>
      <c r="Q103" s="2" t="s">
        <v>120</v>
      </c>
      <c r="R103" s="2"/>
      <c r="S103" s="2"/>
      <c r="T103" s="4" t="s">
        <v>121</v>
      </c>
      <c r="U103" s="2"/>
      <c r="V103" s="2" t="s">
        <v>2199</v>
      </c>
      <c r="W103" s="2" t="s">
        <v>2200</v>
      </c>
      <c r="X103" s="2" t="s">
        <v>124</v>
      </c>
      <c r="Y103" s="2" t="s">
        <v>2201</v>
      </c>
      <c r="Z103" s="2"/>
      <c r="AA103" s="2"/>
      <c r="AB103" s="2"/>
      <c r="AC103" s="2"/>
      <c r="AD103" s="2"/>
      <c r="AE103" s="2"/>
      <c r="AF103" s="2" t="s">
        <v>2202</v>
      </c>
      <c r="AG103" s="2">
        <v>7.0</v>
      </c>
      <c r="AH103" s="2">
        <v>0.0</v>
      </c>
      <c r="AI103" s="2">
        <v>0.0</v>
      </c>
      <c r="AJ103" s="2">
        <v>0.0</v>
      </c>
      <c r="AK103" s="2">
        <v>9.0</v>
      </c>
      <c r="AL103" s="2" t="s">
        <v>129</v>
      </c>
      <c r="AM103" s="2" t="s">
        <v>130</v>
      </c>
      <c r="AN103" s="2" t="s">
        <v>131</v>
      </c>
      <c r="AO103" s="2" t="s">
        <v>132</v>
      </c>
      <c r="AP103" s="2"/>
      <c r="AQ103" s="2" t="s">
        <v>133</v>
      </c>
      <c r="AR103" s="2" t="s">
        <v>115</v>
      </c>
      <c r="AS103" s="2"/>
      <c r="AT103" s="2"/>
      <c r="AU103" s="2">
        <v>2005.0</v>
      </c>
      <c r="AV103" s="2"/>
      <c r="AW103" s="2"/>
      <c r="AX103" s="2"/>
      <c r="AY103" s="2"/>
      <c r="AZ103" s="2"/>
      <c r="BA103" s="2"/>
      <c r="BB103" s="2">
        <v>101.0</v>
      </c>
      <c r="BC103" s="2">
        <v>105.0</v>
      </c>
      <c r="BD103" s="2"/>
      <c r="BE103" s="2"/>
      <c r="BF103" s="2"/>
      <c r="BG103" s="2"/>
      <c r="BH103" s="2"/>
      <c r="BI103" s="2">
        <v>5.0</v>
      </c>
      <c r="BJ103" s="2" t="s">
        <v>134</v>
      </c>
      <c r="BK103" s="2" t="s">
        <v>135</v>
      </c>
      <c r="BL103" s="2" t="s">
        <v>136</v>
      </c>
      <c r="BM103" s="2" t="s">
        <v>137</v>
      </c>
      <c r="BN103" s="2"/>
      <c r="BO103" s="2"/>
      <c r="BP103" s="2"/>
      <c r="BQ103" s="2"/>
      <c r="BR103" s="2" t="s">
        <v>99</v>
      </c>
      <c r="BS103" s="2" t="s">
        <v>2203</v>
      </c>
      <c r="BT103" s="2" t="str">
        <f>HYPERLINK("https%3A%2F%2Fwww.webofscience.com%2Fwos%2Fwoscc%2Ffull-record%2FWOS:000238978700020","View Full Record in Web of Science")</f>
        <v>View Full Record in Web of Science</v>
      </c>
    </row>
    <row r="104" ht="64.5" customHeight="1">
      <c r="A104" s="2" t="s">
        <v>72</v>
      </c>
      <c r="B104" s="2" t="s">
        <v>2204</v>
      </c>
      <c r="C104" s="2"/>
      <c r="D104" s="2"/>
      <c r="E104" s="2"/>
      <c r="F104" s="2" t="s">
        <v>2205</v>
      </c>
      <c r="G104" s="2"/>
      <c r="H104" s="2"/>
      <c r="I104" s="2" t="s">
        <v>2206</v>
      </c>
      <c r="J104" s="2" t="s">
        <v>2207</v>
      </c>
      <c r="K104" s="2"/>
      <c r="L104" s="2"/>
      <c r="M104" s="2" t="s">
        <v>116</v>
      </c>
      <c r="N104" s="2" t="s">
        <v>78</v>
      </c>
      <c r="O104" s="2"/>
      <c r="P104" s="2"/>
      <c r="Q104" s="2"/>
      <c r="R104" s="2"/>
      <c r="S104" s="2"/>
      <c r="T104" s="2" t="s">
        <v>2208</v>
      </c>
      <c r="U104" s="2"/>
      <c r="V104" s="2" t="s">
        <v>2209</v>
      </c>
      <c r="W104" s="2" t="s">
        <v>2210</v>
      </c>
      <c r="X104" s="2" t="s">
        <v>2211</v>
      </c>
      <c r="Y104" s="2" t="s">
        <v>2212</v>
      </c>
      <c r="Z104" s="2" t="s">
        <v>2213</v>
      </c>
      <c r="AA104" s="2" t="s">
        <v>2214</v>
      </c>
      <c r="AB104" s="2" t="s">
        <v>2215</v>
      </c>
      <c r="AC104" s="2" t="s">
        <v>2216</v>
      </c>
      <c r="AD104" s="2" t="s">
        <v>2217</v>
      </c>
      <c r="AE104" s="2" t="s">
        <v>2218</v>
      </c>
      <c r="AF104" s="2" t="s">
        <v>2219</v>
      </c>
      <c r="AG104" s="2">
        <v>21.0</v>
      </c>
      <c r="AH104" s="2">
        <v>15.0</v>
      </c>
      <c r="AI104" s="2">
        <v>15.0</v>
      </c>
      <c r="AJ104" s="2">
        <v>1.0</v>
      </c>
      <c r="AK104" s="2">
        <v>18.0</v>
      </c>
      <c r="AL104" s="2" t="s">
        <v>156</v>
      </c>
      <c r="AM104" s="2" t="s">
        <v>157</v>
      </c>
      <c r="AN104" s="2" t="s">
        <v>158</v>
      </c>
      <c r="AO104" s="2" t="s">
        <v>2220</v>
      </c>
      <c r="AP104" s="2" t="s">
        <v>2221</v>
      </c>
      <c r="AQ104" s="2"/>
      <c r="AR104" s="2" t="s">
        <v>2222</v>
      </c>
      <c r="AS104" s="2" t="s">
        <v>2223</v>
      </c>
      <c r="AT104" s="2" t="s">
        <v>2224</v>
      </c>
      <c r="AU104" s="2">
        <v>2016.0</v>
      </c>
      <c r="AV104" s="2">
        <v>40.0</v>
      </c>
      <c r="AW104" s="2">
        <v>1.0</v>
      </c>
      <c r="AX104" s="2"/>
      <c r="AY104" s="2"/>
      <c r="AZ104" s="2"/>
      <c r="BA104" s="2"/>
      <c r="BB104" s="2">
        <v>67.0</v>
      </c>
      <c r="BC104" s="2">
        <v>76.0</v>
      </c>
      <c r="BD104" s="2"/>
      <c r="BE104" s="2" t="s">
        <v>2225</v>
      </c>
      <c r="BF104" s="3" t="str">
        <f>HYPERLINK("http://dx.doi.org/10.1080/03098265.2015.1089477","http://dx.doi.org/10.1080/03098265.2015.1089477")</f>
        <v>http://dx.doi.org/10.1080/03098265.2015.1089477</v>
      </c>
      <c r="BG104" s="2"/>
      <c r="BH104" s="2"/>
      <c r="BI104" s="2">
        <v>10.0</v>
      </c>
      <c r="BJ104" s="2" t="s">
        <v>2226</v>
      </c>
      <c r="BK104" s="2" t="s">
        <v>166</v>
      </c>
      <c r="BL104" s="2" t="s">
        <v>2226</v>
      </c>
      <c r="BM104" s="2" t="s">
        <v>2227</v>
      </c>
      <c r="BN104" s="2"/>
      <c r="BO104" s="2" t="s">
        <v>1177</v>
      </c>
      <c r="BP104" s="2"/>
      <c r="BQ104" s="2"/>
      <c r="BR104" s="2" t="s">
        <v>99</v>
      </c>
      <c r="BS104" s="2" t="s">
        <v>2228</v>
      </c>
      <c r="BT104" s="2" t="str">
        <f>HYPERLINK("https%3A%2F%2Fwww.webofscience.com%2Fwos%2Fwoscc%2Ffull-record%2FWOS:000371918900007","View Full Record in Web of Science")</f>
        <v>View Full Record in Web of Science</v>
      </c>
    </row>
    <row r="105" ht="64.5" customHeight="1">
      <c r="A105" s="2" t="s">
        <v>72</v>
      </c>
      <c r="B105" s="2" t="s">
        <v>2229</v>
      </c>
      <c r="C105" s="2"/>
      <c r="D105" s="2"/>
      <c r="E105" s="2"/>
      <c r="F105" s="2" t="s">
        <v>2230</v>
      </c>
      <c r="G105" s="2"/>
      <c r="H105" s="2"/>
      <c r="I105" s="2" t="s">
        <v>2231</v>
      </c>
      <c r="J105" s="2" t="s">
        <v>1337</v>
      </c>
      <c r="K105" s="2"/>
      <c r="L105" s="2"/>
      <c r="M105" s="2" t="s">
        <v>116</v>
      </c>
      <c r="N105" s="2" t="s">
        <v>78</v>
      </c>
      <c r="O105" s="2"/>
      <c r="P105" s="2"/>
      <c r="Q105" s="2"/>
      <c r="R105" s="2"/>
      <c r="S105" s="2"/>
      <c r="T105" s="2" t="s">
        <v>2232</v>
      </c>
      <c r="U105" s="2" t="s">
        <v>2233</v>
      </c>
      <c r="V105" s="2" t="s">
        <v>2234</v>
      </c>
      <c r="W105" s="2" t="s">
        <v>2235</v>
      </c>
      <c r="X105" s="2" t="s">
        <v>2236</v>
      </c>
      <c r="Y105" s="2" t="s">
        <v>2237</v>
      </c>
      <c r="Z105" s="2" t="s">
        <v>2238</v>
      </c>
      <c r="AA105" s="2"/>
      <c r="AB105" s="2"/>
      <c r="AC105" s="2" t="s">
        <v>2239</v>
      </c>
      <c r="AD105" s="2" t="s">
        <v>2240</v>
      </c>
      <c r="AE105" s="2" t="s">
        <v>2241</v>
      </c>
      <c r="AF105" s="2" t="s">
        <v>2242</v>
      </c>
      <c r="AG105" s="2">
        <v>69.0</v>
      </c>
      <c r="AH105" s="2">
        <v>9.0</v>
      </c>
      <c r="AI105" s="2">
        <v>9.0</v>
      </c>
      <c r="AJ105" s="2">
        <v>4.0</v>
      </c>
      <c r="AK105" s="2">
        <v>13.0</v>
      </c>
      <c r="AL105" s="2" t="s">
        <v>1346</v>
      </c>
      <c r="AM105" s="2" t="s">
        <v>428</v>
      </c>
      <c r="AN105" s="2" t="s">
        <v>1347</v>
      </c>
      <c r="AO105" s="2" t="s">
        <v>1348</v>
      </c>
      <c r="AP105" s="2" t="s">
        <v>1349</v>
      </c>
      <c r="AQ105" s="2"/>
      <c r="AR105" s="2" t="s">
        <v>1350</v>
      </c>
      <c r="AS105" s="2" t="s">
        <v>1351</v>
      </c>
      <c r="AT105" s="2" t="s">
        <v>533</v>
      </c>
      <c r="AU105" s="2">
        <v>2022.0</v>
      </c>
      <c r="AV105" s="2">
        <v>91.0</v>
      </c>
      <c r="AW105" s="2"/>
      <c r="AX105" s="2"/>
      <c r="AY105" s="2"/>
      <c r="AZ105" s="2"/>
      <c r="BA105" s="2"/>
      <c r="BB105" s="2"/>
      <c r="BC105" s="2"/>
      <c r="BD105" s="2">
        <v>102718.0</v>
      </c>
      <c r="BE105" s="2" t="s">
        <v>2243</v>
      </c>
      <c r="BF105" s="3" t="str">
        <f>HYPERLINK("http://dx.doi.org/10.1016/j.erss.2022.102718","http://dx.doi.org/10.1016/j.erss.2022.102718")</f>
        <v>http://dx.doi.org/10.1016/j.erss.2022.102718</v>
      </c>
      <c r="BG105" s="2"/>
      <c r="BH105" s="2" t="s">
        <v>2244</v>
      </c>
      <c r="BI105" s="2">
        <v>12.0</v>
      </c>
      <c r="BJ105" s="2" t="s">
        <v>95</v>
      </c>
      <c r="BK105" s="2" t="s">
        <v>166</v>
      </c>
      <c r="BL105" s="2" t="s">
        <v>97</v>
      </c>
      <c r="BM105" s="2" t="s">
        <v>2245</v>
      </c>
      <c r="BN105" s="2"/>
      <c r="BO105" s="2"/>
      <c r="BP105" s="2"/>
      <c r="BQ105" s="2"/>
      <c r="BR105" s="2" t="s">
        <v>99</v>
      </c>
      <c r="BS105" s="2" t="s">
        <v>2246</v>
      </c>
      <c r="BT105" s="2" t="str">
        <f>HYPERLINK("https%3A%2F%2Fwww.webofscience.com%2Fwos%2Fwoscc%2Ffull-record%2FWOS:000885853500008","View Full Record in Web of Science")</f>
        <v>View Full Record in Web of Science</v>
      </c>
    </row>
    <row r="106" ht="64.5" customHeight="1">
      <c r="A106" s="2" t="s">
        <v>72</v>
      </c>
      <c r="B106" s="2" t="s">
        <v>2247</v>
      </c>
      <c r="C106" s="2"/>
      <c r="D106" s="2"/>
      <c r="E106" s="2"/>
      <c r="F106" s="2" t="s">
        <v>2248</v>
      </c>
      <c r="G106" s="2"/>
      <c r="H106" s="2"/>
      <c r="I106" s="2" t="s">
        <v>2249</v>
      </c>
      <c r="J106" s="2" t="s">
        <v>1429</v>
      </c>
      <c r="K106" s="2"/>
      <c r="L106" s="2"/>
      <c r="M106" s="2" t="s">
        <v>116</v>
      </c>
      <c r="N106" s="2" t="s">
        <v>78</v>
      </c>
      <c r="O106" s="2"/>
      <c r="P106" s="2"/>
      <c r="Q106" s="2"/>
      <c r="R106" s="2"/>
      <c r="S106" s="2"/>
      <c r="T106" s="2" t="s">
        <v>2250</v>
      </c>
      <c r="U106" s="2" t="s">
        <v>2251</v>
      </c>
      <c r="V106" s="2" t="s">
        <v>2252</v>
      </c>
      <c r="W106" s="2" t="s">
        <v>2253</v>
      </c>
      <c r="X106" s="2" t="s">
        <v>2254</v>
      </c>
      <c r="Y106" s="2" t="s">
        <v>1468</v>
      </c>
      <c r="Z106" s="2" t="s">
        <v>1469</v>
      </c>
      <c r="AA106" s="2" t="s">
        <v>700</v>
      </c>
      <c r="AB106" s="2" t="s">
        <v>1470</v>
      </c>
      <c r="AC106" s="2"/>
      <c r="AD106" s="2"/>
      <c r="AE106" s="2"/>
      <c r="AF106" s="2" t="s">
        <v>2255</v>
      </c>
      <c r="AG106" s="2">
        <v>114.0</v>
      </c>
      <c r="AH106" s="2">
        <v>52.0</v>
      </c>
      <c r="AI106" s="2">
        <v>55.0</v>
      </c>
      <c r="AJ106" s="2">
        <v>5.0</v>
      </c>
      <c r="AK106" s="2">
        <v>48.0</v>
      </c>
      <c r="AL106" s="2" t="s">
        <v>156</v>
      </c>
      <c r="AM106" s="2" t="s">
        <v>157</v>
      </c>
      <c r="AN106" s="2" t="s">
        <v>158</v>
      </c>
      <c r="AO106" s="2" t="s">
        <v>1442</v>
      </c>
      <c r="AP106" s="2" t="s">
        <v>1443</v>
      </c>
      <c r="AQ106" s="2"/>
      <c r="AR106" s="2" t="s">
        <v>1444</v>
      </c>
      <c r="AS106" s="2" t="s">
        <v>1445</v>
      </c>
      <c r="AT106" s="2"/>
      <c r="AU106" s="2">
        <v>2013.0</v>
      </c>
      <c r="AV106" s="2">
        <v>44.0</v>
      </c>
      <c r="AW106" s="2">
        <v>1.0</v>
      </c>
      <c r="AX106" s="2"/>
      <c r="AY106" s="2"/>
      <c r="AZ106" s="2"/>
      <c r="BA106" s="2"/>
      <c r="BB106" s="2">
        <v>56.0</v>
      </c>
      <c r="BC106" s="2">
        <v>78.0</v>
      </c>
      <c r="BD106" s="2"/>
      <c r="BE106" s="2" t="s">
        <v>2256</v>
      </c>
      <c r="BF106" s="3" t="str">
        <f>HYPERLINK("http://dx.doi.org/10.1080/00958964.2012.682615","http://dx.doi.org/10.1080/00958964.2012.682615")</f>
        <v>http://dx.doi.org/10.1080/00958964.2012.682615</v>
      </c>
      <c r="BG106" s="2"/>
      <c r="BH106" s="2"/>
      <c r="BI106" s="2">
        <v>23.0</v>
      </c>
      <c r="BJ106" s="2" t="s">
        <v>165</v>
      </c>
      <c r="BK106" s="2" t="s">
        <v>166</v>
      </c>
      <c r="BL106" s="2" t="s">
        <v>167</v>
      </c>
      <c r="BM106" s="2" t="s">
        <v>1473</v>
      </c>
      <c r="BN106" s="2"/>
      <c r="BO106" s="2"/>
      <c r="BP106" s="2"/>
      <c r="BQ106" s="2"/>
      <c r="BR106" s="2" t="s">
        <v>99</v>
      </c>
      <c r="BS106" s="2" t="s">
        <v>2257</v>
      </c>
      <c r="BT106" s="2" t="str">
        <f>HYPERLINK("https%3A%2F%2Fwww.webofscience.com%2Fwos%2Fwoscc%2Ffull-record%2FWOS:000311368400004","View Full Record in Web of Science")</f>
        <v>View Full Record in Web of Science</v>
      </c>
    </row>
    <row r="107" ht="64.5" customHeight="1">
      <c r="A107" s="2" t="s">
        <v>72</v>
      </c>
      <c r="B107" s="2" t="s">
        <v>2258</v>
      </c>
      <c r="C107" s="2"/>
      <c r="D107" s="2"/>
      <c r="E107" s="2"/>
      <c r="F107" s="2" t="s">
        <v>2259</v>
      </c>
      <c r="G107" s="2"/>
      <c r="H107" s="2"/>
      <c r="I107" s="2" t="s">
        <v>2260</v>
      </c>
      <c r="J107" s="2" t="s">
        <v>2261</v>
      </c>
      <c r="K107" s="2"/>
      <c r="L107" s="2"/>
      <c r="M107" s="2" t="s">
        <v>116</v>
      </c>
      <c r="N107" s="2" t="s">
        <v>78</v>
      </c>
      <c r="O107" s="2"/>
      <c r="P107" s="2"/>
      <c r="Q107" s="2"/>
      <c r="R107" s="2"/>
      <c r="S107" s="2"/>
      <c r="T107" s="2" t="s">
        <v>2262</v>
      </c>
      <c r="U107" s="2" t="s">
        <v>2263</v>
      </c>
      <c r="V107" s="2" t="s">
        <v>2264</v>
      </c>
      <c r="W107" s="2" t="s">
        <v>2265</v>
      </c>
      <c r="X107" s="2" t="s">
        <v>2266</v>
      </c>
      <c r="Y107" s="2" t="s">
        <v>2267</v>
      </c>
      <c r="Z107" s="2" t="s">
        <v>2268</v>
      </c>
      <c r="AA107" s="2" t="s">
        <v>2269</v>
      </c>
      <c r="AB107" s="2" t="s">
        <v>2270</v>
      </c>
      <c r="AC107" s="2" t="s">
        <v>2271</v>
      </c>
      <c r="AD107" s="2" t="s">
        <v>2272</v>
      </c>
      <c r="AE107" s="2" t="s">
        <v>2273</v>
      </c>
      <c r="AF107" s="2" t="s">
        <v>2274</v>
      </c>
      <c r="AG107" s="2">
        <v>21.0</v>
      </c>
      <c r="AH107" s="2">
        <v>4.0</v>
      </c>
      <c r="AI107" s="2">
        <v>4.0</v>
      </c>
      <c r="AJ107" s="2">
        <v>4.0</v>
      </c>
      <c r="AK107" s="2">
        <v>16.0</v>
      </c>
      <c r="AL107" s="2" t="s">
        <v>2275</v>
      </c>
      <c r="AM107" s="2" t="s">
        <v>2276</v>
      </c>
      <c r="AN107" s="2" t="s">
        <v>2277</v>
      </c>
      <c r="AO107" s="2" t="s">
        <v>2278</v>
      </c>
      <c r="AP107" s="2"/>
      <c r="AQ107" s="2"/>
      <c r="AR107" s="2" t="s">
        <v>2279</v>
      </c>
      <c r="AS107" s="2" t="s">
        <v>2280</v>
      </c>
      <c r="AT107" s="2"/>
      <c r="AU107" s="2">
        <v>2018.0</v>
      </c>
      <c r="AV107" s="2">
        <v>17.0</v>
      </c>
      <c r="AW107" s="2">
        <v>5.0</v>
      </c>
      <c r="AX107" s="2"/>
      <c r="AY107" s="2"/>
      <c r="AZ107" s="2"/>
      <c r="BA107" s="2"/>
      <c r="BB107" s="2">
        <v>867.0</v>
      </c>
      <c r="BC107" s="2">
        <v>877.0</v>
      </c>
      <c r="BD107" s="2"/>
      <c r="BE107" s="2"/>
      <c r="BF107" s="2"/>
      <c r="BG107" s="2"/>
      <c r="BH107" s="2"/>
      <c r="BI107" s="2">
        <v>11.0</v>
      </c>
      <c r="BJ107" s="2" t="s">
        <v>331</v>
      </c>
      <c r="BK107" s="2" t="s">
        <v>166</v>
      </c>
      <c r="BL107" s="2" t="s">
        <v>331</v>
      </c>
      <c r="BM107" s="2" t="s">
        <v>2281</v>
      </c>
      <c r="BN107" s="2"/>
      <c r="BO107" s="2"/>
      <c r="BP107" s="2"/>
      <c r="BQ107" s="2"/>
      <c r="BR107" s="2" t="s">
        <v>99</v>
      </c>
      <c r="BS107" s="2" t="s">
        <v>2282</v>
      </c>
      <c r="BT107" s="2" t="str">
        <f>HYPERLINK("https%3A%2F%2Fwww.webofscience.com%2Fwos%2Fwoscc%2Ffull-record%2FWOS:000447414500010","View Full Record in Web of Science")</f>
        <v>View Full Record in Web of Science</v>
      </c>
    </row>
    <row r="108" ht="64.5" customHeight="1">
      <c r="A108" s="2" t="s">
        <v>110</v>
      </c>
      <c r="B108" s="2" t="s">
        <v>2283</v>
      </c>
      <c r="C108" s="2"/>
      <c r="D108" s="2" t="s">
        <v>2284</v>
      </c>
      <c r="E108" s="2"/>
      <c r="F108" s="2" t="s">
        <v>2285</v>
      </c>
      <c r="G108" s="2"/>
      <c r="H108" s="2"/>
      <c r="I108" s="2" t="s">
        <v>2286</v>
      </c>
      <c r="J108" s="2" t="s">
        <v>2287</v>
      </c>
      <c r="K108" s="2" t="s">
        <v>2288</v>
      </c>
      <c r="L108" s="2"/>
      <c r="M108" s="2" t="s">
        <v>116</v>
      </c>
      <c r="N108" s="2" t="s">
        <v>117</v>
      </c>
      <c r="O108" s="2" t="s">
        <v>2289</v>
      </c>
      <c r="P108" s="2" t="s">
        <v>2290</v>
      </c>
      <c r="Q108" s="2" t="s">
        <v>2291</v>
      </c>
      <c r="R108" s="2"/>
      <c r="S108" s="2"/>
      <c r="T108" s="4" t="s">
        <v>121</v>
      </c>
      <c r="U108" s="2" t="s">
        <v>2292</v>
      </c>
      <c r="V108" s="2" t="s">
        <v>2293</v>
      </c>
      <c r="W108" s="2" t="s">
        <v>2294</v>
      </c>
      <c r="X108" s="2" t="s">
        <v>2295</v>
      </c>
      <c r="Y108" s="2" t="s">
        <v>2296</v>
      </c>
      <c r="Z108" s="2" t="s">
        <v>2297</v>
      </c>
      <c r="AA108" s="2" t="s">
        <v>2298</v>
      </c>
      <c r="AB108" s="2" t="s">
        <v>2299</v>
      </c>
      <c r="AC108" s="2"/>
      <c r="AD108" s="2"/>
      <c r="AE108" s="2"/>
      <c r="AF108" s="2" t="s">
        <v>2300</v>
      </c>
      <c r="AG108" s="2">
        <v>27.0</v>
      </c>
      <c r="AH108" s="2">
        <v>4.0</v>
      </c>
      <c r="AI108" s="2">
        <v>4.0</v>
      </c>
      <c r="AJ108" s="2">
        <v>0.0</v>
      </c>
      <c r="AK108" s="2">
        <v>1.0</v>
      </c>
      <c r="AL108" s="2" t="s">
        <v>2301</v>
      </c>
      <c r="AM108" s="2" t="s">
        <v>2302</v>
      </c>
      <c r="AN108" s="2" t="s">
        <v>2303</v>
      </c>
      <c r="AO108" s="2" t="s">
        <v>2304</v>
      </c>
      <c r="AP108" s="2" t="s">
        <v>2305</v>
      </c>
      <c r="AQ108" s="2"/>
      <c r="AR108" s="2" t="s">
        <v>2306</v>
      </c>
      <c r="AS108" s="2"/>
      <c r="AT108" s="2"/>
      <c r="AU108" s="2">
        <v>2017.0</v>
      </c>
      <c r="AV108" s="2">
        <v>877.0</v>
      </c>
      <c r="AW108" s="2"/>
      <c r="AX108" s="2"/>
      <c r="AY108" s="2"/>
      <c r="AZ108" s="2"/>
      <c r="BA108" s="2"/>
      <c r="BB108" s="2"/>
      <c r="BC108" s="2"/>
      <c r="BD108" s="2">
        <v>12014.0</v>
      </c>
      <c r="BE108" s="2" t="s">
        <v>2307</v>
      </c>
      <c r="BF108" s="3" t="str">
        <f>HYPERLINK("http://dx.doi.org/10.1088/1742-6596/877/1/012014","http://dx.doi.org/10.1088/1742-6596/877/1/012014")</f>
        <v>http://dx.doi.org/10.1088/1742-6596/877/1/012014</v>
      </c>
      <c r="BG108" s="2"/>
      <c r="BH108" s="2"/>
      <c r="BI108" s="2">
        <v>8.0</v>
      </c>
      <c r="BJ108" s="2" t="s">
        <v>2308</v>
      </c>
      <c r="BK108" s="2" t="s">
        <v>135</v>
      </c>
      <c r="BL108" s="2" t="s">
        <v>2309</v>
      </c>
      <c r="BM108" s="2" t="s">
        <v>2310</v>
      </c>
      <c r="BN108" s="2"/>
      <c r="BO108" s="2" t="s">
        <v>255</v>
      </c>
      <c r="BP108" s="2"/>
      <c r="BQ108" s="2"/>
      <c r="BR108" s="2" t="s">
        <v>99</v>
      </c>
      <c r="BS108" s="2" t="s">
        <v>2311</v>
      </c>
      <c r="BT108" s="2" t="str">
        <f>HYPERLINK("https%3A%2F%2Fwww.webofscience.com%2Fwos%2Fwoscc%2Ffull-record%2FWOS:000414154800014","View Full Record in Web of Science")</f>
        <v>View Full Record in Web of Science</v>
      </c>
    </row>
    <row r="109" ht="64.5" customHeight="1">
      <c r="A109" s="2" t="s">
        <v>72</v>
      </c>
      <c r="B109" s="2" t="s">
        <v>2312</v>
      </c>
      <c r="C109" s="2"/>
      <c r="D109" s="2"/>
      <c r="E109" s="2"/>
      <c r="F109" s="2" t="s">
        <v>2313</v>
      </c>
      <c r="G109" s="2"/>
      <c r="H109" s="2"/>
      <c r="I109" s="2" t="s">
        <v>2314</v>
      </c>
      <c r="J109" s="2" t="s">
        <v>2315</v>
      </c>
      <c r="K109" s="2"/>
      <c r="L109" s="2"/>
      <c r="M109" s="2" t="s">
        <v>116</v>
      </c>
      <c r="N109" s="2" t="s">
        <v>78</v>
      </c>
      <c r="O109" s="2"/>
      <c r="P109" s="2"/>
      <c r="Q109" s="2"/>
      <c r="R109" s="2"/>
      <c r="S109" s="2"/>
      <c r="T109" s="2" t="s">
        <v>2316</v>
      </c>
      <c r="U109" s="2" t="s">
        <v>2317</v>
      </c>
      <c r="V109" s="2" t="s">
        <v>2318</v>
      </c>
      <c r="W109" s="2" t="s">
        <v>2319</v>
      </c>
      <c r="X109" s="2" t="s">
        <v>2320</v>
      </c>
      <c r="Y109" s="2" t="s">
        <v>2321</v>
      </c>
      <c r="Z109" s="2" t="s">
        <v>2322</v>
      </c>
      <c r="AA109" s="2"/>
      <c r="AB109" s="2" t="s">
        <v>2323</v>
      </c>
      <c r="AC109" s="2" t="s">
        <v>2324</v>
      </c>
      <c r="AD109" s="2" t="s">
        <v>2325</v>
      </c>
      <c r="AE109" s="2" t="s">
        <v>2326</v>
      </c>
      <c r="AF109" s="2" t="s">
        <v>2327</v>
      </c>
      <c r="AG109" s="2">
        <v>116.0</v>
      </c>
      <c r="AH109" s="2">
        <v>5.0</v>
      </c>
      <c r="AI109" s="2">
        <v>5.0</v>
      </c>
      <c r="AJ109" s="2">
        <v>0.0</v>
      </c>
      <c r="AK109" s="2">
        <v>4.0</v>
      </c>
      <c r="AL109" s="2" t="s">
        <v>351</v>
      </c>
      <c r="AM109" s="2" t="s">
        <v>130</v>
      </c>
      <c r="AN109" s="2" t="s">
        <v>2328</v>
      </c>
      <c r="AO109" s="2" t="s">
        <v>2329</v>
      </c>
      <c r="AP109" s="2" t="s">
        <v>2330</v>
      </c>
      <c r="AQ109" s="2"/>
      <c r="AR109" s="2" t="s">
        <v>2331</v>
      </c>
      <c r="AS109" s="2" t="s">
        <v>2332</v>
      </c>
      <c r="AT109" s="2" t="s">
        <v>358</v>
      </c>
      <c r="AU109" s="2">
        <v>2022.0</v>
      </c>
      <c r="AV109" s="2">
        <v>22.0</v>
      </c>
      <c r="AW109" s="2">
        <v>1.0</v>
      </c>
      <c r="AX109" s="2"/>
      <c r="AY109" s="2"/>
      <c r="AZ109" s="2"/>
      <c r="BA109" s="2"/>
      <c r="BB109" s="2">
        <v>42.0</v>
      </c>
      <c r="BC109" s="2">
        <v>67.0</v>
      </c>
      <c r="BD109" s="2"/>
      <c r="BE109" s="2" t="s">
        <v>2333</v>
      </c>
      <c r="BF109" s="3" t="str">
        <f>HYPERLINK("http://dx.doi.org/10.1007/s42330-022-00196-4","http://dx.doi.org/10.1007/s42330-022-00196-4")</f>
        <v>http://dx.doi.org/10.1007/s42330-022-00196-4</v>
      </c>
      <c r="BG109" s="2"/>
      <c r="BH109" s="2" t="s">
        <v>2334</v>
      </c>
      <c r="BI109" s="2">
        <v>26.0</v>
      </c>
      <c r="BJ109" s="2" t="s">
        <v>2335</v>
      </c>
      <c r="BK109" s="2" t="s">
        <v>96</v>
      </c>
      <c r="BL109" s="2" t="s">
        <v>331</v>
      </c>
      <c r="BM109" s="2" t="s">
        <v>2336</v>
      </c>
      <c r="BN109" s="2"/>
      <c r="BO109" s="2"/>
      <c r="BP109" s="2"/>
      <c r="BQ109" s="2"/>
      <c r="BR109" s="2" t="s">
        <v>99</v>
      </c>
      <c r="BS109" s="2" t="s">
        <v>2337</v>
      </c>
      <c r="BT109" s="2" t="str">
        <f>HYPERLINK("https%3A%2F%2Fwww.webofscience.com%2Fwos%2Fwoscc%2Ffull-record%2FWOS:000773189600001","View Full Record in Web of Science")</f>
        <v>View Full Record in Web of Science</v>
      </c>
    </row>
    <row r="110" ht="64.5" customHeight="1">
      <c r="A110" s="2" t="s">
        <v>110</v>
      </c>
      <c r="B110" s="2" t="s">
        <v>1379</v>
      </c>
      <c r="C110" s="2"/>
      <c r="D110" s="2"/>
      <c r="E110" s="2" t="s">
        <v>129</v>
      </c>
      <c r="F110" s="2" t="s">
        <v>1381</v>
      </c>
      <c r="G110" s="2"/>
      <c r="H110" s="2"/>
      <c r="I110" s="2" t="s">
        <v>2338</v>
      </c>
      <c r="J110" s="2" t="s">
        <v>2339</v>
      </c>
      <c r="K110" s="2" t="s">
        <v>2340</v>
      </c>
      <c r="L110" s="2"/>
      <c r="M110" s="2" t="s">
        <v>116</v>
      </c>
      <c r="N110" s="2" t="s">
        <v>117</v>
      </c>
      <c r="O110" s="2" t="s">
        <v>2341</v>
      </c>
      <c r="P110" s="2" t="s">
        <v>2342</v>
      </c>
      <c r="Q110" s="2" t="s">
        <v>2343</v>
      </c>
      <c r="R110" s="2"/>
      <c r="S110" s="2"/>
      <c r="T110" s="2" t="s">
        <v>2344</v>
      </c>
      <c r="U110" s="2" t="s">
        <v>2345</v>
      </c>
      <c r="V110" s="2" t="s">
        <v>2346</v>
      </c>
      <c r="W110" s="2" t="s">
        <v>1390</v>
      </c>
      <c r="X110" s="2" t="s">
        <v>1391</v>
      </c>
      <c r="Y110" s="2" t="s">
        <v>1392</v>
      </c>
      <c r="Z110" s="2" t="s">
        <v>1393</v>
      </c>
      <c r="AA110" s="2" t="s">
        <v>1930</v>
      </c>
      <c r="AB110" s="2" t="s">
        <v>2347</v>
      </c>
      <c r="AC110" s="2"/>
      <c r="AD110" s="2"/>
      <c r="AE110" s="2"/>
      <c r="AF110" s="2" t="s">
        <v>2348</v>
      </c>
      <c r="AG110" s="2">
        <v>38.0</v>
      </c>
      <c r="AH110" s="2">
        <v>2.0</v>
      </c>
      <c r="AI110" s="2">
        <v>2.0</v>
      </c>
      <c r="AJ110" s="2">
        <v>1.0</v>
      </c>
      <c r="AK110" s="2">
        <v>2.0</v>
      </c>
      <c r="AL110" s="2" t="s">
        <v>129</v>
      </c>
      <c r="AM110" s="2" t="s">
        <v>130</v>
      </c>
      <c r="AN110" s="2" t="s">
        <v>131</v>
      </c>
      <c r="AO110" s="2" t="s">
        <v>2349</v>
      </c>
      <c r="AP110" s="2"/>
      <c r="AQ110" s="2" t="s">
        <v>2350</v>
      </c>
      <c r="AR110" s="2" t="s">
        <v>2351</v>
      </c>
      <c r="AS110" s="2"/>
      <c r="AT110" s="2"/>
      <c r="AU110" s="2">
        <v>2019.0</v>
      </c>
      <c r="AV110" s="2"/>
      <c r="AW110" s="2"/>
      <c r="AX110" s="2"/>
      <c r="AY110" s="2"/>
      <c r="AZ110" s="2"/>
      <c r="BA110" s="2"/>
      <c r="BB110" s="2"/>
      <c r="BC110" s="2"/>
      <c r="BD110" s="2"/>
      <c r="BE110" s="2" t="s">
        <v>2352</v>
      </c>
      <c r="BF110" s="3" t="str">
        <f>HYPERLINK("http://dx.doi.org/10.1109/eem.2019.8916458","http://dx.doi.org/10.1109/eem.2019.8916458")</f>
        <v>http://dx.doi.org/10.1109/eem.2019.8916458</v>
      </c>
      <c r="BG110" s="2"/>
      <c r="BH110" s="2"/>
      <c r="BI110" s="2">
        <v>5.0</v>
      </c>
      <c r="BJ110" s="2" t="s">
        <v>2353</v>
      </c>
      <c r="BK110" s="2" t="s">
        <v>135</v>
      </c>
      <c r="BL110" s="2" t="s">
        <v>2354</v>
      </c>
      <c r="BM110" s="2" t="s">
        <v>2355</v>
      </c>
      <c r="BN110" s="2"/>
      <c r="BO110" s="2"/>
      <c r="BP110" s="2"/>
      <c r="BQ110" s="2"/>
      <c r="BR110" s="2" t="s">
        <v>99</v>
      </c>
      <c r="BS110" s="2" t="s">
        <v>2356</v>
      </c>
      <c r="BT110" s="2" t="str">
        <f>HYPERLINK("https%3A%2F%2Fwww.webofscience.com%2Fwos%2Fwoscc%2Ffull-record%2FWOS:000521338300119","View Full Record in Web of Science")</f>
        <v>View Full Record in Web of Science</v>
      </c>
    </row>
    <row r="111" ht="64.5" customHeight="1">
      <c r="A111" s="2" t="s">
        <v>72</v>
      </c>
      <c r="B111" s="2" t="s">
        <v>1657</v>
      </c>
      <c r="C111" s="2"/>
      <c r="D111" s="2"/>
      <c r="E111" s="2"/>
      <c r="F111" s="2" t="s">
        <v>1658</v>
      </c>
      <c r="G111" s="2"/>
      <c r="H111" s="2"/>
      <c r="I111" s="2" t="s">
        <v>2357</v>
      </c>
      <c r="J111" s="2" t="s">
        <v>482</v>
      </c>
      <c r="K111" s="2"/>
      <c r="L111" s="2"/>
      <c r="M111" s="2" t="s">
        <v>116</v>
      </c>
      <c r="N111" s="2" t="s">
        <v>78</v>
      </c>
      <c r="O111" s="2"/>
      <c r="P111" s="2"/>
      <c r="Q111" s="2"/>
      <c r="R111" s="2"/>
      <c r="S111" s="2"/>
      <c r="T111" s="2" t="s">
        <v>2358</v>
      </c>
      <c r="U111" s="2" t="s">
        <v>2359</v>
      </c>
      <c r="V111" s="2" t="s">
        <v>2360</v>
      </c>
      <c r="W111" s="2" t="s">
        <v>2361</v>
      </c>
      <c r="X111" s="2" t="s">
        <v>2362</v>
      </c>
      <c r="Y111" s="2" t="s">
        <v>2363</v>
      </c>
      <c r="Z111" s="2" t="s">
        <v>2364</v>
      </c>
      <c r="AA111" s="2" t="s">
        <v>1667</v>
      </c>
      <c r="AB111" s="2"/>
      <c r="AC111" s="2"/>
      <c r="AD111" s="2"/>
      <c r="AE111" s="2"/>
      <c r="AF111" s="2" t="s">
        <v>2365</v>
      </c>
      <c r="AG111" s="2">
        <v>48.0</v>
      </c>
      <c r="AH111" s="2">
        <v>0.0</v>
      </c>
      <c r="AI111" s="2">
        <v>0.0</v>
      </c>
      <c r="AJ111" s="2">
        <v>0.0</v>
      </c>
      <c r="AK111" s="2">
        <v>1.0</v>
      </c>
      <c r="AL111" s="2" t="s">
        <v>491</v>
      </c>
      <c r="AM111" s="2" t="s">
        <v>492</v>
      </c>
      <c r="AN111" s="2" t="s">
        <v>493</v>
      </c>
      <c r="AO111" s="2" t="s">
        <v>494</v>
      </c>
      <c r="AP111" s="2" t="s">
        <v>495</v>
      </c>
      <c r="AQ111" s="2"/>
      <c r="AR111" s="2" t="s">
        <v>496</v>
      </c>
      <c r="AS111" s="2" t="s">
        <v>497</v>
      </c>
      <c r="AT111" s="2" t="s">
        <v>498</v>
      </c>
      <c r="AU111" s="2">
        <v>2023.0</v>
      </c>
      <c r="AV111" s="2">
        <v>40.0</v>
      </c>
      <c r="AW111" s="2">
        <v>2.0</v>
      </c>
      <c r="AX111" s="2"/>
      <c r="AY111" s="2"/>
      <c r="AZ111" s="2"/>
      <c r="BA111" s="2"/>
      <c r="BB111" s="2">
        <v>127.0</v>
      </c>
      <c r="BC111" s="2">
        <v>152.0</v>
      </c>
      <c r="BD111" s="2"/>
      <c r="BE111" s="2"/>
      <c r="BF111" s="2"/>
      <c r="BG111" s="2"/>
      <c r="BH111" s="2"/>
      <c r="BI111" s="2">
        <v>26.0</v>
      </c>
      <c r="BJ111" s="2" t="s">
        <v>331</v>
      </c>
      <c r="BK111" s="2" t="s">
        <v>96</v>
      </c>
      <c r="BL111" s="2" t="s">
        <v>331</v>
      </c>
      <c r="BM111" s="2" t="s">
        <v>2366</v>
      </c>
      <c r="BN111" s="2"/>
      <c r="BO111" s="2"/>
      <c r="BP111" s="2"/>
      <c r="BQ111" s="2"/>
      <c r="BR111" s="2" t="s">
        <v>99</v>
      </c>
      <c r="BS111" s="2" t="s">
        <v>2367</v>
      </c>
      <c r="BT111" s="2" t="str">
        <f>HYPERLINK("https%3A%2F%2Fwww.webofscience.com%2Fwos%2Fwoscc%2Ffull-record%2FWOS:001067514700007","View Full Record in Web of Science")</f>
        <v>View Full Record in Web of Science</v>
      </c>
    </row>
    <row r="112" ht="64.5" customHeight="1">
      <c r="A112" s="2" t="s">
        <v>72</v>
      </c>
      <c r="B112" s="2" t="s">
        <v>2368</v>
      </c>
      <c r="C112" s="2"/>
      <c r="D112" s="2"/>
      <c r="E112" s="2"/>
      <c r="F112" s="2" t="s">
        <v>2369</v>
      </c>
      <c r="G112" s="2"/>
      <c r="H112" s="2"/>
      <c r="I112" s="2" t="s">
        <v>2370</v>
      </c>
      <c r="J112" s="2" t="s">
        <v>1122</v>
      </c>
      <c r="K112" s="2"/>
      <c r="L112" s="2"/>
      <c r="M112" s="2" t="s">
        <v>116</v>
      </c>
      <c r="N112" s="2" t="s">
        <v>78</v>
      </c>
      <c r="O112" s="2"/>
      <c r="P112" s="2"/>
      <c r="Q112" s="2"/>
      <c r="R112" s="2"/>
      <c r="S112" s="2"/>
      <c r="T112" s="2" t="s">
        <v>2371</v>
      </c>
      <c r="U112" s="2" t="s">
        <v>2372</v>
      </c>
      <c r="V112" s="2" t="s">
        <v>2373</v>
      </c>
      <c r="W112" s="2" t="s">
        <v>2374</v>
      </c>
      <c r="X112" s="2" t="s">
        <v>2375</v>
      </c>
      <c r="Y112" s="2" t="s">
        <v>2376</v>
      </c>
      <c r="Z112" s="2" t="s">
        <v>2377</v>
      </c>
      <c r="AA112" s="2" t="s">
        <v>2378</v>
      </c>
      <c r="AB112" s="2" t="s">
        <v>2379</v>
      </c>
      <c r="AC112" s="2" t="s">
        <v>2380</v>
      </c>
      <c r="AD112" s="2" t="s">
        <v>2381</v>
      </c>
      <c r="AE112" s="2" t="s">
        <v>2382</v>
      </c>
      <c r="AF112" s="2" t="s">
        <v>2383</v>
      </c>
      <c r="AG112" s="2">
        <v>51.0</v>
      </c>
      <c r="AH112" s="2">
        <v>1.0</v>
      </c>
      <c r="AI112" s="2">
        <v>2.0</v>
      </c>
      <c r="AJ112" s="2">
        <v>4.0</v>
      </c>
      <c r="AK112" s="2">
        <v>21.0</v>
      </c>
      <c r="AL112" s="2" t="s">
        <v>383</v>
      </c>
      <c r="AM112" s="2" t="s">
        <v>384</v>
      </c>
      <c r="AN112" s="2" t="s">
        <v>385</v>
      </c>
      <c r="AO112" s="2"/>
      <c r="AP112" s="2" t="s">
        <v>1136</v>
      </c>
      <c r="AQ112" s="2"/>
      <c r="AR112" s="2" t="s">
        <v>1137</v>
      </c>
      <c r="AS112" s="2" t="s">
        <v>1138</v>
      </c>
      <c r="AT112" s="2" t="s">
        <v>751</v>
      </c>
      <c r="AU112" s="2">
        <v>2021.0</v>
      </c>
      <c r="AV112" s="2">
        <v>11.0</v>
      </c>
      <c r="AW112" s="2">
        <v>7.0</v>
      </c>
      <c r="AX112" s="2"/>
      <c r="AY112" s="2"/>
      <c r="AZ112" s="2"/>
      <c r="BA112" s="2"/>
      <c r="BB112" s="2"/>
      <c r="BC112" s="2"/>
      <c r="BD112" s="2">
        <v>337.0</v>
      </c>
      <c r="BE112" s="2" t="s">
        <v>2384</v>
      </c>
      <c r="BF112" s="3" t="str">
        <f>HYPERLINK("http://dx.doi.org/10.3390/educsci11070337","http://dx.doi.org/10.3390/educsci11070337")</f>
        <v>http://dx.doi.org/10.3390/educsci11070337</v>
      </c>
      <c r="BG112" s="2"/>
      <c r="BH112" s="2"/>
      <c r="BI112" s="2">
        <v>18.0</v>
      </c>
      <c r="BJ112" s="2" t="s">
        <v>331</v>
      </c>
      <c r="BK112" s="2" t="s">
        <v>96</v>
      </c>
      <c r="BL112" s="2" t="s">
        <v>331</v>
      </c>
      <c r="BM112" s="2" t="s">
        <v>2385</v>
      </c>
      <c r="BN112" s="2"/>
      <c r="BO112" s="2" t="s">
        <v>601</v>
      </c>
      <c r="BP112" s="2"/>
      <c r="BQ112" s="2"/>
      <c r="BR112" s="2" t="s">
        <v>99</v>
      </c>
      <c r="BS112" s="2" t="s">
        <v>2386</v>
      </c>
      <c r="BT112" s="2" t="str">
        <f>HYPERLINK("https%3A%2F%2Fwww.webofscience.com%2Fwos%2Fwoscc%2Ffull-record%2FWOS:000676259700001","View Full Record in Web of Science")</f>
        <v>View Full Record in Web of Science</v>
      </c>
    </row>
    <row r="113" ht="64.5" customHeight="1">
      <c r="A113" s="2" t="s">
        <v>110</v>
      </c>
      <c r="B113" s="2" t="s">
        <v>1460</v>
      </c>
      <c r="C113" s="2"/>
      <c r="D113" s="2"/>
      <c r="E113" s="2" t="s">
        <v>129</v>
      </c>
      <c r="F113" s="2" t="s">
        <v>1461</v>
      </c>
      <c r="G113" s="2"/>
      <c r="H113" s="2"/>
      <c r="I113" s="2" t="s">
        <v>2387</v>
      </c>
      <c r="J113" s="2" t="s">
        <v>2388</v>
      </c>
      <c r="K113" s="2" t="s">
        <v>2389</v>
      </c>
      <c r="L113" s="2"/>
      <c r="M113" s="2" t="s">
        <v>116</v>
      </c>
      <c r="N113" s="2" t="s">
        <v>117</v>
      </c>
      <c r="O113" s="2" t="s">
        <v>2390</v>
      </c>
      <c r="P113" s="2" t="s">
        <v>2391</v>
      </c>
      <c r="Q113" s="2" t="s">
        <v>2392</v>
      </c>
      <c r="R113" s="2"/>
      <c r="S113" s="2"/>
      <c r="T113" s="2" t="s">
        <v>2393</v>
      </c>
      <c r="U113" s="2" t="s">
        <v>2394</v>
      </c>
      <c r="V113" s="2" t="s">
        <v>2395</v>
      </c>
      <c r="W113" s="2" t="s">
        <v>2396</v>
      </c>
      <c r="X113" s="2" t="s">
        <v>1467</v>
      </c>
      <c r="Y113" s="2"/>
      <c r="Z113" s="2" t="s">
        <v>2397</v>
      </c>
      <c r="AA113" s="2" t="s">
        <v>700</v>
      </c>
      <c r="AB113" s="2" t="s">
        <v>1470</v>
      </c>
      <c r="AC113" s="2"/>
      <c r="AD113" s="2"/>
      <c r="AE113" s="2"/>
      <c r="AF113" s="2" t="s">
        <v>2398</v>
      </c>
      <c r="AG113" s="2">
        <v>20.0</v>
      </c>
      <c r="AH113" s="2">
        <v>2.0</v>
      </c>
      <c r="AI113" s="2">
        <v>2.0</v>
      </c>
      <c r="AJ113" s="2">
        <v>0.0</v>
      </c>
      <c r="AK113" s="2">
        <v>4.0</v>
      </c>
      <c r="AL113" s="2" t="s">
        <v>129</v>
      </c>
      <c r="AM113" s="2" t="s">
        <v>130</v>
      </c>
      <c r="AN113" s="2" t="s">
        <v>131</v>
      </c>
      <c r="AO113" s="2" t="s">
        <v>2399</v>
      </c>
      <c r="AP113" s="2"/>
      <c r="AQ113" s="2" t="s">
        <v>2400</v>
      </c>
      <c r="AR113" s="2" t="s">
        <v>2401</v>
      </c>
      <c r="AS113" s="2"/>
      <c r="AT113" s="2"/>
      <c r="AU113" s="2">
        <v>2008.0</v>
      </c>
      <c r="AV113" s="2"/>
      <c r="AW113" s="2"/>
      <c r="AX113" s="2"/>
      <c r="AY113" s="2"/>
      <c r="AZ113" s="2"/>
      <c r="BA113" s="2"/>
      <c r="BB113" s="2">
        <v>116.0</v>
      </c>
      <c r="BC113" s="2">
        <v>121.0</v>
      </c>
      <c r="BD113" s="2"/>
      <c r="BE113" s="2"/>
      <c r="BF113" s="2"/>
      <c r="BG113" s="2"/>
      <c r="BH113" s="2"/>
      <c r="BI113" s="2">
        <v>6.0</v>
      </c>
      <c r="BJ113" s="2" t="s">
        <v>2402</v>
      </c>
      <c r="BK113" s="2" t="s">
        <v>1053</v>
      </c>
      <c r="BL113" s="2" t="s">
        <v>1795</v>
      </c>
      <c r="BM113" s="2" t="s">
        <v>2403</v>
      </c>
      <c r="BN113" s="2"/>
      <c r="BO113" s="2"/>
      <c r="BP113" s="2"/>
      <c r="BQ113" s="2"/>
      <c r="BR113" s="2" t="s">
        <v>99</v>
      </c>
      <c r="BS113" s="2" t="s">
        <v>2404</v>
      </c>
      <c r="BT113" s="2" t="str">
        <f>HYPERLINK("https%3A%2F%2Fwww.webofscience.com%2Fwos%2Fwoscc%2Ffull-record%2FWOS:000271669200027","View Full Record in Web of Science")</f>
        <v>View Full Record in Web of Science</v>
      </c>
    </row>
    <row r="114" ht="64.5" customHeight="1">
      <c r="A114" s="2" t="s">
        <v>72</v>
      </c>
      <c r="B114" s="2" t="s">
        <v>2405</v>
      </c>
      <c r="C114" s="2"/>
      <c r="D114" s="2"/>
      <c r="E114" s="2"/>
      <c r="F114" s="2" t="s">
        <v>2406</v>
      </c>
      <c r="G114" s="2"/>
      <c r="H114" s="2"/>
      <c r="I114" s="2" t="s">
        <v>2407</v>
      </c>
      <c r="J114" s="2" t="s">
        <v>1727</v>
      </c>
      <c r="K114" s="2"/>
      <c r="L114" s="2"/>
      <c r="M114" s="2" t="s">
        <v>116</v>
      </c>
      <c r="N114" s="2" t="s">
        <v>643</v>
      </c>
      <c r="O114" s="2"/>
      <c r="P114" s="2"/>
      <c r="Q114" s="2"/>
      <c r="R114" s="2"/>
      <c r="S114" s="2"/>
      <c r="T114" s="2" t="s">
        <v>2408</v>
      </c>
      <c r="U114" s="2" t="s">
        <v>2409</v>
      </c>
      <c r="V114" s="2" t="s">
        <v>2410</v>
      </c>
      <c r="W114" s="2" t="s">
        <v>2411</v>
      </c>
      <c r="X114" s="2" t="s">
        <v>2412</v>
      </c>
      <c r="Y114" s="2" t="s">
        <v>2413</v>
      </c>
      <c r="Z114" s="2" t="s">
        <v>2414</v>
      </c>
      <c r="AA114" s="2" t="s">
        <v>2415</v>
      </c>
      <c r="AB114" s="2" t="s">
        <v>2416</v>
      </c>
      <c r="AC114" s="2" t="s">
        <v>2417</v>
      </c>
      <c r="AD114" s="2" t="s">
        <v>2417</v>
      </c>
      <c r="AE114" s="2" t="s">
        <v>2418</v>
      </c>
      <c r="AF114" s="2" t="s">
        <v>2419</v>
      </c>
      <c r="AG114" s="2">
        <v>54.0</v>
      </c>
      <c r="AH114" s="2">
        <v>29.0</v>
      </c>
      <c r="AI114" s="2">
        <v>37.0</v>
      </c>
      <c r="AJ114" s="2">
        <v>11.0</v>
      </c>
      <c r="AK114" s="2">
        <v>62.0</v>
      </c>
      <c r="AL114" s="2" t="s">
        <v>1735</v>
      </c>
      <c r="AM114" s="2" t="s">
        <v>1736</v>
      </c>
      <c r="AN114" s="2" t="s">
        <v>1737</v>
      </c>
      <c r="AO114" s="2" t="s">
        <v>1738</v>
      </c>
      <c r="AP114" s="2" t="s">
        <v>1739</v>
      </c>
      <c r="AQ114" s="2"/>
      <c r="AR114" s="2" t="s">
        <v>1740</v>
      </c>
      <c r="AS114" s="2" t="s">
        <v>1741</v>
      </c>
      <c r="AT114" s="2"/>
      <c r="AU114" s="2">
        <v>2017.0</v>
      </c>
      <c r="AV114" s="2">
        <v>12.0</v>
      </c>
      <c r="AW114" s="2" t="s">
        <v>2420</v>
      </c>
      <c r="AX114" s="2"/>
      <c r="AY114" s="2"/>
      <c r="AZ114" s="2" t="s">
        <v>359</v>
      </c>
      <c r="BA114" s="2"/>
      <c r="BB114" s="2">
        <v>414.0</v>
      </c>
      <c r="BC114" s="2">
        <v>430.0</v>
      </c>
      <c r="BD114" s="2"/>
      <c r="BE114" s="2" t="s">
        <v>2421</v>
      </c>
      <c r="BF114" s="3" t="str">
        <f>HYPERLINK("http://dx.doi.org/10.1504/IJGW.2017.10005893","http://dx.doi.org/10.1504/IJGW.2017.10005893")</f>
        <v>http://dx.doi.org/10.1504/IJGW.2017.10005893</v>
      </c>
      <c r="BG114" s="2"/>
      <c r="BH114" s="2"/>
      <c r="BI114" s="2">
        <v>17.0</v>
      </c>
      <c r="BJ114" s="2" t="s">
        <v>1570</v>
      </c>
      <c r="BK114" s="2" t="s">
        <v>363</v>
      </c>
      <c r="BL114" s="2" t="s">
        <v>97</v>
      </c>
      <c r="BM114" s="2" t="s">
        <v>2422</v>
      </c>
      <c r="BN114" s="2"/>
      <c r="BO114" s="2"/>
      <c r="BP114" s="2"/>
      <c r="BQ114" s="2"/>
      <c r="BR114" s="2" t="s">
        <v>99</v>
      </c>
      <c r="BS114" s="2" t="s">
        <v>2423</v>
      </c>
      <c r="BT114" s="2" t="str">
        <f>HYPERLINK("https%3A%2F%2Fwww.webofscience.com%2Fwos%2Fwoscc%2Ffull-record%2FWOS:000418492700007","View Full Record in Web of Science")</f>
        <v>View Full Record in Web of Science</v>
      </c>
    </row>
    <row r="115" ht="64.5" customHeight="1">
      <c r="A115" s="2" t="s">
        <v>72</v>
      </c>
      <c r="B115" s="2" t="s">
        <v>2424</v>
      </c>
      <c r="C115" s="2"/>
      <c r="D115" s="2"/>
      <c r="E115" s="2"/>
      <c r="F115" s="2" t="s">
        <v>2425</v>
      </c>
      <c r="G115" s="2"/>
      <c r="H115" s="2"/>
      <c r="I115" s="2" t="s">
        <v>2426</v>
      </c>
      <c r="J115" s="2" t="s">
        <v>2427</v>
      </c>
      <c r="K115" s="2"/>
      <c r="L115" s="2"/>
      <c r="M115" s="2" t="s">
        <v>116</v>
      </c>
      <c r="N115" s="2" t="s">
        <v>1599</v>
      </c>
      <c r="O115" s="2"/>
      <c r="P115" s="2"/>
      <c r="Q115" s="2"/>
      <c r="R115" s="2"/>
      <c r="S115" s="2"/>
      <c r="T115" s="2" t="s">
        <v>2428</v>
      </c>
      <c r="U115" s="2" t="s">
        <v>2429</v>
      </c>
      <c r="V115" s="2" t="s">
        <v>2430</v>
      </c>
      <c r="W115" s="2" t="s">
        <v>2431</v>
      </c>
      <c r="X115" s="2" t="s">
        <v>2432</v>
      </c>
      <c r="Y115" s="2" t="s">
        <v>2433</v>
      </c>
      <c r="Z115" s="2" t="s">
        <v>2434</v>
      </c>
      <c r="AA115" s="2"/>
      <c r="AB115" s="2" t="s">
        <v>2435</v>
      </c>
      <c r="AC115" s="2" t="s">
        <v>2436</v>
      </c>
      <c r="AD115" s="2" t="s">
        <v>2436</v>
      </c>
      <c r="AE115" s="2" t="s">
        <v>2437</v>
      </c>
      <c r="AF115" s="2" t="s">
        <v>2438</v>
      </c>
      <c r="AG115" s="2">
        <v>73.0</v>
      </c>
      <c r="AH115" s="2">
        <v>0.0</v>
      </c>
      <c r="AI115" s="2">
        <v>0.0</v>
      </c>
      <c r="AJ115" s="2">
        <v>3.0</v>
      </c>
      <c r="AK115" s="2">
        <v>3.0</v>
      </c>
      <c r="AL115" s="2" t="s">
        <v>156</v>
      </c>
      <c r="AM115" s="2" t="s">
        <v>157</v>
      </c>
      <c r="AN115" s="2" t="s">
        <v>158</v>
      </c>
      <c r="AO115" s="2" t="s">
        <v>2439</v>
      </c>
      <c r="AP115" s="2" t="s">
        <v>2440</v>
      </c>
      <c r="AQ115" s="2"/>
      <c r="AR115" s="2" t="s">
        <v>2441</v>
      </c>
      <c r="AS115" s="2" t="s">
        <v>2442</v>
      </c>
      <c r="AT115" s="2" t="s">
        <v>2443</v>
      </c>
      <c r="AU115" s="2">
        <v>2024.0</v>
      </c>
      <c r="AV115" s="2"/>
      <c r="AW115" s="2"/>
      <c r="AX115" s="2"/>
      <c r="AY115" s="2"/>
      <c r="AZ115" s="2"/>
      <c r="BA115" s="2"/>
      <c r="BB115" s="2"/>
      <c r="BC115" s="2"/>
      <c r="BD115" s="2"/>
      <c r="BE115" s="2" t="s">
        <v>2444</v>
      </c>
      <c r="BF115" s="3" t="str">
        <f>HYPERLINK("http://dx.doi.org/10.1080/21548455.2024.2344129","http://dx.doi.org/10.1080/21548455.2024.2344129")</f>
        <v>http://dx.doi.org/10.1080/21548455.2024.2344129</v>
      </c>
      <c r="BG115" s="2"/>
      <c r="BH115" s="2" t="s">
        <v>2445</v>
      </c>
      <c r="BI115" s="2">
        <v>22.0</v>
      </c>
      <c r="BJ115" s="2" t="s">
        <v>331</v>
      </c>
      <c r="BK115" s="2" t="s">
        <v>96</v>
      </c>
      <c r="BL115" s="2" t="s">
        <v>331</v>
      </c>
      <c r="BM115" s="2" t="s">
        <v>2446</v>
      </c>
      <c r="BN115" s="2"/>
      <c r="BO115" s="2" t="s">
        <v>201</v>
      </c>
      <c r="BP115" s="2"/>
      <c r="BQ115" s="2"/>
      <c r="BR115" s="2" t="s">
        <v>99</v>
      </c>
      <c r="BS115" s="2" t="s">
        <v>2447</v>
      </c>
      <c r="BT115" s="2" t="str">
        <f>HYPERLINK("https%3A%2F%2Fwww.webofscience.com%2Fwos%2Fwoscc%2Ffull-record%2FWOS:001208217000001","View Full Record in Web of Science")</f>
        <v>View Full Record in Web of Science</v>
      </c>
    </row>
    <row r="116" ht="64.5" customHeight="1">
      <c r="A116" s="2" t="s">
        <v>72</v>
      </c>
      <c r="B116" s="2" t="s">
        <v>2448</v>
      </c>
      <c r="C116" s="2"/>
      <c r="D116" s="2"/>
      <c r="E116" s="2"/>
      <c r="F116" s="2" t="s">
        <v>2449</v>
      </c>
      <c r="G116" s="2"/>
      <c r="H116" s="2"/>
      <c r="I116" s="2" t="s">
        <v>2450</v>
      </c>
      <c r="J116" s="2" t="s">
        <v>370</v>
      </c>
      <c r="K116" s="2"/>
      <c r="L116" s="2"/>
      <c r="M116" s="2" t="s">
        <v>116</v>
      </c>
      <c r="N116" s="2" t="s">
        <v>78</v>
      </c>
      <c r="O116" s="2"/>
      <c r="P116" s="2"/>
      <c r="Q116" s="2"/>
      <c r="R116" s="2"/>
      <c r="S116" s="2"/>
      <c r="T116" s="2" t="s">
        <v>2451</v>
      </c>
      <c r="U116" s="2" t="s">
        <v>2452</v>
      </c>
      <c r="V116" s="2" t="s">
        <v>2453</v>
      </c>
      <c r="W116" s="2" t="s">
        <v>2454</v>
      </c>
      <c r="X116" s="2" t="s">
        <v>2455</v>
      </c>
      <c r="Y116" s="2" t="s">
        <v>2456</v>
      </c>
      <c r="Z116" s="2" t="s">
        <v>2457</v>
      </c>
      <c r="AA116" s="2" t="s">
        <v>2458</v>
      </c>
      <c r="AB116" s="2"/>
      <c r="AC116" s="2" t="s">
        <v>2459</v>
      </c>
      <c r="AD116" s="2" t="s">
        <v>2272</v>
      </c>
      <c r="AE116" s="2" t="s">
        <v>2460</v>
      </c>
      <c r="AF116" s="2" t="s">
        <v>2461</v>
      </c>
      <c r="AG116" s="2">
        <v>60.0</v>
      </c>
      <c r="AH116" s="2">
        <v>25.0</v>
      </c>
      <c r="AI116" s="2">
        <v>27.0</v>
      </c>
      <c r="AJ116" s="2">
        <v>2.0</v>
      </c>
      <c r="AK116" s="2">
        <v>22.0</v>
      </c>
      <c r="AL116" s="2" t="s">
        <v>383</v>
      </c>
      <c r="AM116" s="2" t="s">
        <v>384</v>
      </c>
      <c r="AN116" s="2" t="s">
        <v>385</v>
      </c>
      <c r="AO116" s="2"/>
      <c r="AP116" s="2" t="s">
        <v>386</v>
      </c>
      <c r="AQ116" s="2"/>
      <c r="AR116" s="2" t="s">
        <v>387</v>
      </c>
      <c r="AS116" s="2" t="s">
        <v>388</v>
      </c>
      <c r="AT116" s="2" t="s">
        <v>358</v>
      </c>
      <c r="AU116" s="2">
        <v>2017.0</v>
      </c>
      <c r="AV116" s="2">
        <v>9.0</v>
      </c>
      <c r="AW116" s="2">
        <v>3.0</v>
      </c>
      <c r="AX116" s="2"/>
      <c r="AY116" s="2"/>
      <c r="AZ116" s="2"/>
      <c r="BA116" s="2"/>
      <c r="BB116" s="2"/>
      <c r="BC116" s="2"/>
      <c r="BD116" s="2">
        <v>423.0</v>
      </c>
      <c r="BE116" s="2" t="s">
        <v>2462</v>
      </c>
      <c r="BF116" s="3" t="str">
        <f>HYPERLINK("http://dx.doi.org/10.3390/su9030423","http://dx.doi.org/10.3390/su9030423")</f>
        <v>http://dx.doi.org/10.3390/su9030423</v>
      </c>
      <c r="BG116" s="2"/>
      <c r="BH116" s="2"/>
      <c r="BI116" s="2">
        <v>29.0</v>
      </c>
      <c r="BJ116" s="2" t="s">
        <v>390</v>
      </c>
      <c r="BK116" s="2" t="s">
        <v>363</v>
      </c>
      <c r="BL116" s="2" t="s">
        <v>391</v>
      </c>
      <c r="BM116" s="2" t="s">
        <v>2463</v>
      </c>
      <c r="BN116" s="2"/>
      <c r="BO116" s="2" t="s">
        <v>2100</v>
      </c>
      <c r="BP116" s="2"/>
      <c r="BQ116" s="2"/>
      <c r="BR116" s="2" t="s">
        <v>99</v>
      </c>
      <c r="BS116" s="2" t="s">
        <v>2464</v>
      </c>
      <c r="BT116" s="2" t="str">
        <f>HYPERLINK("https%3A%2F%2Fwww.webofscience.com%2Fwos%2Fwoscc%2Ffull-record%2FWOS:000398714100100","View Full Record in Web of Science")</f>
        <v>View Full Record in Web of Science</v>
      </c>
    </row>
    <row r="117" ht="64.5" customHeight="1">
      <c r="A117" s="2" t="s">
        <v>72</v>
      </c>
      <c r="B117" s="2" t="s">
        <v>2465</v>
      </c>
      <c r="C117" s="2"/>
      <c r="D117" s="2"/>
      <c r="E117" s="2"/>
      <c r="F117" s="2" t="s">
        <v>2466</v>
      </c>
      <c r="G117" s="2"/>
      <c r="H117" s="2"/>
      <c r="I117" s="2" t="s">
        <v>2467</v>
      </c>
      <c r="J117" s="2" t="s">
        <v>1864</v>
      </c>
      <c r="K117" s="2"/>
      <c r="L117" s="2"/>
      <c r="M117" s="2" t="s">
        <v>116</v>
      </c>
      <c r="N117" s="2" t="s">
        <v>1865</v>
      </c>
      <c r="O117" s="2" t="s">
        <v>2468</v>
      </c>
      <c r="P117" s="2" t="s">
        <v>2469</v>
      </c>
      <c r="Q117" s="2" t="s">
        <v>2470</v>
      </c>
      <c r="R117" s="2"/>
      <c r="S117" s="2"/>
      <c r="T117" s="2" t="s">
        <v>2471</v>
      </c>
      <c r="U117" s="2" t="s">
        <v>2472</v>
      </c>
      <c r="V117" s="2" t="s">
        <v>2473</v>
      </c>
      <c r="W117" s="2" t="s">
        <v>2474</v>
      </c>
      <c r="X117" s="2" t="s">
        <v>2475</v>
      </c>
      <c r="Y117" s="2" t="s">
        <v>2476</v>
      </c>
      <c r="Z117" s="2" t="s">
        <v>2477</v>
      </c>
      <c r="AA117" s="2"/>
      <c r="AB117" s="2"/>
      <c r="AC117" s="2" t="s">
        <v>2478</v>
      </c>
      <c r="AD117" s="2" t="s">
        <v>2479</v>
      </c>
      <c r="AE117" s="2" t="s">
        <v>2480</v>
      </c>
      <c r="AF117" s="2" t="s">
        <v>2481</v>
      </c>
      <c r="AG117" s="2">
        <v>16.0</v>
      </c>
      <c r="AH117" s="2">
        <v>3.0</v>
      </c>
      <c r="AI117" s="2">
        <v>3.0</v>
      </c>
      <c r="AJ117" s="2">
        <v>6.0</v>
      </c>
      <c r="AK117" s="2">
        <v>22.0</v>
      </c>
      <c r="AL117" s="2" t="s">
        <v>1346</v>
      </c>
      <c r="AM117" s="2" t="s">
        <v>428</v>
      </c>
      <c r="AN117" s="2" t="s">
        <v>1347</v>
      </c>
      <c r="AO117" s="2" t="s">
        <v>1877</v>
      </c>
      <c r="AP117" s="2"/>
      <c r="AQ117" s="2"/>
      <c r="AR117" s="2" t="s">
        <v>1878</v>
      </c>
      <c r="AS117" s="2" t="s">
        <v>1879</v>
      </c>
      <c r="AT117" s="2" t="s">
        <v>292</v>
      </c>
      <c r="AU117" s="2">
        <v>2021.0</v>
      </c>
      <c r="AV117" s="2">
        <v>7.0</v>
      </c>
      <c r="AW117" s="2"/>
      <c r="AX117" s="2"/>
      <c r="AY117" s="2">
        <v>7.0</v>
      </c>
      <c r="AZ117" s="2"/>
      <c r="BA117" s="2"/>
      <c r="BB117" s="2">
        <v>1084.0</v>
      </c>
      <c r="BC117" s="2">
        <v>1091.0</v>
      </c>
      <c r="BD117" s="2"/>
      <c r="BE117" s="2" t="s">
        <v>2482</v>
      </c>
      <c r="BF117" s="3" t="str">
        <f>HYPERLINK("http://dx.doi.org/10.1016/j.egyr.2021.09.163","http://dx.doi.org/10.1016/j.egyr.2021.09.163")</f>
        <v>http://dx.doi.org/10.1016/j.egyr.2021.09.163</v>
      </c>
      <c r="BG117" s="2"/>
      <c r="BH117" s="2" t="s">
        <v>2483</v>
      </c>
      <c r="BI117" s="2">
        <v>8.0</v>
      </c>
      <c r="BJ117" s="2" t="s">
        <v>1592</v>
      </c>
      <c r="BK117" s="2" t="s">
        <v>1881</v>
      </c>
      <c r="BL117" s="2" t="s">
        <v>1592</v>
      </c>
      <c r="BM117" s="2" t="s">
        <v>2484</v>
      </c>
      <c r="BN117" s="2"/>
      <c r="BO117" s="2" t="s">
        <v>255</v>
      </c>
      <c r="BP117" s="2"/>
      <c r="BQ117" s="2"/>
      <c r="BR117" s="2" t="s">
        <v>99</v>
      </c>
      <c r="BS117" s="2" t="s">
        <v>2485</v>
      </c>
      <c r="BT117" s="2" t="str">
        <f>HYPERLINK("https%3A%2F%2Fwww.webofscience.com%2Fwos%2Fwoscc%2Ffull-record%2FWOS:000756699200100","View Full Record in Web of Science")</f>
        <v>View Full Record in Web of Science</v>
      </c>
    </row>
    <row r="118" ht="64.5" customHeight="1">
      <c r="A118" s="2" t="s">
        <v>72</v>
      </c>
      <c r="B118" s="2" t="s">
        <v>2486</v>
      </c>
      <c r="C118" s="2"/>
      <c r="D118" s="2"/>
      <c r="E118" s="2"/>
      <c r="F118" s="2" t="s">
        <v>2487</v>
      </c>
      <c r="G118" s="2"/>
      <c r="H118" s="2"/>
      <c r="I118" s="2" t="s">
        <v>2488</v>
      </c>
      <c r="J118" s="2" t="s">
        <v>2489</v>
      </c>
      <c r="K118" s="2"/>
      <c r="L118" s="2"/>
      <c r="M118" s="2" t="s">
        <v>116</v>
      </c>
      <c r="N118" s="2" t="s">
        <v>78</v>
      </c>
      <c r="O118" s="2"/>
      <c r="P118" s="2"/>
      <c r="Q118" s="2"/>
      <c r="R118" s="2"/>
      <c r="S118" s="2"/>
      <c r="T118" s="2" t="s">
        <v>2490</v>
      </c>
      <c r="U118" s="2" t="s">
        <v>2491</v>
      </c>
      <c r="V118" s="2" t="s">
        <v>2492</v>
      </c>
      <c r="W118" s="2" t="s">
        <v>2493</v>
      </c>
      <c r="X118" s="2" t="s">
        <v>2494</v>
      </c>
      <c r="Y118" s="2" t="s">
        <v>2495</v>
      </c>
      <c r="Z118" s="2" t="s">
        <v>2496</v>
      </c>
      <c r="AA118" s="2"/>
      <c r="AB118" s="2"/>
      <c r="AC118" s="2" t="s">
        <v>2497</v>
      </c>
      <c r="AD118" s="2" t="s">
        <v>2498</v>
      </c>
      <c r="AE118" s="2" t="s">
        <v>2499</v>
      </c>
      <c r="AF118" s="2" t="s">
        <v>2500</v>
      </c>
      <c r="AG118" s="2">
        <v>39.0</v>
      </c>
      <c r="AH118" s="2">
        <v>53.0</v>
      </c>
      <c r="AI118" s="2">
        <v>55.0</v>
      </c>
      <c r="AJ118" s="2">
        <v>5.0</v>
      </c>
      <c r="AK118" s="2">
        <v>31.0</v>
      </c>
      <c r="AL118" s="2" t="s">
        <v>188</v>
      </c>
      <c r="AM118" s="2" t="s">
        <v>189</v>
      </c>
      <c r="AN118" s="2" t="s">
        <v>190</v>
      </c>
      <c r="AO118" s="2" t="s">
        <v>2501</v>
      </c>
      <c r="AP118" s="2" t="s">
        <v>2502</v>
      </c>
      <c r="AQ118" s="2"/>
      <c r="AR118" s="2" t="s">
        <v>2503</v>
      </c>
      <c r="AS118" s="2" t="s">
        <v>2504</v>
      </c>
      <c r="AT118" s="2" t="s">
        <v>453</v>
      </c>
      <c r="AU118" s="2">
        <v>2015.0</v>
      </c>
      <c r="AV118" s="2">
        <v>76.0</v>
      </c>
      <c r="AW118" s="2"/>
      <c r="AX118" s="2"/>
      <c r="AY118" s="2"/>
      <c r="AZ118" s="2"/>
      <c r="BA118" s="2"/>
      <c r="BB118" s="2">
        <v>98.0</v>
      </c>
      <c r="BC118" s="2">
        <v>106.0</v>
      </c>
      <c r="BD118" s="2"/>
      <c r="BE118" s="2" t="s">
        <v>2505</v>
      </c>
      <c r="BF118" s="3" t="str">
        <f>HYPERLINK("http://dx.doi.org/10.1016/j.enpol.2014.11.012","http://dx.doi.org/10.1016/j.enpol.2014.11.012")</f>
        <v>http://dx.doi.org/10.1016/j.enpol.2014.11.012</v>
      </c>
      <c r="BG118" s="2"/>
      <c r="BH118" s="2"/>
      <c r="BI118" s="2">
        <v>9.0</v>
      </c>
      <c r="BJ118" s="2" t="s">
        <v>2506</v>
      </c>
      <c r="BK118" s="2" t="s">
        <v>363</v>
      </c>
      <c r="BL118" s="2" t="s">
        <v>2507</v>
      </c>
      <c r="BM118" s="2" t="s">
        <v>2508</v>
      </c>
      <c r="BN118" s="2"/>
      <c r="BO118" s="2"/>
      <c r="BP118" s="2"/>
      <c r="BQ118" s="2"/>
      <c r="BR118" s="2" t="s">
        <v>99</v>
      </c>
      <c r="BS118" s="2" t="s">
        <v>2509</v>
      </c>
      <c r="BT118" s="2" t="str">
        <f>HYPERLINK("https%3A%2F%2Fwww.webofscience.com%2Fwos%2Fwoscc%2Ffull-record%2FWOS:000347760200010","View Full Record in Web of Science")</f>
        <v>View Full Record in Web of Science</v>
      </c>
    </row>
    <row r="119" ht="64.5" customHeight="1">
      <c r="A119" s="2" t="s">
        <v>72</v>
      </c>
      <c r="B119" s="2" t="s">
        <v>2510</v>
      </c>
      <c r="C119" s="2"/>
      <c r="D119" s="2"/>
      <c r="E119" s="2"/>
      <c r="F119" s="2" t="s">
        <v>2511</v>
      </c>
      <c r="G119" s="2"/>
      <c r="H119" s="2"/>
      <c r="I119" s="2" t="s">
        <v>2512</v>
      </c>
      <c r="J119" s="2" t="s">
        <v>1576</v>
      </c>
      <c r="K119" s="2"/>
      <c r="L119" s="2"/>
      <c r="M119" s="2" t="s">
        <v>116</v>
      </c>
      <c r="N119" s="2" t="s">
        <v>78</v>
      </c>
      <c r="O119" s="2"/>
      <c r="P119" s="2"/>
      <c r="Q119" s="2"/>
      <c r="R119" s="2"/>
      <c r="S119" s="2"/>
      <c r="T119" s="2" t="s">
        <v>2513</v>
      </c>
      <c r="U119" s="2" t="s">
        <v>2514</v>
      </c>
      <c r="V119" s="2" t="s">
        <v>2515</v>
      </c>
      <c r="W119" s="2" t="s">
        <v>2516</v>
      </c>
      <c r="X119" s="2" t="s">
        <v>2517</v>
      </c>
      <c r="Y119" s="2" t="s">
        <v>2518</v>
      </c>
      <c r="Z119" s="2" t="s">
        <v>2519</v>
      </c>
      <c r="AA119" s="2"/>
      <c r="AB119" s="2"/>
      <c r="AC119" s="2" t="s">
        <v>2517</v>
      </c>
      <c r="AD119" s="2" t="s">
        <v>2517</v>
      </c>
      <c r="AE119" s="2" t="s">
        <v>1314</v>
      </c>
      <c r="AF119" s="2" t="s">
        <v>2520</v>
      </c>
      <c r="AG119" s="2">
        <v>57.0</v>
      </c>
      <c r="AH119" s="2">
        <v>0.0</v>
      </c>
      <c r="AI119" s="2">
        <v>0.0</v>
      </c>
      <c r="AJ119" s="2">
        <v>1.0</v>
      </c>
      <c r="AK119" s="2">
        <v>1.0</v>
      </c>
      <c r="AL119" s="2" t="s">
        <v>383</v>
      </c>
      <c r="AM119" s="2" t="s">
        <v>384</v>
      </c>
      <c r="AN119" s="2" t="s">
        <v>385</v>
      </c>
      <c r="AO119" s="2"/>
      <c r="AP119" s="2" t="s">
        <v>1589</v>
      </c>
      <c r="AQ119" s="2"/>
      <c r="AR119" s="2" t="s">
        <v>1576</v>
      </c>
      <c r="AS119" s="2" t="s">
        <v>1590</v>
      </c>
      <c r="AT119" s="2" t="s">
        <v>195</v>
      </c>
      <c r="AU119" s="2">
        <v>2024.0</v>
      </c>
      <c r="AV119" s="2">
        <v>17.0</v>
      </c>
      <c r="AW119" s="2">
        <v>8.0</v>
      </c>
      <c r="AX119" s="2"/>
      <c r="AY119" s="2"/>
      <c r="AZ119" s="2"/>
      <c r="BA119" s="2"/>
      <c r="BB119" s="2"/>
      <c r="BC119" s="2"/>
      <c r="BD119" s="2">
        <v>1840.0</v>
      </c>
      <c r="BE119" s="2" t="s">
        <v>2521</v>
      </c>
      <c r="BF119" s="3" t="str">
        <f>HYPERLINK("http://dx.doi.org/10.3390/en17081840","http://dx.doi.org/10.3390/en17081840")</f>
        <v>http://dx.doi.org/10.3390/en17081840</v>
      </c>
      <c r="BG119" s="2"/>
      <c r="BH119" s="2"/>
      <c r="BI119" s="2">
        <v>31.0</v>
      </c>
      <c r="BJ119" s="2" t="s">
        <v>1592</v>
      </c>
      <c r="BK119" s="2" t="s">
        <v>226</v>
      </c>
      <c r="BL119" s="2" t="s">
        <v>1592</v>
      </c>
      <c r="BM119" s="2" t="s">
        <v>2522</v>
      </c>
      <c r="BN119" s="2"/>
      <c r="BO119" s="2" t="s">
        <v>255</v>
      </c>
      <c r="BP119" s="2"/>
      <c r="BQ119" s="2"/>
      <c r="BR119" s="2" t="s">
        <v>99</v>
      </c>
      <c r="BS119" s="2" t="s">
        <v>2523</v>
      </c>
      <c r="BT119" s="2" t="str">
        <f>HYPERLINK("https%3A%2F%2Fwww.webofscience.com%2Fwos%2Fwoscc%2Ffull-record%2FWOS:001210552900001","View Full Record in Web of Science")</f>
        <v>View Full Record in Web of Science</v>
      </c>
    </row>
    <row r="120" ht="64.5" customHeight="1">
      <c r="A120" s="2" t="s">
        <v>110</v>
      </c>
      <c r="B120" s="2" t="s">
        <v>2524</v>
      </c>
      <c r="C120" s="2"/>
      <c r="D120" s="2"/>
      <c r="E120" s="2" t="s">
        <v>129</v>
      </c>
      <c r="F120" s="2" t="s">
        <v>2525</v>
      </c>
      <c r="G120" s="2"/>
      <c r="H120" s="2"/>
      <c r="I120" s="2" t="s">
        <v>2526</v>
      </c>
      <c r="J120" s="2" t="s">
        <v>2527</v>
      </c>
      <c r="K120" s="2"/>
      <c r="L120" s="2"/>
      <c r="M120" s="2" t="s">
        <v>116</v>
      </c>
      <c r="N120" s="2" t="s">
        <v>117</v>
      </c>
      <c r="O120" s="2" t="s">
        <v>2528</v>
      </c>
      <c r="P120" s="2" t="s">
        <v>2529</v>
      </c>
      <c r="Q120" s="2" t="s">
        <v>2530</v>
      </c>
      <c r="R120" s="2"/>
      <c r="S120" s="2"/>
      <c r="T120" s="2" t="s">
        <v>2531</v>
      </c>
      <c r="U120" s="2"/>
      <c r="V120" s="2" t="s">
        <v>2532</v>
      </c>
      <c r="W120" s="2" t="s">
        <v>2533</v>
      </c>
      <c r="X120" s="2" t="s">
        <v>124</v>
      </c>
      <c r="Y120" s="2" t="s">
        <v>2534</v>
      </c>
      <c r="Z120" s="2" t="s">
        <v>2535</v>
      </c>
      <c r="AA120" s="2" t="s">
        <v>126</v>
      </c>
      <c r="AB120" s="2" t="s">
        <v>127</v>
      </c>
      <c r="AC120" s="2" t="s">
        <v>2536</v>
      </c>
      <c r="AD120" s="2" t="s">
        <v>2537</v>
      </c>
      <c r="AE120" s="2" t="s">
        <v>2538</v>
      </c>
      <c r="AF120" s="2" t="s">
        <v>2539</v>
      </c>
      <c r="AG120" s="2">
        <v>1.0</v>
      </c>
      <c r="AH120" s="2">
        <v>0.0</v>
      </c>
      <c r="AI120" s="2">
        <v>0.0</v>
      </c>
      <c r="AJ120" s="2">
        <v>1.0</v>
      </c>
      <c r="AK120" s="2">
        <v>5.0</v>
      </c>
      <c r="AL120" s="2" t="s">
        <v>129</v>
      </c>
      <c r="AM120" s="2" t="s">
        <v>130</v>
      </c>
      <c r="AN120" s="2" t="s">
        <v>131</v>
      </c>
      <c r="AO120" s="2"/>
      <c r="AP120" s="2"/>
      <c r="AQ120" s="2" t="s">
        <v>2540</v>
      </c>
      <c r="AR120" s="2"/>
      <c r="AS120" s="2"/>
      <c r="AT120" s="2"/>
      <c r="AU120" s="2">
        <v>2018.0</v>
      </c>
      <c r="AV120" s="2"/>
      <c r="AW120" s="2"/>
      <c r="AX120" s="2"/>
      <c r="AY120" s="2"/>
      <c r="AZ120" s="2"/>
      <c r="BA120" s="2"/>
      <c r="BB120" s="2"/>
      <c r="BC120" s="2"/>
      <c r="BD120" s="2"/>
      <c r="BE120" s="2"/>
      <c r="BF120" s="2"/>
      <c r="BG120" s="2"/>
      <c r="BH120" s="2"/>
      <c r="BI120" s="2">
        <v>7.0</v>
      </c>
      <c r="BJ120" s="2" t="s">
        <v>2541</v>
      </c>
      <c r="BK120" s="2" t="s">
        <v>135</v>
      </c>
      <c r="BL120" s="2" t="s">
        <v>1721</v>
      </c>
      <c r="BM120" s="2" t="s">
        <v>2542</v>
      </c>
      <c r="BN120" s="2"/>
      <c r="BO120" s="2"/>
      <c r="BP120" s="2"/>
      <c r="BQ120" s="2"/>
      <c r="BR120" s="2" t="s">
        <v>99</v>
      </c>
      <c r="BS120" s="2" t="s">
        <v>2543</v>
      </c>
      <c r="BT120" s="2" t="str">
        <f>HYPERLINK("https%3A%2F%2Fwww.webofscience.com%2Fwos%2Fwoscc%2Ffull-record%2FWOS:000461320202109","View Full Record in Web of Science")</f>
        <v>View Full Record in Web of Science</v>
      </c>
    </row>
    <row r="121" ht="64.5" customHeight="1">
      <c r="A121" s="2" t="s">
        <v>72</v>
      </c>
      <c r="B121" s="2" t="s">
        <v>2544</v>
      </c>
      <c r="C121" s="2"/>
      <c r="D121" s="2"/>
      <c r="E121" s="2"/>
      <c r="F121" s="2" t="s">
        <v>2545</v>
      </c>
      <c r="G121" s="2"/>
      <c r="H121" s="2"/>
      <c r="I121" s="2" t="s">
        <v>2546</v>
      </c>
      <c r="J121" s="2" t="s">
        <v>370</v>
      </c>
      <c r="K121" s="2"/>
      <c r="L121" s="2"/>
      <c r="M121" s="2" t="s">
        <v>116</v>
      </c>
      <c r="N121" s="2" t="s">
        <v>78</v>
      </c>
      <c r="O121" s="2"/>
      <c r="P121" s="2"/>
      <c r="Q121" s="2"/>
      <c r="R121" s="2"/>
      <c r="S121" s="2"/>
      <c r="T121" s="2" t="s">
        <v>2547</v>
      </c>
      <c r="U121" s="2" t="s">
        <v>2548</v>
      </c>
      <c r="V121" s="2" t="s">
        <v>2549</v>
      </c>
      <c r="W121" s="2" t="s">
        <v>2550</v>
      </c>
      <c r="X121" s="2" t="s">
        <v>2551</v>
      </c>
      <c r="Y121" s="2" t="s">
        <v>2552</v>
      </c>
      <c r="Z121" s="2" t="s">
        <v>2553</v>
      </c>
      <c r="AA121" s="2" t="s">
        <v>2554</v>
      </c>
      <c r="AB121" s="2" t="s">
        <v>2555</v>
      </c>
      <c r="AC121" s="2" t="s">
        <v>2556</v>
      </c>
      <c r="AD121" s="2" t="s">
        <v>2557</v>
      </c>
      <c r="AE121" s="2" t="s">
        <v>2558</v>
      </c>
      <c r="AF121" s="2" t="s">
        <v>2559</v>
      </c>
      <c r="AG121" s="2">
        <v>52.0</v>
      </c>
      <c r="AH121" s="2">
        <v>0.0</v>
      </c>
      <c r="AI121" s="2">
        <v>0.0</v>
      </c>
      <c r="AJ121" s="2">
        <v>4.0</v>
      </c>
      <c r="AK121" s="2">
        <v>8.0</v>
      </c>
      <c r="AL121" s="2" t="s">
        <v>383</v>
      </c>
      <c r="AM121" s="2" t="s">
        <v>384</v>
      </c>
      <c r="AN121" s="2" t="s">
        <v>385</v>
      </c>
      <c r="AO121" s="2"/>
      <c r="AP121" s="2" t="s">
        <v>386</v>
      </c>
      <c r="AQ121" s="2"/>
      <c r="AR121" s="2" t="s">
        <v>387</v>
      </c>
      <c r="AS121" s="2" t="s">
        <v>388</v>
      </c>
      <c r="AT121" s="2" t="s">
        <v>292</v>
      </c>
      <c r="AU121" s="2">
        <v>2023.0</v>
      </c>
      <c r="AV121" s="2">
        <v>15.0</v>
      </c>
      <c r="AW121" s="2">
        <v>22.0</v>
      </c>
      <c r="AX121" s="2"/>
      <c r="AY121" s="2"/>
      <c r="AZ121" s="2"/>
      <c r="BA121" s="2"/>
      <c r="BB121" s="2"/>
      <c r="BC121" s="2"/>
      <c r="BD121" s="2">
        <v>16055.0</v>
      </c>
      <c r="BE121" s="2" t="s">
        <v>2560</v>
      </c>
      <c r="BF121" s="3" t="str">
        <f>HYPERLINK("http://dx.doi.org/10.3390/su152216055","http://dx.doi.org/10.3390/su152216055")</f>
        <v>http://dx.doi.org/10.3390/su152216055</v>
      </c>
      <c r="BG121" s="2"/>
      <c r="BH121" s="2"/>
      <c r="BI121" s="2">
        <v>18.0</v>
      </c>
      <c r="BJ121" s="2" t="s">
        <v>390</v>
      </c>
      <c r="BK121" s="2" t="s">
        <v>363</v>
      </c>
      <c r="BL121" s="2" t="s">
        <v>391</v>
      </c>
      <c r="BM121" s="2" t="s">
        <v>2561</v>
      </c>
      <c r="BN121" s="2"/>
      <c r="BO121" s="2" t="s">
        <v>255</v>
      </c>
      <c r="BP121" s="2"/>
      <c r="BQ121" s="2"/>
      <c r="BR121" s="2" t="s">
        <v>99</v>
      </c>
      <c r="BS121" s="2" t="s">
        <v>2562</v>
      </c>
      <c r="BT121" s="2" t="str">
        <f>HYPERLINK("https%3A%2F%2Fwww.webofscience.com%2Fwos%2Fwoscc%2Ffull-record%2FWOS:001113662100001","View Full Record in Web of Science")</f>
        <v>View Full Record in Web of Science</v>
      </c>
    </row>
    <row r="122" ht="64.5" customHeight="1">
      <c r="A122" s="2" t="s">
        <v>72</v>
      </c>
      <c r="B122" s="2" t="s">
        <v>2563</v>
      </c>
      <c r="C122" s="2"/>
      <c r="D122" s="2"/>
      <c r="E122" s="2"/>
      <c r="F122" s="2" t="s">
        <v>2564</v>
      </c>
      <c r="G122" s="2"/>
      <c r="H122" s="2"/>
      <c r="I122" s="2" t="s">
        <v>2565</v>
      </c>
      <c r="J122" s="2" t="s">
        <v>2566</v>
      </c>
      <c r="K122" s="2"/>
      <c r="L122" s="2"/>
      <c r="M122" s="2" t="s">
        <v>2567</v>
      </c>
      <c r="N122" s="2" t="s">
        <v>78</v>
      </c>
      <c r="O122" s="2"/>
      <c r="P122" s="2"/>
      <c r="Q122" s="2"/>
      <c r="R122" s="2"/>
      <c r="S122" s="2"/>
      <c r="T122" s="2" t="s">
        <v>2568</v>
      </c>
      <c r="U122" s="2"/>
      <c r="V122" s="2" t="s">
        <v>2569</v>
      </c>
      <c r="W122" s="2" t="s">
        <v>2570</v>
      </c>
      <c r="X122" s="2" t="s">
        <v>2571</v>
      </c>
      <c r="Y122" s="2" t="s">
        <v>2572</v>
      </c>
      <c r="Z122" s="2" t="s">
        <v>2573</v>
      </c>
      <c r="AA122" s="2" t="s">
        <v>2574</v>
      </c>
      <c r="AB122" s="2" t="s">
        <v>2575</v>
      </c>
      <c r="AC122" s="2"/>
      <c r="AD122" s="2"/>
      <c r="AE122" s="2"/>
      <c r="AF122" s="2" t="s">
        <v>2576</v>
      </c>
      <c r="AG122" s="2">
        <v>29.0</v>
      </c>
      <c r="AH122" s="2">
        <v>3.0</v>
      </c>
      <c r="AI122" s="2">
        <v>4.0</v>
      </c>
      <c r="AJ122" s="2">
        <v>1.0</v>
      </c>
      <c r="AK122" s="2">
        <v>6.0</v>
      </c>
      <c r="AL122" s="2" t="s">
        <v>2577</v>
      </c>
      <c r="AM122" s="2" t="s">
        <v>2578</v>
      </c>
      <c r="AN122" s="2" t="s">
        <v>2579</v>
      </c>
      <c r="AO122" s="2" t="s">
        <v>2580</v>
      </c>
      <c r="AP122" s="2" t="s">
        <v>2581</v>
      </c>
      <c r="AQ122" s="2"/>
      <c r="AR122" s="2" t="s">
        <v>2566</v>
      </c>
      <c r="AS122" s="2" t="s">
        <v>2582</v>
      </c>
      <c r="AT122" s="2"/>
      <c r="AU122" s="2">
        <v>2020.0</v>
      </c>
      <c r="AV122" s="2">
        <v>20.0</v>
      </c>
      <c r="AW122" s="2">
        <v>1.0</v>
      </c>
      <c r="AX122" s="2"/>
      <c r="AY122" s="2"/>
      <c r="AZ122" s="2"/>
      <c r="BA122" s="2"/>
      <c r="BB122" s="2">
        <v>80.0</v>
      </c>
      <c r="BC122" s="2">
        <v>99.0</v>
      </c>
      <c r="BD122" s="2" t="s">
        <v>2583</v>
      </c>
      <c r="BE122" s="2" t="s">
        <v>2584</v>
      </c>
      <c r="BF122" s="3" t="str">
        <f>HYPERLINK("http://dx.doi.org/10.17533/udea.unipluri.20.1.05","http://dx.doi.org/10.17533/udea.unipluri.20.1.05")</f>
        <v>http://dx.doi.org/10.17533/udea.unipluri.20.1.05</v>
      </c>
      <c r="BG122" s="2"/>
      <c r="BH122" s="2"/>
      <c r="BI122" s="2">
        <v>20.0</v>
      </c>
      <c r="BJ122" s="2" t="s">
        <v>331</v>
      </c>
      <c r="BK122" s="2" t="s">
        <v>96</v>
      </c>
      <c r="BL122" s="2" t="s">
        <v>331</v>
      </c>
      <c r="BM122" s="2" t="s">
        <v>2585</v>
      </c>
      <c r="BN122" s="2"/>
      <c r="BO122" s="2" t="s">
        <v>2586</v>
      </c>
      <c r="BP122" s="2"/>
      <c r="BQ122" s="2"/>
      <c r="BR122" s="2" t="s">
        <v>99</v>
      </c>
      <c r="BS122" s="2" t="s">
        <v>2587</v>
      </c>
      <c r="BT122" s="2" t="str">
        <f>HYPERLINK("https%3A%2F%2Fwww.webofscience.com%2Fwos%2Fwoscc%2Ffull-record%2FWOS:000642296200005","View Full Record in Web of Science")</f>
        <v>View Full Record in Web of Science</v>
      </c>
    </row>
    <row r="123" ht="64.5" customHeight="1">
      <c r="A123" s="2" t="s">
        <v>72</v>
      </c>
      <c r="B123" s="2" t="s">
        <v>2588</v>
      </c>
      <c r="C123" s="2"/>
      <c r="D123" s="2"/>
      <c r="E123" s="2"/>
      <c r="F123" s="2" t="s">
        <v>2589</v>
      </c>
      <c r="G123" s="2"/>
      <c r="H123" s="2"/>
      <c r="I123" s="2" t="s">
        <v>2590</v>
      </c>
      <c r="J123" s="2" t="s">
        <v>233</v>
      </c>
      <c r="K123" s="2"/>
      <c r="L123" s="2"/>
      <c r="M123" s="2" t="s">
        <v>116</v>
      </c>
      <c r="N123" s="2" t="s">
        <v>78</v>
      </c>
      <c r="O123" s="2"/>
      <c r="P123" s="2"/>
      <c r="Q123" s="2"/>
      <c r="R123" s="2"/>
      <c r="S123" s="2"/>
      <c r="T123" s="2" t="s">
        <v>2591</v>
      </c>
      <c r="U123" s="2" t="s">
        <v>2592</v>
      </c>
      <c r="V123" s="2" t="s">
        <v>2593</v>
      </c>
      <c r="W123" s="2" t="s">
        <v>2594</v>
      </c>
      <c r="X123" s="2" t="s">
        <v>2595</v>
      </c>
      <c r="Y123" s="2" t="s">
        <v>2596</v>
      </c>
      <c r="Z123" s="2" t="s">
        <v>2597</v>
      </c>
      <c r="AA123" s="2" t="s">
        <v>2598</v>
      </c>
      <c r="AB123" s="2" t="s">
        <v>2599</v>
      </c>
      <c r="AC123" s="2" t="s">
        <v>2600</v>
      </c>
      <c r="AD123" s="2" t="s">
        <v>2601</v>
      </c>
      <c r="AE123" s="2" t="s">
        <v>2602</v>
      </c>
      <c r="AF123" s="2" t="s">
        <v>2603</v>
      </c>
      <c r="AG123" s="2">
        <v>56.0</v>
      </c>
      <c r="AH123" s="2">
        <v>9.0</v>
      </c>
      <c r="AI123" s="2">
        <v>10.0</v>
      </c>
      <c r="AJ123" s="2">
        <v>4.0</v>
      </c>
      <c r="AK123" s="2">
        <v>47.0</v>
      </c>
      <c r="AL123" s="2" t="s">
        <v>246</v>
      </c>
      <c r="AM123" s="2" t="s">
        <v>247</v>
      </c>
      <c r="AN123" s="2" t="s">
        <v>248</v>
      </c>
      <c r="AO123" s="2"/>
      <c r="AP123" s="2" t="s">
        <v>249</v>
      </c>
      <c r="AQ123" s="2"/>
      <c r="AR123" s="2" t="s">
        <v>250</v>
      </c>
      <c r="AS123" s="2" t="s">
        <v>251</v>
      </c>
      <c r="AT123" s="2" t="s">
        <v>2604</v>
      </c>
      <c r="AU123" s="2">
        <v>2021.0</v>
      </c>
      <c r="AV123" s="2">
        <v>8.0</v>
      </c>
      <c r="AW123" s="2"/>
      <c r="AX123" s="2"/>
      <c r="AY123" s="2"/>
      <c r="AZ123" s="2"/>
      <c r="BA123" s="2"/>
      <c r="BB123" s="2"/>
      <c r="BC123" s="2"/>
      <c r="BD123" s="2">
        <v>675278.0</v>
      </c>
      <c r="BE123" s="2" t="s">
        <v>2605</v>
      </c>
      <c r="BF123" s="3" t="str">
        <f>HYPERLINK("http://dx.doi.org/10.3389/fmars.2021.675278","http://dx.doi.org/10.3389/fmars.2021.675278")</f>
        <v>http://dx.doi.org/10.3389/fmars.2021.675278</v>
      </c>
      <c r="BG123" s="2"/>
      <c r="BH123" s="2"/>
      <c r="BI123" s="2">
        <v>11.0</v>
      </c>
      <c r="BJ123" s="2" t="s">
        <v>225</v>
      </c>
      <c r="BK123" s="2" t="s">
        <v>363</v>
      </c>
      <c r="BL123" s="2" t="s">
        <v>227</v>
      </c>
      <c r="BM123" s="2" t="s">
        <v>2606</v>
      </c>
      <c r="BN123" s="2"/>
      <c r="BO123" s="2" t="s">
        <v>255</v>
      </c>
      <c r="BP123" s="2"/>
      <c r="BQ123" s="2"/>
      <c r="BR123" s="2" t="s">
        <v>99</v>
      </c>
      <c r="BS123" s="2" t="s">
        <v>2607</v>
      </c>
      <c r="BT123" s="2" t="str">
        <f>HYPERLINK("https%3A%2F%2Fwww.webofscience.com%2Fwos%2Fwoscc%2Ffull-record%2FWOS:000706182700001","View Full Record in Web of Science")</f>
        <v>View Full Record in Web of Science</v>
      </c>
    </row>
    <row r="124" ht="64.5" customHeight="1">
      <c r="A124" s="2" t="s">
        <v>72</v>
      </c>
      <c r="B124" s="2" t="s">
        <v>2608</v>
      </c>
      <c r="C124" s="2"/>
      <c r="D124" s="2"/>
      <c r="E124" s="2"/>
      <c r="F124" s="2" t="s">
        <v>2609</v>
      </c>
      <c r="G124" s="2"/>
      <c r="H124" s="2"/>
      <c r="I124" s="2" t="s">
        <v>2610</v>
      </c>
      <c r="J124" s="2" t="s">
        <v>142</v>
      </c>
      <c r="K124" s="2"/>
      <c r="L124" s="2"/>
      <c r="M124" s="2" t="s">
        <v>116</v>
      </c>
      <c r="N124" s="2" t="s">
        <v>78</v>
      </c>
      <c r="O124" s="2"/>
      <c r="P124" s="2"/>
      <c r="Q124" s="2"/>
      <c r="R124" s="2"/>
      <c r="S124" s="2"/>
      <c r="T124" s="2" t="s">
        <v>2611</v>
      </c>
      <c r="U124" s="2" t="s">
        <v>1927</v>
      </c>
      <c r="V124" s="2" t="s">
        <v>2612</v>
      </c>
      <c r="W124" s="2" t="s">
        <v>2613</v>
      </c>
      <c r="X124" s="2" t="s">
        <v>2614</v>
      </c>
      <c r="Y124" s="2" t="s">
        <v>2615</v>
      </c>
      <c r="Z124" s="2" t="s">
        <v>2616</v>
      </c>
      <c r="AA124" s="2" t="s">
        <v>2617</v>
      </c>
      <c r="AB124" s="2" t="s">
        <v>2618</v>
      </c>
      <c r="AC124" s="2" t="s">
        <v>2619</v>
      </c>
      <c r="AD124" s="2" t="s">
        <v>2620</v>
      </c>
      <c r="AE124" s="2" t="s">
        <v>2621</v>
      </c>
      <c r="AF124" s="2" t="s">
        <v>2622</v>
      </c>
      <c r="AG124" s="2">
        <v>37.0</v>
      </c>
      <c r="AH124" s="2">
        <v>3.0</v>
      </c>
      <c r="AI124" s="2">
        <v>3.0</v>
      </c>
      <c r="AJ124" s="2">
        <v>4.0</v>
      </c>
      <c r="AK124" s="2">
        <v>11.0</v>
      </c>
      <c r="AL124" s="2" t="s">
        <v>156</v>
      </c>
      <c r="AM124" s="2" t="s">
        <v>157</v>
      </c>
      <c r="AN124" s="2" t="s">
        <v>158</v>
      </c>
      <c r="AO124" s="2" t="s">
        <v>159</v>
      </c>
      <c r="AP124" s="2" t="s">
        <v>160</v>
      </c>
      <c r="AQ124" s="2"/>
      <c r="AR124" s="2" t="s">
        <v>161</v>
      </c>
      <c r="AS124" s="2" t="s">
        <v>162</v>
      </c>
      <c r="AT124" s="2" t="s">
        <v>2623</v>
      </c>
      <c r="AU124" s="2">
        <v>2023.0</v>
      </c>
      <c r="AV124" s="2">
        <v>29.0</v>
      </c>
      <c r="AW124" s="2">
        <v>3.0</v>
      </c>
      <c r="AX124" s="2"/>
      <c r="AY124" s="2"/>
      <c r="AZ124" s="2"/>
      <c r="BA124" s="2"/>
      <c r="BB124" s="2">
        <v>410.0</v>
      </c>
      <c r="BC124" s="2">
        <v>422.0</v>
      </c>
      <c r="BD124" s="2"/>
      <c r="BE124" s="2" t="s">
        <v>2624</v>
      </c>
      <c r="BF124" s="3" t="str">
        <f>HYPERLINK("http://dx.doi.org/10.1080/13504622.2022.2135687","http://dx.doi.org/10.1080/13504622.2022.2135687")</f>
        <v>http://dx.doi.org/10.1080/13504622.2022.2135687</v>
      </c>
      <c r="BG124" s="2"/>
      <c r="BH124" s="2" t="s">
        <v>2625</v>
      </c>
      <c r="BI124" s="2">
        <v>13.0</v>
      </c>
      <c r="BJ124" s="2" t="s">
        <v>165</v>
      </c>
      <c r="BK124" s="2" t="s">
        <v>166</v>
      </c>
      <c r="BL124" s="2" t="s">
        <v>167</v>
      </c>
      <c r="BM124" s="2" t="s">
        <v>2626</v>
      </c>
      <c r="BN124" s="2"/>
      <c r="BO124" s="2" t="s">
        <v>201</v>
      </c>
      <c r="BP124" s="2"/>
      <c r="BQ124" s="2"/>
      <c r="BR124" s="2" t="s">
        <v>99</v>
      </c>
      <c r="BS124" s="2" t="s">
        <v>2627</v>
      </c>
      <c r="BT124" s="2" t="str">
        <f>HYPERLINK("https%3A%2F%2Fwww.webofscience.com%2Fwos%2Fwoscc%2Ffull-record%2FWOS:000871375500001","View Full Record in Web of Science")</f>
        <v>View Full Record in Web of Science</v>
      </c>
    </row>
    <row r="125" ht="64.5" customHeight="1">
      <c r="A125" s="2" t="s">
        <v>110</v>
      </c>
      <c r="B125" s="2" t="s">
        <v>2283</v>
      </c>
      <c r="C125" s="2"/>
      <c r="D125" s="2" t="s">
        <v>2628</v>
      </c>
      <c r="E125" s="2"/>
      <c r="F125" s="2" t="s">
        <v>2629</v>
      </c>
      <c r="G125" s="2"/>
      <c r="H125" s="2"/>
      <c r="I125" s="2" t="s">
        <v>2630</v>
      </c>
      <c r="J125" s="2" t="s">
        <v>2631</v>
      </c>
      <c r="K125" s="2" t="s">
        <v>2288</v>
      </c>
      <c r="L125" s="2"/>
      <c r="M125" s="2" t="s">
        <v>116</v>
      </c>
      <c r="N125" s="2" t="s">
        <v>117</v>
      </c>
      <c r="O125" s="2" t="s">
        <v>2632</v>
      </c>
      <c r="P125" s="2" t="s">
        <v>2633</v>
      </c>
      <c r="Q125" s="2" t="s">
        <v>2291</v>
      </c>
      <c r="R125" s="2"/>
      <c r="S125" s="2"/>
      <c r="T125" s="4" t="s">
        <v>121</v>
      </c>
      <c r="U125" s="2" t="s">
        <v>2634</v>
      </c>
      <c r="V125" s="2" t="s">
        <v>2635</v>
      </c>
      <c r="W125" s="2" t="s">
        <v>2636</v>
      </c>
      <c r="X125" s="2" t="s">
        <v>2295</v>
      </c>
      <c r="Y125" s="2" t="s">
        <v>2637</v>
      </c>
      <c r="Z125" s="2" t="s">
        <v>2638</v>
      </c>
      <c r="AA125" s="2" t="s">
        <v>2639</v>
      </c>
      <c r="AB125" s="2" t="s">
        <v>2299</v>
      </c>
      <c r="AC125" s="2"/>
      <c r="AD125" s="2"/>
      <c r="AE125" s="2"/>
      <c r="AF125" s="2" t="s">
        <v>2640</v>
      </c>
      <c r="AG125" s="2">
        <v>26.0</v>
      </c>
      <c r="AH125" s="2">
        <v>3.0</v>
      </c>
      <c r="AI125" s="2">
        <v>3.0</v>
      </c>
      <c r="AJ125" s="2">
        <v>3.0</v>
      </c>
      <c r="AK125" s="2">
        <v>6.0</v>
      </c>
      <c r="AL125" s="2" t="s">
        <v>2301</v>
      </c>
      <c r="AM125" s="2" t="s">
        <v>2302</v>
      </c>
      <c r="AN125" s="2" t="s">
        <v>2303</v>
      </c>
      <c r="AO125" s="2" t="s">
        <v>2304</v>
      </c>
      <c r="AP125" s="2" t="s">
        <v>2305</v>
      </c>
      <c r="AQ125" s="2"/>
      <c r="AR125" s="2" t="s">
        <v>2306</v>
      </c>
      <c r="AS125" s="2"/>
      <c r="AT125" s="2"/>
      <c r="AU125" s="2">
        <v>2017.0</v>
      </c>
      <c r="AV125" s="2">
        <v>895.0</v>
      </c>
      <c r="AW125" s="2"/>
      <c r="AX125" s="2"/>
      <c r="AY125" s="2"/>
      <c r="AZ125" s="2"/>
      <c r="BA125" s="2"/>
      <c r="BB125" s="2"/>
      <c r="BC125" s="2"/>
      <c r="BD125" s="2">
        <v>12161.0</v>
      </c>
      <c r="BE125" s="2" t="s">
        <v>2641</v>
      </c>
      <c r="BF125" s="3" t="str">
        <f>HYPERLINK("http://dx.doi.org/10.1088/1742-6596/895/1/012161","http://dx.doi.org/10.1088/1742-6596/895/1/012161")</f>
        <v>http://dx.doi.org/10.1088/1742-6596/895/1/012161</v>
      </c>
      <c r="BG125" s="2"/>
      <c r="BH125" s="2"/>
      <c r="BI125" s="2">
        <v>7.0</v>
      </c>
      <c r="BJ125" s="2" t="s">
        <v>2642</v>
      </c>
      <c r="BK125" s="2" t="s">
        <v>135</v>
      </c>
      <c r="BL125" s="2" t="s">
        <v>2643</v>
      </c>
      <c r="BM125" s="2" t="s">
        <v>2644</v>
      </c>
      <c r="BN125" s="2"/>
      <c r="BO125" s="2" t="s">
        <v>255</v>
      </c>
      <c r="BP125" s="2"/>
      <c r="BQ125" s="2"/>
      <c r="BR125" s="2" t="s">
        <v>99</v>
      </c>
      <c r="BS125" s="2" t="s">
        <v>2645</v>
      </c>
      <c r="BT125" s="2" t="str">
        <f>HYPERLINK("https%3A%2F%2Fwww.webofscience.com%2Fwos%2Fwoscc%2Ffull-record%2FWOS:000424025100161","View Full Record in Web of Science")</f>
        <v>View Full Record in Web of Science</v>
      </c>
    </row>
    <row r="126" ht="64.5" customHeight="1">
      <c r="A126" s="2" t="s">
        <v>72</v>
      </c>
      <c r="B126" s="2" t="s">
        <v>2646</v>
      </c>
      <c r="C126" s="2"/>
      <c r="D126" s="2"/>
      <c r="E126" s="2"/>
      <c r="F126" s="2" t="s">
        <v>2647</v>
      </c>
      <c r="G126" s="2"/>
      <c r="H126" s="2"/>
      <c r="I126" s="2" t="s">
        <v>2648</v>
      </c>
      <c r="J126" s="2" t="s">
        <v>2649</v>
      </c>
      <c r="K126" s="2"/>
      <c r="L126" s="2"/>
      <c r="M126" s="2" t="s">
        <v>116</v>
      </c>
      <c r="N126" s="2" t="s">
        <v>78</v>
      </c>
      <c r="O126" s="2"/>
      <c r="P126" s="2"/>
      <c r="Q126" s="2"/>
      <c r="R126" s="2"/>
      <c r="S126" s="2"/>
      <c r="T126" s="2" t="s">
        <v>2650</v>
      </c>
      <c r="U126" s="2"/>
      <c r="V126" s="2" t="s">
        <v>2651</v>
      </c>
      <c r="W126" s="2" t="s">
        <v>2652</v>
      </c>
      <c r="X126" s="2"/>
      <c r="Y126" s="2" t="s">
        <v>2653</v>
      </c>
      <c r="Z126" s="2"/>
      <c r="AA126" s="2"/>
      <c r="AB126" s="2" t="s">
        <v>2654</v>
      </c>
      <c r="AC126" s="2"/>
      <c r="AD126" s="2"/>
      <c r="AE126" s="2"/>
      <c r="AF126" s="2" t="s">
        <v>2655</v>
      </c>
      <c r="AG126" s="2">
        <v>24.0</v>
      </c>
      <c r="AH126" s="2">
        <v>1.0</v>
      </c>
      <c r="AI126" s="2">
        <v>1.0</v>
      </c>
      <c r="AJ126" s="2">
        <v>1.0</v>
      </c>
      <c r="AK126" s="2">
        <v>5.0</v>
      </c>
      <c r="AL126" s="2" t="s">
        <v>156</v>
      </c>
      <c r="AM126" s="2" t="s">
        <v>157</v>
      </c>
      <c r="AN126" s="2" t="s">
        <v>158</v>
      </c>
      <c r="AO126" s="2" t="s">
        <v>2656</v>
      </c>
      <c r="AP126" s="2" t="s">
        <v>2657</v>
      </c>
      <c r="AQ126" s="2"/>
      <c r="AR126" s="2" t="s">
        <v>2658</v>
      </c>
      <c r="AS126" s="2" t="s">
        <v>2659</v>
      </c>
      <c r="AT126" s="2" t="s">
        <v>2224</v>
      </c>
      <c r="AU126" s="2">
        <v>2021.0</v>
      </c>
      <c r="AV126" s="2">
        <v>46.0</v>
      </c>
      <c r="AW126" s="2">
        <v>1.0</v>
      </c>
      <c r="AX126" s="2"/>
      <c r="AY126" s="2"/>
      <c r="AZ126" s="2" t="s">
        <v>359</v>
      </c>
      <c r="BA126" s="2"/>
      <c r="BB126" s="2">
        <v>113.0</v>
      </c>
      <c r="BC126" s="2">
        <v>126.0</v>
      </c>
      <c r="BD126" s="2"/>
      <c r="BE126" s="2" t="s">
        <v>2660</v>
      </c>
      <c r="BF126" s="3" t="str">
        <f>HYPERLINK("http://dx.doi.org/10.1080/10598650.2020.1858268","http://dx.doi.org/10.1080/10598650.2020.1858268")</f>
        <v>http://dx.doi.org/10.1080/10598650.2020.1858268</v>
      </c>
      <c r="BG126" s="2"/>
      <c r="BH126" s="2"/>
      <c r="BI126" s="2">
        <v>14.0</v>
      </c>
      <c r="BJ126" s="2" t="s">
        <v>331</v>
      </c>
      <c r="BK126" s="2" t="s">
        <v>96</v>
      </c>
      <c r="BL126" s="2" t="s">
        <v>331</v>
      </c>
      <c r="BM126" s="2" t="s">
        <v>2661</v>
      </c>
      <c r="BN126" s="2"/>
      <c r="BO126" s="2"/>
      <c r="BP126" s="2"/>
      <c r="BQ126" s="2"/>
      <c r="BR126" s="2" t="s">
        <v>99</v>
      </c>
      <c r="BS126" s="2" t="s">
        <v>2662</v>
      </c>
      <c r="BT126" s="2" t="str">
        <f>HYPERLINK("https%3A%2F%2Fwww.webofscience.com%2Fwos%2Fwoscc%2Ffull-record%2FWOS:000625924400012","View Full Record in Web of Science")</f>
        <v>View Full Record in Web of Science</v>
      </c>
    </row>
    <row r="127" ht="64.5" customHeight="1">
      <c r="A127" s="2" t="s">
        <v>72</v>
      </c>
      <c r="B127" s="2" t="s">
        <v>2663</v>
      </c>
      <c r="C127" s="2"/>
      <c r="D127" s="2"/>
      <c r="E127" s="2"/>
      <c r="F127" s="2" t="s">
        <v>2664</v>
      </c>
      <c r="G127" s="2"/>
      <c r="H127" s="2"/>
      <c r="I127" s="2" t="s">
        <v>2665</v>
      </c>
      <c r="J127" s="2" t="s">
        <v>1429</v>
      </c>
      <c r="K127" s="2"/>
      <c r="L127" s="2"/>
      <c r="M127" s="2" t="s">
        <v>116</v>
      </c>
      <c r="N127" s="2" t="s">
        <v>78</v>
      </c>
      <c r="O127" s="2"/>
      <c r="P127" s="2"/>
      <c r="Q127" s="2"/>
      <c r="R127" s="2"/>
      <c r="S127" s="2"/>
      <c r="T127" s="2" t="s">
        <v>2666</v>
      </c>
      <c r="U127" s="2"/>
      <c r="V127" s="2" t="s">
        <v>2667</v>
      </c>
      <c r="W127" s="2" t="s">
        <v>2668</v>
      </c>
      <c r="X127" s="2" t="s">
        <v>2669</v>
      </c>
      <c r="Y127" s="2" t="s">
        <v>2670</v>
      </c>
      <c r="Z127" s="2" t="s">
        <v>1436</v>
      </c>
      <c r="AA127" s="2" t="s">
        <v>2671</v>
      </c>
      <c r="AB127" s="2" t="s">
        <v>2672</v>
      </c>
      <c r="AC127" s="2" t="s">
        <v>2673</v>
      </c>
      <c r="AD127" s="2" t="s">
        <v>2673</v>
      </c>
      <c r="AE127" s="2" t="s">
        <v>2674</v>
      </c>
      <c r="AF127" s="2" t="s">
        <v>2675</v>
      </c>
      <c r="AG127" s="2">
        <v>50.0</v>
      </c>
      <c r="AH127" s="2">
        <v>9.0</v>
      </c>
      <c r="AI127" s="2">
        <v>9.0</v>
      </c>
      <c r="AJ127" s="2">
        <v>3.0</v>
      </c>
      <c r="AK127" s="2">
        <v>16.0</v>
      </c>
      <c r="AL127" s="2" t="s">
        <v>156</v>
      </c>
      <c r="AM127" s="2" t="s">
        <v>157</v>
      </c>
      <c r="AN127" s="2" t="s">
        <v>158</v>
      </c>
      <c r="AO127" s="2" t="s">
        <v>1442</v>
      </c>
      <c r="AP127" s="2" t="s">
        <v>1443</v>
      </c>
      <c r="AQ127" s="2"/>
      <c r="AR127" s="2" t="s">
        <v>1444</v>
      </c>
      <c r="AS127" s="2" t="s">
        <v>1445</v>
      </c>
      <c r="AT127" s="2" t="s">
        <v>2676</v>
      </c>
      <c r="AU127" s="2">
        <v>2022.0</v>
      </c>
      <c r="AV127" s="2">
        <v>53.0</v>
      </c>
      <c r="AW127" s="2">
        <v>5.0</v>
      </c>
      <c r="AX127" s="2"/>
      <c r="AY127" s="2"/>
      <c r="AZ127" s="2"/>
      <c r="BA127" s="2"/>
      <c r="BB127" s="2">
        <v>251.0</v>
      </c>
      <c r="BC127" s="2">
        <v>260.0</v>
      </c>
      <c r="BD127" s="2"/>
      <c r="BE127" s="2" t="s">
        <v>2677</v>
      </c>
      <c r="BF127" s="3" t="str">
        <f>HYPERLINK("http://dx.doi.org/10.1080/00958964.2022.2113019","http://dx.doi.org/10.1080/00958964.2022.2113019")</f>
        <v>http://dx.doi.org/10.1080/00958964.2022.2113019</v>
      </c>
      <c r="BG127" s="2"/>
      <c r="BH127" s="2" t="s">
        <v>2678</v>
      </c>
      <c r="BI127" s="2">
        <v>10.0</v>
      </c>
      <c r="BJ127" s="2" t="s">
        <v>165</v>
      </c>
      <c r="BK127" s="2" t="s">
        <v>166</v>
      </c>
      <c r="BL127" s="2" t="s">
        <v>167</v>
      </c>
      <c r="BM127" s="2" t="s">
        <v>2679</v>
      </c>
      <c r="BN127" s="2"/>
      <c r="BO127" s="2"/>
      <c r="BP127" s="2"/>
      <c r="BQ127" s="2"/>
      <c r="BR127" s="2" t="s">
        <v>99</v>
      </c>
      <c r="BS127" s="2" t="s">
        <v>2680</v>
      </c>
      <c r="BT127" s="2" t="str">
        <f>HYPERLINK("https%3A%2F%2Fwww.webofscience.com%2Fwos%2Fwoscc%2Ffull-record%2FWOS:000842794700001","View Full Record in Web of Science")</f>
        <v>View Full Record in Web of Science</v>
      </c>
    </row>
    <row r="128" ht="64.5" customHeight="1">
      <c r="A128" s="2" t="s">
        <v>72</v>
      </c>
      <c r="B128" s="2" t="s">
        <v>2681</v>
      </c>
      <c r="C128" s="2"/>
      <c r="D128" s="2"/>
      <c r="E128" s="2"/>
      <c r="F128" s="2" t="s">
        <v>2682</v>
      </c>
      <c r="G128" s="2"/>
      <c r="H128" s="2"/>
      <c r="I128" s="2" t="s">
        <v>2683</v>
      </c>
      <c r="J128" s="2" t="s">
        <v>1864</v>
      </c>
      <c r="K128" s="2"/>
      <c r="L128" s="2"/>
      <c r="M128" s="2" t="s">
        <v>116</v>
      </c>
      <c r="N128" s="2" t="s">
        <v>1865</v>
      </c>
      <c r="O128" s="2" t="s">
        <v>2684</v>
      </c>
      <c r="P128" s="2" t="s">
        <v>2685</v>
      </c>
      <c r="Q128" s="2" t="s">
        <v>2686</v>
      </c>
      <c r="R128" s="2"/>
      <c r="S128" s="2"/>
      <c r="T128" s="2" t="s">
        <v>2687</v>
      </c>
      <c r="U128" s="2" t="s">
        <v>2688</v>
      </c>
      <c r="V128" s="2" t="s">
        <v>2689</v>
      </c>
      <c r="W128" s="2" t="s">
        <v>2690</v>
      </c>
      <c r="X128" s="2" t="s">
        <v>2691</v>
      </c>
      <c r="Y128" s="2" t="s">
        <v>2692</v>
      </c>
      <c r="Z128" s="2" t="s">
        <v>2693</v>
      </c>
      <c r="AA128" s="2" t="s">
        <v>2694</v>
      </c>
      <c r="AB128" s="2" t="s">
        <v>2695</v>
      </c>
      <c r="AC128" s="2" t="s">
        <v>2696</v>
      </c>
      <c r="AD128" s="2" t="s">
        <v>2696</v>
      </c>
      <c r="AE128" s="2" t="s">
        <v>2697</v>
      </c>
      <c r="AF128" s="2" t="s">
        <v>2698</v>
      </c>
      <c r="AG128" s="2">
        <v>17.0</v>
      </c>
      <c r="AH128" s="2">
        <v>6.0</v>
      </c>
      <c r="AI128" s="2">
        <v>6.0</v>
      </c>
      <c r="AJ128" s="2">
        <v>2.0</v>
      </c>
      <c r="AK128" s="2">
        <v>8.0</v>
      </c>
      <c r="AL128" s="2" t="s">
        <v>1346</v>
      </c>
      <c r="AM128" s="2" t="s">
        <v>428</v>
      </c>
      <c r="AN128" s="2" t="s">
        <v>1347</v>
      </c>
      <c r="AO128" s="2" t="s">
        <v>1877</v>
      </c>
      <c r="AP128" s="2"/>
      <c r="AQ128" s="2"/>
      <c r="AR128" s="2" t="s">
        <v>1878</v>
      </c>
      <c r="AS128" s="2" t="s">
        <v>1879</v>
      </c>
      <c r="AT128" s="2" t="s">
        <v>938</v>
      </c>
      <c r="AU128" s="2">
        <v>2022.0</v>
      </c>
      <c r="AV128" s="2">
        <v>8.0</v>
      </c>
      <c r="AW128" s="2"/>
      <c r="AX128" s="2"/>
      <c r="AY128" s="2">
        <v>3.0</v>
      </c>
      <c r="AZ128" s="2"/>
      <c r="BA128" s="2"/>
      <c r="BB128" s="2">
        <v>332.0</v>
      </c>
      <c r="BC128" s="2">
        <v>337.0</v>
      </c>
      <c r="BD128" s="2"/>
      <c r="BE128" s="2" t="s">
        <v>2699</v>
      </c>
      <c r="BF128" s="3" t="str">
        <f>HYPERLINK("http://dx.doi.org/10.1016/j.egyr.2022.01.050","http://dx.doi.org/10.1016/j.egyr.2022.01.050")</f>
        <v>http://dx.doi.org/10.1016/j.egyr.2022.01.050</v>
      </c>
      <c r="BG128" s="2"/>
      <c r="BH128" s="2" t="s">
        <v>2700</v>
      </c>
      <c r="BI128" s="2">
        <v>6.0</v>
      </c>
      <c r="BJ128" s="2" t="s">
        <v>1592</v>
      </c>
      <c r="BK128" s="2" t="s">
        <v>2701</v>
      </c>
      <c r="BL128" s="2" t="s">
        <v>1592</v>
      </c>
      <c r="BM128" s="2" t="s">
        <v>2702</v>
      </c>
      <c r="BN128" s="2"/>
      <c r="BO128" s="2" t="s">
        <v>272</v>
      </c>
      <c r="BP128" s="2"/>
      <c r="BQ128" s="2"/>
      <c r="BR128" s="2" t="s">
        <v>99</v>
      </c>
      <c r="BS128" s="2" t="s">
        <v>2703</v>
      </c>
      <c r="BT128" s="2" t="str">
        <f>HYPERLINK("https%3A%2F%2Fwww.webofscience.com%2Fwos%2Fwoscc%2Ffull-record%2FWOS:000770811000049","View Full Record in Web of Science")</f>
        <v>View Full Record in Web of Science</v>
      </c>
    </row>
    <row r="129" ht="64.5" customHeight="1">
      <c r="A129" s="2" t="s">
        <v>72</v>
      </c>
      <c r="B129" s="2" t="s">
        <v>1379</v>
      </c>
      <c r="C129" s="2"/>
      <c r="D129" s="2"/>
      <c r="E129" s="2"/>
      <c r="F129" s="2" t="s">
        <v>1381</v>
      </c>
      <c r="G129" s="2"/>
      <c r="H129" s="2"/>
      <c r="I129" s="2" t="s">
        <v>2704</v>
      </c>
      <c r="J129" s="2" t="s">
        <v>1864</v>
      </c>
      <c r="K129" s="2"/>
      <c r="L129" s="2"/>
      <c r="M129" s="2" t="s">
        <v>116</v>
      </c>
      <c r="N129" s="2" t="s">
        <v>1865</v>
      </c>
      <c r="O129" s="2" t="s">
        <v>2684</v>
      </c>
      <c r="P129" s="2" t="s">
        <v>2685</v>
      </c>
      <c r="Q129" s="2" t="s">
        <v>2686</v>
      </c>
      <c r="R129" s="2"/>
      <c r="S129" s="2"/>
      <c r="T129" s="2" t="s">
        <v>2705</v>
      </c>
      <c r="U129" s="2" t="s">
        <v>1677</v>
      </c>
      <c r="V129" s="2" t="s">
        <v>2706</v>
      </c>
      <c r="W129" s="2" t="s">
        <v>2707</v>
      </c>
      <c r="X129" s="2" t="s">
        <v>1680</v>
      </c>
      <c r="Y129" s="2" t="s">
        <v>2708</v>
      </c>
      <c r="Z129" s="2" t="s">
        <v>1875</v>
      </c>
      <c r="AA129" s="2" t="s">
        <v>1394</v>
      </c>
      <c r="AB129" s="2" t="s">
        <v>1395</v>
      </c>
      <c r="AC129" s="2" t="s">
        <v>2709</v>
      </c>
      <c r="AD129" s="2" t="s">
        <v>2710</v>
      </c>
      <c r="AE129" s="2" t="s">
        <v>2711</v>
      </c>
      <c r="AF129" s="2" t="s">
        <v>2712</v>
      </c>
      <c r="AG129" s="2">
        <v>24.0</v>
      </c>
      <c r="AH129" s="2">
        <v>4.0</v>
      </c>
      <c r="AI129" s="2">
        <v>5.0</v>
      </c>
      <c r="AJ129" s="2">
        <v>2.0</v>
      </c>
      <c r="AK129" s="2">
        <v>20.0</v>
      </c>
      <c r="AL129" s="2" t="s">
        <v>1346</v>
      </c>
      <c r="AM129" s="2" t="s">
        <v>428</v>
      </c>
      <c r="AN129" s="2" t="s">
        <v>1347</v>
      </c>
      <c r="AO129" s="2" t="s">
        <v>1877</v>
      </c>
      <c r="AP129" s="2"/>
      <c r="AQ129" s="2"/>
      <c r="AR129" s="2" t="s">
        <v>1878</v>
      </c>
      <c r="AS129" s="2" t="s">
        <v>1879</v>
      </c>
      <c r="AT129" s="2" t="s">
        <v>938</v>
      </c>
      <c r="AU129" s="2">
        <v>2022.0</v>
      </c>
      <c r="AV129" s="2">
        <v>8.0</v>
      </c>
      <c r="AW129" s="2"/>
      <c r="AX129" s="2"/>
      <c r="AY129" s="2">
        <v>3.0</v>
      </c>
      <c r="AZ129" s="2"/>
      <c r="BA129" s="2"/>
      <c r="BB129" s="2">
        <v>172.0</v>
      </c>
      <c r="BC129" s="2">
        <v>178.0</v>
      </c>
      <c r="BD129" s="2"/>
      <c r="BE129" s="2" t="s">
        <v>2713</v>
      </c>
      <c r="BF129" s="3" t="str">
        <f>HYPERLINK("http://dx.doi.org/10.1016/j.egyr.2022.01.082","http://dx.doi.org/10.1016/j.egyr.2022.01.082")</f>
        <v>http://dx.doi.org/10.1016/j.egyr.2022.01.082</v>
      </c>
      <c r="BG129" s="2"/>
      <c r="BH129" s="2" t="s">
        <v>2700</v>
      </c>
      <c r="BI129" s="2">
        <v>7.0</v>
      </c>
      <c r="BJ129" s="2" t="s">
        <v>1592</v>
      </c>
      <c r="BK129" s="2" t="s">
        <v>1881</v>
      </c>
      <c r="BL129" s="2" t="s">
        <v>1592</v>
      </c>
      <c r="BM129" s="2" t="s">
        <v>2702</v>
      </c>
      <c r="BN129" s="2"/>
      <c r="BO129" s="2" t="s">
        <v>255</v>
      </c>
      <c r="BP129" s="2"/>
      <c r="BQ129" s="2"/>
      <c r="BR129" s="2" t="s">
        <v>99</v>
      </c>
      <c r="BS129" s="2" t="s">
        <v>2714</v>
      </c>
      <c r="BT129" s="2" t="str">
        <f>HYPERLINK("https%3A%2F%2Fwww.webofscience.com%2Fwos%2Fwoscc%2Ffull-record%2FWOS:000770811000026","View Full Record in Web of Science")</f>
        <v>View Full Record in Web of Science</v>
      </c>
    </row>
    <row r="130" ht="64.5" customHeight="1">
      <c r="A130" s="2" t="s">
        <v>72</v>
      </c>
      <c r="B130" s="2" t="s">
        <v>2715</v>
      </c>
      <c r="C130" s="2"/>
      <c r="D130" s="2"/>
      <c r="E130" s="2"/>
      <c r="F130" s="2" t="s">
        <v>2716</v>
      </c>
      <c r="G130" s="2"/>
      <c r="H130" s="2"/>
      <c r="I130" s="2" t="s">
        <v>2717</v>
      </c>
      <c r="J130" s="2" t="s">
        <v>2718</v>
      </c>
      <c r="K130" s="2"/>
      <c r="L130" s="2"/>
      <c r="M130" s="2" t="s">
        <v>116</v>
      </c>
      <c r="N130" s="2" t="s">
        <v>78</v>
      </c>
      <c r="O130" s="2"/>
      <c r="P130" s="2"/>
      <c r="Q130" s="2"/>
      <c r="R130" s="2"/>
      <c r="S130" s="2"/>
      <c r="T130" s="2" t="s">
        <v>2719</v>
      </c>
      <c r="U130" s="2"/>
      <c r="V130" s="2" t="s">
        <v>2720</v>
      </c>
      <c r="W130" s="2" t="s">
        <v>2721</v>
      </c>
      <c r="X130" s="2" t="s">
        <v>2722</v>
      </c>
      <c r="Y130" s="2" t="s">
        <v>2723</v>
      </c>
      <c r="Z130" s="2" t="s">
        <v>2724</v>
      </c>
      <c r="AA130" s="2"/>
      <c r="AB130" s="2"/>
      <c r="AC130" s="2" t="s">
        <v>2725</v>
      </c>
      <c r="AD130" s="2" t="s">
        <v>2726</v>
      </c>
      <c r="AE130" s="2" t="s">
        <v>2727</v>
      </c>
      <c r="AF130" s="2" t="s">
        <v>2728</v>
      </c>
      <c r="AG130" s="2">
        <v>11.0</v>
      </c>
      <c r="AH130" s="2">
        <v>2.0</v>
      </c>
      <c r="AI130" s="2">
        <v>2.0</v>
      </c>
      <c r="AJ130" s="2">
        <v>1.0</v>
      </c>
      <c r="AK130" s="2">
        <v>16.0</v>
      </c>
      <c r="AL130" s="2" t="s">
        <v>156</v>
      </c>
      <c r="AM130" s="2" t="s">
        <v>157</v>
      </c>
      <c r="AN130" s="2" t="s">
        <v>158</v>
      </c>
      <c r="AO130" s="2" t="s">
        <v>2729</v>
      </c>
      <c r="AP130" s="2" t="s">
        <v>2730</v>
      </c>
      <c r="AQ130" s="2"/>
      <c r="AR130" s="2" t="s">
        <v>2731</v>
      </c>
      <c r="AS130" s="2" t="s">
        <v>2732</v>
      </c>
      <c r="AT130" s="2" t="s">
        <v>2733</v>
      </c>
      <c r="AU130" s="2">
        <v>2021.0</v>
      </c>
      <c r="AV130" s="2">
        <v>58.0</v>
      </c>
      <c r="AW130" s="2">
        <v>1.0</v>
      </c>
      <c r="AX130" s="2"/>
      <c r="AY130" s="2"/>
      <c r="AZ130" s="2"/>
      <c r="BA130" s="2"/>
      <c r="BB130" s="2">
        <v>13.0</v>
      </c>
      <c r="BC130" s="2">
        <v>22.0</v>
      </c>
      <c r="BD130" s="2"/>
      <c r="BE130" s="2" t="s">
        <v>2734</v>
      </c>
      <c r="BF130" s="3" t="str">
        <f>HYPERLINK("http://dx.doi.org/10.1080/00368121.2021.1885333","http://dx.doi.org/10.1080/00368121.2021.1885333")</f>
        <v>http://dx.doi.org/10.1080/00368121.2021.1885333</v>
      </c>
      <c r="BG130" s="2"/>
      <c r="BH130" s="2" t="s">
        <v>361</v>
      </c>
      <c r="BI130" s="2">
        <v>10.0</v>
      </c>
      <c r="BJ130" s="2" t="s">
        <v>331</v>
      </c>
      <c r="BK130" s="2" t="s">
        <v>96</v>
      </c>
      <c r="BL130" s="2" t="s">
        <v>331</v>
      </c>
      <c r="BM130" s="2" t="s">
        <v>2735</v>
      </c>
      <c r="BN130" s="2"/>
      <c r="BO130" s="2"/>
      <c r="BP130" s="2"/>
      <c r="BQ130" s="2"/>
      <c r="BR130" s="2" t="s">
        <v>99</v>
      </c>
      <c r="BS130" s="2" t="s">
        <v>2736</v>
      </c>
      <c r="BT130" s="2" t="str">
        <f>HYPERLINK("https%3A%2F%2Fwww.webofscience.com%2Fwos%2Fwoscc%2Ffull-record%2FWOS:000629071500001","View Full Record in Web of Science")</f>
        <v>View Full Record in Web of Science</v>
      </c>
    </row>
    <row r="131" ht="64.5" customHeight="1">
      <c r="A131" s="2" t="s">
        <v>72</v>
      </c>
      <c r="B131" s="2" t="s">
        <v>2737</v>
      </c>
      <c r="C131" s="2"/>
      <c r="D131" s="2"/>
      <c r="E131" s="2"/>
      <c r="F131" s="2" t="s">
        <v>2738</v>
      </c>
      <c r="G131" s="2"/>
      <c r="H131" s="2"/>
      <c r="I131" s="2" t="s">
        <v>2739</v>
      </c>
      <c r="J131" s="2" t="s">
        <v>2740</v>
      </c>
      <c r="K131" s="2"/>
      <c r="L131" s="2"/>
      <c r="M131" s="2" t="s">
        <v>116</v>
      </c>
      <c r="N131" s="2" t="s">
        <v>78</v>
      </c>
      <c r="O131" s="2"/>
      <c r="P131" s="2"/>
      <c r="Q131" s="2"/>
      <c r="R131" s="2"/>
      <c r="S131" s="2"/>
      <c r="T131" s="2" t="s">
        <v>2741</v>
      </c>
      <c r="U131" s="2" t="s">
        <v>2742</v>
      </c>
      <c r="V131" s="2" t="s">
        <v>2743</v>
      </c>
      <c r="W131" s="2" t="s">
        <v>2744</v>
      </c>
      <c r="X131" s="2" t="s">
        <v>2745</v>
      </c>
      <c r="Y131" s="2" t="s">
        <v>2746</v>
      </c>
      <c r="Z131" s="2" t="s">
        <v>2747</v>
      </c>
      <c r="AA131" s="2" t="s">
        <v>2748</v>
      </c>
      <c r="AB131" s="2" t="s">
        <v>2749</v>
      </c>
      <c r="AC131" s="2" t="s">
        <v>2750</v>
      </c>
      <c r="AD131" s="2" t="s">
        <v>2751</v>
      </c>
      <c r="AE131" s="2" t="s">
        <v>2752</v>
      </c>
      <c r="AF131" s="2" t="s">
        <v>2753</v>
      </c>
      <c r="AG131" s="2">
        <v>52.0</v>
      </c>
      <c r="AH131" s="2">
        <v>50.0</v>
      </c>
      <c r="AI131" s="2">
        <v>52.0</v>
      </c>
      <c r="AJ131" s="2">
        <v>2.0</v>
      </c>
      <c r="AK131" s="2">
        <v>23.0</v>
      </c>
      <c r="AL131" s="2" t="s">
        <v>216</v>
      </c>
      <c r="AM131" s="2" t="s">
        <v>189</v>
      </c>
      <c r="AN131" s="2" t="s">
        <v>217</v>
      </c>
      <c r="AO131" s="2" t="s">
        <v>2754</v>
      </c>
      <c r="AP131" s="2" t="s">
        <v>2755</v>
      </c>
      <c r="AQ131" s="2"/>
      <c r="AR131" s="2" t="s">
        <v>2756</v>
      </c>
      <c r="AS131" s="2" t="s">
        <v>2757</v>
      </c>
      <c r="AT131" s="2" t="s">
        <v>2758</v>
      </c>
      <c r="AU131" s="2">
        <v>2017.0</v>
      </c>
      <c r="AV131" s="2">
        <v>125.0</v>
      </c>
      <c r="AW131" s="2"/>
      <c r="AX131" s="2"/>
      <c r="AY131" s="2"/>
      <c r="AZ131" s="2"/>
      <c r="BA131" s="2"/>
      <c r="BB131" s="2">
        <v>439.0</v>
      </c>
      <c r="BC131" s="2">
        <v>450.0</v>
      </c>
      <c r="BD131" s="2"/>
      <c r="BE131" s="2" t="s">
        <v>2759</v>
      </c>
      <c r="BF131" s="3" t="str">
        <f>HYPERLINK("http://dx.doi.org/10.1016/j.buildenv.2017.09.008","http://dx.doi.org/10.1016/j.buildenv.2017.09.008")</f>
        <v>http://dx.doi.org/10.1016/j.buildenv.2017.09.008</v>
      </c>
      <c r="BG131" s="2"/>
      <c r="BH131" s="2"/>
      <c r="BI131" s="2">
        <v>12.0</v>
      </c>
      <c r="BJ131" s="2" t="s">
        <v>2760</v>
      </c>
      <c r="BK131" s="2" t="s">
        <v>363</v>
      </c>
      <c r="BL131" s="2" t="s">
        <v>2761</v>
      </c>
      <c r="BM131" s="2" t="s">
        <v>2762</v>
      </c>
      <c r="BN131" s="2"/>
      <c r="BO131" s="2" t="s">
        <v>201</v>
      </c>
      <c r="BP131" s="2"/>
      <c r="BQ131" s="2"/>
      <c r="BR131" s="2" t="s">
        <v>99</v>
      </c>
      <c r="BS131" s="2" t="s">
        <v>2763</v>
      </c>
      <c r="BT131" s="2" t="str">
        <f>HYPERLINK("https%3A%2F%2Fwww.webofscience.com%2Fwos%2Fwoscc%2Ffull-record%2FWOS:000416185900039","View Full Record in Web of Science")</f>
        <v>View Full Record in Web of Science</v>
      </c>
    </row>
    <row r="132" ht="64.5" customHeight="1">
      <c r="A132" s="2" t="s">
        <v>72</v>
      </c>
      <c r="B132" s="2" t="s">
        <v>2764</v>
      </c>
      <c r="C132" s="2"/>
      <c r="D132" s="2"/>
      <c r="E132" s="2"/>
      <c r="F132" s="2" t="s">
        <v>2765</v>
      </c>
      <c r="G132" s="2"/>
      <c r="H132" s="2"/>
      <c r="I132" s="2" t="s">
        <v>2766</v>
      </c>
      <c r="J132" s="2" t="s">
        <v>2767</v>
      </c>
      <c r="K132" s="2"/>
      <c r="L132" s="2"/>
      <c r="M132" s="2" t="s">
        <v>116</v>
      </c>
      <c r="N132" s="2" t="s">
        <v>78</v>
      </c>
      <c r="O132" s="2"/>
      <c r="P132" s="2"/>
      <c r="Q132" s="2"/>
      <c r="R132" s="2"/>
      <c r="S132" s="2"/>
      <c r="T132" s="2" t="s">
        <v>2768</v>
      </c>
      <c r="U132" s="2" t="s">
        <v>2769</v>
      </c>
      <c r="V132" s="2" t="s">
        <v>2770</v>
      </c>
      <c r="W132" s="2" t="s">
        <v>2771</v>
      </c>
      <c r="X132" s="2" t="s">
        <v>2772</v>
      </c>
      <c r="Y132" s="2" t="s">
        <v>2773</v>
      </c>
      <c r="Z132" s="2" t="s">
        <v>2774</v>
      </c>
      <c r="AA132" s="2"/>
      <c r="AB132" s="2"/>
      <c r="AC132" s="2" t="s">
        <v>2775</v>
      </c>
      <c r="AD132" s="2" t="s">
        <v>2775</v>
      </c>
      <c r="AE132" s="2" t="s">
        <v>2775</v>
      </c>
      <c r="AF132" s="2" t="s">
        <v>2776</v>
      </c>
      <c r="AG132" s="2">
        <v>71.0</v>
      </c>
      <c r="AH132" s="2">
        <v>2.0</v>
      </c>
      <c r="AI132" s="2">
        <v>2.0</v>
      </c>
      <c r="AJ132" s="2">
        <v>6.0</v>
      </c>
      <c r="AK132" s="2">
        <v>14.0</v>
      </c>
      <c r="AL132" s="2" t="s">
        <v>351</v>
      </c>
      <c r="AM132" s="2" t="s">
        <v>352</v>
      </c>
      <c r="AN132" s="2" t="s">
        <v>353</v>
      </c>
      <c r="AO132" s="2" t="s">
        <v>2777</v>
      </c>
      <c r="AP132" s="2" t="s">
        <v>2778</v>
      </c>
      <c r="AQ132" s="2"/>
      <c r="AR132" s="2" t="s">
        <v>2767</v>
      </c>
      <c r="AS132" s="2" t="s">
        <v>2779</v>
      </c>
      <c r="AT132" s="2" t="s">
        <v>596</v>
      </c>
      <c r="AU132" s="2">
        <v>2023.0</v>
      </c>
      <c r="AV132" s="2">
        <v>176.0</v>
      </c>
      <c r="AW132" s="2">
        <v>10.0</v>
      </c>
      <c r="AX132" s="2"/>
      <c r="AY132" s="2"/>
      <c r="AZ132" s="2"/>
      <c r="BA132" s="2"/>
      <c r="BB132" s="2"/>
      <c r="BC132" s="2"/>
      <c r="BD132" s="2">
        <v>134.0</v>
      </c>
      <c r="BE132" s="2" t="s">
        <v>2780</v>
      </c>
      <c r="BF132" s="3" t="str">
        <f>HYPERLINK("http://dx.doi.org/10.1007/s10584-023-03607-z","http://dx.doi.org/10.1007/s10584-023-03607-z")</f>
        <v>http://dx.doi.org/10.1007/s10584-023-03607-z</v>
      </c>
      <c r="BG132" s="2"/>
      <c r="BH132" s="2"/>
      <c r="BI132" s="2">
        <v>17.0</v>
      </c>
      <c r="BJ132" s="2" t="s">
        <v>2781</v>
      </c>
      <c r="BK132" s="2" t="s">
        <v>226</v>
      </c>
      <c r="BL132" s="2" t="s">
        <v>1376</v>
      </c>
      <c r="BM132" s="2" t="s">
        <v>2782</v>
      </c>
      <c r="BN132" s="2"/>
      <c r="BO132" s="2" t="s">
        <v>201</v>
      </c>
      <c r="BP132" s="2"/>
      <c r="BQ132" s="2"/>
      <c r="BR132" s="2" t="s">
        <v>99</v>
      </c>
      <c r="BS132" s="2" t="s">
        <v>2783</v>
      </c>
      <c r="BT132" s="2" t="str">
        <f>HYPERLINK("https%3A%2F%2Fwww.webofscience.com%2Fwos%2Fwoscc%2Ffull-record%2FWOS:001073746100001","View Full Record in Web of Science")</f>
        <v>View Full Record in Web of Science</v>
      </c>
    </row>
    <row r="133" ht="64.5" customHeight="1">
      <c r="A133" s="2" t="s">
        <v>72</v>
      </c>
      <c r="B133" s="2" t="s">
        <v>2784</v>
      </c>
      <c r="C133" s="2"/>
      <c r="D133" s="2"/>
      <c r="E133" s="2"/>
      <c r="F133" s="2" t="s">
        <v>2785</v>
      </c>
      <c r="G133" s="2"/>
      <c r="H133" s="2"/>
      <c r="I133" s="2" t="s">
        <v>2786</v>
      </c>
      <c r="J133" s="2" t="s">
        <v>2787</v>
      </c>
      <c r="K133" s="2"/>
      <c r="L133" s="2"/>
      <c r="M133" s="2" t="s">
        <v>116</v>
      </c>
      <c r="N133" s="2" t="s">
        <v>78</v>
      </c>
      <c r="O133" s="2"/>
      <c r="P133" s="2"/>
      <c r="Q133" s="2"/>
      <c r="R133" s="2"/>
      <c r="S133" s="2"/>
      <c r="T133" s="2" t="s">
        <v>2788</v>
      </c>
      <c r="U133" s="2" t="s">
        <v>2789</v>
      </c>
      <c r="V133" s="2" t="s">
        <v>2790</v>
      </c>
      <c r="W133" s="2" t="s">
        <v>2791</v>
      </c>
      <c r="X133" s="2" t="s">
        <v>2792</v>
      </c>
      <c r="Y133" s="2" t="s">
        <v>2793</v>
      </c>
      <c r="Z133" s="2" t="s">
        <v>2794</v>
      </c>
      <c r="AA133" s="2"/>
      <c r="AB133" s="2"/>
      <c r="AC133" s="2" t="s">
        <v>2795</v>
      </c>
      <c r="AD133" s="2" t="s">
        <v>2796</v>
      </c>
      <c r="AE133" s="2" t="s">
        <v>2797</v>
      </c>
      <c r="AF133" s="2" t="s">
        <v>2798</v>
      </c>
      <c r="AG133" s="2">
        <v>40.0</v>
      </c>
      <c r="AH133" s="2">
        <v>3.0</v>
      </c>
      <c r="AI133" s="2">
        <v>3.0</v>
      </c>
      <c r="AJ133" s="2">
        <v>4.0</v>
      </c>
      <c r="AK133" s="2">
        <v>8.0</v>
      </c>
      <c r="AL133" s="2" t="s">
        <v>246</v>
      </c>
      <c r="AM133" s="2" t="s">
        <v>247</v>
      </c>
      <c r="AN133" s="2" t="s">
        <v>248</v>
      </c>
      <c r="AO133" s="2"/>
      <c r="AP133" s="2" t="s">
        <v>2799</v>
      </c>
      <c r="AQ133" s="2"/>
      <c r="AR133" s="2" t="s">
        <v>2800</v>
      </c>
      <c r="AS133" s="2" t="s">
        <v>2801</v>
      </c>
      <c r="AT133" s="2" t="s">
        <v>2802</v>
      </c>
      <c r="AU133" s="2">
        <v>2022.0</v>
      </c>
      <c r="AV133" s="2">
        <v>4.0</v>
      </c>
      <c r="AW133" s="2"/>
      <c r="AX133" s="2"/>
      <c r="AY133" s="2"/>
      <c r="AZ133" s="2"/>
      <c r="BA133" s="2"/>
      <c r="BB133" s="2"/>
      <c r="BC133" s="2"/>
      <c r="BD133" s="2">
        <v>932046.0</v>
      </c>
      <c r="BE133" s="2" t="s">
        <v>2803</v>
      </c>
      <c r="BF133" s="3" t="str">
        <f>HYPERLINK("http://dx.doi.org/10.3389/frsc.2022.932046","http://dx.doi.org/10.3389/frsc.2022.932046")</f>
        <v>http://dx.doi.org/10.3389/frsc.2022.932046</v>
      </c>
      <c r="BG133" s="2"/>
      <c r="BH133" s="2"/>
      <c r="BI133" s="2">
        <v>10.0</v>
      </c>
      <c r="BJ133" s="2" t="s">
        <v>2804</v>
      </c>
      <c r="BK133" s="2" t="s">
        <v>96</v>
      </c>
      <c r="BL133" s="2" t="s">
        <v>2805</v>
      </c>
      <c r="BM133" s="2" t="s">
        <v>2806</v>
      </c>
      <c r="BN133" s="2"/>
      <c r="BO133" s="2" t="s">
        <v>255</v>
      </c>
      <c r="BP133" s="2"/>
      <c r="BQ133" s="2"/>
      <c r="BR133" s="2" t="s">
        <v>99</v>
      </c>
      <c r="BS133" s="2" t="s">
        <v>2807</v>
      </c>
      <c r="BT133" s="2" t="str">
        <f>HYPERLINK("https%3A%2F%2Fwww.webofscience.com%2Fwos%2Fwoscc%2Ffull-record%2FWOS:000914623500001","View Full Record in Web of Science")</f>
        <v>View Full Record in Web of Science</v>
      </c>
    </row>
    <row r="134" ht="64.5" customHeight="1">
      <c r="A134" s="2" t="s">
        <v>72</v>
      </c>
      <c r="B134" s="2" t="s">
        <v>2808</v>
      </c>
      <c r="C134" s="2"/>
      <c r="D134" s="2"/>
      <c r="E134" s="2"/>
      <c r="F134" s="2" t="s">
        <v>2809</v>
      </c>
      <c r="G134" s="2"/>
      <c r="H134" s="2"/>
      <c r="I134" s="2" t="s">
        <v>2810</v>
      </c>
      <c r="J134" s="2" t="s">
        <v>1576</v>
      </c>
      <c r="K134" s="2"/>
      <c r="L134" s="2"/>
      <c r="M134" s="2" t="s">
        <v>116</v>
      </c>
      <c r="N134" s="2" t="s">
        <v>78</v>
      </c>
      <c r="O134" s="2"/>
      <c r="P134" s="2"/>
      <c r="Q134" s="2"/>
      <c r="R134" s="2"/>
      <c r="S134" s="2"/>
      <c r="T134" s="2" t="s">
        <v>2811</v>
      </c>
      <c r="U134" s="2" t="s">
        <v>2812</v>
      </c>
      <c r="V134" s="2" t="s">
        <v>2813</v>
      </c>
      <c r="W134" s="2" t="s">
        <v>2814</v>
      </c>
      <c r="X134" s="2" t="s">
        <v>2815</v>
      </c>
      <c r="Y134" s="2" t="s">
        <v>2816</v>
      </c>
      <c r="Z134" s="2" t="s">
        <v>2817</v>
      </c>
      <c r="AA134" s="2" t="s">
        <v>2818</v>
      </c>
      <c r="AB134" s="2" t="s">
        <v>2819</v>
      </c>
      <c r="AC134" s="2" t="s">
        <v>2820</v>
      </c>
      <c r="AD134" s="2" t="s">
        <v>2821</v>
      </c>
      <c r="AE134" s="2" t="s">
        <v>2822</v>
      </c>
      <c r="AF134" s="2" t="s">
        <v>2823</v>
      </c>
      <c r="AG134" s="2">
        <v>70.0</v>
      </c>
      <c r="AH134" s="2">
        <v>23.0</v>
      </c>
      <c r="AI134" s="2">
        <v>23.0</v>
      </c>
      <c r="AJ134" s="2">
        <v>1.0</v>
      </c>
      <c r="AK134" s="2">
        <v>25.0</v>
      </c>
      <c r="AL134" s="2" t="s">
        <v>383</v>
      </c>
      <c r="AM134" s="2" t="s">
        <v>384</v>
      </c>
      <c r="AN134" s="2" t="s">
        <v>385</v>
      </c>
      <c r="AO134" s="2"/>
      <c r="AP134" s="2" t="s">
        <v>1589</v>
      </c>
      <c r="AQ134" s="2"/>
      <c r="AR134" s="2" t="s">
        <v>1576</v>
      </c>
      <c r="AS134" s="2" t="s">
        <v>1590</v>
      </c>
      <c r="AT134" s="2" t="s">
        <v>1073</v>
      </c>
      <c r="AU134" s="2">
        <v>2021.0</v>
      </c>
      <c r="AV134" s="2">
        <v>14.0</v>
      </c>
      <c r="AW134" s="2">
        <v>9.0</v>
      </c>
      <c r="AX134" s="2"/>
      <c r="AY134" s="2"/>
      <c r="AZ134" s="2"/>
      <c r="BA134" s="2"/>
      <c r="BB134" s="2"/>
      <c r="BC134" s="2"/>
      <c r="BD134" s="2">
        <v>2575.0</v>
      </c>
      <c r="BE134" s="2" t="s">
        <v>2824</v>
      </c>
      <c r="BF134" s="3" t="str">
        <f>HYPERLINK("http://dx.doi.org/10.3390/en14092575","http://dx.doi.org/10.3390/en14092575")</f>
        <v>http://dx.doi.org/10.3390/en14092575</v>
      </c>
      <c r="BG134" s="2"/>
      <c r="BH134" s="2"/>
      <c r="BI134" s="2">
        <v>18.0</v>
      </c>
      <c r="BJ134" s="2" t="s">
        <v>1592</v>
      </c>
      <c r="BK134" s="2" t="s">
        <v>363</v>
      </c>
      <c r="BL134" s="2" t="s">
        <v>1592</v>
      </c>
      <c r="BM134" s="2" t="s">
        <v>2825</v>
      </c>
      <c r="BN134" s="2"/>
      <c r="BO134" s="2" t="s">
        <v>2826</v>
      </c>
      <c r="BP134" s="2"/>
      <c r="BQ134" s="2"/>
      <c r="BR134" s="2" t="s">
        <v>99</v>
      </c>
      <c r="BS134" s="2" t="s">
        <v>2827</v>
      </c>
      <c r="BT134" s="2" t="str">
        <f>HYPERLINK("https%3A%2F%2Fwww.webofscience.com%2Fwos%2Fwoscc%2Ffull-record%2FWOS:000650181000001","View Full Record in Web of Science")</f>
        <v>View Full Record in Web of Science</v>
      </c>
    </row>
    <row r="135" ht="64.5" customHeight="1">
      <c r="A135" s="2" t="s">
        <v>110</v>
      </c>
      <c r="B135" s="2" t="s">
        <v>2828</v>
      </c>
      <c r="C135" s="2"/>
      <c r="D135" s="2"/>
      <c r="E135" s="2" t="s">
        <v>129</v>
      </c>
      <c r="F135" s="2" t="s">
        <v>2829</v>
      </c>
      <c r="G135" s="2"/>
      <c r="H135" s="2"/>
      <c r="I135" s="2" t="s">
        <v>2830</v>
      </c>
      <c r="J135" s="2" t="s">
        <v>2831</v>
      </c>
      <c r="K135" s="2" t="s">
        <v>2832</v>
      </c>
      <c r="L135" s="2"/>
      <c r="M135" s="2" t="s">
        <v>116</v>
      </c>
      <c r="N135" s="2" t="s">
        <v>117</v>
      </c>
      <c r="O135" s="2" t="s">
        <v>2833</v>
      </c>
      <c r="P135" s="2" t="s">
        <v>2834</v>
      </c>
      <c r="Q135" s="2" t="s">
        <v>2835</v>
      </c>
      <c r="R135" s="2"/>
      <c r="S135" s="2"/>
      <c r="T135" s="2" t="s">
        <v>2836</v>
      </c>
      <c r="U135" s="2" t="s">
        <v>2837</v>
      </c>
      <c r="V135" s="2" t="s">
        <v>2838</v>
      </c>
      <c r="W135" s="2" t="s">
        <v>2839</v>
      </c>
      <c r="X135" s="2" t="s">
        <v>2840</v>
      </c>
      <c r="Y135" s="2" t="s">
        <v>2841</v>
      </c>
      <c r="Z135" s="2" t="s">
        <v>2842</v>
      </c>
      <c r="AA135" s="2" t="s">
        <v>2843</v>
      </c>
      <c r="AB135" s="2" t="s">
        <v>2844</v>
      </c>
      <c r="AC135" s="2" t="s">
        <v>2845</v>
      </c>
      <c r="AD135" s="2" t="s">
        <v>2845</v>
      </c>
      <c r="AE135" s="2" t="s">
        <v>2846</v>
      </c>
      <c r="AF135" s="2" t="s">
        <v>2847</v>
      </c>
      <c r="AG135" s="2">
        <v>5.0</v>
      </c>
      <c r="AH135" s="2">
        <v>0.0</v>
      </c>
      <c r="AI135" s="2">
        <v>0.0</v>
      </c>
      <c r="AJ135" s="2">
        <v>0.0</v>
      </c>
      <c r="AK135" s="2">
        <v>0.0</v>
      </c>
      <c r="AL135" s="2" t="s">
        <v>129</v>
      </c>
      <c r="AM135" s="2" t="s">
        <v>130</v>
      </c>
      <c r="AN135" s="2" t="s">
        <v>131</v>
      </c>
      <c r="AO135" s="2" t="s">
        <v>2848</v>
      </c>
      <c r="AP135" s="2"/>
      <c r="AQ135" s="2" t="s">
        <v>2849</v>
      </c>
      <c r="AR135" s="2" t="s">
        <v>2850</v>
      </c>
      <c r="AS135" s="2"/>
      <c r="AT135" s="2"/>
      <c r="AU135" s="2">
        <v>2017.0</v>
      </c>
      <c r="AV135" s="2"/>
      <c r="AW135" s="2"/>
      <c r="AX135" s="2"/>
      <c r="AY135" s="2"/>
      <c r="AZ135" s="2"/>
      <c r="BA135" s="2"/>
      <c r="BB135" s="2">
        <v>97.0</v>
      </c>
      <c r="BC135" s="2">
        <v>99.0</v>
      </c>
      <c r="BD135" s="2"/>
      <c r="BE135" s="2"/>
      <c r="BF135" s="2"/>
      <c r="BG135" s="2"/>
      <c r="BH135" s="2"/>
      <c r="BI135" s="2">
        <v>3.0</v>
      </c>
      <c r="BJ135" s="2" t="s">
        <v>2851</v>
      </c>
      <c r="BK135" s="2" t="s">
        <v>135</v>
      </c>
      <c r="BL135" s="2" t="s">
        <v>2852</v>
      </c>
      <c r="BM135" s="2" t="s">
        <v>2853</v>
      </c>
      <c r="BN135" s="2"/>
      <c r="BO135" s="2"/>
      <c r="BP135" s="2"/>
      <c r="BQ135" s="2"/>
      <c r="BR135" s="2" t="s">
        <v>99</v>
      </c>
      <c r="BS135" s="2" t="s">
        <v>2854</v>
      </c>
      <c r="BT135" s="2" t="str">
        <f>HYPERLINK("https%3A%2F%2Fwww.webofscience.com%2Fwos%2Fwoscc%2Ffull-record%2FWOS:000436181400017","View Full Record in Web of Science")</f>
        <v>View Full Record in Web of Science</v>
      </c>
    </row>
    <row r="136" ht="64.5" customHeight="1">
      <c r="A136" s="2" t="s">
        <v>72</v>
      </c>
      <c r="B136" s="2" t="s">
        <v>2855</v>
      </c>
      <c r="C136" s="2"/>
      <c r="D136" s="2"/>
      <c r="E136" s="2"/>
      <c r="F136" s="2" t="s">
        <v>2856</v>
      </c>
      <c r="G136" s="2"/>
      <c r="H136" s="2"/>
      <c r="I136" s="2" t="s">
        <v>2857</v>
      </c>
      <c r="J136" s="2" t="s">
        <v>233</v>
      </c>
      <c r="K136" s="2"/>
      <c r="L136" s="2"/>
      <c r="M136" s="2" t="s">
        <v>116</v>
      </c>
      <c r="N136" s="2" t="s">
        <v>78</v>
      </c>
      <c r="O136" s="2"/>
      <c r="P136" s="2"/>
      <c r="Q136" s="2"/>
      <c r="R136" s="2"/>
      <c r="S136" s="2"/>
      <c r="T136" s="2" t="s">
        <v>2858</v>
      </c>
      <c r="U136" s="2" t="s">
        <v>2859</v>
      </c>
      <c r="V136" s="2" t="s">
        <v>2860</v>
      </c>
      <c r="W136" s="2" t="s">
        <v>2861</v>
      </c>
      <c r="X136" s="2" t="s">
        <v>2862</v>
      </c>
      <c r="Y136" s="2" t="s">
        <v>2863</v>
      </c>
      <c r="Z136" s="2" t="s">
        <v>2864</v>
      </c>
      <c r="AA136" s="2" t="s">
        <v>2865</v>
      </c>
      <c r="AB136" s="2" t="s">
        <v>2866</v>
      </c>
      <c r="AC136" s="2" t="s">
        <v>2867</v>
      </c>
      <c r="AD136" s="2" t="s">
        <v>2868</v>
      </c>
      <c r="AE136" s="2" t="s">
        <v>2869</v>
      </c>
      <c r="AF136" s="2" t="s">
        <v>2870</v>
      </c>
      <c r="AG136" s="2">
        <v>32.0</v>
      </c>
      <c r="AH136" s="2">
        <v>0.0</v>
      </c>
      <c r="AI136" s="2">
        <v>0.0</v>
      </c>
      <c r="AJ136" s="2">
        <v>1.0</v>
      </c>
      <c r="AK136" s="2">
        <v>11.0</v>
      </c>
      <c r="AL136" s="2" t="s">
        <v>246</v>
      </c>
      <c r="AM136" s="2" t="s">
        <v>247</v>
      </c>
      <c r="AN136" s="2" t="s">
        <v>248</v>
      </c>
      <c r="AO136" s="2"/>
      <c r="AP136" s="2" t="s">
        <v>249</v>
      </c>
      <c r="AQ136" s="2"/>
      <c r="AR136" s="2" t="s">
        <v>250</v>
      </c>
      <c r="AS136" s="2" t="s">
        <v>251</v>
      </c>
      <c r="AT136" s="2" t="s">
        <v>2871</v>
      </c>
      <c r="AU136" s="2">
        <v>2022.0</v>
      </c>
      <c r="AV136" s="2">
        <v>9.0</v>
      </c>
      <c r="AW136" s="2"/>
      <c r="AX136" s="2"/>
      <c r="AY136" s="2"/>
      <c r="AZ136" s="2"/>
      <c r="BA136" s="2"/>
      <c r="BB136" s="2"/>
      <c r="BC136" s="2"/>
      <c r="BD136" s="2">
        <v>858937.0</v>
      </c>
      <c r="BE136" s="2" t="s">
        <v>2872</v>
      </c>
      <c r="BF136" s="3" t="str">
        <f>HYPERLINK("http://dx.doi.org/10.3389/fmars.2022.858937","http://dx.doi.org/10.3389/fmars.2022.858937")</f>
        <v>http://dx.doi.org/10.3389/fmars.2022.858937</v>
      </c>
      <c r="BG136" s="2"/>
      <c r="BH136" s="2"/>
      <c r="BI136" s="2">
        <v>15.0</v>
      </c>
      <c r="BJ136" s="2" t="s">
        <v>225</v>
      </c>
      <c r="BK136" s="2" t="s">
        <v>226</v>
      </c>
      <c r="BL136" s="2" t="s">
        <v>227</v>
      </c>
      <c r="BM136" s="2" t="s">
        <v>2873</v>
      </c>
      <c r="BN136" s="2"/>
      <c r="BO136" s="2" t="s">
        <v>255</v>
      </c>
      <c r="BP136" s="2"/>
      <c r="BQ136" s="2"/>
      <c r="BR136" s="2" t="s">
        <v>99</v>
      </c>
      <c r="BS136" s="2" t="s">
        <v>2874</v>
      </c>
      <c r="BT136" s="2" t="str">
        <f>HYPERLINK("https%3A%2F%2Fwww.webofscience.com%2Fwos%2Fwoscc%2Ffull-record%2FWOS:000798719900001","View Full Record in Web of Science")</f>
        <v>View Full Record in Web of Science</v>
      </c>
    </row>
    <row r="137" ht="64.5" customHeight="1">
      <c r="A137" s="2" t="s">
        <v>72</v>
      </c>
      <c r="B137" s="2" t="s">
        <v>2875</v>
      </c>
      <c r="C137" s="2"/>
      <c r="D137" s="2"/>
      <c r="E137" s="2"/>
      <c r="F137" s="2" t="s">
        <v>2876</v>
      </c>
      <c r="G137" s="2"/>
      <c r="H137" s="2"/>
      <c r="I137" s="2" t="s">
        <v>2877</v>
      </c>
      <c r="J137" s="2" t="s">
        <v>2878</v>
      </c>
      <c r="K137" s="2"/>
      <c r="L137" s="2"/>
      <c r="M137" s="2" t="s">
        <v>116</v>
      </c>
      <c r="N137" s="2" t="s">
        <v>78</v>
      </c>
      <c r="O137" s="2"/>
      <c r="P137" s="2"/>
      <c r="Q137" s="2"/>
      <c r="R137" s="2"/>
      <c r="S137" s="2"/>
      <c r="T137" s="2" t="s">
        <v>2879</v>
      </c>
      <c r="U137" s="2" t="s">
        <v>2880</v>
      </c>
      <c r="V137" s="2" t="s">
        <v>2881</v>
      </c>
      <c r="W137" s="2" t="s">
        <v>2882</v>
      </c>
      <c r="X137" s="2" t="s">
        <v>2883</v>
      </c>
      <c r="Y137" s="2" t="s">
        <v>2884</v>
      </c>
      <c r="Z137" s="2" t="s">
        <v>2885</v>
      </c>
      <c r="AA137" s="2"/>
      <c r="AB137" s="2" t="s">
        <v>2886</v>
      </c>
      <c r="AC137" s="2"/>
      <c r="AD137" s="2"/>
      <c r="AE137" s="2"/>
      <c r="AF137" s="2" t="s">
        <v>2887</v>
      </c>
      <c r="AG137" s="2">
        <v>26.0</v>
      </c>
      <c r="AH137" s="2">
        <v>199.0</v>
      </c>
      <c r="AI137" s="2">
        <v>214.0</v>
      </c>
      <c r="AJ137" s="2">
        <v>7.0</v>
      </c>
      <c r="AK137" s="2">
        <v>98.0</v>
      </c>
      <c r="AL137" s="2" t="s">
        <v>1346</v>
      </c>
      <c r="AM137" s="2" t="s">
        <v>428</v>
      </c>
      <c r="AN137" s="2" t="s">
        <v>1347</v>
      </c>
      <c r="AO137" s="2" t="s">
        <v>2888</v>
      </c>
      <c r="AP137" s="2" t="s">
        <v>2889</v>
      </c>
      <c r="AQ137" s="2"/>
      <c r="AR137" s="2" t="s">
        <v>2890</v>
      </c>
      <c r="AS137" s="2" t="s">
        <v>2891</v>
      </c>
      <c r="AT137" s="2" t="s">
        <v>751</v>
      </c>
      <c r="AU137" s="2">
        <v>2013.0</v>
      </c>
      <c r="AV137" s="2">
        <v>38.0</v>
      </c>
      <c r="AW137" s="2"/>
      <c r="AX137" s="2"/>
      <c r="AY137" s="2"/>
      <c r="AZ137" s="2"/>
      <c r="BA137" s="2"/>
      <c r="BB137" s="2">
        <v>42.0</v>
      </c>
      <c r="BC137" s="2">
        <v>50.0</v>
      </c>
      <c r="BD137" s="2"/>
      <c r="BE137" s="2" t="s">
        <v>2892</v>
      </c>
      <c r="BF137" s="3" t="str">
        <f>HYPERLINK("http://dx.doi.org/10.1016/j.eneco.2013.02.008","http://dx.doi.org/10.1016/j.eneco.2013.02.008")</f>
        <v>http://dx.doi.org/10.1016/j.eneco.2013.02.008</v>
      </c>
      <c r="BG137" s="2"/>
      <c r="BH137" s="2"/>
      <c r="BI137" s="2">
        <v>9.0</v>
      </c>
      <c r="BJ137" s="2" t="s">
        <v>2893</v>
      </c>
      <c r="BK137" s="2" t="s">
        <v>166</v>
      </c>
      <c r="BL137" s="2" t="s">
        <v>2894</v>
      </c>
      <c r="BM137" s="2" t="s">
        <v>2895</v>
      </c>
      <c r="BN137" s="2"/>
      <c r="BO137" s="2"/>
      <c r="BP137" s="2"/>
      <c r="BQ137" s="2"/>
      <c r="BR137" s="2" t="s">
        <v>99</v>
      </c>
      <c r="BS137" s="2" t="s">
        <v>2896</v>
      </c>
      <c r="BT137" s="2" t="str">
        <f>HYPERLINK("https%3A%2F%2Fwww.webofscience.com%2Fwos%2Fwoscc%2Ffull-record%2FWOS:000319636700006","View Full Record in Web of Science")</f>
        <v>View Full Record in Web of Science</v>
      </c>
    </row>
    <row r="138" ht="64.5" customHeight="1">
      <c r="A138" s="2" t="s">
        <v>72</v>
      </c>
      <c r="B138" s="2" t="s">
        <v>2897</v>
      </c>
      <c r="C138" s="2"/>
      <c r="D138" s="2"/>
      <c r="E138" s="2"/>
      <c r="F138" s="2" t="s">
        <v>2898</v>
      </c>
      <c r="G138" s="2"/>
      <c r="H138" s="2"/>
      <c r="I138" s="2" t="s">
        <v>2899</v>
      </c>
      <c r="J138" s="2" t="s">
        <v>2900</v>
      </c>
      <c r="K138" s="2"/>
      <c r="L138" s="2"/>
      <c r="M138" s="2" t="s">
        <v>116</v>
      </c>
      <c r="N138" s="2" t="s">
        <v>78</v>
      </c>
      <c r="O138" s="2"/>
      <c r="P138" s="2"/>
      <c r="Q138" s="2"/>
      <c r="R138" s="2"/>
      <c r="S138" s="2"/>
      <c r="T138" s="2" t="s">
        <v>2901</v>
      </c>
      <c r="U138" s="2" t="s">
        <v>2902</v>
      </c>
      <c r="V138" s="2" t="s">
        <v>2903</v>
      </c>
      <c r="W138" s="2" t="s">
        <v>2904</v>
      </c>
      <c r="X138" s="2"/>
      <c r="Y138" s="2" t="s">
        <v>2905</v>
      </c>
      <c r="Z138" s="2" t="s">
        <v>2906</v>
      </c>
      <c r="AA138" s="2" t="s">
        <v>2907</v>
      </c>
      <c r="AB138" s="2" t="s">
        <v>2908</v>
      </c>
      <c r="AC138" s="2" t="s">
        <v>2909</v>
      </c>
      <c r="AD138" s="2" t="s">
        <v>2909</v>
      </c>
      <c r="AE138" s="2" t="s">
        <v>2910</v>
      </c>
      <c r="AF138" s="2" t="s">
        <v>2911</v>
      </c>
      <c r="AG138" s="2">
        <v>56.0</v>
      </c>
      <c r="AH138" s="2">
        <v>3.0</v>
      </c>
      <c r="AI138" s="2">
        <v>3.0</v>
      </c>
      <c r="AJ138" s="2">
        <v>2.0</v>
      </c>
      <c r="AK138" s="2">
        <v>3.0</v>
      </c>
      <c r="AL138" s="2" t="s">
        <v>1346</v>
      </c>
      <c r="AM138" s="2" t="s">
        <v>428</v>
      </c>
      <c r="AN138" s="2" t="s">
        <v>1347</v>
      </c>
      <c r="AO138" s="2" t="s">
        <v>2912</v>
      </c>
      <c r="AP138" s="2"/>
      <c r="AQ138" s="2"/>
      <c r="AR138" s="2" t="s">
        <v>2913</v>
      </c>
      <c r="AS138" s="2" t="s">
        <v>2914</v>
      </c>
      <c r="AT138" s="2" t="s">
        <v>358</v>
      </c>
      <c r="AU138" s="2">
        <v>2023.0</v>
      </c>
      <c r="AV138" s="2">
        <v>8.0</v>
      </c>
      <c r="AW138" s="2"/>
      <c r="AX138" s="2"/>
      <c r="AY138" s="2"/>
      <c r="AZ138" s="2"/>
      <c r="BA138" s="2"/>
      <c r="BB138" s="2"/>
      <c r="BC138" s="2"/>
      <c r="BD138" s="2">
        <v>100100.0</v>
      </c>
      <c r="BE138" s="2" t="s">
        <v>2915</v>
      </c>
      <c r="BF138" s="3" t="str">
        <f>HYPERLINK("http://dx.doi.org/10.1016/j.clrc.2023.100100","http://dx.doi.org/10.1016/j.clrc.2023.100100")</f>
        <v>http://dx.doi.org/10.1016/j.clrc.2023.100100</v>
      </c>
      <c r="BG138" s="2"/>
      <c r="BH138" s="2" t="s">
        <v>1422</v>
      </c>
      <c r="BI138" s="2">
        <v>14.0</v>
      </c>
      <c r="BJ138" s="2" t="s">
        <v>390</v>
      </c>
      <c r="BK138" s="2" t="s">
        <v>96</v>
      </c>
      <c r="BL138" s="2" t="s">
        <v>391</v>
      </c>
      <c r="BM138" s="2" t="s">
        <v>2916</v>
      </c>
      <c r="BN138" s="2"/>
      <c r="BO138" s="2" t="s">
        <v>255</v>
      </c>
      <c r="BP138" s="2"/>
      <c r="BQ138" s="2"/>
      <c r="BR138" s="2" t="s">
        <v>99</v>
      </c>
      <c r="BS138" s="2" t="s">
        <v>2917</v>
      </c>
      <c r="BT138" s="2" t="str">
        <f>HYPERLINK("https%3A%2F%2Fwww.webofscience.com%2Fwos%2Fwoscc%2Ffull-record%2FWOS:001031917200001","View Full Record in Web of Science")</f>
        <v>View Full Record in Web of Science</v>
      </c>
    </row>
    <row r="139" ht="64.5" customHeight="1">
      <c r="A139" s="2" t="s">
        <v>72</v>
      </c>
      <c r="B139" s="2" t="s">
        <v>2918</v>
      </c>
      <c r="C139" s="2"/>
      <c r="D139" s="2"/>
      <c r="E139" s="2"/>
      <c r="F139" s="2" t="s">
        <v>2919</v>
      </c>
      <c r="G139" s="2"/>
      <c r="H139" s="2"/>
      <c r="I139" s="2" t="s">
        <v>2920</v>
      </c>
      <c r="J139" s="2" t="s">
        <v>2921</v>
      </c>
      <c r="K139" s="2"/>
      <c r="L139" s="2"/>
      <c r="M139" s="2" t="s">
        <v>116</v>
      </c>
      <c r="N139" s="2" t="s">
        <v>78</v>
      </c>
      <c r="O139" s="2"/>
      <c r="P139" s="2"/>
      <c r="Q139" s="2"/>
      <c r="R139" s="2"/>
      <c r="S139" s="2"/>
      <c r="T139" s="2" t="s">
        <v>2922</v>
      </c>
      <c r="U139" s="2" t="s">
        <v>2923</v>
      </c>
      <c r="V139" s="2" t="s">
        <v>2924</v>
      </c>
      <c r="W139" s="2" t="s">
        <v>2925</v>
      </c>
      <c r="X139" s="2" t="s">
        <v>2926</v>
      </c>
      <c r="Y139" s="2" t="s">
        <v>2927</v>
      </c>
      <c r="Z139" s="2" t="s">
        <v>2928</v>
      </c>
      <c r="AA139" s="2"/>
      <c r="AB139" s="2" t="s">
        <v>2929</v>
      </c>
      <c r="AC139" s="2" t="s">
        <v>2930</v>
      </c>
      <c r="AD139" s="2" t="s">
        <v>2930</v>
      </c>
      <c r="AE139" s="2" t="s">
        <v>2931</v>
      </c>
      <c r="AF139" s="2" t="s">
        <v>2932</v>
      </c>
      <c r="AG139" s="2">
        <v>49.0</v>
      </c>
      <c r="AH139" s="2">
        <v>2.0</v>
      </c>
      <c r="AI139" s="2">
        <v>2.0</v>
      </c>
      <c r="AJ139" s="2">
        <v>0.0</v>
      </c>
      <c r="AK139" s="2">
        <v>1.0</v>
      </c>
      <c r="AL139" s="2" t="s">
        <v>2933</v>
      </c>
      <c r="AM139" s="2" t="s">
        <v>2934</v>
      </c>
      <c r="AN139" s="2" t="s">
        <v>2935</v>
      </c>
      <c r="AO139" s="2" t="s">
        <v>2936</v>
      </c>
      <c r="AP139" s="2" t="s">
        <v>2937</v>
      </c>
      <c r="AQ139" s="2"/>
      <c r="AR139" s="2" t="s">
        <v>2938</v>
      </c>
      <c r="AS139" s="2" t="s">
        <v>2939</v>
      </c>
      <c r="AT139" s="2" t="s">
        <v>195</v>
      </c>
      <c r="AU139" s="2">
        <v>2022.0</v>
      </c>
      <c r="AV139" s="2">
        <v>41.0</v>
      </c>
      <c r="AW139" s="2">
        <v>1.0</v>
      </c>
      <c r="AX139" s="2"/>
      <c r="AY139" s="2"/>
      <c r="AZ139" s="2"/>
      <c r="BA139" s="2"/>
      <c r="BB139" s="2">
        <v>61.0</v>
      </c>
      <c r="BC139" s="2">
        <v>66.0</v>
      </c>
      <c r="BD139" s="2"/>
      <c r="BE139" s="2" t="s">
        <v>2940</v>
      </c>
      <c r="BF139" s="3" t="str">
        <f>HYPERLINK("http://dx.doi.org/10.2983/035.041.0102","http://dx.doi.org/10.2983/035.041.0102")</f>
        <v>http://dx.doi.org/10.2983/035.041.0102</v>
      </c>
      <c r="BG139" s="2"/>
      <c r="BH139" s="2"/>
      <c r="BI139" s="2">
        <v>6.0</v>
      </c>
      <c r="BJ139" s="2" t="s">
        <v>362</v>
      </c>
      <c r="BK139" s="2" t="s">
        <v>226</v>
      </c>
      <c r="BL139" s="2" t="s">
        <v>362</v>
      </c>
      <c r="BM139" s="2" t="s">
        <v>2941</v>
      </c>
      <c r="BN139" s="2"/>
      <c r="BO139" s="2"/>
      <c r="BP139" s="2"/>
      <c r="BQ139" s="2"/>
      <c r="BR139" s="2" t="s">
        <v>99</v>
      </c>
      <c r="BS139" s="2" t="s">
        <v>2942</v>
      </c>
      <c r="BT139" s="2" t="str">
        <f>HYPERLINK("https%3A%2F%2Fwww.webofscience.com%2Fwos%2Fwoscc%2Ffull-record%2FWOS:000783972100002","View Full Record in Web of Science")</f>
        <v>View Full Record in Web of Science</v>
      </c>
    </row>
    <row r="140" ht="64.5" customHeight="1">
      <c r="A140" s="2" t="s">
        <v>72</v>
      </c>
      <c r="B140" s="2" t="s">
        <v>2943</v>
      </c>
      <c r="C140" s="2"/>
      <c r="D140" s="2"/>
      <c r="E140" s="2"/>
      <c r="F140" s="2" t="s">
        <v>2944</v>
      </c>
      <c r="G140" s="2"/>
      <c r="H140" s="2"/>
      <c r="I140" s="2" t="s">
        <v>2945</v>
      </c>
      <c r="J140" s="2" t="s">
        <v>2946</v>
      </c>
      <c r="K140" s="2"/>
      <c r="L140" s="2"/>
      <c r="M140" s="2" t="s">
        <v>116</v>
      </c>
      <c r="N140" s="2" t="s">
        <v>78</v>
      </c>
      <c r="O140" s="2"/>
      <c r="P140" s="2"/>
      <c r="Q140" s="2"/>
      <c r="R140" s="2"/>
      <c r="S140" s="2"/>
      <c r="T140" s="2" t="s">
        <v>2947</v>
      </c>
      <c r="U140" s="2" t="s">
        <v>2948</v>
      </c>
      <c r="V140" s="2" t="s">
        <v>2949</v>
      </c>
      <c r="W140" s="2" t="s">
        <v>2950</v>
      </c>
      <c r="X140" s="2" t="s">
        <v>2951</v>
      </c>
      <c r="Y140" s="2" t="s">
        <v>2952</v>
      </c>
      <c r="Z140" s="2" t="s">
        <v>2953</v>
      </c>
      <c r="AA140" s="2" t="s">
        <v>2954</v>
      </c>
      <c r="AB140" s="2" t="s">
        <v>2955</v>
      </c>
      <c r="AC140" s="2"/>
      <c r="AD140" s="2"/>
      <c r="AE140" s="2"/>
      <c r="AF140" s="2" t="s">
        <v>2956</v>
      </c>
      <c r="AG140" s="2">
        <v>43.0</v>
      </c>
      <c r="AH140" s="2">
        <v>0.0</v>
      </c>
      <c r="AI140" s="2">
        <v>0.0</v>
      </c>
      <c r="AJ140" s="2">
        <v>4.0</v>
      </c>
      <c r="AK140" s="2">
        <v>10.0</v>
      </c>
      <c r="AL140" s="2" t="s">
        <v>383</v>
      </c>
      <c r="AM140" s="2" t="s">
        <v>384</v>
      </c>
      <c r="AN140" s="2" t="s">
        <v>385</v>
      </c>
      <c r="AO140" s="2"/>
      <c r="AP140" s="2" t="s">
        <v>2957</v>
      </c>
      <c r="AQ140" s="2"/>
      <c r="AR140" s="2" t="s">
        <v>2958</v>
      </c>
      <c r="AS140" s="2" t="s">
        <v>2959</v>
      </c>
      <c r="AT140" s="2" t="s">
        <v>938</v>
      </c>
      <c r="AU140" s="2">
        <v>2023.0</v>
      </c>
      <c r="AV140" s="2">
        <v>8.0</v>
      </c>
      <c r="AW140" s="2">
        <v>2.0</v>
      </c>
      <c r="AX140" s="2"/>
      <c r="AY140" s="2"/>
      <c r="AZ140" s="2"/>
      <c r="BA140" s="2"/>
      <c r="BB140" s="2"/>
      <c r="BC140" s="2"/>
      <c r="BD140" s="2">
        <v>161.0</v>
      </c>
      <c r="BE140" s="2" t="s">
        <v>2960</v>
      </c>
      <c r="BF140" s="3" t="str">
        <f>HYPERLINK("http://dx.doi.org/10.3390/biomimetics8020161","http://dx.doi.org/10.3390/biomimetics8020161")</f>
        <v>http://dx.doi.org/10.3390/biomimetics8020161</v>
      </c>
      <c r="BG140" s="2"/>
      <c r="BH140" s="2"/>
      <c r="BI140" s="2">
        <v>21.0</v>
      </c>
      <c r="BJ140" s="2" t="s">
        <v>2961</v>
      </c>
      <c r="BK140" s="2" t="s">
        <v>226</v>
      </c>
      <c r="BL140" s="2" t="s">
        <v>2962</v>
      </c>
      <c r="BM140" s="2" t="s">
        <v>2963</v>
      </c>
      <c r="BN140" s="2">
        <v>3.7092413E7</v>
      </c>
      <c r="BO140" s="2" t="s">
        <v>601</v>
      </c>
      <c r="BP140" s="2"/>
      <c r="BQ140" s="2"/>
      <c r="BR140" s="2" t="s">
        <v>99</v>
      </c>
      <c r="BS140" s="2" t="s">
        <v>2964</v>
      </c>
      <c r="BT140" s="2" t="str">
        <f>HYPERLINK("https%3A%2F%2Fwww.webofscience.com%2Fwos%2Fwoscc%2Ffull-record%2FWOS:001014126600001","View Full Record in Web of Science")</f>
        <v>View Full Record in Web of Science</v>
      </c>
    </row>
    <row r="141" ht="64.5" customHeight="1">
      <c r="A141" s="2" t="s">
        <v>72</v>
      </c>
      <c r="B141" s="2" t="s">
        <v>2965</v>
      </c>
      <c r="C141" s="2"/>
      <c r="D141" s="2"/>
      <c r="E141" s="2"/>
      <c r="F141" s="2" t="s">
        <v>2966</v>
      </c>
      <c r="G141" s="2"/>
      <c r="H141" s="2"/>
      <c r="I141" s="2" t="s">
        <v>2967</v>
      </c>
      <c r="J141" s="2" t="s">
        <v>2968</v>
      </c>
      <c r="K141" s="2"/>
      <c r="L141" s="2"/>
      <c r="M141" s="2" t="s">
        <v>116</v>
      </c>
      <c r="N141" s="2" t="s">
        <v>78</v>
      </c>
      <c r="O141" s="2"/>
      <c r="P141" s="2"/>
      <c r="Q141" s="2"/>
      <c r="R141" s="2"/>
      <c r="S141" s="2"/>
      <c r="T141" s="2" t="s">
        <v>2969</v>
      </c>
      <c r="U141" s="2" t="s">
        <v>2970</v>
      </c>
      <c r="V141" s="2" t="s">
        <v>2971</v>
      </c>
      <c r="W141" s="2" t="s">
        <v>2972</v>
      </c>
      <c r="X141" s="2" t="s">
        <v>2973</v>
      </c>
      <c r="Y141" s="2" t="s">
        <v>2974</v>
      </c>
      <c r="Z141" s="2" t="s">
        <v>2975</v>
      </c>
      <c r="AA141" s="2" t="s">
        <v>2976</v>
      </c>
      <c r="AB141" s="2" t="s">
        <v>2977</v>
      </c>
      <c r="AC141" s="2" t="s">
        <v>2978</v>
      </c>
      <c r="AD141" s="2" t="s">
        <v>2979</v>
      </c>
      <c r="AE141" s="2" t="s">
        <v>2980</v>
      </c>
      <c r="AF141" s="2" t="s">
        <v>2981</v>
      </c>
      <c r="AG141" s="2">
        <v>102.0</v>
      </c>
      <c r="AH141" s="2">
        <v>20.0</v>
      </c>
      <c r="AI141" s="2">
        <v>21.0</v>
      </c>
      <c r="AJ141" s="2">
        <v>7.0</v>
      </c>
      <c r="AK141" s="2">
        <v>47.0</v>
      </c>
      <c r="AL141" s="2" t="s">
        <v>216</v>
      </c>
      <c r="AM141" s="2" t="s">
        <v>189</v>
      </c>
      <c r="AN141" s="2" t="s">
        <v>217</v>
      </c>
      <c r="AO141" s="2" t="s">
        <v>2982</v>
      </c>
      <c r="AP141" s="2" t="s">
        <v>2983</v>
      </c>
      <c r="AQ141" s="2"/>
      <c r="AR141" s="2" t="s">
        <v>2984</v>
      </c>
      <c r="AS141" s="2" t="s">
        <v>2985</v>
      </c>
      <c r="AT141" s="2" t="s">
        <v>453</v>
      </c>
      <c r="AU141" s="2">
        <v>2020.0</v>
      </c>
      <c r="AV141" s="2">
        <v>144.0</v>
      </c>
      <c r="AW141" s="2"/>
      <c r="AX141" s="2"/>
      <c r="AY141" s="2"/>
      <c r="AZ141" s="2"/>
      <c r="BA141" s="2"/>
      <c r="BB141" s="2"/>
      <c r="BC141" s="2"/>
      <c r="BD141" s="2">
        <v>103705.0</v>
      </c>
      <c r="BE141" s="2" t="s">
        <v>2986</v>
      </c>
      <c r="BF141" s="3" t="str">
        <f>HYPERLINK("http://dx.doi.org/10.1016/j.compedu.2019.103705","http://dx.doi.org/10.1016/j.compedu.2019.103705")</f>
        <v>http://dx.doi.org/10.1016/j.compedu.2019.103705</v>
      </c>
      <c r="BG141" s="2"/>
      <c r="BH141" s="2"/>
      <c r="BI141" s="2">
        <v>16.0</v>
      </c>
      <c r="BJ141" s="2" t="s">
        <v>2987</v>
      </c>
      <c r="BK141" s="2" t="s">
        <v>363</v>
      </c>
      <c r="BL141" s="2" t="s">
        <v>1054</v>
      </c>
      <c r="BM141" s="2" t="s">
        <v>2988</v>
      </c>
      <c r="BN141" s="2"/>
      <c r="BO141" s="2"/>
      <c r="BP141" s="2"/>
      <c r="BQ141" s="2"/>
      <c r="BR141" s="2" t="s">
        <v>99</v>
      </c>
      <c r="BS141" s="2" t="s">
        <v>2989</v>
      </c>
      <c r="BT141" s="2" t="str">
        <f>HYPERLINK("https%3A%2F%2Fwww.webofscience.com%2Fwos%2Fwoscc%2Ffull-record%2FWOS:000498327800014","View Full Record in Web of Science")</f>
        <v>View Full Record in Web of Science</v>
      </c>
    </row>
    <row r="142" ht="64.5" customHeight="1">
      <c r="A142" s="2" t="s">
        <v>72</v>
      </c>
      <c r="B142" s="2" t="s">
        <v>2990</v>
      </c>
      <c r="C142" s="2"/>
      <c r="D142" s="2"/>
      <c r="E142" s="2"/>
      <c r="F142" s="2" t="s">
        <v>2991</v>
      </c>
      <c r="G142" s="2"/>
      <c r="H142" s="2"/>
      <c r="I142" s="2" t="s">
        <v>2992</v>
      </c>
      <c r="J142" s="2" t="s">
        <v>1576</v>
      </c>
      <c r="K142" s="2"/>
      <c r="L142" s="2"/>
      <c r="M142" s="2" t="s">
        <v>116</v>
      </c>
      <c r="N142" s="2" t="s">
        <v>78</v>
      </c>
      <c r="O142" s="2"/>
      <c r="P142" s="2"/>
      <c r="Q142" s="2"/>
      <c r="R142" s="2"/>
      <c r="S142" s="2"/>
      <c r="T142" s="2" t="s">
        <v>2993</v>
      </c>
      <c r="U142" s="2" t="s">
        <v>2994</v>
      </c>
      <c r="V142" s="2" t="s">
        <v>2995</v>
      </c>
      <c r="W142" s="2" t="s">
        <v>2996</v>
      </c>
      <c r="X142" s="2" t="s">
        <v>2997</v>
      </c>
      <c r="Y142" s="2" t="s">
        <v>2998</v>
      </c>
      <c r="Z142" s="2" t="s">
        <v>2999</v>
      </c>
      <c r="AA142" s="2" t="s">
        <v>3000</v>
      </c>
      <c r="AB142" s="2" t="s">
        <v>3001</v>
      </c>
      <c r="AC142" s="2" t="s">
        <v>3002</v>
      </c>
      <c r="AD142" s="2" t="s">
        <v>3003</v>
      </c>
      <c r="AE142" s="2" t="s">
        <v>3004</v>
      </c>
      <c r="AF142" s="2" t="s">
        <v>3005</v>
      </c>
      <c r="AG142" s="2">
        <v>81.0</v>
      </c>
      <c r="AH142" s="2">
        <v>2.0</v>
      </c>
      <c r="AI142" s="2">
        <v>2.0</v>
      </c>
      <c r="AJ142" s="2">
        <v>13.0</v>
      </c>
      <c r="AK142" s="2">
        <v>40.0</v>
      </c>
      <c r="AL142" s="2" t="s">
        <v>383</v>
      </c>
      <c r="AM142" s="2" t="s">
        <v>384</v>
      </c>
      <c r="AN142" s="2" t="s">
        <v>385</v>
      </c>
      <c r="AO142" s="2"/>
      <c r="AP142" s="2" t="s">
        <v>1589</v>
      </c>
      <c r="AQ142" s="2"/>
      <c r="AR142" s="2" t="s">
        <v>1576</v>
      </c>
      <c r="AS142" s="2" t="s">
        <v>1590</v>
      </c>
      <c r="AT142" s="2" t="s">
        <v>453</v>
      </c>
      <c r="AU142" s="2">
        <v>2023.0</v>
      </c>
      <c r="AV142" s="2">
        <v>16.0</v>
      </c>
      <c r="AW142" s="2">
        <v>1.0</v>
      </c>
      <c r="AX142" s="2"/>
      <c r="AY142" s="2"/>
      <c r="AZ142" s="2"/>
      <c r="BA142" s="2"/>
      <c r="BB142" s="2"/>
      <c r="BC142" s="2"/>
      <c r="BD142" s="2">
        <v>259.0</v>
      </c>
      <c r="BE142" s="2" t="s">
        <v>3006</v>
      </c>
      <c r="BF142" s="3" t="str">
        <f>HYPERLINK("http://dx.doi.org/10.3390/en16010259","http://dx.doi.org/10.3390/en16010259")</f>
        <v>http://dx.doi.org/10.3390/en16010259</v>
      </c>
      <c r="BG142" s="2"/>
      <c r="BH142" s="2"/>
      <c r="BI142" s="2">
        <v>19.0</v>
      </c>
      <c r="BJ142" s="2" t="s">
        <v>1592</v>
      </c>
      <c r="BK142" s="2" t="s">
        <v>226</v>
      </c>
      <c r="BL142" s="2" t="s">
        <v>1592</v>
      </c>
      <c r="BM142" s="2" t="s">
        <v>3007</v>
      </c>
      <c r="BN142" s="2"/>
      <c r="BO142" s="2" t="s">
        <v>255</v>
      </c>
      <c r="BP142" s="2"/>
      <c r="BQ142" s="2"/>
      <c r="BR142" s="2" t="s">
        <v>99</v>
      </c>
      <c r="BS142" s="2" t="s">
        <v>3008</v>
      </c>
      <c r="BT142" s="2" t="str">
        <f>HYPERLINK("https%3A%2F%2Fwww.webofscience.com%2Fwos%2Fwoscc%2Ffull-record%2FWOS:000909294500001","View Full Record in Web of Science")</f>
        <v>View Full Record in Web of Science</v>
      </c>
    </row>
    <row r="143" ht="64.5" customHeight="1">
      <c r="A143" s="2" t="s">
        <v>72</v>
      </c>
      <c r="B143" s="2" t="s">
        <v>3009</v>
      </c>
      <c r="C143" s="2"/>
      <c r="D143" s="2"/>
      <c r="E143" s="2"/>
      <c r="F143" s="2" t="s">
        <v>3010</v>
      </c>
      <c r="G143" s="2"/>
      <c r="H143" s="2"/>
      <c r="I143" s="2" t="s">
        <v>3011</v>
      </c>
      <c r="J143" s="2" t="s">
        <v>3012</v>
      </c>
      <c r="K143" s="2"/>
      <c r="L143" s="2"/>
      <c r="M143" s="2" t="s">
        <v>116</v>
      </c>
      <c r="N143" s="2" t="s">
        <v>78</v>
      </c>
      <c r="O143" s="2"/>
      <c r="P143" s="2"/>
      <c r="Q143" s="2"/>
      <c r="R143" s="2"/>
      <c r="S143" s="2"/>
      <c r="T143" s="2" t="s">
        <v>3013</v>
      </c>
      <c r="U143" s="2" t="s">
        <v>3014</v>
      </c>
      <c r="V143" s="2" t="s">
        <v>3015</v>
      </c>
      <c r="W143" s="2" t="s">
        <v>3016</v>
      </c>
      <c r="X143" s="2" t="s">
        <v>3017</v>
      </c>
      <c r="Y143" s="2" t="s">
        <v>3018</v>
      </c>
      <c r="Z143" s="2" t="s">
        <v>3019</v>
      </c>
      <c r="AA143" s="2"/>
      <c r="AB143" s="2" t="s">
        <v>3020</v>
      </c>
      <c r="AC143" s="2" t="s">
        <v>3021</v>
      </c>
      <c r="AD143" s="2" t="s">
        <v>3022</v>
      </c>
      <c r="AE143" s="2" t="s">
        <v>3023</v>
      </c>
      <c r="AF143" s="2" t="s">
        <v>3024</v>
      </c>
      <c r="AG143" s="2">
        <v>33.0</v>
      </c>
      <c r="AH143" s="2">
        <v>28.0</v>
      </c>
      <c r="AI143" s="2">
        <v>30.0</v>
      </c>
      <c r="AJ143" s="2">
        <v>1.0</v>
      </c>
      <c r="AK143" s="2">
        <v>77.0</v>
      </c>
      <c r="AL143" s="2" t="s">
        <v>427</v>
      </c>
      <c r="AM143" s="2" t="s">
        <v>428</v>
      </c>
      <c r="AN143" s="2" t="s">
        <v>3025</v>
      </c>
      <c r="AO143" s="2" t="s">
        <v>3026</v>
      </c>
      <c r="AP143" s="2" t="s">
        <v>3027</v>
      </c>
      <c r="AQ143" s="2"/>
      <c r="AR143" s="2" t="s">
        <v>3028</v>
      </c>
      <c r="AS143" s="2" t="s">
        <v>3029</v>
      </c>
      <c r="AT143" s="2" t="s">
        <v>3030</v>
      </c>
      <c r="AU143" s="2">
        <v>2018.0</v>
      </c>
      <c r="AV143" s="2">
        <v>639.0</v>
      </c>
      <c r="AW143" s="2"/>
      <c r="AX143" s="2"/>
      <c r="AY143" s="2"/>
      <c r="AZ143" s="2"/>
      <c r="BA143" s="2"/>
      <c r="BB143" s="2">
        <v>785.0</v>
      </c>
      <c r="BC143" s="2">
        <v>792.0</v>
      </c>
      <c r="BD143" s="2"/>
      <c r="BE143" s="2" t="s">
        <v>3031</v>
      </c>
      <c r="BF143" s="3" t="str">
        <f>HYPERLINK("http://dx.doi.org/10.1016/j.scitotenv.2018.05.163","http://dx.doi.org/10.1016/j.scitotenv.2018.05.163")</f>
        <v>http://dx.doi.org/10.1016/j.scitotenv.2018.05.163</v>
      </c>
      <c r="BG143" s="2"/>
      <c r="BH143" s="2"/>
      <c r="BI143" s="2">
        <v>8.0</v>
      </c>
      <c r="BJ143" s="2" t="s">
        <v>1570</v>
      </c>
      <c r="BK143" s="2" t="s">
        <v>363</v>
      </c>
      <c r="BL143" s="2" t="s">
        <v>97</v>
      </c>
      <c r="BM143" s="2" t="s">
        <v>3032</v>
      </c>
      <c r="BN143" s="2">
        <v>2.9803049E7</v>
      </c>
      <c r="BO143" s="2" t="s">
        <v>3033</v>
      </c>
      <c r="BP143" s="2"/>
      <c r="BQ143" s="2"/>
      <c r="BR143" s="2" t="s">
        <v>99</v>
      </c>
      <c r="BS143" s="2" t="s">
        <v>3034</v>
      </c>
      <c r="BT143" s="2" t="str">
        <f>HYPERLINK("https%3A%2F%2Fwww.webofscience.com%2Fwos%2Fwoscc%2Ffull-record%2FWOS:000436806200078","View Full Record in Web of Science")</f>
        <v>View Full Record in Web of Science</v>
      </c>
    </row>
    <row r="144" ht="64.5" customHeight="1">
      <c r="A144" s="2" t="s">
        <v>72</v>
      </c>
      <c r="B144" s="2" t="s">
        <v>3035</v>
      </c>
      <c r="C144" s="2"/>
      <c r="D144" s="2"/>
      <c r="E144" s="2"/>
      <c r="F144" s="2" t="s">
        <v>3036</v>
      </c>
      <c r="G144" s="2"/>
      <c r="H144" s="2"/>
      <c r="I144" s="2" t="s">
        <v>3037</v>
      </c>
      <c r="J144" s="2" t="s">
        <v>3038</v>
      </c>
      <c r="K144" s="2"/>
      <c r="L144" s="2"/>
      <c r="M144" s="2" t="s">
        <v>116</v>
      </c>
      <c r="N144" s="2" t="s">
        <v>78</v>
      </c>
      <c r="O144" s="2"/>
      <c r="P144" s="2"/>
      <c r="Q144" s="2"/>
      <c r="R144" s="2"/>
      <c r="S144" s="2"/>
      <c r="T144" s="4" t="s">
        <v>121</v>
      </c>
      <c r="U144" s="2" t="s">
        <v>3039</v>
      </c>
      <c r="V144" s="2" t="s">
        <v>3040</v>
      </c>
      <c r="W144" s="2" t="s">
        <v>3041</v>
      </c>
      <c r="X144" s="2" t="s">
        <v>3042</v>
      </c>
      <c r="Y144" s="2" t="s">
        <v>3043</v>
      </c>
      <c r="Z144" s="2" t="s">
        <v>3044</v>
      </c>
      <c r="AA144" s="2" t="s">
        <v>3045</v>
      </c>
      <c r="AB144" s="2"/>
      <c r="AC144" s="2" t="s">
        <v>3046</v>
      </c>
      <c r="AD144" s="2" t="s">
        <v>3047</v>
      </c>
      <c r="AE144" s="2" t="s">
        <v>3048</v>
      </c>
      <c r="AF144" s="2" t="s">
        <v>3049</v>
      </c>
      <c r="AG144" s="2">
        <v>84.0</v>
      </c>
      <c r="AH144" s="2">
        <v>12.0</v>
      </c>
      <c r="AI144" s="2">
        <v>13.0</v>
      </c>
      <c r="AJ144" s="2">
        <v>2.0</v>
      </c>
      <c r="AK144" s="2">
        <v>13.0</v>
      </c>
      <c r="AL144" s="2" t="s">
        <v>1220</v>
      </c>
      <c r="AM144" s="2" t="s">
        <v>1221</v>
      </c>
      <c r="AN144" s="2" t="s">
        <v>1222</v>
      </c>
      <c r="AO144" s="2" t="s">
        <v>3050</v>
      </c>
      <c r="AP144" s="2" t="s">
        <v>3051</v>
      </c>
      <c r="AQ144" s="2"/>
      <c r="AR144" s="2" t="s">
        <v>3052</v>
      </c>
      <c r="AS144" s="2" t="s">
        <v>3053</v>
      </c>
      <c r="AT144" s="2" t="s">
        <v>358</v>
      </c>
      <c r="AU144" s="2">
        <v>2022.0</v>
      </c>
      <c r="AV144" s="2">
        <v>38.0</v>
      </c>
      <c r="AW144" s="2">
        <v>1.0</v>
      </c>
      <c r="AX144" s="2"/>
      <c r="AY144" s="2"/>
      <c r="AZ144" s="2"/>
      <c r="BA144" s="2"/>
      <c r="BB144" s="2">
        <v>58.0</v>
      </c>
      <c r="BC144" s="2">
        <v>68.0</v>
      </c>
      <c r="BD144" s="2"/>
      <c r="BE144" s="2" t="s">
        <v>3054</v>
      </c>
      <c r="BF144" s="3" t="str">
        <f>HYPERLINK("http://dx.doi.org/10.1017/aee.2021.15","http://dx.doi.org/10.1017/aee.2021.15")</f>
        <v>http://dx.doi.org/10.1017/aee.2021.15</v>
      </c>
      <c r="BG144" s="2"/>
      <c r="BH144" s="2" t="s">
        <v>2044</v>
      </c>
      <c r="BI144" s="2">
        <v>11.0</v>
      </c>
      <c r="BJ144" s="2" t="s">
        <v>331</v>
      </c>
      <c r="BK144" s="2" t="s">
        <v>96</v>
      </c>
      <c r="BL144" s="2" t="s">
        <v>331</v>
      </c>
      <c r="BM144" s="2" t="s">
        <v>3055</v>
      </c>
      <c r="BN144" s="2"/>
      <c r="BO144" s="2" t="s">
        <v>201</v>
      </c>
      <c r="BP144" s="2"/>
      <c r="BQ144" s="2"/>
      <c r="BR144" s="2" t="s">
        <v>99</v>
      </c>
      <c r="BS144" s="2" t="s">
        <v>3056</v>
      </c>
      <c r="BT144" s="2" t="str">
        <f>HYPERLINK("https%3A%2F%2Fwww.webofscience.com%2Fwos%2Fwoscc%2Ffull-record%2FWOS:000725359500001","View Full Record in Web of Science")</f>
        <v>View Full Record in Web of Science</v>
      </c>
    </row>
    <row r="145" ht="64.5" customHeight="1">
      <c r="A145" s="2" t="s">
        <v>72</v>
      </c>
      <c r="B145" s="2" t="s">
        <v>3057</v>
      </c>
      <c r="C145" s="2"/>
      <c r="D145" s="2"/>
      <c r="E145" s="2"/>
      <c r="F145" s="2" t="s">
        <v>3058</v>
      </c>
      <c r="G145" s="2"/>
      <c r="H145" s="2"/>
      <c r="I145" s="2" t="s">
        <v>3059</v>
      </c>
      <c r="J145" s="2" t="s">
        <v>1801</v>
      </c>
      <c r="K145" s="2"/>
      <c r="L145" s="2"/>
      <c r="M145" s="2" t="s">
        <v>116</v>
      </c>
      <c r="N145" s="2" t="s">
        <v>78</v>
      </c>
      <c r="O145" s="2"/>
      <c r="P145" s="2"/>
      <c r="Q145" s="2"/>
      <c r="R145" s="2"/>
      <c r="S145" s="2"/>
      <c r="T145" s="2" t="s">
        <v>3060</v>
      </c>
      <c r="U145" s="2" t="s">
        <v>3061</v>
      </c>
      <c r="V145" s="2" t="s">
        <v>3062</v>
      </c>
      <c r="W145" s="2" t="s">
        <v>3063</v>
      </c>
      <c r="X145" s="2" t="s">
        <v>3064</v>
      </c>
      <c r="Y145" s="2" t="s">
        <v>3065</v>
      </c>
      <c r="Z145" s="2" t="s">
        <v>3066</v>
      </c>
      <c r="AA145" s="2" t="s">
        <v>3067</v>
      </c>
      <c r="AB145" s="2" t="s">
        <v>3068</v>
      </c>
      <c r="AC145" s="2"/>
      <c r="AD145" s="2"/>
      <c r="AE145" s="2"/>
      <c r="AF145" s="2" t="s">
        <v>3069</v>
      </c>
      <c r="AG145" s="2">
        <v>98.0</v>
      </c>
      <c r="AH145" s="2">
        <v>28.0</v>
      </c>
      <c r="AI145" s="2">
        <v>30.0</v>
      </c>
      <c r="AJ145" s="2">
        <v>3.0</v>
      </c>
      <c r="AK145" s="2">
        <v>44.0</v>
      </c>
      <c r="AL145" s="2" t="s">
        <v>156</v>
      </c>
      <c r="AM145" s="2" t="s">
        <v>157</v>
      </c>
      <c r="AN145" s="2" t="s">
        <v>158</v>
      </c>
      <c r="AO145" s="2" t="s">
        <v>1813</v>
      </c>
      <c r="AP145" s="2" t="s">
        <v>1814</v>
      </c>
      <c r="AQ145" s="2"/>
      <c r="AR145" s="2" t="s">
        <v>1815</v>
      </c>
      <c r="AS145" s="2" t="s">
        <v>1816</v>
      </c>
      <c r="AT145" s="2" t="s">
        <v>557</v>
      </c>
      <c r="AU145" s="2">
        <v>2013.0</v>
      </c>
      <c r="AV145" s="2">
        <v>35.0</v>
      </c>
      <c r="AW145" s="2">
        <v>9.0</v>
      </c>
      <c r="AX145" s="2"/>
      <c r="AY145" s="2"/>
      <c r="AZ145" s="2"/>
      <c r="BA145" s="2"/>
      <c r="BB145" s="2">
        <v>1561.0</v>
      </c>
      <c r="BC145" s="2">
        <v>1589.0</v>
      </c>
      <c r="BD145" s="2"/>
      <c r="BE145" s="2" t="s">
        <v>3070</v>
      </c>
      <c r="BF145" s="3" t="str">
        <f>HYPERLINK("http://dx.doi.org/10.1080/09500693.2013.769139","http://dx.doi.org/10.1080/09500693.2013.769139")</f>
        <v>http://dx.doi.org/10.1080/09500693.2013.769139</v>
      </c>
      <c r="BG145" s="2"/>
      <c r="BH145" s="2"/>
      <c r="BI145" s="2">
        <v>29.0</v>
      </c>
      <c r="BJ145" s="2" t="s">
        <v>331</v>
      </c>
      <c r="BK145" s="2" t="s">
        <v>166</v>
      </c>
      <c r="BL145" s="2" t="s">
        <v>331</v>
      </c>
      <c r="BM145" s="2" t="s">
        <v>3071</v>
      </c>
      <c r="BN145" s="2"/>
      <c r="BO145" s="2"/>
      <c r="BP145" s="2"/>
      <c r="BQ145" s="2"/>
      <c r="BR145" s="2" t="s">
        <v>99</v>
      </c>
      <c r="BS145" s="2" t="s">
        <v>3072</v>
      </c>
      <c r="BT145" s="2" t="str">
        <f>HYPERLINK("https%3A%2F%2Fwww.webofscience.com%2Fwos%2Fwoscc%2Ffull-record%2FWOS:000320753400006","View Full Record in Web of Science")</f>
        <v>View Full Record in Web of Science</v>
      </c>
    </row>
    <row r="146" ht="64.5" customHeight="1">
      <c r="A146" s="2" t="s">
        <v>72</v>
      </c>
      <c r="B146" s="2" t="s">
        <v>3073</v>
      </c>
      <c r="C146" s="2"/>
      <c r="D146" s="2"/>
      <c r="E146" s="2"/>
      <c r="F146" s="2" t="s">
        <v>3074</v>
      </c>
      <c r="G146" s="2"/>
      <c r="H146" s="2"/>
      <c r="I146" s="2" t="s">
        <v>3075</v>
      </c>
      <c r="J146" s="2" t="s">
        <v>174</v>
      </c>
      <c r="K146" s="2"/>
      <c r="L146" s="2"/>
      <c r="M146" s="2" t="s">
        <v>116</v>
      </c>
      <c r="N146" s="2" t="s">
        <v>78</v>
      </c>
      <c r="O146" s="2"/>
      <c r="P146" s="2"/>
      <c r="Q146" s="2"/>
      <c r="R146" s="2"/>
      <c r="S146" s="2"/>
      <c r="T146" s="2" t="s">
        <v>3076</v>
      </c>
      <c r="U146" s="2" t="s">
        <v>1909</v>
      </c>
      <c r="V146" s="2" t="s">
        <v>3077</v>
      </c>
      <c r="W146" s="2" t="s">
        <v>3078</v>
      </c>
      <c r="X146" s="2" t="s">
        <v>2412</v>
      </c>
      <c r="Y146" s="2" t="s">
        <v>3079</v>
      </c>
      <c r="Z146" s="2" t="s">
        <v>3080</v>
      </c>
      <c r="AA146" s="2" t="s">
        <v>3081</v>
      </c>
      <c r="AB146" s="2" t="s">
        <v>3082</v>
      </c>
      <c r="AC146" s="2" t="s">
        <v>3083</v>
      </c>
      <c r="AD146" s="2" t="s">
        <v>3084</v>
      </c>
      <c r="AE146" s="2" t="s">
        <v>3085</v>
      </c>
      <c r="AF146" s="2" t="s">
        <v>3086</v>
      </c>
      <c r="AG146" s="2">
        <v>45.0</v>
      </c>
      <c r="AH146" s="2">
        <v>38.0</v>
      </c>
      <c r="AI146" s="2">
        <v>41.0</v>
      </c>
      <c r="AJ146" s="2">
        <v>3.0</v>
      </c>
      <c r="AK146" s="2">
        <v>36.0</v>
      </c>
      <c r="AL146" s="2" t="s">
        <v>188</v>
      </c>
      <c r="AM146" s="2" t="s">
        <v>189</v>
      </c>
      <c r="AN146" s="2" t="s">
        <v>190</v>
      </c>
      <c r="AO146" s="2" t="s">
        <v>191</v>
      </c>
      <c r="AP146" s="2" t="s">
        <v>192</v>
      </c>
      <c r="AQ146" s="2"/>
      <c r="AR146" s="2" t="s">
        <v>193</v>
      </c>
      <c r="AS146" s="2" t="s">
        <v>194</v>
      </c>
      <c r="AT146" s="2" t="s">
        <v>453</v>
      </c>
      <c r="AU146" s="2">
        <v>2018.0</v>
      </c>
      <c r="AV146" s="2">
        <v>87.0</v>
      </c>
      <c r="AW146" s="2"/>
      <c r="AX146" s="2"/>
      <c r="AY146" s="2"/>
      <c r="AZ146" s="2"/>
      <c r="BA146" s="2"/>
      <c r="BB146" s="2">
        <v>149.0</v>
      </c>
      <c r="BC146" s="2">
        <v>157.0</v>
      </c>
      <c r="BD146" s="2"/>
      <c r="BE146" s="2" t="s">
        <v>3087</v>
      </c>
      <c r="BF146" s="3" t="str">
        <f>HYPERLINK("http://dx.doi.org/10.1016/j.marpol.2017.10.022","http://dx.doi.org/10.1016/j.marpol.2017.10.022")</f>
        <v>http://dx.doi.org/10.1016/j.marpol.2017.10.022</v>
      </c>
      <c r="BG146" s="2"/>
      <c r="BH146" s="2"/>
      <c r="BI146" s="2">
        <v>9.0</v>
      </c>
      <c r="BJ146" s="2" t="s">
        <v>198</v>
      </c>
      <c r="BK146" s="2" t="s">
        <v>166</v>
      </c>
      <c r="BL146" s="2" t="s">
        <v>199</v>
      </c>
      <c r="BM146" s="2" t="s">
        <v>3088</v>
      </c>
      <c r="BN146" s="2"/>
      <c r="BO146" s="2"/>
      <c r="BP146" s="2"/>
      <c r="BQ146" s="2"/>
      <c r="BR146" s="2" t="s">
        <v>99</v>
      </c>
      <c r="BS146" s="2" t="s">
        <v>3089</v>
      </c>
      <c r="BT146" s="2" t="str">
        <f>HYPERLINK("https%3A%2F%2Fwww.webofscience.com%2Fwos%2Fwoscc%2Ffull-record%2FWOS:000419412200018","View Full Record in Web of Science")</f>
        <v>View Full Record in Web of Science</v>
      </c>
    </row>
    <row r="147" ht="64.5" customHeight="1">
      <c r="A147" s="2" t="s">
        <v>72</v>
      </c>
      <c r="B147" s="2" t="s">
        <v>1657</v>
      </c>
      <c r="C147" s="2"/>
      <c r="D147" s="2"/>
      <c r="E147" s="2"/>
      <c r="F147" s="2" t="s">
        <v>1658</v>
      </c>
      <c r="G147" s="2"/>
      <c r="H147" s="2"/>
      <c r="I147" s="2" t="s">
        <v>3090</v>
      </c>
      <c r="J147" s="2" t="s">
        <v>3038</v>
      </c>
      <c r="K147" s="2"/>
      <c r="L147" s="2"/>
      <c r="M147" s="2" t="s">
        <v>116</v>
      </c>
      <c r="N147" s="2" t="s">
        <v>78</v>
      </c>
      <c r="O147" s="2"/>
      <c r="P147" s="2"/>
      <c r="Q147" s="2"/>
      <c r="R147" s="2"/>
      <c r="S147" s="2"/>
      <c r="T147" s="2" t="s">
        <v>3091</v>
      </c>
      <c r="U147" s="2" t="s">
        <v>3092</v>
      </c>
      <c r="V147" s="2" t="s">
        <v>3093</v>
      </c>
      <c r="W147" s="2" t="s">
        <v>1663</v>
      </c>
      <c r="X147" s="2" t="s">
        <v>1664</v>
      </c>
      <c r="Y147" s="2" t="s">
        <v>1665</v>
      </c>
      <c r="Z147" s="2" t="s">
        <v>1666</v>
      </c>
      <c r="AA147" s="2" t="s">
        <v>1667</v>
      </c>
      <c r="AB147" s="2" t="s">
        <v>1668</v>
      </c>
      <c r="AC147" s="2" t="s">
        <v>3094</v>
      </c>
      <c r="AD147" s="2" t="s">
        <v>3095</v>
      </c>
      <c r="AE147" s="2" t="s">
        <v>3096</v>
      </c>
      <c r="AF147" s="2" t="s">
        <v>3097</v>
      </c>
      <c r="AG147" s="2">
        <v>55.0</v>
      </c>
      <c r="AH147" s="2">
        <v>0.0</v>
      </c>
      <c r="AI147" s="2">
        <v>0.0</v>
      </c>
      <c r="AJ147" s="2">
        <v>1.0</v>
      </c>
      <c r="AK147" s="2">
        <v>4.0</v>
      </c>
      <c r="AL147" s="2" t="s">
        <v>1220</v>
      </c>
      <c r="AM147" s="2" t="s">
        <v>1221</v>
      </c>
      <c r="AN147" s="2" t="s">
        <v>1222</v>
      </c>
      <c r="AO147" s="2" t="s">
        <v>3050</v>
      </c>
      <c r="AP147" s="2" t="s">
        <v>3051</v>
      </c>
      <c r="AQ147" s="2"/>
      <c r="AR147" s="2" t="s">
        <v>3052</v>
      </c>
      <c r="AS147" s="2" t="s">
        <v>3053</v>
      </c>
      <c r="AT147" s="2" t="s">
        <v>844</v>
      </c>
      <c r="AU147" s="2">
        <v>2023.0</v>
      </c>
      <c r="AV147" s="2">
        <v>39.0</v>
      </c>
      <c r="AW147" s="2">
        <v>4.0</v>
      </c>
      <c r="AX147" s="2"/>
      <c r="AY147" s="2"/>
      <c r="AZ147" s="2"/>
      <c r="BA147" s="2"/>
      <c r="BB147" s="2">
        <v>507.0</v>
      </c>
      <c r="BC147" s="2">
        <v>521.0</v>
      </c>
      <c r="BD147" s="2" t="s">
        <v>3098</v>
      </c>
      <c r="BE147" s="2" t="s">
        <v>3099</v>
      </c>
      <c r="BF147" s="3" t="str">
        <f>HYPERLINK("http://dx.doi.org/10.1017/aee.2023.12","http://dx.doi.org/10.1017/aee.2023.12")</f>
        <v>http://dx.doi.org/10.1017/aee.2023.12</v>
      </c>
      <c r="BG147" s="2"/>
      <c r="BH147" s="2" t="s">
        <v>224</v>
      </c>
      <c r="BI147" s="2">
        <v>15.0</v>
      </c>
      <c r="BJ147" s="2" t="s">
        <v>331</v>
      </c>
      <c r="BK147" s="2" t="s">
        <v>96</v>
      </c>
      <c r="BL147" s="2" t="s">
        <v>331</v>
      </c>
      <c r="BM147" s="2" t="s">
        <v>3100</v>
      </c>
      <c r="BN147" s="2"/>
      <c r="BO147" s="2" t="s">
        <v>201</v>
      </c>
      <c r="BP147" s="2"/>
      <c r="BQ147" s="2"/>
      <c r="BR147" s="2" t="s">
        <v>99</v>
      </c>
      <c r="BS147" s="2" t="s">
        <v>3101</v>
      </c>
      <c r="BT147" s="2" t="str">
        <f>HYPERLINK("https%3A%2F%2Fwww.webofscience.com%2Fwos%2Fwoscc%2Ffull-record%2FWOS:001016387000001","View Full Record in Web of Science")</f>
        <v>View Full Record in Web of Science</v>
      </c>
    </row>
    <row r="148" ht="64.5" customHeight="1">
      <c r="A148" s="2" t="s">
        <v>72</v>
      </c>
      <c r="B148" s="2" t="s">
        <v>3102</v>
      </c>
      <c r="C148" s="2"/>
      <c r="D148" s="2"/>
      <c r="E148" s="2"/>
      <c r="F148" s="2" t="s">
        <v>3103</v>
      </c>
      <c r="G148" s="2"/>
      <c r="H148" s="2"/>
      <c r="I148" s="2" t="s">
        <v>3104</v>
      </c>
      <c r="J148" s="2" t="s">
        <v>3105</v>
      </c>
      <c r="K148" s="2"/>
      <c r="L148" s="2"/>
      <c r="M148" s="2" t="s">
        <v>116</v>
      </c>
      <c r="N148" s="2" t="s">
        <v>1599</v>
      </c>
      <c r="O148" s="2"/>
      <c r="P148" s="2"/>
      <c r="Q148" s="2"/>
      <c r="R148" s="2"/>
      <c r="S148" s="2"/>
      <c r="T148" s="2" t="s">
        <v>3106</v>
      </c>
      <c r="U148" s="2" t="s">
        <v>3107</v>
      </c>
      <c r="V148" s="2" t="s">
        <v>3108</v>
      </c>
      <c r="W148" s="2" t="s">
        <v>3109</v>
      </c>
      <c r="X148" s="2" t="s">
        <v>1604</v>
      </c>
      <c r="Y148" s="2" t="s">
        <v>3110</v>
      </c>
      <c r="Z148" s="2" t="s">
        <v>3111</v>
      </c>
      <c r="AA148" s="2" t="s">
        <v>3112</v>
      </c>
      <c r="AB148" s="2" t="s">
        <v>3113</v>
      </c>
      <c r="AC148" s="2" t="s">
        <v>3114</v>
      </c>
      <c r="AD148" s="2" t="s">
        <v>3114</v>
      </c>
      <c r="AE148" s="2" t="s">
        <v>3115</v>
      </c>
      <c r="AF148" s="2" t="s">
        <v>3116</v>
      </c>
      <c r="AG148" s="2">
        <v>73.0</v>
      </c>
      <c r="AH148" s="2">
        <v>2.0</v>
      </c>
      <c r="AI148" s="2">
        <v>2.0</v>
      </c>
      <c r="AJ148" s="2">
        <v>2.0</v>
      </c>
      <c r="AK148" s="2">
        <v>9.0</v>
      </c>
      <c r="AL148" s="2" t="s">
        <v>351</v>
      </c>
      <c r="AM148" s="2" t="s">
        <v>352</v>
      </c>
      <c r="AN148" s="2" t="s">
        <v>353</v>
      </c>
      <c r="AO148" s="2" t="s">
        <v>3117</v>
      </c>
      <c r="AP148" s="2" t="s">
        <v>3118</v>
      </c>
      <c r="AQ148" s="2"/>
      <c r="AR148" s="2" t="s">
        <v>3119</v>
      </c>
      <c r="AS148" s="2" t="s">
        <v>3120</v>
      </c>
      <c r="AT148" s="2" t="s">
        <v>3121</v>
      </c>
      <c r="AU148" s="2">
        <v>2023.0</v>
      </c>
      <c r="AV148" s="2"/>
      <c r="AW148" s="2"/>
      <c r="AX148" s="2"/>
      <c r="AY148" s="2"/>
      <c r="AZ148" s="2"/>
      <c r="BA148" s="2"/>
      <c r="BB148" s="2"/>
      <c r="BC148" s="2"/>
      <c r="BD148" s="2"/>
      <c r="BE148" s="2" t="s">
        <v>3122</v>
      </c>
      <c r="BF148" s="3" t="str">
        <f>HYPERLINK("http://dx.doi.org/10.1007/s10583-023-09534-y","http://dx.doi.org/10.1007/s10583-023-09534-y")</f>
        <v>http://dx.doi.org/10.1007/s10583-023-09534-y</v>
      </c>
      <c r="BG148" s="2"/>
      <c r="BH148" s="2" t="s">
        <v>224</v>
      </c>
      <c r="BI148" s="2">
        <v>16.0</v>
      </c>
      <c r="BJ148" s="2" t="s">
        <v>3123</v>
      </c>
      <c r="BK148" s="2" t="s">
        <v>3124</v>
      </c>
      <c r="BL148" s="2" t="s">
        <v>3123</v>
      </c>
      <c r="BM148" s="2" t="s">
        <v>3125</v>
      </c>
      <c r="BN148" s="2"/>
      <c r="BO148" s="2" t="s">
        <v>201</v>
      </c>
      <c r="BP148" s="2"/>
      <c r="BQ148" s="2"/>
      <c r="BR148" s="2" t="s">
        <v>99</v>
      </c>
      <c r="BS148" s="2" t="s">
        <v>3126</v>
      </c>
      <c r="BT148" s="2" t="str">
        <f>HYPERLINK("https%3A%2F%2Fwww.webofscience.com%2Fwos%2Fwoscc%2Ffull-record%2FWOS:001016167600001","View Full Record in Web of Science")</f>
        <v>View Full Record in Web of Science</v>
      </c>
    </row>
    <row r="149" ht="64.5" customHeight="1">
      <c r="A149" s="2" t="s">
        <v>72</v>
      </c>
      <c r="B149" s="2" t="s">
        <v>3127</v>
      </c>
      <c r="C149" s="2"/>
      <c r="D149" s="2"/>
      <c r="E149" s="2"/>
      <c r="F149" s="2" t="s">
        <v>3128</v>
      </c>
      <c r="G149" s="2"/>
      <c r="H149" s="2"/>
      <c r="I149" s="2" t="s">
        <v>3129</v>
      </c>
      <c r="J149" s="2" t="s">
        <v>142</v>
      </c>
      <c r="K149" s="2"/>
      <c r="L149" s="2"/>
      <c r="M149" s="2" t="s">
        <v>116</v>
      </c>
      <c r="N149" s="2" t="s">
        <v>1599</v>
      </c>
      <c r="O149" s="2"/>
      <c r="P149" s="2"/>
      <c r="Q149" s="2"/>
      <c r="R149" s="2"/>
      <c r="S149" s="2"/>
      <c r="T149" s="2" t="s">
        <v>3130</v>
      </c>
      <c r="U149" s="2" t="s">
        <v>3131</v>
      </c>
      <c r="V149" s="2" t="s">
        <v>3132</v>
      </c>
      <c r="W149" s="2" t="s">
        <v>3133</v>
      </c>
      <c r="X149" s="2" t="s">
        <v>3134</v>
      </c>
      <c r="Y149" s="2" t="s">
        <v>3135</v>
      </c>
      <c r="Z149" s="2" t="s">
        <v>3136</v>
      </c>
      <c r="AA149" s="2"/>
      <c r="AB149" s="2" t="s">
        <v>3137</v>
      </c>
      <c r="AC149" s="2" t="s">
        <v>3138</v>
      </c>
      <c r="AD149" s="2" t="s">
        <v>3139</v>
      </c>
      <c r="AE149" s="2" t="s">
        <v>3140</v>
      </c>
      <c r="AF149" s="2" t="s">
        <v>3141</v>
      </c>
      <c r="AG149" s="2">
        <v>45.0</v>
      </c>
      <c r="AH149" s="2">
        <v>0.0</v>
      </c>
      <c r="AI149" s="2">
        <v>0.0</v>
      </c>
      <c r="AJ149" s="2">
        <v>3.0</v>
      </c>
      <c r="AK149" s="2">
        <v>3.0</v>
      </c>
      <c r="AL149" s="2" t="s">
        <v>156</v>
      </c>
      <c r="AM149" s="2" t="s">
        <v>157</v>
      </c>
      <c r="AN149" s="2" t="s">
        <v>158</v>
      </c>
      <c r="AO149" s="2" t="s">
        <v>159</v>
      </c>
      <c r="AP149" s="2" t="s">
        <v>160</v>
      </c>
      <c r="AQ149" s="2"/>
      <c r="AR149" s="2" t="s">
        <v>161</v>
      </c>
      <c r="AS149" s="2" t="s">
        <v>162</v>
      </c>
      <c r="AT149" s="2" t="s">
        <v>3142</v>
      </c>
      <c r="AU149" s="2">
        <v>2024.0</v>
      </c>
      <c r="AV149" s="2"/>
      <c r="AW149" s="2"/>
      <c r="AX149" s="2"/>
      <c r="AY149" s="2"/>
      <c r="AZ149" s="2"/>
      <c r="BA149" s="2"/>
      <c r="BB149" s="2"/>
      <c r="BC149" s="2"/>
      <c r="BD149" s="2"/>
      <c r="BE149" s="2" t="s">
        <v>3143</v>
      </c>
      <c r="BF149" s="3" t="str">
        <f>HYPERLINK("http://dx.doi.org/10.1080/13504622.2024.2314047","http://dx.doi.org/10.1080/13504622.2024.2314047")</f>
        <v>http://dx.doi.org/10.1080/13504622.2024.2314047</v>
      </c>
      <c r="BG149" s="2"/>
      <c r="BH149" s="2" t="s">
        <v>1374</v>
      </c>
      <c r="BI149" s="2">
        <v>18.0</v>
      </c>
      <c r="BJ149" s="2" t="s">
        <v>165</v>
      </c>
      <c r="BK149" s="2" t="s">
        <v>166</v>
      </c>
      <c r="BL149" s="2" t="s">
        <v>167</v>
      </c>
      <c r="BM149" s="2" t="s">
        <v>3144</v>
      </c>
      <c r="BN149" s="2"/>
      <c r="BO149" s="2"/>
      <c r="BP149" s="2"/>
      <c r="BQ149" s="2"/>
      <c r="BR149" s="2" t="s">
        <v>99</v>
      </c>
      <c r="BS149" s="2" t="s">
        <v>3145</v>
      </c>
      <c r="BT149" s="2" t="str">
        <f>HYPERLINK("https%3A%2F%2Fwww.webofscience.com%2Fwos%2Fwoscc%2Ffull-record%2FWOS:001158925400001","View Full Record in Web of Science")</f>
        <v>View Full Record in Web of Science</v>
      </c>
    </row>
    <row r="150" ht="64.5" customHeight="1">
      <c r="A150" s="2" t="s">
        <v>72</v>
      </c>
      <c r="B150" s="2" t="s">
        <v>3146</v>
      </c>
      <c r="C150" s="2"/>
      <c r="D150" s="2"/>
      <c r="E150" s="2"/>
      <c r="F150" s="2" t="s">
        <v>3147</v>
      </c>
      <c r="G150" s="2"/>
      <c r="H150" s="2"/>
      <c r="I150" s="2" t="s">
        <v>3148</v>
      </c>
      <c r="J150" s="2" t="s">
        <v>370</v>
      </c>
      <c r="K150" s="2"/>
      <c r="L150" s="2"/>
      <c r="M150" s="2" t="s">
        <v>116</v>
      </c>
      <c r="N150" s="2" t="s">
        <v>643</v>
      </c>
      <c r="O150" s="2"/>
      <c r="P150" s="2"/>
      <c r="Q150" s="2"/>
      <c r="R150" s="2"/>
      <c r="S150" s="2"/>
      <c r="T150" s="2" t="s">
        <v>3149</v>
      </c>
      <c r="U150" s="2" t="s">
        <v>3150</v>
      </c>
      <c r="V150" s="2" t="s">
        <v>3151</v>
      </c>
      <c r="W150" s="2" t="s">
        <v>3152</v>
      </c>
      <c r="X150" s="2" t="s">
        <v>3153</v>
      </c>
      <c r="Y150" s="2" t="s">
        <v>3154</v>
      </c>
      <c r="Z150" s="2" t="s">
        <v>3155</v>
      </c>
      <c r="AA150" s="2"/>
      <c r="AB150" s="2" t="s">
        <v>3156</v>
      </c>
      <c r="AC150" s="2"/>
      <c r="AD150" s="2"/>
      <c r="AE150" s="2"/>
      <c r="AF150" s="2" t="s">
        <v>3157</v>
      </c>
      <c r="AG150" s="2">
        <v>102.0</v>
      </c>
      <c r="AH150" s="2">
        <v>8.0</v>
      </c>
      <c r="AI150" s="2">
        <v>8.0</v>
      </c>
      <c r="AJ150" s="2">
        <v>3.0</v>
      </c>
      <c r="AK150" s="2">
        <v>37.0</v>
      </c>
      <c r="AL150" s="2" t="s">
        <v>383</v>
      </c>
      <c r="AM150" s="2" t="s">
        <v>384</v>
      </c>
      <c r="AN150" s="2" t="s">
        <v>385</v>
      </c>
      <c r="AO150" s="2"/>
      <c r="AP150" s="2" t="s">
        <v>386</v>
      </c>
      <c r="AQ150" s="2"/>
      <c r="AR150" s="2" t="s">
        <v>387</v>
      </c>
      <c r="AS150" s="2" t="s">
        <v>388</v>
      </c>
      <c r="AT150" s="2" t="s">
        <v>195</v>
      </c>
      <c r="AU150" s="2">
        <v>2022.0</v>
      </c>
      <c r="AV150" s="2">
        <v>14.0</v>
      </c>
      <c r="AW150" s="2">
        <v>8.0</v>
      </c>
      <c r="AX150" s="2"/>
      <c r="AY150" s="2"/>
      <c r="AZ150" s="2"/>
      <c r="BA150" s="2"/>
      <c r="BB150" s="2"/>
      <c r="BC150" s="2"/>
      <c r="BD150" s="2">
        <v>4596.0</v>
      </c>
      <c r="BE150" s="2" t="s">
        <v>3158</v>
      </c>
      <c r="BF150" s="3" t="str">
        <f>HYPERLINK("http://dx.doi.org/10.3390/su14084596","http://dx.doi.org/10.3390/su14084596")</f>
        <v>http://dx.doi.org/10.3390/su14084596</v>
      </c>
      <c r="BG150" s="2"/>
      <c r="BH150" s="2"/>
      <c r="BI150" s="2">
        <v>27.0</v>
      </c>
      <c r="BJ150" s="2" t="s">
        <v>390</v>
      </c>
      <c r="BK150" s="2" t="s">
        <v>363</v>
      </c>
      <c r="BL150" s="2" t="s">
        <v>391</v>
      </c>
      <c r="BM150" s="2" t="s">
        <v>3159</v>
      </c>
      <c r="BN150" s="2"/>
      <c r="BO150" s="2" t="s">
        <v>255</v>
      </c>
      <c r="BP150" s="2"/>
      <c r="BQ150" s="2"/>
      <c r="BR150" s="2" t="s">
        <v>99</v>
      </c>
      <c r="BS150" s="2" t="s">
        <v>3160</v>
      </c>
      <c r="BT150" s="2" t="str">
        <f>HYPERLINK("https%3A%2F%2Fwww.webofscience.com%2Fwos%2Fwoscc%2Ffull-record%2FWOS:000787955700001","View Full Record in Web of Science")</f>
        <v>View Full Record in Web of Science</v>
      </c>
    </row>
    <row r="151" ht="64.5" customHeight="1">
      <c r="A151" s="2" t="s">
        <v>72</v>
      </c>
      <c r="B151" s="2" t="s">
        <v>3161</v>
      </c>
      <c r="C151" s="2"/>
      <c r="D151" s="2"/>
      <c r="E151" s="2"/>
      <c r="F151" s="2" t="s">
        <v>3162</v>
      </c>
      <c r="G151" s="2"/>
      <c r="H151" s="2"/>
      <c r="I151" s="2" t="s">
        <v>3163</v>
      </c>
      <c r="J151" s="2" t="s">
        <v>3164</v>
      </c>
      <c r="K151" s="2"/>
      <c r="L151" s="2"/>
      <c r="M151" s="2" t="s">
        <v>116</v>
      </c>
      <c r="N151" s="2" t="s">
        <v>78</v>
      </c>
      <c r="O151" s="2"/>
      <c r="P151" s="2"/>
      <c r="Q151" s="2"/>
      <c r="R151" s="2"/>
      <c r="S151" s="2"/>
      <c r="T151" s="2" t="s">
        <v>3165</v>
      </c>
      <c r="U151" s="2" t="s">
        <v>3166</v>
      </c>
      <c r="V151" s="2" t="s">
        <v>3167</v>
      </c>
      <c r="W151" s="2" t="s">
        <v>3168</v>
      </c>
      <c r="X151" s="2" t="s">
        <v>3169</v>
      </c>
      <c r="Y151" s="2" t="s">
        <v>3170</v>
      </c>
      <c r="Z151" s="2" t="s">
        <v>3171</v>
      </c>
      <c r="AA151" s="2" t="s">
        <v>3172</v>
      </c>
      <c r="AB151" s="2" t="s">
        <v>3173</v>
      </c>
      <c r="AC151" s="2"/>
      <c r="AD151" s="2"/>
      <c r="AE151" s="2"/>
      <c r="AF151" s="2" t="s">
        <v>3174</v>
      </c>
      <c r="AG151" s="2">
        <v>30.0</v>
      </c>
      <c r="AH151" s="2">
        <v>12.0</v>
      </c>
      <c r="AI151" s="2">
        <v>12.0</v>
      </c>
      <c r="AJ151" s="2">
        <v>1.0</v>
      </c>
      <c r="AK151" s="2">
        <v>16.0</v>
      </c>
      <c r="AL151" s="2" t="s">
        <v>3175</v>
      </c>
      <c r="AM151" s="2" t="s">
        <v>1563</v>
      </c>
      <c r="AN151" s="2" t="s">
        <v>3176</v>
      </c>
      <c r="AO151" s="2" t="s">
        <v>3177</v>
      </c>
      <c r="AP151" s="2"/>
      <c r="AQ151" s="2"/>
      <c r="AR151" s="2" t="s">
        <v>3178</v>
      </c>
      <c r="AS151" s="2" t="s">
        <v>3179</v>
      </c>
      <c r="AT151" s="2" t="s">
        <v>292</v>
      </c>
      <c r="AU151" s="2">
        <v>2019.0</v>
      </c>
      <c r="AV151" s="2">
        <v>49.0</v>
      </c>
      <c r="AW151" s="2"/>
      <c r="AX151" s="2"/>
      <c r="AY151" s="2"/>
      <c r="AZ151" s="2"/>
      <c r="BA151" s="2"/>
      <c r="BB151" s="2">
        <v>107.0</v>
      </c>
      <c r="BC151" s="2">
        <v>112.0</v>
      </c>
      <c r="BD151" s="2"/>
      <c r="BE151" s="2" t="s">
        <v>3180</v>
      </c>
      <c r="BF151" s="3" t="str">
        <f>HYPERLINK("http://dx.doi.org/10.3301/ROL.2019.59","http://dx.doi.org/10.3301/ROL.2019.59")</f>
        <v>http://dx.doi.org/10.3301/ROL.2019.59</v>
      </c>
      <c r="BG151" s="2"/>
      <c r="BH151" s="2"/>
      <c r="BI151" s="2">
        <v>6.0</v>
      </c>
      <c r="BJ151" s="2" t="s">
        <v>3181</v>
      </c>
      <c r="BK151" s="2" t="s">
        <v>96</v>
      </c>
      <c r="BL151" s="2" t="s">
        <v>3182</v>
      </c>
      <c r="BM151" s="2" t="s">
        <v>3183</v>
      </c>
      <c r="BN151" s="2"/>
      <c r="BO151" s="2"/>
      <c r="BP151" s="2"/>
      <c r="BQ151" s="2"/>
      <c r="BR151" s="2" t="s">
        <v>99</v>
      </c>
      <c r="BS151" s="2" t="s">
        <v>3184</v>
      </c>
      <c r="BT151" s="2" t="str">
        <f>HYPERLINK("https%3A%2F%2Fwww.webofscience.com%2Fwos%2Fwoscc%2Ffull-record%2FWOS:000500004600016","View Full Record in Web of Science")</f>
        <v>View Full Record in Web of Science</v>
      </c>
    </row>
    <row r="152" ht="64.5" customHeight="1">
      <c r="A152" s="2" t="s">
        <v>110</v>
      </c>
      <c r="B152" s="2" t="s">
        <v>3185</v>
      </c>
      <c r="C152" s="2"/>
      <c r="D152" s="2" t="s">
        <v>3186</v>
      </c>
      <c r="E152" s="2"/>
      <c r="F152" s="2" t="s">
        <v>3187</v>
      </c>
      <c r="G152" s="2"/>
      <c r="H152" s="2"/>
      <c r="I152" s="2" t="s">
        <v>3188</v>
      </c>
      <c r="J152" s="2" t="s">
        <v>3189</v>
      </c>
      <c r="K152" s="2" t="s">
        <v>3190</v>
      </c>
      <c r="L152" s="2"/>
      <c r="M152" s="2" t="s">
        <v>116</v>
      </c>
      <c r="N152" s="2" t="s">
        <v>117</v>
      </c>
      <c r="O152" s="2" t="s">
        <v>3191</v>
      </c>
      <c r="P152" s="2" t="s">
        <v>3192</v>
      </c>
      <c r="Q152" s="2" t="s">
        <v>3193</v>
      </c>
      <c r="R152" s="2"/>
      <c r="S152" s="2"/>
      <c r="T152" s="4" t="s">
        <v>121</v>
      </c>
      <c r="U152" s="2"/>
      <c r="V152" s="2" t="s">
        <v>3194</v>
      </c>
      <c r="W152" s="2" t="s">
        <v>3195</v>
      </c>
      <c r="X152" s="2" t="s">
        <v>3196</v>
      </c>
      <c r="Y152" s="2" t="s">
        <v>3197</v>
      </c>
      <c r="Z152" s="2" t="s">
        <v>3198</v>
      </c>
      <c r="AA152" s="2" t="s">
        <v>3199</v>
      </c>
      <c r="AB152" s="2" t="s">
        <v>3200</v>
      </c>
      <c r="AC152" s="2"/>
      <c r="AD152" s="2"/>
      <c r="AE152" s="2"/>
      <c r="AF152" s="2" t="s">
        <v>3201</v>
      </c>
      <c r="AG152" s="2">
        <v>10.0</v>
      </c>
      <c r="AH152" s="2">
        <v>2.0</v>
      </c>
      <c r="AI152" s="2">
        <v>2.0</v>
      </c>
      <c r="AJ152" s="2">
        <v>2.0</v>
      </c>
      <c r="AK152" s="2">
        <v>4.0</v>
      </c>
      <c r="AL152" s="2" t="s">
        <v>3202</v>
      </c>
      <c r="AM152" s="2" t="s">
        <v>3203</v>
      </c>
      <c r="AN152" s="2" t="s">
        <v>3204</v>
      </c>
      <c r="AO152" s="2" t="s">
        <v>3205</v>
      </c>
      <c r="AP152" s="2"/>
      <c r="AQ152" s="2" t="s">
        <v>3206</v>
      </c>
      <c r="AR152" s="2" t="s">
        <v>3207</v>
      </c>
      <c r="AS152" s="2"/>
      <c r="AT152" s="2"/>
      <c r="AU152" s="2">
        <v>2021.0</v>
      </c>
      <c r="AV152" s="2">
        <v>2320.0</v>
      </c>
      <c r="AW152" s="2"/>
      <c r="AX152" s="2"/>
      <c r="AY152" s="2"/>
      <c r="AZ152" s="2"/>
      <c r="BA152" s="2"/>
      <c r="BB152" s="2"/>
      <c r="BC152" s="2"/>
      <c r="BD152" s="2">
        <v>20059.0</v>
      </c>
      <c r="BE152" s="2" t="s">
        <v>3208</v>
      </c>
      <c r="BF152" s="3" t="str">
        <f>HYPERLINK("http://dx.doi.org/10.1063/5.0037528","http://dx.doi.org/10.1063/5.0037528")</f>
        <v>http://dx.doi.org/10.1063/5.0037528</v>
      </c>
      <c r="BG152" s="2"/>
      <c r="BH152" s="2"/>
      <c r="BI152" s="2">
        <v>5.0</v>
      </c>
      <c r="BJ152" s="2" t="s">
        <v>3209</v>
      </c>
      <c r="BK152" s="2" t="s">
        <v>135</v>
      </c>
      <c r="BL152" s="2" t="s">
        <v>3210</v>
      </c>
      <c r="BM152" s="2" t="s">
        <v>3211</v>
      </c>
      <c r="BN152" s="2"/>
      <c r="BO152" s="2" t="s">
        <v>2170</v>
      </c>
      <c r="BP152" s="2"/>
      <c r="BQ152" s="2"/>
      <c r="BR152" s="2" t="s">
        <v>99</v>
      </c>
      <c r="BS152" s="2" t="s">
        <v>3212</v>
      </c>
      <c r="BT152" s="2" t="str">
        <f>HYPERLINK("https%3A%2F%2Fwww.webofscience.com%2Fwos%2Fwoscc%2Ffull-record%2FWOS:000664194800036","View Full Record in Web of Science")</f>
        <v>View Full Record in Web of Science</v>
      </c>
    </row>
    <row r="153" ht="64.5" customHeight="1">
      <c r="A153" s="2" t="s">
        <v>72</v>
      </c>
      <c r="B153" s="2" t="s">
        <v>3213</v>
      </c>
      <c r="C153" s="2"/>
      <c r="D153" s="2"/>
      <c r="E153" s="2"/>
      <c r="F153" s="2" t="s">
        <v>3214</v>
      </c>
      <c r="G153" s="2"/>
      <c r="H153" s="2"/>
      <c r="I153" s="2" t="s">
        <v>3215</v>
      </c>
      <c r="J153" s="2" t="s">
        <v>3216</v>
      </c>
      <c r="K153" s="2"/>
      <c r="L153" s="2"/>
      <c r="M153" s="2" t="s">
        <v>116</v>
      </c>
      <c r="N153" s="2" t="s">
        <v>78</v>
      </c>
      <c r="O153" s="2"/>
      <c r="P153" s="2"/>
      <c r="Q153" s="2"/>
      <c r="R153" s="2"/>
      <c r="S153" s="2"/>
      <c r="T153" s="2" t="s">
        <v>3217</v>
      </c>
      <c r="U153" s="2" t="s">
        <v>1189</v>
      </c>
      <c r="V153" s="2" t="s">
        <v>3218</v>
      </c>
      <c r="W153" s="2" t="s">
        <v>3219</v>
      </c>
      <c r="X153" s="2" t="s">
        <v>3220</v>
      </c>
      <c r="Y153" s="2" t="s">
        <v>3221</v>
      </c>
      <c r="Z153" s="2" t="s">
        <v>3222</v>
      </c>
      <c r="AA153" s="2" t="s">
        <v>3223</v>
      </c>
      <c r="AB153" s="2" t="s">
        <v>3224</v>
      </c>
      <c r="AC153" s="2" t="s">
        <v>3225</v>
      </c>
      <c r="AD153" s="2" t="s">
        <v>3226</v>
      </c>
      <c r="AE153" s="2" t="s">
        <v>3227</v>
      </c>
      <c r="AF153" s="2" t="s">
        <v>3228</v>
      </c>
      <c r="AG153" s="2">
        <v>38.0</v>
      </c>
      <c r="AH153" s="2">
        <v>13.0</v>
      </c>
      <c r="AI153" s="2">
        <v>15.0</v>
      </c>
      <c r="AJ153" s="2">
        <v>3.0</v>
      </c>
      <c r="AK153" s="2">
        <v>34.0</v>
      </c>
      <c r="AL153" s="2" t="s">
        <v>3229</v>
      </c>
      <c r="AM153" s="2" t="s">
        <v>3230</v>
      </c>
      <c r="AN153" s="2" t="s">
        <v>3231</v>
      </c>
      <c r="AO153" s="2" t="s">
        <v>3232</v>
      </c>
      <c r="AP153" s="2" t="s">
        <v>3233</v>
      </c>
      <c r="AQ153" s="2"/>
      <c r="AR153" s="2" t="s">
        <v>3234</v>
      </c>
      <c r="AS153" s="2" t="s">
        <v>3235</v>
      </c>
      <c r="AT153" s="2" t="s">
        <v>195</v>
      </c>
      <c r="AU153" s="2">
        <v>2016.0</v>
      </c>
      <c r="AV153" s="2">
        <v>25.0</v>
      </c>
      <c r="AW153" s="2">
        <v>2.0</v>
      </c>
      <c r="AX153" s="2"/>
      <c r="AY153" s="2"/>
      <c r="AZ153" s="2"/>
      <c r="BA153" s="2"/>
      <c r="BB153" s="2">
        <v>229.0</v>
      </c>
      <c r="BC153" s="2">
        <v>237.0</v>
      </c>
      <c r="BD153" s="2"/>
      <c r="BE153" s="2" t="s">
        <v>3236</v>
      </c>
      <c r="BF153" s="3" t="str">
        <f>HYPERLINK("http://dx.doi.org/10.1007/s40299-015-0256-z","http://dx.doi.org/10.1007/s40299-015-0256-z")</f>
        <v>http://dx.doi.org/10.1007/s40299-015-0256-z</v>
      </c>
      <c r="BG153" s="2"/>
      <c r="BH153" s="2"/>
      <c r="BI153" s="2">
        <v>9.0</v>
      </c>
      <c r="BJ153" s="2" t="s">
        <v>331</v>
      </c>
      <c r="BK153" s="2" t="s">
        <v>166</v>
      </c>
      <c r="BL153" s="2" t="s">
        <v>331</v>
      </c>
      <c r="BM153" s="2" t="s">
        <v>3237</v>
      </c>
      <c r="BN153" s="2"/>
      <c r="BO153" s="2"/>
      <c r="BP153" s="2"/>
      <c r="BQ153" s="2"/>
      <c r="BR153" s="2" t="s">
        <v>99</v>
      </c>
      <c r="BS153" s="2" t="s">
        <v>3238</v>
      </c>
      <c r="BT153" s="2" t="str">
        <f>HYPERLINK("https%3A%2F%2Fwww.webofscience.com%2Fwos%2Fwoscc%2Ffull-record%2FWOS:000373136600005","View Full Record in Web of Science")</f>
        <v>View Full Record in Web of Science</v>
      </c>
    </row>
    <row r="154" ht="64.5" customHeight="1">
      <c r="A154" s="2" t="s">
        <v>72</v>
      </c>
      <c r="B154" s="2" t="s">
        <v>3239</v>
      </c>
      <c r="C154" s="2"/>
      <c r="D154" s="2"/>
      <c r="E154" s="2"/>
      <c r="F154" s="2" t="s">
        <v>3240</v>
      </c>
      <c r="G154" s="2"/>
      <c r="H154" s="2"/>
      <c r="I154" s="2" t="s">
        <v>3241</v>
      </c>
      <c r="J154" s="2" t="s">
        <v>2051</v>
      </c>
      <c r="K154" s="2"/>
      <c r="L154" s="2"/>
      <c r="M154" s="2" t="s">
        <v>116</v>
      </c>
      <c r="N154" s="2" t="s">
        <v>78</v>
      </c>
      <c r="O154" s="2"/>
      <c r="P154" s="2"/>
      <c r="Q154" s="2"/>
      <c r="R154" s="2"/>
      <c r="S154" s="2"/>
      <c r="T154" s="2" t="s">
        <v>3242</v>
      </c>
      <c r="U154" s="2" t="s">
        <v>3243</v>
      </c>
      <c r="V154" s="2" t="s">
        <v>3244</v>
      </c>
      <c r="W154" s="2" t="s">
        <v>3245</v>
      </c>
      <c r="X154" s="2" t="s">
        <v>3246</v>
      </c>
      <c r="Y154" s="2" t="s">
        <v>3247</v>
      </c>
      <c r="Z154" s="2" t="s">
        <v>3248</v>
      </c>
      <c r="AA154" s="2" t="s">
        <v>3249</v>
      </c>
      <c r="AB154" s="2" t="s">
        <v>3250</v>
      </c>
      <c r="AC154" s="2" t="s">
        <v>3251</v>
      </c>
      <c r="AD154" s="2" t="s">
        <v>3252</v>
      </c>
      <c r="AE154" s="2" t="s">
        <v>3253</v>
      </c>
      <c r="AF154" s="2" t="s">
        <v>3254</v>
      </c>
      <c r="AG154" s="2">
        <v>76.0</v>
      </c>
      <c r="AH154" s="2">
        <v>0.0</v>
      </c>
      <c r="AI154" s="2">
        <v>0.0</v>
      </c>
      <c r="AJ154" s="2">
        <v>6.0</v>
      </c>
      <c r="AK154" s="2">
        <v>6.0</v>
      </c>
      <c r="AL154" s="2" t="s">
        <v>3255</v>
      </c>
      <c r="AM154" s="2" t="s">
        <v>1221</v>
      </c>
      <c r="AN154" s="2" t="s">
        <v>3256</v>
      </c>
      <c r="AO154" s="2"/>
      <c r="AP154" s="2" t="s">
        <v>2061</v>
      </c>
      <c r="AQ154" s="2"/>
      <c r="AR154" s="2" t="s">
        <v>2051</v>
      </c>
      <c r="AS154" s="2" t="s">
        <v>2062</v>
      </c>
      <c r="AT154" s="2" t="s">
        <v>292</v>
      </c>
      <c r="AU154" s="2">
        <v>2023.0</v>
      </c>
      <c r="AV154" s="2">
        <v>9.0</v>
      </c>
      <c r="AW154" s="2">
        <v>11.0</v>
      </c>
      <c r="AX154" s="2"/>
      <c r="AY154" s="2"/>
      <c r="AZ154" s="2"/>
      <c r="BA154" s="2"/>
      <c r="BB154" s="2"/>
      <c r="BC154" s="2"/>
      <c r="BD154" s="2" t="s">
        <v>3257</v>
      </c>
      <c r="BE154" s="2" t="s">
        <v>3258</v>
      </c>
      <c r="BF154" s="3" t="str">
        <f>HYPERLINK("http://dx.doi.org/10.1016/j.heliyon.2023.e21474","http://dx.doi.org/10.1016/j.heliyon.2023.e21474")</f>
        <v>http://dx.doi.org/10.1016/j.heliyon.2023.e21474</v>
      </c>
      <c r="BG154" s="2"/>
      <c r="BH154" s="2" t="s">
        <v>1448</v>
      </c>
      <c r="BI154" s="2">
        <v>21.0</v>
      </c>
      <c r="BJ154" s="2" t="s">
        <v>2066</v>
      </c>
      <c r="BK154" s="2" t="s">
        <v>226</v>
      </c>
      <c r="BL154" s="2" t="s">
        <v>2067</v>
      </c>
      <c r="BM154" s="2" t="s">
        <v>3259</v>
      </c>
      <c r="BN154" s="2">
        <v>3.8027883E7</v>
      </c>
      <c r="BO154" s="2" t="s">
        <v>272</v>
      </c>
      <c r="BP154" s="2"/>
      <c r="BQ154" s="2"/>
      <c r="BR154" s="2" t="s">
        <v>99</v>
      </c>
      <c r="BS154" s="2" t="s">
        <v>3260</v>
      </c>
      <c r="BT154" s="2" t="str">
        <f>HYPERLINK("https%3A%2F%2Fwww.webofscience.com%2Fwos%2Fwoscc%2Ffull-record%2FWOS:001110986400001","View Full Record in Web of Science")</f>
        <v>View Full Record in Web of Science</v>
      </c>
    </row>
    <row r="155" ht="64.5" customHeight="1">
      <c r="A155" s="2" t="s">
        <v>72</v>
      </c>
      <c r="B155" s="2" t="s">
        <v>3261</v>
      </c>
      <c r="C155" s="2"/>
      <c r="D155" s="2"/>
      <c r="E155" s="2"/>
      <c r="F155" s="2" t="s">
        <v>3262</v>
      </c>
      <c r="G155" s="2"/>
      <c r="H155" s="2"/>
      <c r="I155" s="2" t="s">
        <v>3263</v>
      </c>
      <c r="J155" s="2" t="s">
        <v>142</v>
      </c>
      <c r="K155" s="2"/>
      <c r="L155" s="2"/>
      <c r="M155" s="2" t="s">
        <v>116</v>
      </c>
      <c r="N155" s="2" t="s">
        <v>1599</v>
      </c>
      <c r="O155" s="2"/>
      <c r="P155" s="2"/>
      <c r="Q155" s="2"/>
      <c r="R155" s="2"/>
      <c r="S155" s="2"/>
      <c r="T155" s="2" t="s">
        <v>3264</v>
      </c>
      <c r="U155" s="2" t="s">
        <v>3265</v>
      </c>
      <c r="V155" s="2" t="s">
        <v>3266</v>
      </c>
      <c r="W155" s="2" t="s">
        <v>3267</v>
      </c>
      <c r="X155" s="2" t="s">
        <v>3268</v>
      </c>
      <c r="Y155" s="2" t="s">
        <v>763</v>
      </c>
      <c r="Z155" s="2" t="s">
        <v>764</v>
      </c>
      <c r="AA155" s="2"/>
      <c r="AB155" s="2" t="s">
        <v>3269</v>
      </c>
      <c r="AC155" s="2"/>
      <c r="AD155" s="2"/>
      <c r="AE155" s="2"/>
      <c r="AF155" s="2" t="s">
        <v>3270</v>
      </c>
      <c r="AG155" s="2">
        <v>124.0</v>
      </c>
      <c r="AH155" s="2">
        <v>0.0</v>
      </c>
      <c r="AI155" s="2">
        <v>0.0</v>
      </c>
      <c r="AJ155" s="2">
        <v>13.0</v>
      </c>
      <c r="AK155" s="2">
        <v>13.0</v>
      </c>
      <c r="AL155" s="2" t="s">
        <v>156</v>
      </c>
      <c r="AM155" s="2" t="s">
        <v>157</v>
      </c>
      <c r="AN155" s="2" t="s">
        <v>158</v>
      </c>
      <c r="AO155" s="2" t="s">
        <v>159</v>
      </c>
      <c r="AP155" s="2" t="s">
        <v>160</v>
      </c>
      <c r="AQ155" s="2"/>
      <c r="AR155" s="2" t="s">
        <v>161</v>
      </c>
      <c r="AS155" s="2" t="s">
        <v>162</v>
      </c>
      <c r="AT155" s="2" t="s">
        <v>3271</v>
      </c>
      <c r="AU155" s="2">
        <v>2024.0</v>
      </c>
      <c r="AV155" s="2"/>
      <c r="AW155" s="2"/>
      <c r="AX155" s="2"/>
      <c r="AY155" s="2"/>
      <c r="AZ155" s="2"/>
      <c r="BA155" s="2"/>
      <c r="BB155" s="2"/>
      <c r="BC155" s="2"/>
      <c r="BD155" s="2"/>
      <c r="BE155" s="2" t="s">
        <v>3272</v>
      </c>
      <c r="BF155" s="3" t="str">
        <f>HYPERLINK("http://dx.doi.org/10.1080/13504622.2024.2326446","http://dx.doi.org/10.1080/13504622.2024.2326446")</f>
        <v>http://dx.doi.org/10.1080/13504622.2024.2326446</v>
      </c>
      <c r="BG155" s="2"/>
      <c r="BH155" s="2" t="s">
        <v>1075</v>
      </c>
      <c r="BI155" s="2">
        <v>25.0</v>
      </c>
      <c r="BJ155" s="2" t="s">
        <v>165</v>
      </c>
      <c r="BK155" s="2" t="s">
        <v>166</v>
      </c>
      <c r="BL155" s="2" t="s">
        <v>167</v>
      </c>
      <c r="BM155" s="2" t="s">
        <v>3273</v>
      </c>
      <c r="BN155" s="2"/>
      <c r="BO155" s="2" t="s">
        <v>201</v>
      </c>
      <c r="BP155" s="2"/>
      <c r="BQ155" s="2"/>
      <c r="BR155" s="2" t="s">
        <v>99</v>
      </c>
      <c r="BS155" s="2" t="s">
        <v>3274</v>
      </c>
      <c r="BT155" s="2" t="str">
        <f>HYPERLINK("https%3A%2F%2Fwww.webofscience.com%2Fwos%2Fwoscc%2Ffull-record%2FWOS:001185132300001","View Full Record in Web of Science")</f>
        <v>View Full Record in Web of Science</v>
      </c>
    </row>
    <row r="156" ht="64.5" customHeight="1">
      <c r="A156" s="2" t="s">
        <v>72</v>
      </c>
      <c r="B156" s="2" t="s">
        <v>3275</v>
      </c>
      <c r="C156" s="2"/>
      <c r="D156" s="2"/>
      <c r="E156" s="2"/>
      <c r="F156" s="2" t="s">
        <v>3276</v>
      </c>
      <c r="G156" s="2"/>
      <c r="H156" s="2"/>
      <c r="I156" s="2" t="s">
        <v>3277</v>
      </c>
      <c r="J156" s="2" t="s">
        <v>1576</v>
      </c>
      <c r="K156" s="2"/>
      <c r="L156" s="2"/>
      <c r="M156" s="2" t="s">
        <v>116</v>
      </c>
      <c r="N156" s="2" t="s">
        <v>78</v>
      </c>
      <c r="O156" s="2"/>
      <c r="P156" s="2"/>
      <c r="Q156" s="2"/>
      <c r="R156" s="2"/>
      <c r="S156" s="2"/>
      <c r="T156" s="2" t="s">
        <v>3278</v>
      </c>
      <c r="U156" s="2" t="s">
        <v>3279</v>
      </c>
      <c r="V156" s="2" t="s">
        <v>3280</v>
      </c>
      <c r="W156" s="2" t="s">
        <v>3281</v>
      </c>
      <c r="X156" s="2" t="s">
        <v>3282</v>
      </c>
      <c r="Y156" s="2" t="s">
        <v>3283</v>
      </c>
      <c r="Z156" s="2" t="s">
        <v>3284</v>
      </c>
      <c r="AA156" s="2" t="s">
        <v>3285</v>
      </c>
      <c r="AB156" s="2" t="s">
        <v>3286</v>
      </c>
      <c r="AC156" s="2" t="s">
        <v>3287</v>
      </c>
      <c r="AD156" s="2"/>
      <c r="AE156" s="2" t="s">
        <v>3288</v>
      </c>
      <c r="AF156" s="2" t="s">
        <v>3289</v>
      </c>
      <c r="AG156" s="2">
        <v>45.0</v>
      </c>
      <c r="AH156" s="2">
        <v>9.0</v>
      </c>
      <c r="AI156" s="2">
        <v>9.0</v>
      </c>
      <c r="AJ156" s="2">
        <v>2.0</v>
      </c>
      <c r="AK156" s="2">
        <v>11.0</v>
      </c>
      <c r="AL156" s="2" t="s">
        <v>383</v>
      </c>
      <c r="AM156" s="2" t="s">
        <v>384</v>
      </c>
      <c r="AN156" s="2" t="s">
        <v>385</v>
      </c>
      <c r="AO156" s="2"/>
      <c r="AP156" s="2" t="s">
        <v>1589</v>
      </c>
      <c r="AQ156" s="2"/>
      <c r="AR156" s="2" t="s">
        <v>1576</v>
      </c>
      <c r="AS156" s="2" t="s">
        <v>1590</v>
      </c>
      <c r="AT156" s="2" t="s">
        <v>222</v>
      </c>
      <c r="AU156" s="2">
        <v>2022.0</v>
      </c>
      <c r="AV156" s="2">
        <v>15.0</v>
      </c>
      <c r="AW156" s="2">
        <v>15.0</v>
      </c>
      <c r="AX156" s="2"/>
      <c r="AY156" s="2"/>
      <c r="AZ156" s="2"/>
      <c r="BA156" s="2"/>
      <c r="BB156" s="2"/>
      <c r="BC156" s="2"/>
      <c r="BD156" s="2">
        <v>5368.0</v>
      </c>
      <c r="BE156" s="2" t="s">
        <v>3290</v>
      </c>
      <c r="BF156" s="3" t="str">
        <f>HYPERLINK("http://dx.doi.org/10.3390/en15155368","http://dx.doi.org/10.3390/en15155368")</f>
        <v>http://dx.doi.org/10.3390/en15155368</v>
      </c>
      <c r="BG156" s="2"/>
      <c r="BH156" s="2"/>
      <c r="BI156" s="2">
        <v>20.0</v>
      </c>
      <c r="BJ156" s="2" t="s">
        <v>1592</v>
      </c>
      <c r="BK156" s="2" t="s">
        <v>226</v>
      </c>
      <c r="BL156" s="2" t="s">
        <v>1592</v>
      </c>
      <c r="BM156" s="2" t="s">
        <v>3291</v>
      </c>
      <c r="BN156" s="2"/>
      <c r="BO156" s="2" t="s">
        <v>255</v>
      </c>
      <c r="BP156" s="2"/>
      <c r="BQ156" s="2"/>
      <c r="BR156" s="2" t="s">
        <v>99</v>
      </c>
      <c r="BS156" s="2" t="s">
        <v>3292</v>
      </c>
      <c r="BT156" s="2" t="str">
        <f>HYPERLINK("https%3A%2F%2Fwww.webofscience.com%2Fwos%2Fwoscc%2Ffull-record%2FWOS:000839678400001","View Full Record in Web of Science")</f>
        <v>View Full Record in Web of Science</v>
      </c>
    </row>
    <row r="157" ht="64.5" customHeight="1">
      <c r="A157" s="2" t="s">
        <v>72</v>
      </c>
      <c r="B157" s="2" t="s">
        <v>3293</v>
      </c>
      <c r="C157" s="2"/>
      <c r="D157" s="2"/>
      <c r="E157" s="2"/>
      <c r="F157" s="2" t="s">
        <v>3294</v>
      </c>
      <c r="G157" s="2"/>
      <c r="H157" s="2"/>
      <c r="I157" s="2" t="s">
        <v>3295</v>
      </c>
      <c r="J157" s="2" t="s">
        <v>233</v>
      </c>
      <c r="K157" s="2"/>
      <c r="L157" s="2"/>
      <c r="M157" s="2" t="s">
        <v>116</v>
      </c>
      <c r="N157" s="2" t="s">
        <v>78</v>
      </c>
      <c r="O157" s="2"/>
      <c r="P157" s="2"/>
      <c r="Q157" s="2"/>
      <c r="R157" s="2"/>
      <c r="S157" s="2"/>
      <c r="T157" s="2" t="s">
        <v>3296</v>
      </c>
      <c r="U157" s="2" t="s">
        <v>3297</v>
      </c>
      <c r="V157" s="2" t="s">
        <v>3298</v>
      </c>
      <c r="W157" s="2" t="s">
        <v>3299</v>
      </c>
      <c r="X157" s="2" t="s">
        <v>3300</v>
      </c>
      <c r="Y157" s="2" t="s">
        <v>3301</v>
      </c>
      <c r="Z157" s="2" t="s">
        <v>3302</v>
      </c>
      <c r="AA157" s="2" t="s">
        <v>3303</v>
      </c>
      <c r="AB157" s="2" t="s">
        <v>3304</v>
      </c>
      <c r="AC157" s="2" t="s">
        <v>3305</v>
      </c>
      <c r="AD157" s="2" t="s">
        <v>3306</v>
      </c>
      <c r="AE157" s="2" t="s">
        <v>3307</v>
      </c>
      <c r="AF157" s="2" t="s">
        <v>3308</v>
      </c>
      <c r="AG157" s="2">
        <v>42.0</v>
      </c>
      <c r="AH157" s="2">
        <v>37.0</v>
      </c>
      <c r="AI157" s="2">
        <v>38.0</v>
      </c>
      <c r="AJ157" s="2">
        <v>4.0</v>
      </c>
      <c r="AK157" s="2">
        <v>36.0</v>
      </c>
      <c r="AL157" s="2" t="s">
        <v>246</v>
      </c>
      <c r="AM157" s="2" t="s">
        <v>247</v>
      </c>
      <c r="AN157" s="2" t="s">
        <v>248</v>
      </c>
      <c r="AO157" s="2"/>
      <c r="AP157" s="2" t="s">
        <v>249</v>
      </c>
      <c r="AQ157" s="2"/>
      <c r="AR157" s="2" t="s">
        <v>250</v>
      </c>
      <c r="AS157" s="2" t="s">
        <v>251</v>
      </c>
      <c r="AT157" s="2" t="s">
        <v>3309</v>
      </c>
      <c r="AU157" s="2">
        <v>2019.0</v>
      </c>
      <c r="AV157" s="2">
        <v>6.0</v>
      </c>
      <c r="AW157" s="2"/>
      <c r="AX157" s="2"/>
      <c r="AY157" s="2"/>
      <c r="AZ157" s="2"/>
      <c r="BA157" s="2"/>
      <c r="BB157" s="2"/>
      <c r="BC157" s="2"/>
      <c r="BD157" s="2">
        <v>360.0</v>
      </c>
      <c r="BE157" s="2" t="s">
        <v>3310</v>
      </c>
      <c r="BF157" s="3" t="str">
        <f>HYPERLINK("http://dx.doi.org/10.3389/fmars.2019.00360","http://dx.doi.org/10.3389/fmars.2019.00360")</f>
        <v>http://dx.doi.org/10.3389/fmars.2019.00360</v>
      </c>
      <c r="BG157" s="2"/>
      <c r="BH157" s="2"/>
      <c r="BI157" s="2">
        <v>20.0</v>
      </c>
      <c r="BJ157" s="2" t="s">
        <v>225</v>
      </c>
      <c r="BK157" s="2" t="s">
        <v>363</v>
      </c>
      <c r="BL157" s="2" t="s">
        <v>227</v>
      </c>
      <c r="BM157" s="2" t="s">
        <v>3311</v>
      </c>
      <c r="BN157" s="2"/>
      <c r="BO157" s="2" t="s">
        <v>255</v>
      </c>
      <c r="BP157" s="2"/>
      <c r="BQ157" s="2"/>
      <c r="BR157" s="2" t="s">
        <v>99</v>
      </c>
      <c r="BS157" s="2" t="s">
        <v>3312</v>
      </c>
      <c r="BT157" s="2" t="str">
        <f>HYPERLINK("https%3A%2F%2Fwww.webofscience.com%2Fwos%2Fwoscc%2Ffull-record%2FWOS:000473484700002","View Full Record in Web of Science")</f>
        <v>View Full Record in Web of Science</v>
      </c>
    </row>
    <row r="158" ht="64.5" customHeight="1">
      <c r="A158" s="2" t="s">
        <v>72</v>
      </c>
      <c r="B158" s="2" t="s">
        <v>3313</v>
      </c>
      <c r="C158" s="2"/>
      <c r="D158" s="2"/>
      <c r="E158" s="2"/>
      <c r="F158" s="2" t="s">
        <v>3314</v>
      </c>
      <c r="G158" s="2"/>
      <c r="H158" s="2"/>
      <c r="I158" s="2" t="s">
        <v>3315</v>
      </c>
      <c r="J158" s="2" t="s">
        <v>3316</v>
      </c>
      <c r="K158" s="2"/>
      <c r="L158" s="2"/>
      <c r="M158" s="2" t="s">
        <v>116</v>
      </c>
      <c r="N158" s="2" t="s">
        <v>78</v>
      </c>
      <c r="O158" s="2"/>
      <c r="P158" s="2"/>
      <c r="Q158" s="2"/>
      <c r="R158" s="2"/>
      <c r="S158" s="2"/>
      <c r="T158" s="2" t="s">
        <v>3317</v>
      </c>
      <c r="U158" s="2" t="s">
        <v>3318</v>
      </c>
      <c r="V158" s="2" t="s">
        <v>3319</v>
      </c>
      <c r="W158" s="2" t="s">
        <v>3320</v>
      </c>
      <c r="X158" s="2" t="s">
        <v>3321</v>
      </c>
      <c r="Y158" s="2" t="s">
        <v>3322</v>
      </c>
      <c r="Z158" s="2" t="s">
        <v>3323</v>
      </c>
      <c r="AA158" s="2" t="s">
        <v>3324</v>
      </c>
      <c r="AB158" s="2" t="s">
        <v>3325</v>
      </c>
      <c r="AC158" s="2" t="s">
        <v>3326</v>
      </c>
      <c r="AD158" s="2" t="s">
        <v>3327</v>
      </c>
      <c r="AE158" s="2" t="s">
        <v>3328</v>
      </c>
      <c r="AF158" s="2" t="s">
        <v>3329</v>
      </c>
      <c r="AG158" s="2">
        <v>45.0</v>
      </c>
      <c r="AH158" s="2">
        <v>12.0</v>
      </c>
      <c r="AI158" s="2">
        <v>14.0</v>
      </c>
      <c r="AJ158" s="2">
        <v>5.0</v>
      </c>
      <c r="AK158" s="2">
        <v>32.0</v>
      </c>
      <c r="AL158" s="2" t="s">
        <v>216</v>
      </c>
      <c r="AM158" s="2" t="s">
        <v>189</v>
      </c>
      <c r="AN158" s="2" t="s">
        <v>217</v>
      </c>
      <c r="AO158" s="2" t="s">
        <v>3330</v>
      </c>
      <c r="AP158" s="2" t="s">
        <v>3331</v>
      </c>
      <c r="AQ158" s="2"/>
      <c r="AR158" s="2" t="s">
        <v>3332</v>
      </c>
      <c r="AS158" s="2" t="s">
        <v>3333</v>
      </c>
      <c r="AT158" s="2" t="s">
        <v>222</v>
      </c>
      <c r="AU158" s="2">
        <v>2019.0</v>
      </c>
      <c r="AV158" s="2">
        <v>138.0</v>
      </c>
      <c r="AW158" s="2"/>
      <c r="AX158" s="2"/>
      <c r="AY158" s="2"/>
      <c r="AZ158" s="2"/>
      <c r="BA158" s="2"/>
      <c r="BB158" s="2">
        <v>1078.0</v>
      </c>
      <c r="BC158" s="2">
        <v>1086.0</v>
      </c>
      <c r="BD158" s="2"/>
      <c r="BE158" s="2" t="s">
        <v>3334</v>
      </c>
      <c r="BF158" s="3" t="str">
        <f>HYPERLINK("http://dx.doi.org/10.1016/j.renene.2019.02.047","http://dx.doi.org/10.1016/j.renene.2019.02.047")</f>
        <v>http://dx.doi.org/10.1016/j.renene.2019.02.047</v>
      </c>
      <c r="BG158" s="2"/>
      <c r="BH158" s="2"/>
      <c r="BI158" s="2">
        <v>9.0</v>
      </c>
      <c r="BJ158" s="2" t="s">
        <v>3335</v>
      </c>
      <c r="BK158" s="2" t="s">
        <v>363</v>
      </c>
      <c r="BL158" s="2" t="s">
        <v>3336</v>
      </c>
      <c r="BM158" s="2" t="s">
        <v>3337</v>
      </c>
      <c r="BN158" s="2"/>
      <c r="BO158" s="2" t="s">
        <v>201</v>
      </c>
      <c r="BP158" s="2"/>
      <c r="BQ158" s="2"/>
      <c r="BR158" s="2" t="s">
        <v>99</v>
      </c>
      <c r="BS158" s="2" t="s">
        <v>3338</v>
      </c>
      <c r="BT158" s="2" t="str">
        <f>HYPERLINK("https%3A%2F%2Fwww.webofscience.com%2Fwos%2Fwoscc%2Ffull-record%2FWOS:000465051900097","View Full Record in Web of Science")</f>
        <v>View Full Record in Web of Science</v>
      </c>
    </row>
    <row r="159" ht="64.5" customHeight="1">
      <c r="A159" s="2" t="s">
        <v>72</v>
      </c>
      <c r="B159" s="2" t="s">
        <v>3339</v>
      </c>
      <c r="C159" s="2"/>
      <c r="D159" s="2"/>
      <c r="E159" s="2"/>
      <c r="F159" s="2" t="s">
        <v>3340</v>
      </c>
      <c r="G159" s="2"/>
      <c r="H159" s="2"/>
      <c r="I159" s="2" t="s">
        <v>3341</v>
      </c>
      <c r="J159" s="2" t="s">
        <v>2489</v>
      </c>
      <c r="K159" s="2"/>
      <c r="L159" s="2"/>
      <c r="M159" s="2" t="s">
        <v>116</v>
      </c>
      <c r="N159" s="2" t="s">
        <v>78</v>
      </c>
      <c r="O159" s="2"/>
      <c r="P159" s="2"/>
      <c r="Q159" s="2"/>
      <c r="R159" s="2"/>
      <c r="S159" s="2"/>
      <c r="T159" s="2" t="s">
        <v>3342</v>
      </c>
      <c r="U159" s="2" t="s">
        <v>3343</v>
      </c>
      <c r="V159" s="2" t="s">
        <v>3344</v>
      </c>
      <c r="W159" s="2" t="s">
        <v>3345</v>
      </c>
      <c r="X159" s="2" t="s">
        <v>3346</v>
      </c>
      <c r="Y159" s="2" t="s">
        <v>3347</v>
      </c>
      <c r="Z159" s="2" t="s">
        <v>3348</v>
      </c>
      <c r="AA159" s="2"/>
      <c r="AB159" s="2"/>
      <c r="AC159" s="2" t="s">
        <v>3349</v>
      </c>
      <c r="AD159" s="2" t="s">
        <v>3350</v>
      </c>
      <c r="AE159" s="2" t="s">
        <v>3351</v>
      </c>
      <c r="AF159" s="2" t="s">
        <v>3352</v>
      </c>
      <c r="AG159" s="2">
        <v>87.0</v>
      </c>
      <c r="AH159" s="2">
        <v>15.0</v>
      </c>
      <c r="AI159" s="2">
        <v>15.0</v>
      </c>
      <c r="AJ159" s="2">
        <v>4.0</v>
      </c>
      <c r="AK159" s="2">
        <v>17.0</v>
      </c>
      <c r="AL159" s="2" t="s">
        <v>188</v>
      </c>
      <c r="AM159" s="2" t="s">
        <v>189</v>
      </c>
      <c r="AN159" s="2" t="s">
        <v>190</v>
      </c>
      <c r="AO159" s="2" t="s">
        <v>2501</v>
      </c>
      <c r="AP159" s="2" t="s">
        <v>2502</v>
      </c>
      <c r="AQ159" s="2"/>
      <c r="AR159" s="2" t="s">
        <v>2503</v>
      </c>
      <c r="AS159" s="2" t="s">
        <v>2504</v>
      </c>
      <c r="AT159" s="2" t="s">
        <v>844</v>
      </c>
      <c r="AU159" s="2">
        <v>2019.0</v>
      </c>
      <c r="AV159" s="2">
        <v>135.0</v>
      </c>
      <c r="AW159" s="2"/>
      <c r="AX159" s="2"/>
      <c r="AY159" s="2"/>
      <c r="AZ159" s="2"/>
      <c r="BA159" s="2"/>
      <c r="BB159" s="2"/>
      <c r="BC159" s="2"/>
      <c r="BD159" s="2">
        <v>111005.0</v>
      </c>
      <c r="BE159" s="2" t="s">
        <v>3353</v>
      </c>
      <c r="BF159" s="3" t="str">
        <f>HYPERLINK("http://dx.doi.org/10.1016/j.enpol.2019.111005","http://dx.doi.org/10.1016/j.enpol.2019.111005")</f>
        <v>http://dx.doi.org/10.1016/j.enpol.2019.111005</v>
      </c>
      <c r="BG159" s="2"/>
      <c r="BH159" s="2"/>
      <c r="BI159" s="2">
        <v>8.0</v>
      </c>
      <c r="BJ159" s="2" t="s">
        <v>2506</v>
      </c>
      <c r="BK159" s="2" t="s">
        <v>363</v>
      </c>
      <c r="BL159" s="2" t="s">
        <v>2507</v>
      </c>
      <c r="BM159" s="2" t="s">
        <v>3354</v>
      </c>
      <c r="BN159" s="2"/>
      <c r="BO159" s="2"/>
      <c r="BP159" s="2"/>
      <c r="BQ159" s="2"/>
      <c r="BR159" s="2" t="s">
        <v>99</v>
      </c>
      <c r="BS159" s="2" t="s">
        <v>3355</v>
      </c>
      <c r="BT159" s="2" t="str">
        <f>HYPERLINK("https%3A%2F%2Fwww.webofscience.com%2Fwos%2Fwoscc%2Ffull-record%2FWOS:000506465400010","View Full Record in Web of Science")</f>
        <v>View Full Record in Web of Science</v>
      </c>
    </row>
    <row r="160" ht="64.5" customHeight="1">
      <c r="A160" s="2" t="s">
        <v>72</v>
      </c>
      <c r="B160" s="2" t="s">
        <v>3356</v>
      </c>
      <c r="C160" s="2"/>
      <c r="D160" s="2"/>
      <c r="E160" s="2"/>
      <c r="F160" s="2" t="s">
        <v>3357</v>
      </c>
      <c r="G160" s="2"/>
      <c r="H160" s="2"/>
      <c r="I160" s="2" t="s">
        <v>3358</v>
      </c>
      <c r="J160" s="2" t="s">
        <v>3359</v>
      </c>
      <c r="K160" s="2"/>
      <c r="L160" s="2"/>
      <c r="M160" s="2" t="s">
        <v>116</v>
      </c>
      <c r="N160" s="2" t="s">
        <v>78</v>
      </c>
      <c r="O160" s="2"/>
      <c r="P160" s="2"/>
      <c r="Q160" s="2"/>
      <c r="R160" s="2"/>
      <c r="S160" s="2"/>
      <c r="T160" s="2" t="s">
        <v>3360</v>
      </c>
      <c r="U160" s="2" t="s">
        <v>3361</v>
      </c>
      <c r="V160" s="2" t="s">
        <v>3362</v>
      </c>
      <c r="W160" s="2" t="s">
        <v>3363</v>
      </c>
      <c r="X160" s="2" t="s">
        <v>3364</v>
      </c>
      <c r="Y160" s="2" t="s">
        <v>3365</v>
      </c>
      <c r="Z160" s="2" t="s">
        <v>3366</v>
      </c>
      <c r="AA160" s="2" t="s">
        <v>3367</v>
      </c>
      <c r="AB160" s="2" t="s">
        <v>3368</v>
      </c>
      <c r="AC160" s="2"/>
      <c r="AD160" s="2"/>
      <c r="AE160" s="2"/>
      <c r="AF160" s="2" t="s">
        <v>3369</v>
      </c>
      <c r="AG160" s="2">
        <v>91.0</v>
      </c>
      <c r="AH160" s="2">
        <v>3.0</v>
      </c>
      <c r="AI160" s="2">
        <v>3.0</v>
      </c>
      <c r="AJ160" s="2">
        <v>3.0</v>
      </c>
      <c r="AK160" s="2">
        <v>15.0</v>
      </c>
      <c r="AL160" s="2" t="s">
        <v>246</v>
      </c>
      <c r="AM160" s="2" t="s">
        <v>247</v>
      </c>
      <c r="AN160" s="2" t="s">
        <v>248</v>
      </c>
      <c r="AO160" s="2" t="s">
        <v>3370</v>
      </c>
      <c r="AP160" s="2"/>
      <c r="AQ160" s="2"/>
      <c r="AR160" s="2" t="s">
        <v>3371</v>
      </c>
      <c r="AS160" s="2" t="s">
        <v>3372</v>
      </c>
      <c r="AT160" s="2" t="s">
        <v>3373</v>
      </c>
      <c r="AU160" s="2">
        <v>2023.0</v>
      </c>
      <c r="AV160" s="2">
        <v>14.0</v>
      </c>
      <c r="AW160" s="2"/>
      <c r="AX160" s="2"/>
      <c r="AY160" s="2"/>
      <c r="AZ160" s="2"/>
      <c r="BA160" s="2"/>
      <c r="BB160" s="2"/>
      <c r="BC160" s="2"/>
      <c r="BD160" s="2">
        <v>1130596.0</v>
      </c>
      <c r="BE160" s="2" t="s">
        <v>3374</v>
      </c>
      <c r="BF160" s="3" t="str">
        <f>HYPERLINK("http://dx.doi.org/10.3389/fpsyg.2023.1130596","http://dx.doi.org/10.3389/fpsyg.2023.1130596")</f>
        <v>http://dx.doi.org/10.3389/fpsyg.2023.1130596</v>
      </c>
      <c r="BG160" s="2"/>
      <c r="BH160" s="2"/>
      <c r="BI160" s="2">
        <v>17.0</v>
      </c>
      <c r="BJ160" s="2" t="s">
        <v>3375</v>
      </c>
      <c r="BK160" s="2" t="s">
        <v>166</v>
      </c>
      <c r="BL160" s="2" t="s">
        <v>3376</v>
      </c>
      <c r="BM160" s="2" t="s">
        <v>3377</v>
      </c>
      <c r="BN160" s="2">
        <v>3.7388649E7</v>
      </c>
      <c r="BO160" s="2" t="s">
        <v>601</v>
      </c>
      <c r="BP160" s="2"/>
      <c r="BQ160" s="2"/>
      <c r="BR160" s="2" t="s">
        <v>99</v>
      </c>
      <c r="BS160" s="2" t="s">
        <v>3378</v>
      </c>
      <c r="BT160" s="2" t="str">
        <f>HYPERLINK("https%3A%2F%2Fwww.webofscience.com%2Fwos%2Fwoscc%2Ffull-record%2FWOS:001016129800001","View Full Record in Web of Science")</f>
        <v>View Full Record in Web of Science</v>
      </c>
    </row>
    <row r="161" ht="64.5" customHeight="1">
      <c r="A161" s="2" t="s">
        <v>72</v>
      </c>
      <c r="B161" s="2" t="s">
        <v>3379</v>
      </c>
      <c r="C161" s="2"/>
      <c r="D161" s="2"/>
      <c r="E161" s="2"/>
      <c r="F161" s="2" t="s">
        <v>3380</v>
      </c>
      <c r="G161" s="2"/>
      <c r="H161" s="2"/>
      <c r="I161" s="2" t="s">
        <v>3381</v>
      </c>
      <c r="J161" s="2" t="s">
        <v>851</v>
      </c>
      <c r="K161" s="2"/>
      <c r="L161" s="2"/>
      <c r="M161" s="2" t="s">
        <v>116</v>
      </c>
      <c r="N161" s="2" t="s">
        <v>78</v>
      </c>
      <c r="O161" s="2"/>
      <c r="P161" s="2"/>
      <c r="Q161" s="2"/>
      <c r="R161" s="2"/>
      <c r="S161" s="2"/>
      <c r="T161" s="2" t="s">
        <v>3382</v>
      </c>
      <c r="U161" s="2" t="s">
        <v>3383</v>
      </c>
      <c r="V161" s="2" t="s">
        <v>3384</v>
      </c>
      <c r="W161" s="2" t="s">
        <v>3385</v>
      </c>
      <c r="X161" s="2" t="s">
        <v>3386</v>
      </c>
      <c r="Y161" s="2" t="s">
        <v>3387</v>
      </c>
      <c r="Z161" s="2" t="s">
        <v>3388</v>
      </c>
      <c r="AA161" s="2" t="s">
        <v>3389</v>
      </c>
      <c r="AB161" s="2" t="s">
        <v>3390</v>
      </c>
      <c r="AC161" s="2"/>
      <c r="AD161" s="2"/>
      <c r="AE161" s="2"/>
      <c r="AF161" s="2" t="s">
        <v>3391</v>
      </c>
      <c r="AG161" s="2">
        <v>83.0</v>
      </c>
      <c r="AH161" s="2">
        <v>23.0</v>
      </c>
      <c r="AI161" s="2">
        <v>23.0</v>
      </c>
      <c r="AJ161" s="2">
        <v>1.0</v>
      </c>
      <c r="AK161" s="2">
        <v>30.0</v>
      </c>
      <c r="AL161" s="2" t="s">
        <v>188</v>
      </c>
      <c r="AM161" s="2" t="s">
        <v>189</v>
      </c>
      <c r="AN161" s="2" t="s">
        <v>190</v>
      </c>
      <c r="AO161" s="2" t="s">
        <v>863</v>
      </c>
      <c r="AP161" s="2" t="s">
        <v>864</v>
      </c>
      <c r="AQ161" s="2"/>
      <c r="AR161" s="2" t="s">
        <v>865</v>
      </c>
      <c r="AS161" s="2" t="s">
        <v>866</v>
      </c>
      <c r="AT161" s="2" t="s">
        <v>1114</v>
      </c>
      <c r="AU161" s="2">
        <v>2021.0</v>
      </c>
      <c r="AV161" s="2">
        <v>278.0</v>
      </c>
      <c r="AW161" s="2"/>
      <c r="AX161" s="2"/>
      <c r="AY161" s="2"/>
      <c r="AZ161" s="2"/>
      <c r="BA161" s="2"/>
      <c r="BB161" s="2"/>
      <c r="BC161" s="2"/>
      <c r="BD161" s="2">
        <v>123876.0</v>
      </c>
      <c r="BE161" s="2" t="s">
        <v>3392</v>
      </c>
      <c r="BF161" s="3" t="str">
        <f>HYPERLINK("http://dx.doi.org/10.1016/j.jclepro.2020.123876","http://dx.doi.org/10.1016/j.jclepro.2020.123876")</f>
        <v>http://dx.doi.org/10.1016/j.jclepro.2020.123876</v>
      </c>
      <c r="BG161" s="2"/>
      <c r="BH161" s="2"/>
      <c r="BI161" s="2">
        <v>12.0</v>
      </c>
      <c r="BJ161" s="2" t="s">
        <v>870</v>
      </c>
      <c r="BK161" s="2" t="s">
        <v>363</v>
      </c>
      <c r="BL161" s="2" t="s">
        <v>871</v>
      </c>
      <c r="BM161" s="2" t="s">
        <v>3393</v>
      </c>
      <c r="BN161" s="2"/>
      <c r="BO161" s="2" t="s">
        <v>2826</v>
      </c>
      <c r="BP161" s="2"/>
      <c r="BQ161" s="2"/>
      <c r="BR161" s="2" t="s">
        <v>99</v>
      </c>
      <c r="BS161" s="2" t="s">
        <v>3394</v>
      </c>
      <c r="BT161" s="2" t="str">
        <f>HYPERLINK("https%3A%2F%2Fwww.webofscience.com%2Fwos%2Fwoscc%2Ffull-record%2FWOS:000592392000018","View Full Record in Web of Science")</f>
        <v>View Full Record in Web of Science</v>
      </c>
    </row>
    <row r="162" ht="64.5" customHeight="1">
      <c r="A162" s="2" t="s">
        <v>72</v>
      </c>
      <c r="B162" s="2" t="s">
        <v>3395</v>
      </c>
      <c r="C162" s="2"/>
      <c r="D162" s="2"/>
      <c r="E162" s="2"/>
      <c r="F162" s="2" t="s">
        <v>3396</v>
      </c>
      <c r="G162" s="2"/>
      <c r="H162" s="2"/>
      <c r="I162" s="2" t="s">
        <v>3397</v>
      </c>
      <c r="J162" s="2" t="s">
        <v>233</v>
      </c>
      <c r="K162" s="2"/>
      <c r="L162" s="2"/>
      <c r="M162" s="2" t="s">
        <v>116</v>
      </c>
      <c r="N162" s="2" t="s">
        <v>78</v>
      </c>
      <c r="O162" s="2"/>
      <c r="P162" s="2"/>
      <c r="Q162" s="2"/>
      <c r="R162" s="2"/>
      <c r="S162" s="2"/>
      <c r="T162" s="2" t="s">
        <v>3398</v>
      </c>
      <c r="U162" s="2" t="s">
        <v>3399</v>
      </c>
      <c r="V162" s="2" t="s">
        <v>3400</v>
      </c>
      <c r="W162" s="2" t="s">
        <v>3401</v>
      </c>
      <c r="X162" s="2" t="s">
        <v>3402</v>
      </c>
      <c r="Y162" s="2" t="s">
        <v>3403</v>
      </c>
      <c r="Z162" s="2" t="s">
        <v>3404</v>
      </c>
      <c r="AA162" s="2" t="s">
        <v>3405</v>
      </c>
      <c r="AB162" s="2" t="s">
        <v>3406</v>
      </c>
      <c r="AC162" s="2" t="s">
        <v>3407</v>
      </c>
      <c r="AD162" s="2" t="s">
        <v>3408</v>
      </c>
      <c r="AE162" s="2" t="s">
        <v>3409</v>
      </c>
      <c r="AF162" s="2" t="s">
        <v>3410</v>
      </c>
      <c r="AG162" s="2">
        <v>33.0</v>
      </c>
      <c r="AH162" s="2">
        <v>6.0</v>
      </c>
      <c r="AI162" s="2">
        <v>6.0</v>
      </c>
      <c r="AJ162" s="2">
        <v>3.0</v>
      </c>
      <c r="AK162" s="2">
        <v>28.0</v>
      </c>
      <c r="AL162" s="2" t="s">
        <v>246</v>
      </c>
      <c r="AM162" s="2" t="s">
        <v>247</v>
      </c>
      <c r="AN162" s="2" t="s">
        <v>248</v>
      </c>
      <c r="AO162" s="2"/>
      <c r="AP162" s="2" t="s">
        <v>249</v>
      </c>
      <c r="AQ162" s="2"/>
      <c r="AR162" s="2" t="s">
        <v>250</v>
      </c>
      <c r="AS162" s="2" t="s">
        <v>251</v>
      </c>
      <c r="AT162" s="2" t="s">
        <v>3411</v>
      </c>
      <c r="AU162" s="2">
        <v>2021.0</v>
      </c>
      <c r="AV162" s="2">
        <v>8.0</v>
      </c>
      <c r="AW162" s="2"/>
      <c r="AX162" s="2"/>
      <c r="AY162" s="2"/>
      <c r="AZ162" s="2"/>
      <c r="BA162" s="2"/>
      <c r="BB162" s="2"/>
      <c r="BC162" s="2"/>
      <c r="BD162" s="2">
        <v>699122.0</v>
      </c>
      <c r="BE162" s="2" t="s">
        <v>3412</v>
      </c>
      <c r="BF162" s="3" t="str">
        <f>HYPERLINK("http://dx.doi.org/10.3389/fmars.2021.699122","http://dx.doi.org/10.3389/fmars.2021.699122")</f>
        <v>http://dx.doi.org/10.3389/fmars.2021.699122</v>
      </c>
      <c r="BG162" s="2"/>
      <c r="BH162" s="2"/>
      <c r="BI162" s="2">
        <v>9.0</v>
      </c>
      <c r="BJ162" s="2" t="s">
        <v>225</v>
      </c>
      <c r="BK162" s="2" t="s">
        <v>363</v>
      </c>
      <c r="BL162" s="2" t="s">
        <v>227</v>
      </c>
      <c r="BM162" s="2" t="s">
        <v>3413</v>
      </c>
      <c r="BN162" s="2"/>
      <c r="BO162" s="2" t="s">
        <v>272</v>
      </c>
      <c r="BP162" s="2"/>
      <c r="BQ162" s="2"/>
      <c r="BR162" s="2" t="s">
        <v>99</v>
      </c>
      <c r="BS162" s="2" t="s">
        <v>3414</v>
      </c>
      <c r="BT162" s="2" t="str">
        <f>HYPERLINK("https%3A%2F%2Fwww.webofscience.com%2Fwos%2Fwoscc%2Ffull-record%2FWOS:000677851100001","View Full Record in Web of Science")</f>
        <v>View Full Record in Web of Science</v>
      </c>
    </row>
    <row r="163" ht="64.5" customHeight="1">
      <c r="A163" s="2" t="s">
        <v>72</v>
      </c>
      <c r="B163" s="2" t="s">
        <v>2918</v>
      </c>
      <c r="C163" s="2"/>
      <c r="D163" s="2"/>
      <c r="E163" s="2"/>
      <c r="F163" s="2" t="s">
        <v>2919</v>
      </c>
      <c r="G163" s="2"/>
      <c r="H163" s="2"/>
      <c r="I163" s="2" t="s">
        <v>3415</v>
      </c>
      <c r="J163" s="2" t="s">
        <v>2921</v>
      </c>
      <c r="K163" s="2"/>
      <c r="L163" s="2"/>
      <c r="M163" s="2" t="s">
        <v>116</v>
      </c>
      <c r="N163" s="2" t="s">
        <v>78</v>
      </c>
      <c r="O163" s="2"/>
      <c r="P163" s="2"/>
      <c r="Q163" s="2"/>
      <c r="R163" s="2"/>
      <c r="S163" s="2"/>
      <c r="T163" s="2" t="s">
        <v>3416</v>
      </c>
      <c r="U163" s="2" t="s">
        <v>3417</v>
      </c>
      <c r="V163" s="2" t="s">
        <v>3418</v>
      </c>
      <c r="W163" s="2" t="s">
        <v>2925</v>
      </c>
      <c r="X163" s="2" t="s">
        <v>2926</v>
      </c>
      <c r="Y163" s="2" t="s">
        <v>2927</v>
      </c>
      <c r="Z163" s="2" t="s">
        <v>2928</v>
      </c>
      <c r="AA163" s="2"/>
      <c r="AB163" s="2" t="s">
        <v>2929</v>
      </c>
      <c r="AC163" s="2" t="s">
        <v>3419</v>
      </c>
      <c r="AD163" s="2" t="s">
        <v>3419</v>
      </c>
      <c r="AE163" s="2" t="s">
        <v>3420</v>
      </c>
      <c r="AF163" s="2" t="s">
        <v>3421</v>
      </c>
      <c r="AG163" s="2">
        <v>33.0</v>
      </c>
      <c r="AH163" s="2">
        <v>3.0</v>
      </c>
      <c r="AI163" s="2">
        <v>3.0</v>
      </c>
      <c r="AJ163" s="2">
        <v>0.0</v>
      </c>
      <c r="AK163" s="2">
        <v>2.0</v>
      </c>
      <c r="AL163" s="2" t="s">
        <v>2933</v>
      </c>
      <c r="AM163" s="2" t="s">
        <v>2934</v>
      </c>
      <c r="AN163" s="2" t="s">
        <v>2935</v>
      </c>
      <c r="AO163" s="2" t="s">
        <v>2936</v>
      </c>
      <c r="AP163" s="2" t="s">
        <v>2937</v>
      </c>
      <c r="AQ163" s="2"/>
      <c r="AR163" s="2" t="s">
        <v>2938</v>
      </c>
      <c r="AS163" s="2" t="s">
        <v>2939</v>
      </c>
      <c r="AT163" s="2" t="s">
        <v>844</v>
      </c>
      <c r="AU163" s="2">
        <v>2021.0</v>
      </c>
      <c r="AV163" s="2">
        <v>40.0</v>
      </c>
      <c r="AW163" s="2">
        <v>3.0</v>
      </c>
      <c r="AX163" s="2"/>
      <c r="AY163" s="2"/>
      <c r="AZ163" s="2"/>
      <c r="BA163" s="2"/>
      <c r="BB163" s="2">
        <v>549.0</v>
      </c>
      <c r="BC163" s="2">
        <v>553.0</v>
      </c>
      <c r="BD163" s="2"/>
      <c r="BE163" s="2" t="s">
        <v>3422</v>
      </c>
      <c r="BF163" s="3" t="str">
        <f>HYPERLINK("http://dx.doi.org/10.2983/035.040.0311","http://dx.doi.org/10.2983/035.040.0311")</f>
        <v>http://dx.doi.org/10.2983/035.040.0311</v>
      </c>
      <c r="BG163" s="2"/>
      <c r="BH163" s="2"/>
      <c r="BI163" s="2">
        <v>5.0</v>
      </c>
      <c r="BJ163" s="2" t="s">
        <v>362</v>
      </c>
      <c r="BK163" s="2" t="s">
        <v>226</v>
      </c>
      <c r="BL163" s="2" t="s">
        <v>362</v>
      </c>
      <c r="BM163" s="2" t="s">
        <v>3423</v>
      </c>
      <c r="BN163" s="2"/>
      <c r="BO163" s="2"/>
      <c r="BP163" s="2"/>
      <c r="BQ163" s="2"/>
      <c r="BR163" s="2" t="s">
        <v>99</v>
      </c>
      <c r="BS163" s="2" t="s">
        <v>3424</v>
      </c>
      <c r="BT163" s="2" t="str">
        <f>HYPERLINK("https%3A%2F%2Fwww.webofscience.com%2Fwos%2Fwoscc%2Ffull-record%2FWOS:000741934800011","View Full Record in Web of Science")</f>
        <v>View Full Record in Web of Science</v>
      </c>
    </row>
    <row r="164" ht="64.5" customHeight="1">
      <c r="A164" s="2" t="s">
        <v>72</v>
      </c>
      <c r="B164" s="2" t="s">
        <v>3425</v>
      </c>
      <c r="C164" s="2"/>
      <c r="D164" s="2"/>
      <c r="E164" s="2"/>
      <c r="F164" s="2" t="s">
        <v>3426</v>
      </c>
      <c r="G164" s="2"/>
      <c r="H164" s="2"/>
      <c r="I164" s="2" t="s">
        <v>3427</v>
      </c>
      <c r="J164" s="2" t="s">
        <v>3428</v>
      </c>
      <c r="K164" s="2"/>
      <c r="L164" s="2"/>
      <c r="M164" s="2" t="s">
        <v>116</v>
      </c>
      <c r="N164" s="2" t="s">
        <v>78</v>
      </c>
      <c r="O164" s="2"/>
      <c r="P164" s="2"/>
      <c r="Q164" s="2"/>
      <c r="R164" s="2"/>
      <c r="S164" s="2"/>
      <c r="T164" s="4" t="s">
        <v>121</v>
      </c>
      <c r="U164" s="2" t="s">
        <v>3429</v>
      </c>
      <c r="V164" s="2" t="s">
        <v>3430</v>
      </c>
      <c r="W164" s="2" t="s">
        <v>3431</v>
      </c>
      <c r="X164" s="2" t="s">
        <v>3432</v>
      </c>
      <c r="Y164" s="2" t="s">
        <v>3433</v>
      </c>
      <c r="Z164" s="2" t="s">
        <v>3434</v>
      </c>
      <c r="AA164" s="2"/>
      <c r="AB164" s="2" t="s">
        <v>3435</v>
      </c>
      <c r="AC164" s="2" t="s">
        <v>3436</v>
      </c>
      <c r="AD164" s="2" t="s">
        <v>3437</v>
      </c>
      <c r="AE164" s="2" t="s">
        <v>3438</v>
      </c>
      <c r="AF164" s="2" t="s">
        <v>3439</v>
      </c>
      <c r="AG164" s="2">
        <v>45.0</v>
      </c>
      <c r="AH164" s="2">
        <v>1.0</v>
      </c>
      <c r="AI164" s="2">
        <v>1.0</v>
      </c>
      <c r="AJ164" s="2">
        <v>3.0</v>
      </c>
      <c r="AK164" s="2">
        <v>12.0</v>
      </c>
      <c r="AL164" s="2" t="s">
        <v>3440</v>
      </c>
      <c r="AM164" s="2" t="s">
        <v>3441</v>
      </c>
      <c r="AN164" s="2" t="s">
        <v>3442</v>
      </c>
      <c r="AO164" s="2" t="s">
        <v>3443</v>
      </c>
      <c r="AP164" s="2"/>
      <c r="AQ164" s="2"/>
      <c r="AR164" s="2" t="s">
        <v>3428</v>
      </c>
      <c r="AS164" s="2" t="s">
        <v>3444</v>
      </c>
      <c r="AT164" s="2" t="s">
        <v>3445</v>
      </c>
      <c r="AU164" s="2">
        <v>2023.0</v>
      </c>
      <c r="AV164" s="2">
        <v>8.0</v>
      </c>
      <c r="AW164" s="2">
        <v>5.0</v>
      </c>
      <c r="AX164" s="2"/>
      <c r="AY164" s="2"/>
      <c r="AZ164" s="2"/>
      <c r="BA164" s="2"/>
      <c r="BB164" s="2">
        <v>4430.0</v>
      </c>
      <c r="BC164" s="2">
        <v>4435.0</v>
      </c>
      <c r="BD164" s="2"/>
      <c r="BE164" s="2" t="s">
        <v>3446</v>
      </c>
      <c r="BF164" s="3" t="str">
        <f>HYPERLINK("http://dx.doi.org/10.1021/acsomega.2c07674","http://dx.doi.org/10.1021/acsomega.2c07674")</f>
        <v>http://dx.doi.org/10.1021/acsomega.2c07674</v>
      </c>
      <c r="BG164" s="2"/>
      <c r="BH164" s="2"/>
      <c r="BI164" s="2">
        <v>6.0</v>
      </c>
      <c r="BJ164" s="2" t="s">
        <v>3447</v>
      </c>
      <c r="BK164" s="2" t="s">
        <v>226</v>
      </c>
      <c r="BL164" s="2" t="s">
        <v>3448</v>
      </c>
      <c r="BM164" s="2" t="s">
        <v>3449</v>
      </c>
      <c r="BN164" s="2">
        <v>3.6777591E7</v>
      </c>
      <c r="BO164" s="2" t="s">
        <v>601</v>
      </c>
      <c r="BP164" s="2"/>
      <c r="BQ164" s="2"/>
      <c r="BR164" s="2" t="s">
        <v>99</v>
      </c>
      <c r="BS164" s="2" t="s">
        <v>3450</v>
      </c>
      <c r="BT164" s="2" t="str">
        <f>HYPERLINK("https%3A%2F%2Fwww.webofscience.com%2Fwos%2Fwoscc%2Ffull-record%2FWOS:000931668200001","View Full Record in Web of Science")</f>
        <v>View Full Record in Web of Science</v>
      </c>
    </row>
    <row r="165" ht="64.5" customHeight="1">
      <c r="A165" s="2" t="s">
        <v>72</v>
      </c>
      <c r="B165" s="2" t="s">
        <v>3451</v>
      </c>
      <c r="C165" s="2"/>
      <c r="D165" s="2"/>
      <c r="E165" s="2"/>
      <c r="F165" s="2" t="s">
        <v>3452</v>
      </c>
      <c r="G165" s="2"/>
      <c r="H165" s="2"/>
      <c r="I165" s="2" t="s">
        <v>3453</v>
      </c>
      <c r="J165" s="2" t="s">
        <v>712</v>
      </c>
      <c r="K165" s="2"/>
      <c r="L165" s="2"/>
      <c r="M165" s="2" t="s">
        <v>116</v>
      </c>
      <c r="N165" s="2" t="s">
        <v>78</v>
      </c>
      <c r="O165" s="2"/>
      <c r="P165" s="2"/>
      <c r="Q165" s="2"/>
      <c r="R165" s="2"/>
      <c r="S165" s="2"/>
      <c r="T165" s="2" t="s">
        <v>3454</v>
      </c>
      <c r="U165" s="2" t="s">
        <v>3455</v>
      </c>
      <c r="V165" s="2" t="s">
        <v>3456</v>
      </c>
      <c r="W165" s="2" t="s">
        <v>3457</v>
      </c>
      <c r="X165" s="2" t="s">
        <v>3458</v>
      </c>
      <c r="Y165" s="2" t="s">
        <v>3459</v>
      </c>
      <c r="Z165" s="2" t="s">
        <v>1914</v>
      </c>
      <c r="AA165" s="2" t="s">
        <v>3172</v>
      </c>
      <c r="AB165" s="2" t="s">
        <v>3460</v>
      </c>
      <c r="AC165" s="2"/>
      <c r="AD165" s="2"/>
      <c r="AE165" s="2"/>
      <c r="AF165" s="2" t="s">
        <v>3461</v>
      </c>
      <c r="AG165" s="2">
        <v>47.0</v>
      </c>
      <c r="AH165" s="2">
        <v>5.0</v>
      </c>
      <c r="AI165" s="2">
        <v>5.0</v>
      </c>
      <c r="AJ165" s="2">
        <v>1.0</v>
      </c>
      <c r="AK165" s="2">
        <v>2.0</v>
      </c>
      <c r="AL165" s="2" t="s">
        <v>726</v>
      </c>
      <c r="AM165" s="2" t="s">
        <v>727</v>
      </c>
      <c r="AN165" s="2" t="s">
        <v>728</v>
      </c>
      <c r="AO165" s="2" t="s">
        <v>729</v>
      </c>
      <c r="AP165" s="2"/>
      <c r="AQ165" s="2"/>
      <c r="AR165" s="2" t="s">
        <v>730</v>
      </c>
      <c r="AS165" s="2" t="s">
        <v>731</v>
      </c>
      <c r="AT165" s="2"/>
      <c r="AU165" s="2">
        <v>2022.0</v>
      </c>
      <c r="AV165" s="2">
        <v>23.0</v>
      </c>
      <c r="AW165" s="2">
        <v>2.0</v>
      </c>
      <c r="AX165" s="2"/>
      <c r="AY165" s="2"/>
      <c r="AZ165" s="2"/>
      <c r="BA165" s="2"/>
      <c r="BB165" s="2">
        <v>302.0</v>
      </c>
      <c r="BC165" s="2">
        <v>309.0</v>
      </c>
      <c r="BD165" s="2"/>
      <c r="BE165" s="2" t="s">
        <v>3462</v>
      </c>
      <c r="BF165" s="3" t="str">
        <f>HYPERLINK("http://dx.doi.org/10.12681/mms.29172","http://dx.doi.org/10.12681/mms.29172")</f>
        <v>http://dx.doi.org/10.12681/mms.29172</v>
      </c>
      <c r="BG165" s="2"/>
      <c r="BH165" s="2"/>
      <c r="BI165" s="2">
        <v>9.0</v>
      </c>
      <c r="BJ165" s="2" t="s">
        <v>733</v>
      </c>
      <c r="BK165" s="2" t="s">
        <v>226</v>
      </c>
      <c r="BL165" s="2" t="s">
        <v>734</v>
      </c>
      <c r="BM165" s="2" t="s">
        <v>735</v>
      </c>
      <c r="BN165" s="2"/>
      <c r="BO165" s="2"/>
      <c r="BP165" s="2"/>
      <c r="BQ165" s="2"/>
      <c r="BR165" s="2" t="s">
        <v>99</v>
      </c>
      <c r="BS165" s="2" t="s">
        <v>3463</v>
      </c>
      <c r="BT165" s="2" t="str">
        <f>HYPERLINK("https%3A%2F%2Fwww.webofscience.com%2Fwos%2Fwoscc%2Ffull-record%2FWOS:000782982600004","View Full Record in Web of Science")</f>
        <v>View Full Record in Web of Science</v>
      </c>
    </row>
    <row r="166" ht="64.5" customHeight="1">
      <c r="A166" s="2" t="s">
        <v>72</v>
      </c>
      <c r="B166" s="2" t="s">
        <v>3464</v>
      </c>
      <c r="C166" s="2"/>
      <c r="D166" s="2"/>
      <c r="E166" s="2"/>
      <c r="F166" s="2" t="s">
        <v>3465</v>
      </c>
      <c r="G166" s="2"/>
      <c r="H166" s="2"/>
      <c r="I166" s="2" t="s">
        <v>3466</v>
      </c>
      <c r="J166" s="2" t="s">
        <v>3467</v>
      </c>
      <c r="K166" s="2"/>
      <c r="L166" s="2"/>
      <c r="M166" s="2" t="s">
        <v>116</v>
      </c>
      <c r="N166" s="2" t="s">
        <v>78</v>
      </c>
      <c r="O166" s="2"/>
      <c r="P166" s="2"/>
      <c r="Q166" s="2"/>
      <c r="R166" s="2"/>
      <c r="S166" s="2"/>
      <c r="T166" s="2" t="s">
        <v>3468</v>
      </c>
      <c r="U166" s="2" t="s">
        <v>3469</v>
      </c>
      <c r="V166" s="2" t="s">
        <v>3470</v>
      </c>
      <c r="W166" s="2" t="s">
        <v>3471</v>
      </c>
      <c r="X166" s="2" t="s">
        <v>3472</v>
      </c>
      <c r="Y166" s="2" t="s">
        <v>3473</v>
      </c>
      <c r="Z166" s="2" t="s">
        <v>3474</v>
      </c>
      <c r="AA166" s="2" t="s">
        <v>3475</v>
      </c>
      <c r="AB166" s="2" t="s">
        <v>3476</v>
      </c>
      <c r="AC166" s="2" t="s">
        <v>3477</v>
      </c>
      <c r="AD166" s="2" t="s">
        <v>3478</v>
      </c>
      <c r="AE166" s="2" t="s">
        <v>3479</v>
      </c>
      <c r="AF166" s="2" t="s">
        <v>3480</v>
      </c>
      <c r="AG166" s="2">
        <v>67.0</v>
      </c>
      <c r="AH166" s="2">
        <v>11.0</v>
      </c>
      <c r="AI166" s="2">
        <v>11.0</v>
      </c>
      <c r="AJ166" s="2">
        <v>3.0</v>
      </c>
      <c r="AK166" s="2">
        <v>8.0</v>
      </c>
      <c r="AL166" s="2" t="s">
        <v>351</v>
      </c>
      <c r="AM166" s="2" t="s">
        <v>352</v>
      </c>
      <c r="AN166" s="2" t="s">
        <v>353</v>
      </c>
      <c r="AO166" s="2" t="s">
        <v>3481</v>
      </c>
      <c r="AP166" s="2" t="s">
        <v>3482</v>
      </c>
      <c r="AQ166" s="2"/>
      <c r="AR166" s="2" t="s">
        <v>3483</v>
      </c>
      <c r="AS166" s="2" t="s">
        <v>3484</v>
      </c>
      <c r="AT166" s="2" t="s">
        <v>195</v>
      </c>
      <c r="AU166" s="2">
        <v>2021.0</v>
      </c>
      <c r="AV166" s="2">
        <v>14.0</v>
      </c>
      <c r="AW166" s="2">
        <v>4.0</v>
      </c>
      <c r="AX166" s="2"/>
      <c r="AY166" s="2"/>
      <c r="AZ166" s="2"/>
      <c r="BA166" s="2"/>
      <c r="BB166" s="2"/>
      <c r="BC166" s="2"/>
      <c r="BD166" s="2">
        <v>39.0</v>
      </c>
      <c r="BE166" s="2" t="s">
        <v>3485</v>
      </c>
      <c r="BF166" s="3" t="str">
        <f>HYPERLINK("http://dx.doi.org/10.1007/s12053-021-09952-1","http://dx.doi.org/10.1007/s12053-021-09952-1")</f>
        <v>http://dx.doi.org/10.1007/s12053-021-09952-1</v>
      </c>
      <c r="BG166" s="2"/>
      <c r="BH166" s="2"/>
      <c r="BI166" s="2">
        <v>28.0</v>
      </c>
      <c r="BJ166" s="2" t="s">
        <v>3486</v>
      </c>
      <c r="BK166" s="2" t="s">
        <v>363</v>
      </c>
      <c r="BL166" s="2" t="s">
        <v>3487</v>
      </c>
      <c r="BM166" s="2" t="s">
        <v>3488</v>
      </c>
      <c r="BN166" s="2"/>
      <c r="BO166" s="2"/>
      <c r="BP166" s="2"/>
      <c r="BQ166" s="2"/>
      <c r="BR166" s="2" t="s">
        <v>99</v>
      </c>
      <c r="BS166" s="2" t="s">
        <v>3489</v>
      </c>
      <c r="BT166" s="2" t="str">
        <f>HYPERLINK("https%3A%2F%2Fwww.webofscience.com%2Fwos%2Fwoscc%2Ffull-record%2FWOS:000639108000001","View Full Record in Web of Science")</f>
        <v>View Full Record in Web of Science</v>
      </c>
    </row>
    <row r="167" ht="64.5" customHeight="1">
      <c r="A167" s="2" t="s">
        <v>110</v>
      </c>
      <c r="B167" s="2" t="s">
        <v>3490</v>
      </c>
      <c r="C167" s="2"/>
      <c r="D167" s="2"/>
      <c r="E167" s="2" t="s">
        <v>3491</v>
      </c>
      <c r="F167" s="2" t="s">
        <v>3492</v>
      </c>
      <c r="G167" s="2"/>
      <c r="H167" s="2"/>
      <c r="I167" s="2" t="s">
        <v>3493</v>
      </c>
      <c r="J167" s="2" t="s">
        <v>3494</v>
      </c>
      <c r="K167" s="2"/>
      <c r="L167" s="2"/>
      <c r="M167" s="2" t="s">
        <v>116</v>
      </c>
      <c r="N167" s="2" t="s">
        <v>117</v>
      </c>
      <c r="O167" s="2" t="s">
        <v>3495</v>
      </c>
      <c r="P167" s="2" t="s">
        <v>3496</v>
      </c>
      <c r="Q167" s="2" t="s">
        <v>3497</v>
      </c>
      <c r="R167" s="2"/>
      <c r="S167" s="2"/>
      <c r="T167" s="2" t="s">
        <v>3498</v>
      </c>
      <c r="U167" s="2" t="s">
        <v>3499</v>
      </c>
      <c r="V167" s="2" t="s">
        <v>3500</v>
      </c>
      <c r="W167" s="2" t="s">
        <v>3501</v>
      </c>
      <c r="X167" s="2" t="s">
        <v>3502</v>
      </c>
      <c r="Y167" s="2" t="s">
        <v>3503</v>
      </c>
      <c r="Z167" s="2"/>
      <c r="AA167" s="2"/>
      <c r="AB167" s="2"/>
      <c r="AC167" s="2" t="s">
        <v>3504</v>
      </c>
      <c r="AD167" s="2" t="s">
        <v>3504</v>
      </c>
      <c r="AE167" s="2" t="s">
        <v>3505</v>
      </c>
      <c r="AF167" s="2" t="s">
        <v>3506</v>
      </c>
      <c r="AG167" s="2">
        <v>26.0</v>
      </c>
      <c r="AH167" s="2">
        <v>0.0</v>
      </c>
      <c r="AI167" s="2">
        <v>0.0</v>
      </c>
      <c r="AJ167" s="2">
        <v>0.0</v>
      </c>
      <c r="AK167" s="2">
        <v>0.0</v>
      </c>
      <c r="AL167" s="2" t="s">
        <v>3491</v>
      </c>
      <c r="AM167" s="2" t="s">
        <v>130</v>
      </c>
      <c r="AN167" s="2" t="s">
        <v>3507</v>
      </c>
      <c r="AO167" s="2"/>
      <c r="AP167" s="2"/>
      <c r="AQ167" s="2" t="s">
        <v>3508</v>
      </c>
      <c r="AR167" s="2"/>
      <c r="AS167" s="2"/>
      <c r="AT167" s="2"/>
      <c r="AU167" s="2">
        <v>2022.0</v>
      </c>
      <c r="AV167" s="2"/>
      <c r="AW167" s="2"/>
      <c r="AX167" s="2"/>
      <c r="AY167" s="2"/>
      <c r="AZ167" s="2"/>
      <c r="BA167" s="2"/>
      <c r="BB167" s="2"/>
      <c r="BC167" s="2"/>
      <c r="BD167" s="2" t="s">
        <v>3509</v>
      </c>
      <c r="BE167" s="2"/>
      <c r="BF167" s="2"/>
      <c r="BG167" s="2"/>
      <c r="BH167" s="2"/>
      <c r="BI167" s="2">
        <v>9.0</v>
      </c>
      <c r="BJ167" s="2" t="s">
        <v>3510</v>
      </c>
      <c r="BK167" s="2" t="s">
        <v>135</v>
      </c>
      <c r="BL167" s="2" t="s">
        <v>3511</v>
      </c>
      <c r="BM167" s="2" t="s">
        <v>3512</v>
      </c>
      <c r="BN167" s="2"/>
      <c r="BO167" s="2"/>
      <c r="BP167" s="2"/>
      <c r="BQ167" s="2"/>
      <c r="BR167" s="2" t="s">
        <v>99</v>
      </c>
      <c r="BS167" s="2" t="s">
        <v>3513</v>
      </c>
      <c r="BT167" s="2" t="str">
        <f>HYPERLINK("https%3A%2F%2Fwww.webofscience.com%2Fwos%2Fwoscc%2Ffull-record%2FWOS:001216084300006","View Full Record in Web of Science")</f>
        <v>View Full Record in Web of Science</v>
      </c>
    </row>
    <row r="168" ht="64.5" customHeight="1">
      <c r="A168" s="2" t="s">
        <v>110</v>
      </c>
      <c r="B168" s="2" t="s">
        <v>3514</v>
      </c>
      <c r="C168" s="2"/>
      <c r="D168" s="2"/>
      <c r="E168" s="2" t="s">
        <v>129</v>
      </c>
      <c r="F168" s="2" t="s">
        <v>3515</v>
      </c>
      <c r="G168" s="2"/>
      <c r="H168" s="2"/>
      <c r="I168" s="2" t="s">
        <v>3516</v>
      </c>
      <c r="J168" s="2" t="s">
        <v>3517</v>
      </c>
      <c r="K168" s="2" t="s">
        <v>2389</v>
      </c>
      <c r="L168" s="2"/>
      <c r="M168" s="2" t="s">
        <v>116</v>
      </c>
      <c r="N168" s="2" t="s">
        <v>117</v>
      </c>
      <c r="O168" s="2" t="s">
        <v>3518</v>
      </c>
      <c r="P168" s="2" t="s">
        <v>3519</v>
      </c>
      <c r="Q168" s="2" t="s">
        <v>3520</v>
      </c>
      <c r="R168" s="2"/>
      <c r="S168" s="2"/>
      <c r="T168" s="2" t="s">
        <v>3521</v>
      </c>
      <c r="U168" s="2"/>
      <c r="V168" s="2" t="s">
        <v>3522</v>
      </c>
      <c r="W168" s="2" t="s">
        <v>3523</v>
      </c>
      <c r="X168" s="2" t="s">
        <v>3524</v>
      </c>
      <c r="Y168" s="2" t="s">
        <v>3525</v>
      </c>
      <c r="Z168" s="2" t="s">
        <v>2397</v>
      </c>
      <c r="AA168" s="2" t="s">
        <v>700</v>
      </c>
      <c r="AB168" s="2" t="s">
        <v>1470</v>
      </c>
      <c r="AC168" s="2" t="s">
        <v>3526</v>
      </c>
      <c r="AD168" s="2" t="s">
        <v>2726</v>
      </c>
      <c r="AE168" s="2" t="s">
        <v>3527</v>
      </c>
      <c r="AF168" s="2" t="s">
        <v>3528</v>
      </c>
      <c r="AG168" s="2">
        <v>42.0</v>
      </c>
      <c r="AH168" s="2">
        <v>1.0</v>
      </c>
      <c r="AI168" s="2">
        <v>1.0</v>
      </c>
      <c r="AJ168" s="2">
        <v>0.0</v>
      </c>
      <c r="AK168" s="2">
        <v>0.0</v>
      </c>
      <c r="AL168" s="2" t="s">
        <v>129</v>
      </c>
      <c r="AM168" s="2" t="s">
        <v>130</v>
      </c>
      <c r="AN168" s="2" t="s">
        <v>131</v>
      </c>
      <c r="AO168" s="2" t="s">
        <v>2399</v>
      </c>
      <c r="AP168" s="2"/>
      <c r="AQ168" s="2" t="s">
        <v>3529</v>
      </c>
      <c r="AR168" s="2" t="s">
        <v>2401</v>
      </c>
      <c r="AS168" s="2"/>
      <c r="AT168" s="2"/>
      <c r="AU168" s="2">
        <v>2011.0</v>
      </c>
      <c r="AV168" s="2"/>
      <c r="AW168" s="2"/>
      <c r="AX168" s="2"/>
      <c r="AY168" s="2"/>
      <c r="AZ168" s="2"/>
      <c r="BA168" s="2"/>
      <c r="BB168" s="2"/>
      <c r="BC168" s="2"/>
      <c r="BD168" s="2"/>
      <c r="BE168" s="2"/>
      <c r="BF168" s="2"/>
      <c r="BG168" s="2"/>
      <c r="BH168" s="2"/>
      <c r="BI168" s="2">
        <v>7.0</v>
      </c>
      <c r="BJ168" s="2" t="s">
        <v>3530</v>
      </c>
      <c r="BK168" s="2" t="s">
        <v>135</v>
      </c>
      <c r="BL168" s="2" t="s">
        <v>3531</v>
      </c>
      <c r="BM168" s="2" t="s">
        <v>3532</v>
      </c>
      <c r="BN168" s="2"/>
      <c r="BO168" s="2"/>
      <c r="BP168" s="2"/>
      <c r="BQ168" s="2"/>
      <c r="BR168" s="2" t="s">
        <v>99</v>
      </c>
      <c r="BS168" s="2" t="s">
        <v>3533</v>
      </c>
      <c r="BT168" s="2" t="str">
        <f>HYPERLINK("https%3A%2F%2Fwww.webofscience.com%2Fwos%2Fwoscc%2Ffull-record%2FWOS:000300879800266","View Full Record in Web of Science")</f>
        <v>View Full Record in Web of Science</v>
      </c>
    </row>
    <row r="169" ht="64.5" customHeight="1">
      <c r="A169" s="2" t="s">
        <v>72</v>
      </c>
      <c r="B169" s="2" t="s">
        <v>3534</v>
      </c>
      <c r="C169" s="2"/>
      <c r="D169" s="2"/>
      <c r="E169" s="2"/>
      <c r="F169" s="2" t="s">
        <v>3535</v>
      </c>
      <c r="G169" s="2"/>
      <c r="H169" s="2"/>
      <c r="I169" s="2" t="s">
        <v>3536</v>
      </c>
      <c r="J169" s="2" t="s">
        <v>3537</v>
      </c>
      <c r="K169" s="2"/>
      <c r="L169" s="2"/>
      <c r="M169" s="2" t="s">
        <v>116</v>
      </c>
      <c r="N169" s="2" t="s">
        <v>1865</v>
      </c>
      <c r="O169" s="2" t="s">
        <v>3538</v>
      </c>
      <c r="P169" s="2" t="s">
        <v>3539</v>
      </c>
      <c r="Q169" s="2" t="s">
        <v>3193</v>
      </c>
      <c r="R169" s="2"/>
      <c r="S169" s="2"/>
      <c r="T169" s="4" t="s">
        <v>121</v>
      </c>
      <c r="U169" s="2" t="s">
        <v>3540</v>
      </c>
      <c r="V169" s="2" t="s">
        <v>3541</v>
      </c>
      <c r="W169" s="2" t="s">
        <v>3542</v>
      </c>
      <c r="X169" s="2" t="s">
        <v>3543</v>
      </c>
      <c r="Y169" s="2" t="s">
        <v>3544</v>
      </c>
      <c r="Z169" s="2" t="s">
        <v>3545</v>
      </c>
      <c r="AA169" s="2"/>
      <c r="AB169" s="2" t="s">
        <v>3546</v>
      </c>
      <c r="AC169" s="2" t="s">
        <v>3547</v>
      </c>
      <c r="AD169" s="2" t="s">
        <v>3548</v>
      </c>
      <c r="AE169" s="2" t="s">
        <v>3549</v>
      </c>
      <c r="AF169" s="2" t="s">
        <v>3550</v>
      </c>
      <c r="AG169" s="2">
        <v>49.0</v>
      </c>
      <c r="AH169" s="2">
        <v>1.0</v>
      </c>
      <c r="AI169" s="2">
        <v>1.0</v>
      </c>
      <c r="AJ169" s="2">
        <v>3.0</v>
      </c>
      <c r="AK169" s="2">
        <v>13.0</v>
      </c>
      <c r="AL169" s="2" t="s">
        <v>3551</v>
      </c>
      <c r="AM169" s="2" t="s">
        <v>3552</v>
      </c>
      <c r="AN169" s="2" t="s">
        <v>3553</v>
      </c>
      <c r="AO169" s="2" t="s">
        <v>3554</v>
      </c>
      <c r="AP169" s="2" t="s">
        <v>3555</v>
      </c>
      <c r="AQ169" s="2"/>
      <c r="AR169" s="2" t="s">
        <v>3556</v>
      </c>
      <c r="AS169" s="2" t="s">
        <v>3557</v>
      </c>
      <c r="AT169" s="2" t="s">
        <v>596</v>
      </c>
      <c r="AU169" s="2">
        <v>2021.0</v>
      </c>
      <c r="AV169" s="2">
        <v>61.0</v>
      </c>
      <c r="AW169" s="2">
        <v>3.0</v>
      </c>
      <c r="AX169" s="2"/>
      <c r="AY169" s="2"/>
      <c r="AZ169" s="2"/>
      <c r="BA169" s="2"/>
      <c r="BB169" s="2">
        <v>1078.0</v>
      </c>
      <c r="BC169" s="2">
        <v>1088.0</v>
      </c>
      <c r="BD169" s="2"/>
      <c r="BE169" s="2" t="s">
        <v>3558</v>
      </c>
      <c r="BF169" s="3" t="str">
        <f>HYPERLINK("http://dx.doi.org/10.1093/icb/icab104","http://dx.doi.org/10.1093/icb/icab104")</f>
        <v>http://dx.doi.org/10.1093/icb/icab104</v>
      </c>
      <c r="BG169" s="2"/>
      <c r="BH169" s="2" t="s">
        <v>3559</v>
      </c>
      <c r="BI169" s="2">
        <v>11.0</v>
      </c>
      <c r="BJ169" s="2" t="s">
        <v>3560</v>
      </c>
      <c r="BK169" s="2" t="s">
        <v>1881</v>
      </c>
      <c r="BL169" s="2" t="s">
        <v>3560</v>
      </c>
      <c r="BM169" s="2" t="s">
        <v>3561</v>
      </c>
      <c r="BN169" s="2">
        <v>3.4043781E7</v>
      </c>
      <c r="BO169" s="2" t="s">
        <v>2046</v>
      </c>
      <c r="BP169" s="2"/>
      <c r="BQ169" s="2"/>
      <c r="BR169" s="2" t="s">
        <v>99</v>
      </c>
      <c r="BS169" s="2" t="s">
        <v>3562</v>
      </c>
      <c r="BT169" s="2" t="str">
        <f>HYPERLINK("https%3A%2F%2Fwww.webofscience.com%2Fwos%2Fwoscc%2Ffull-record%2FWOS:000708816800025","View Full Record in Web of Science")</f>
        <v>View Full Record in Web of Science</v>
      </c>
    </row>
    <row r="170" ht="64.5" customHeight="1">
      <c r="A170" s="2" t="s">
        <v>72</v>
      </c>
      <c r="B170" s="2" t="s">
        <v>3563</v>
      </c>
      <c r="C170" s="2"/>
      <c r="D170" s="2"/>
      <c r="E170" s="2"/>
      <c r="F170" s="2" t="s">
        <v>3564</v>
      </c>
      <c r="G170" s="2"/>
      <c r="H170" s="2"/>
      <c r="I170" s="2" t="s">
        <v>3565</v>
      </c>
      <c r="J170" s="2" t="s">
        <v>174</v>
      </c>
      <c r="K170" s="2"/>
      <c r="L170" s="2"/>
      <c r="M170" s="2" t="s">
        <v>116</v>
      </c>
      <c r="N170" s="2" t="s">
        <v>78</v>
      </c>
      <c r="O170" s="2"/>
      <c r="P170" s="2"/>
      <c r="Q170" s="2"/>
      <c r="R170" s="2"/>
      <c r="S170" s="2"/>
      <c r="T170" s="2" t="s">
        <v>3566</v>
      </c>
      <c r="U170" s="2" t="s">
        <v>3567</v>
      </c>
      <c r="V170" s="2" t="s">
        <v>3568</v>
      </c>
      <c r="W170" s="2" t="s">
        <v>3569</v>
      </c>
      <c r="X170" s="2" t="s">
        <v>3570</v>
      </c>
      <c r="Y170" s="2" t="s">
        <v>3571</v>
      </c>
      <c r="Z170" s="2" t="s">
        <v>3572</v>
      </c>
      <c r="AA170" s="2"/>
      <c r="AB170" s="2" t="s">
        <v>3573</v>
      </c>
      <c r="AC170" s="2"/>
      <c r="AD170" s="2"/>
      <c r="AE170" s="2"/>
      <c r="AF170" s="2" t="s">
        <v>3574</v>
      </c>
      <c r="AG170" s="2">
        <v>114.0</v>
      </c>
      <c r="AH170" s="2">
        <v>11.0</v>
      </c>
      <c r="AI170" s="2">
        <v>11.0</v>
      </c>
      <c r="AJ170" s="2">
        <v>11.0</v>
      </c>
      <c r="AK170" s="2">
        <v>65.0</v>
      </c>
      <c r="AL170" s="2" t="s">
        <v>188</v>
      </c>
      <c r="AM170" s="2" t="s">
        <v>189</v>
      </c>
      <c r="AN170" s="2" t="s">
        <v>190</v>
      </c>
      <c r="AO170" s="2" t="s">
        <v>191</v>
      </c>
      <c r="AP170" s="2" t="s">
        <v>192</v>
      </c>
      <c r="AQ170" s="2"/>
      <c r="AR170" s="2" t="s">
        <v>193</v>
      </c>
      <c r="AS170" s="2" t="s">
        <v>194</v>
      </c>
      <c r="AT170" s="2" t="s">
        <v>596</v>
      </c>
      <c r="AU170" s="2">
        <v>2022.0</v>
      </c>
      <c r="AV170" s="2">
        <v>144.0</v>
      </c>
      <c r="AW170" s="2"/>
      <c r="AX170" s="2"/>
      <c r="AY170" s="2"/>
      <c r="AZ170" s="2"/>
      <c r="BA170" s="2"/>
      <c r="BB170" s="2"/>
      <c r="BC170" s="2"/>
      <c r="BD170" s="2">
        <v>105229.0</v>
      </c>
      <c r="BE170" s="2" t="s">
        <v>3575</v>
      </c>
      <c r="BF170" s="3" t="str">
        <f>HYPERLINK("http://dx.doi.org/10.1016/j.marpol.2022.105229","http://dx.doi.org/10.1016/j.marpol.2022.105229")</f>
        <v>http://dx.doi.org/10.1016/j.marpol.2022.105229</v>
      </c>
      <c r="BG170" s="2"/>
      <c r="BH170" s="2" t="s">
        <v>2678</v>
      </c>
      <c r="BI170" s="2">
        <v>12.0</v>
      </c>
      <c r="BJ170" s="2" t="s">
        <v>198</v>
      </c>
      <c r="BK170" s="2" t="s">
        <v>166</v>
      </c>
      <c r="BL170" s="2" t="s">
        <v>199</v>
      </c>
      <c r="BM170" s="2" t="s">
        <v>3576</v>
      </c>
      <c r="BN170" s="2"/>
      <c r="BO170" s="2" t="s">
        <v>1177</v>
      </c>
      <c r="BP170" s="2"/>
      <c r="BQ170" s="2"/>
      <c r="BR170" s="2" t="s">
        <v>99</v>
      </c>
      <c r="BS170" s="2" t="s">
        <v>3577</v>
      </c>
      <c r="BT170" s="2" t="str">
        <f>HYPERLINK("https%3A%2F%2Fwww.webofscience.com%2Fwos%2Fwoscc%2Ffull-record%2FWOS:000854992100001","View Full Record in Web of Science")</f>
        <v>View Full Record in Web of Science</v>
      </c>
    </row>
    <row r="171" ht="64.5" customHeight="1">
      <c r="A171" s="2" t="s">
        <v>72</v>
      </c>
      <c r="B171" s="2" t="s">
        <v>3578</v>
      </c>
      <c r="C171" s="2"/>
      <c r="D171" s="2"/>
      <c r="E171" s="2"/>
      <c r="F171" s="2" t="s">
        <v>3579</v>
      </c>
      <c r="G171" s="2"/>
      <c r="H171" s="2"/>
      <c r="I171" s="2" t="s">
        <v>3580</v>
      </c>
      <c r="J171" s="2" t="s">
        <v>3581</v>
      </c>
      <c r="K171" s="2"/>
      <c r="L171" s="2"/>
      <c r="M171" s="2" t="s">
        <v>116</v>
      </c>
      <c r="N171" s="2" t="s">
        <v>78</v>
      </c>
      <c r="O171" s="2"/>
      <c r="P171" s="2"/>
      <c r="Q171" s="2"/>
      <c r="R171" s="2"/>
      <c r="S171" s="2"/>
      <c r="T171" s="2" t="s">
        <v>3582</v>
      </c>
      <c r="U171" s="2"/>
      <c r="V171" s="2" t="s">
        <v>3583</v>
      </c>
      <c r="W171" s="2" t="s">
        <v>3584</v>
      </c>
      <c r="X171" s="2" t="s">
        <v>3585</v>
      </c>
      <c r="Y171" s="2" t="s">
        <v>3586</v>
      </c>
      <c r="Z171" s="2" t="s">
        <v>3587</v>
      </c>
      <c r="AA171" s="2"/>
      <c r="AB171" s="2"/>
      <c r="AC171" s="2"/>
      <c r="AD171" s="2"/>
      <c r="AE171" s="2"/>
      <c r="AF171" s="2" t="s">
        <v>3588</v>
      </c>
      <c r="AG171" s="2">
        <v>44.0</v>
      </c>
      <c r="AH171" s="2">
        <v>0.0</v>
      </c>
      <c r="AI171" s="2">
        <v>0.0</v>
      </c>
      <c r="AJ171" s="2">
        <v>1.0</v>
      </c>
      <c r="AK171" s="2">
        <v>1.0</v>
      </c>
      <c r="AL171" s="2" t="s">
        <v>3589</v>
      </c>
      <c r="AM171" s="2" t="s">
        <v>3590</v>
      </c>
      <c r="AN171" s="2" t="s">
        <v>3591</v>
      </c>
      <c r="AO171" s="2" t="s">
        <v>3592</v>
      </c>
      <c r="AP171" s="2" t="s">
        <v>3593</v>
      </c>
      <c r="AQ171" s="2"/>
      <c r="AR171" s="2" t="s">
        <v>3594</v>
      </c>
      <c r="AS171" s="2" t="s">
        <v>3595</v>
      </c>
      <c r="AT171" s="2" t="s">
        <v>358</v>
      </c>
      <c r="AU171" s="2">
        <v>2024.0</v>
      </c>
      <c r="AV171" s="2">
        <v>69.0</v>
      </c>
      <c r="AW171" s="2">
        <v>1.0</v>
      </c>
      <c r="AX171" s="2"/>
      <c r="AY171" s="2"/>
      <c r="AZ171" s="2"/>
      <c r="BA171" s="2"/>
      <c r="BB171" s="2">
        <v>227.0</v>
      </c>
      <c r="BC171" s="2">
        <v>252.0</v>
      </c>
      <c r="BD171" s="2"/>
      <c r="BE171" s="2" t="s">
        <v>3596</v>
      </c>
      <c r="BF171" s="3" t="str">
        <f>HYPERLINK("http://dx.doi.org/10.24193/subbphilo.2024.1.12","http://dx.doi.org/10.24193/subbphilo.2024.1.12")</f>
        <v>http://dx.doi.org/10.24193/subbphilo.2024.1.12</v>
      </c>
      <c r="BG171" s="2"/>
      <c r="BH171" s="2"/>
      <c r="BI171" s="2">
        <v>26.0</v>
      </c>
      <c r="BJ171" s="2" t="s">
        <v>3123</v>
      </c>
      <c r="BK171" s="2" t="s">
        <v>96</v>
      </c>
      <c r="BL171" s="2" t="s">
        <v>3123</v>
      </c>
      <c r="BM171" s="2" t="s">
        <v>3597</v>
      </c>
      <c r="BN171" s="2"/>
      <c r="BO171" s="2" t="s">
        <v>255</v>
      </c>
      <c r="BP171" s="2"/>
      <c r="BQ171" s="2"/>
      <c r="BR171" s="2" t="s">
        <v>99</v>
      </c>
      <c r="BS171" s="2" t="s">
        <v>3598</v>
      </c>
      <c r="BT171" s="2" t="str">
        <f>HYPERLINK("https%3A%2F%2Fwww.webofscience.com%2Fwos%2Fwoscc%2Ffull-record%2FWOS:001223131900007","View Full Record in Web of Science")</f>
        <v>View Full Record in Web of Science</v>
      </c>
    </row>
    <row r="172" ht="64.5" customHeight="1">
      <c r="A172" s="2" t="s">
        <v>72</v>
      </c>
      <c r="B172" s="2" t="s">
        <v>3599</v>
      </c>
      <c r="C172" s="2"/>
      <c r="D172" s="2"/>
      <c r="E172" s="2"/>
      <c r="F172" s="2" t="s">
        <v>3600</v>
      </c>
      <c r="G172" s="2"/>
      <c r="H172" s="2"/>
      <c r="I172" s="2" t="s">
        <v>3601</v>
      </c>
      <c r="J172" s="2" t="s">
        <v>142</v>
      </c>
      <c r="K172" s="2"/>
      <c r="L172" s="2"/>
      <c r="M172" s="2" t="s">
        <v>116</v>
      </c>
      <c r="N172" s="2" t="s">
        <v>78</v>
      </c>
      <c r="O172" s="2"/>
      <c r="P172" s="2"/>
      <c r="Q172" s="2"/>
      <c r="R172" s="2"/>
      <c r="S172" s="2"/>
      <c r="T172" s="2" t="s">
        <v>3602</v>
      </c>
      <c r="U172" s="2" t="s">
        <v>3603</v>
      </c>
      <c r="V172" s="2" t="s">
        <v>3604</v>
      </c>
      <c r="W172" s="2" t="s">
        <v>3605</v>
      </c>
      <c r="X172" s="2" t="s">
        <v>3606</v>
      </c>
      <c r="Y172" s="2" t="s">
        <v>3607</v>
      </c>
      <c r="Z172" s="2" t="s">
        <v>2112</v>
      </c>
      <c r="AA172" s="2" t="s">
        <v>3608</v>
      </c>
      <c r="AB172" s="2" t="s">
        <v>3609</v>
      </c>
      <c r="AC172" s="2"/>
      <c r="AD172" s="2"/>
      <c r="AE172" s="2"/>
      <c r="AF172" s="2" t="s">
        <v>3610</v>
      </c>
      <c r="AG172" s="2">
        <v>44.0</v>
      </c>
      <c r="AH172" s="2">
        <v>10.0</v>
      </c>
      <c r="AI172" s="2">
        <v>10.0</v>
      </c>
      <c r="AJ172" s="2">
        <v>3.0</v>
      </c>
      <c r="AK172" s="2">
        <v>27.0</v>
      </c>
      <c r="AL172" s="2" t="s">
        <v>156</v>
      </c>
      <c r="AM172" s="2" t="s">
        <v>157</v>
      </c>
      <c r="AN172" s="2" t="s">
        <v>158</v>
      </c>
      <c r="AO172" s="2" t="s">
        <v>159</v>
      </c>
      <c r="AP172" s="2" t="s">
        <v>160</v>
      </c>
      <c r="AQ172" s="2"/>
      <c r="AR172" s="2" t="s">
        <v>161</v>
      </c>
      <c r="AS172" s="2" t="s">
        <v>162</v>
      </c>
      <c r="AT172" s="2" t="s">
        <v>3611</v>
      </c>
      <c r="AU172" s="2">
        <v>2018.0</v>
      </c>
      <c r="AV172" s="2">
        <v>24.0</v>
      </c>
      <c r="AW172" s="2">
        <v>11.0</v>
      </c>
      <c r="AX172" s="2"/>
      <c r="AY172" s="2"/>
      <c r="AZ172" s="2"/>
      <c r="BA172" s="2"/>
      <c r="BB172" s="2">
        <v>1611.0</v>
      </c>
      <c r="BC172" s="2">
        <v>1626.0</v>
      </c>
      <c r="BD172" s="2"/>
      <c r="BE172" s="2" t="s">
        <v>3612</v>
      </c>
      <c r="BF172" s="3" t="str">
        <f>HYPERLINK("http://dx.doi.org/10.1080/13504622.2017.1395394","http://dx.doi.org/10.1080/13504622.2017.1395394")</f>
        <v>http://dx.doi.org/10.1080/13504622.2017.1395394</v>
      </c>
      <c r="BG172" s="2"/>
      <c r="BH172" s="2"/>
      <c r="BI172" s="2">
        <v>16.0</v>
      </c>
      <c r="BJ172" s="2" t="s">
        <v>165</v>
      </c>
      <c r="BK172" s="2" t="s">
        <v>166</v>
      </c>
      <c r="BL172" s="2" t="s">
        <v>167</v>
      </c>
      <c r="BM172" s="2" t="s">
        <v>3613</v>
      </c>
      <c r="BN172" s="2"/>
      <c r="BO172" s="2" t="s">
        <v>3614</v>
      </c>
      <c r="BP172" s="2"/>
      <c r="BQ172" s="2"/>
      <c r="BR172" s="2" t="s">
        <v>99</v>
      </c>
      <c r="BS172" s="2" t="s">
        <v>3615</v>
      </c>
      <c r="BT172" s="2" t="str">
        <f>HYPERLINK("https%3A%2F%2Fwww.webofscience.com%2Fwos%2Fwoscc%2Ffull-record%2FWOS:000460652300006","View Full Record in Web of Science")</f>
        <v>View Full Record in Web of Science</v>
      </c>
    </row>
    <row r="173" ht="64.5" customHeight="1">
      <c r="A173" s="2" t="s">
        <v>72</v>
      </c>
      <c r="B173" s="2" t="s">
        <v>3514</v>
      </c>
      <c r="C173" s="2"/>
      <c r="D173" s="2"/>
      <c r="E173" s="2"/>
      <c r="F173" s="2" t="s">
        <v>3515</v>
      </c>
      <c r="G173" s="2"/>
      <c r="H173" s="2"/>
      <c r="I173" s="2" t="s">
        <v>3616</v>
      </c>
      <c r="J173" s="2" t="s">
        <v>2489</v>
      </c>
      <c r="K173" s="2"/>
      <c r="L173" s="2"/>
      <c r="M173" s="2" t="s">
        <v>116</v>
      </c>
      <c r="N173" s="2" t="s">
        <v>78</v>
      </c>
      <c r="O173" s="2"/>
      <c r="P173" s="2"/>
      <c r="Q173" s="2"/>
      <c r="R173" s="2"/>
      <c r="S173" s="2"/>
      <c r="T173" s="2" t="s">
        <v>3617</v>
      </c>
      <c r="U173" s="2" t="s">
        <v>3618</v>
      </c>
      <c r="V173" s="2" t="s">
        <v>3619</v>
      </c>
      <c r="W173" s="2" t="s">
        <v>3620</v>
      </c>
      <c r="X173" s="2" t="s">
        <v>1467</v>
      </c>
      <c r="Y173" s="2" t="s">
        <v>3621</v>
      </c>
      <c r="Z173" s="2" t="s">
        <v>1469</v>
      </c>
      <c r="AA173" s="2" t="s">
        <v>700</v>
      </c>
      <c r="AB173" s="2" t="s">
        <v>1470</v>
      </c>
      <c r="AC173" s="2" t="s">
        <v>3622</v>
      </c>
      <c r="AD173" s="2" t="s">
        <v>2726</v>
      </c>
      <c r="AE173" s="2" t="s">
        <v>3623</v>
      </c>
      <c r="AF173" s="2" t="s">
        <v>3624</v>
      </c>
      <c r="AG173" s="2">
        <v>70.0</v>
      </c>
      <c r="AH173" s="2">
        <v>189.0</v>
      </c>
      <c r="AI173" s="2">
        <v>201.0</v>
      </c>
      <c r="AJ173" s="2">
        <v>6.0</v>
      </c>
      <c r="AK173" s="2">
        <v>51.0</v>
      </c>
      <c r="AL173" s="2" t="s">
        <v>188</v>
      </c>
      <c r="AM173" s="2" t="s">
        <v>189</v>
      </c>
      <c r="AN173" s="2" t="s">
        <v>190</v>
      </c>
      <c r="AO173" s="2" t="s">
        <v>2501</v>
      </c>
      <c r="AP173" s="2" t="s">
        <v>2502</v>
      </c>
      <c r="AQ173" s="2"/>
      <c r="AR173" s="2" t="s">
        <v>2503</v>
      </c>
      <c r="AS173" s="2" t="s">
        <v>2504</v>
      </c>
      <c r="AT173" s="2" t="s">
        <v>358</v>
      </c>
      <c r="AU173" s="2">
        <v>2011.0</v>
      </c>
      <c r="AV173" s="2">
        <v>39.0</v>
      </c>
      <c r="AW173" s="2">
        <v>3.0</v>
      </c>
      <c r="AX173" s="2"/>
      <c r="AY173" s="2"/>
      <c r="AZ173" s="2"/>
      <c r="BA173" s="2"/>
      <c r="BB173" s="2">
        <v>1699.0</v>
      </c>
      <c r="BC173" s="2">
        <v>1710.0</v>
      </c>
      <c r="BD173" s="2"/>
      <c r="BE173" s="2" t="s">
        <v>3625</v>
      </c>
      <c r="BF173" s="3" t="str">
        <f>HYPERLINK("http://dx.doi.org/10.1016/j.enpol.2010.12.049","http://dx.doi.org/10.1016/j.enpol.2010.12.049")</f>
        <v>http://dx.doi.org/10.1016/j.enpol.2010.12.049</v>
      </c>
      <c r="BG173" s="2"/>
      <c r="BH173" s="2"/>
      <c r="BI173" s="2">
        <v>12.0</v>
      </c>
      <c r="BJ173" s="2" t="s">
        <v>2506</v>
      </c>
      <c r="BK173" s="2" t="s">
        <v>363</v>
      </c>
      <c r="BL173" s="2" t="s">
        <v>2507</v>
      </c>
      <c r="BM173" s="2" t="s">
        <v>3626</v>
      </c>
      <c r="BN173" s="2"/>
      <c r="BO173" s="2"/>
      <c r="BP173" s="2"/>
      <c r="BQ173" s="2"/>
      <c r="BR173" s="2" t="s">
        <v>99</v>
      </c>
      <c r="BS173" s="2" t="s">
        <v>3627</v>
      </c>
      <c r="BT173" s="2" t="str">
        <f>HYPERLINK("https%3A%2F%2Fwww.webofscience.com%2Fwos%2Fwoscc%2Ffull-record%2FWOS:000288971100067","View Full Record in Web of Science")</f>
        <v>View Full Record in Web of Science</v>
      </c>
    </row>
    <row r="174" ht="64.5" customHeight="1">
      <c r="A174" s="2" t="s">
        <v>72</v>
      </c>
      <c r="B174" s="2" t="s">
        <v>3628</v>
      </c>
      <c r="C174" s="2"/>
      <c r="D174" s="2"/>
      <c r="E174" s="2"/>
      <c r="F174" s="2" t="s">
        <v>3629</v>
      </c>
      <c r="G174" s="2"/>
      <c r="H174" s="2"/>
      <c r="I174" s="2" t="s">
        <v>3630</v>
      </c>
      <c r="J174" s="2" t="s">
        <v>233</v>
      </c>
      <c r="K174" s="2"/>
      <c r="L174" s="2"/>
      <c r="M174" s="2" t="s">
        <v>116</v>
      </c>
      <c r="N174" s="2" t="s">
        <v>78</v>
      </c>
      <c r="O174" s="2"/>
      <c r="P174" s="2"/>
      <c r="Q174" s="2"/>
      <c r="R174" s="2"/>
      <c r="S174" s="2"/>
      <c r="T174" s="2" t="s">
        <v>3631</v>
      </c>
      <c r="U174" s="2"/>
      <c r="V174" s="2" t="s">
        <v>3632</v>
      </c>
      <c r="W174" s="2" t="s">
        <v>3633</v>
      </c>
      <c r="X174" s="2"/>
      <c r="Y174" s="2" t="s">
        <v>3634</v>
      </c>
      <c r="Z174" s="2" t="s">
        <v>3635</v>
      </c>
      <c r="AA174" s="2" t="s">
        <v>3636</v>
      </c>
      <c r="AB174" s="2" t="s">
        <v>3637</v>
      </c>
      <c r="AC174" s="2" t="s">
        <v>3638</v>
      </c>
      <c r="AD174" s="2" t="s">
        <v>3639</v>
      </c>
      <c r="AE174" s="2" t="s">
        <v>3640</v>
      </c>
      <c r="AF174" s="2" t="s">
        <v>3641</v>
      </c>
      <c r="AG174" s="2">
        <v>34.0</v>
      </c>
      <c r="AH174" s="2">
        <v>13.0</v>
      </c>
      <c r="AI174" s="2">
        <v>13.0</v>
      </c>
      <c r="AJ174" s="2">
        <v>2.0</v>
      </c>
      <c r="AK174" s="2">
        <v>23.0</v>
      </c>
      <c r="AL174" s="2" t="s">
        <v>246</v>
      </c>
      <c r="AM174" s="2" t="s">
        <v>247</v>
      </c>
      <c r="AN174" s="2" t="s">
        <v>248</v>
      </c>
      <c r="AO174" s="2"/>
      <c r="AP174" s="2" t="s">
        <v>249</v>
      </c>
      <c r="AQ174" s="2"/>
      <c r="AR174" s="2" t="s">
        <v>250</v>
      </c>
      <c r="AS174" s="2" t="s">
        <v>251</v>
      </c>
      <c r="AT174" s="2" t="s">
        <v>3642</v>
      </c>
      <c r="AU174" s="2">
        <v>2019.0</v>
      </c>
      <c r="AV174" s="2">
        <v>6.0</v>
      </c>
      <c r="AW174" s="2"/>
      <c r="AX174" s="2"/>
      <c r="AY174" s="2"/>
      <c r="AZ174" s="2"/>
      <c r="BA174" s="2"/>
      <c r="BB174" s="2"/>
      <c r="BC174" s="2"/>
      <c r="BD174" s="2">
        <v>646.0</v>
      </c>
      <c r="BE174" s="2" t="s">
        <v>3643</v>
      </c>
      <c r="BF174" s="3" t="str">
        <f>HYPERLINK("http://dx.doi.org/10.3389/fmars.2019.00646","http://dx.doi.org/10.3389/fmars.2019.00646")</f>
        <v>http://dx.doi.org/10.3389/fmars.2019.00646</v>
      </c>
      <c r="BG174" s="2"/>
      <c r="BH174" s="2"/>
      <c r="BI174" s="2">
        <v>8.0</v>
      </c>
      <c r="BJ174" s="2" t="s">
        <v>225</v>
      </c>
      <c r="BK174" s="2" t="s">
        <v>226</v>
      </c>
      <c r="BL174" s="2" t="s">
        <v>227</v>
      </c>
      <c r="BM174" s="2" t="s">
        <v>3644</v>
      </c>
      <c r="BN174" s="2"/>
      <c r="BO174" s="2" t="s">
        <v>255</v>
      </c>
      <c r="BP174" s="2"/>
      <c r="BQ174" s="2"/>
      <c r="BR174" s="2" t="s">
        <v>99</v>
      </c>
      <c r="BS174" s="2" t="s">
        <v>3645</v>
      </c>
      <c r="BT174" s="2" t="str">
        <f>HYPERLINK("https%3A%2F%2Fwww.webofscience.com%2Fwos%2Fwoscc%2Ffull-record%2FWOS:000491076700002","View Full Record in Web of Science")</f>
        <v>View Full Record in Web of Science</v>
      </c>
    </row>
    <row r="175" ht="64.5" customHeight="1">
      <c r="A175" s="2" t="s">
        <v>72</v>
      </c>
      <c r="B175" s="2" t="s">
        <v>3646</v>
      </c>
      <c r="C175" s="2"/>
      <c r="D175" s="2"/>
      <c r="E175" s="2"/>
      <c r="F175" s="2" t="s">
        <v>3647</v>
      </c>
      <c r="G175" s="2"/>
      <c r="H175" s="2"/>
      <c r="I175" s="2" t="s">
        <v>3648</v>
      </c>
      <c r="J175" s="2" t="s">
        <v>233</v>
      </c>
      <c r="K175" s="2"/>
      <c r="L175" s="2"/>
      <c r="M175" s="2" t="s">
        <v>116</v>
      </c>
      <c r="N175" s="2" t="s">
        <v>78</v>
      </c>
      <c r="O175" s="2"/>
      <c r="P175" s="2"/>
      <c r="Q175" s="2"/>
      <c r="R175" s="2"/>
      <c r="S175" s="2"/>
      <c r="T175" s="2" t="s">
        <v>3649</v>
      </c>
      <c r="U175" s="2" t="s">
        <v>3650</v>
      </c>
      <c r="V175" s="2" t="s">
        <v>3651</v>
      </c>
      <c r="W175" s="2" t="s">
        <v>3652</v>
      </c>
      <c r="X175" s="2" t="s">
        <v>3653</v>
      </c>
      <c r="Y175" s="2" t="s">
        <v>3654</v>
      </c>
      <c r="Z175" s="2" t="s">
        <v>321</v>
      </c>
      <c r="AA175" s="2" t="s">
        <v>3172</v>
      </c>
      <c r="AB175" s="2" t="s">
        <v>3655</v>
      </c>
      <c r="AC175" s="2"/>
      <c r="AD175" s="2"/>
      <c r="AE175" s="2"/>
      <c r="AF175" s="2" t="s">
        <v>3656</v>
      </c>
      <c r="AG175" s="2">
        <v>102.0</v>
      </c>
      <c r="AH175" s="2">
        <v>35.0</v>
      </c>
      <c r="AI175" s="2">
        <v>36.0</v>
      </c>
      <c r="AJ175" s="2">
        <v>1.0</v>
      </c>
      <c r="AK175" s="2">
        <v>23.0</v>
      </c>
      <c r="AL175" s="2" t="s">
        <v>246</v>
      </c>
      <c r="AM175" s="2" t="s">
        <v>247</v>
      </c>
      <c r="AN175" s="2" t="s">
        <v>248</v>
      </c>
      <c r="AO175" s="2"/>
      <c r="AP175" s="2" t="s">
        <v>249</v>
      </c>
      <c r="AQ175" s="2"/>
      <c r="AR175" s="2" t="s">
        <v>250</v>
      </c>
      <c r="AS175" s="2" t="s">
        <v>251</v>
      </c>
      <c r="AT175" s="2" t="s">
        <v>3657</v>
      </c>
      <c r="AU175" s="2">
        <v>2019.0</v>
      </c>
      <c r="AV175" s="2">
        <v>6.0</v>
      </c>
      <c r="AW175" s="2"/>
      <c r="AX175" s="2"/>
      <c r="AY175" s="2"/>
      <c r="AZ175" s="2"/>
      <c r="BA175" s="2"/>
      <c r="BB175" s="2"/>
      <c r="BC175" s="2"/>
      <c r="BD175" s="2">
        <v>396.0</v>
      </c>
      <c r="BE175" s="2" t="s">
        <v>3658</v>
      </c>
      <c r="BF175" s="3" t="str">
        <f>HYPERLINK("http://dx.doi.org/10.3389/fmars.2019.00396","http://dx.doi.org/10.3389/fmars.2019.00396")</f>
        <v>http://dx.doi.org/10.3389/fmars.2019.00396</v>
      </c>
      <c r="BG175" s="2"/>
      <c r="BH175" s="2"/>
      <c r="BI175" s="2">
        <v>14.0</v>
      </c>
      <c r="BJ175" s="2" t="s">
        <v>225</v>
      </c>
      <c r="BK175" s="2" t="s">
        <v>363</v>
      </c>
      <c r="BL175" s="2" t="s">
        <v>227</v>
      </c>
      <c r="BM175" s="2" t="s">
        <v>3659</v>
      </c>
      <c r="BN175" s="2"/>
      <c r="BO175" s="2" t="s">
        <v>272</v>
      </c>
      <c r="BP175" s="2"/>
      <c r="BQ175" s="2"/>
      <c r="BR175" s="2" t="s">
        <v>99</v>
      </c>
      <c r="BS175" s="2" t="s">
        <v>3660</v>
      </c>
      <c r="BT175" s="2" t="str">
        <f>HYPERLINK("https%3A%2F%2Fwww.webofscience.com%2Fwos%2Fwoscc%2Ffull-record%2FWOS:000474911700001","View Full Record in Web of Science")</f>
        <v>View Full Record in Web of Science</v>
      </c>
    </row>
    <row r="176" ht="64.5" customHeight="1">
      <c r="A176" s="2" t="s">
        <v>72</v>
      </c>
      <c r="B176" s="2" t="s">
        <v>3661</v>
      </c>
      <c r="C176" s="2"/>
      <c r="D176" s="2"/>
      <c r="E176" s="2"/>
      <c r="F176" s="2" t="s">
        <v>3662</v>
      </c>
      <c r="G176" s="2"/>
      <c r="H176" s="2"/>
      <c r="I176" s="2" t="s">
        <v>3663</v>
      </c>
      <c r="J176" s="2" t="s">
        <v>712</v>
      </c>
      <c r="K176" s="2"/>
      <c r="L176" s="2"/>
      <c r="M176" s="2" t="s">
        <v>116</v>
      </c>
      <c r="N176" s="2" t="s">
        <v>78</v>
      </c>
      <c r="O176" s="2"/>
      <c r="P176" s="2"/>
      <c r="Q176" s="2"/>
      <c r="R176" s="2"/>
      <c r="S176" s="2"/>
      <c r="T176" s="2" t="s">
        <v>3664</v>
      </c>
      <c r="U176" s="2" t="s">
        <v>3665</v>
      </c>
      <c r="V176" s="2" t="s">
        <v>3666</v>
      </c>
      <c r="W176" s="2" t="s">
        <v>3667</v>
      </c>
      <c r="X176" s="2" t="s">
        <v>3668</v>
      </c>
      <c r="Y176" s="2" t="s">
        <v>3669</v>
      </c>
      <c r="Z176" s="2" t="s">
        <v>3670</v>
      </c>
      <c r="AA176" s="2"/>
      <c r="AB176" s="2"/>
      <c r="AC176" s="2" t="s">
        <v>3671</v>
      </c>
      <c r="AD176" s="2" t="s">
        <v>3672</v>
      </c>
      <c r="AE176" s="2" t="s">
        <v>3673</v>
      </c>
      <c r="AF176" s="2" t="s">
        <v>3674</v>
      </c>
      <c r="AG176" s="2">
        <v>65.0</v>
      </c>
      <c r="AH176" s="2">
        <v>1.0</v>
      </c>
      <c r="AI176" s="2">
        <v>1.0</v>
      </c>
      <c r="AJ176" s="2">
        <v>3.0</v>
      </c>
      <c r="AK176" s="2">
        <v>13.0</v>
      </c>
      <c r="AL176" s="2" t="s">
        <v>726</v>
      </c>
      <c r="AM176" s="2" t="s">
        <v>727</v>
      </c>
      <c r="AN176" s="2" t="s">
        <v>728</v>
      </c>
      <c r="AO176" s="2" t="s">
        <v>729</v>
      </c>
      <c r="AP176" s="2"/>
      <c r="AQ176" s="2"/>
      <c r="AR176" s="2" t="s">
        <v>730</v>
      </c>
      <c r="AS176" s="2" t="s">
        <v>731</v>
      </c>
      <c r="AT176" s="2"/>
      <c r="AU176" s="2">
        <v>2022.0</v>
      </c>
      <c r="AV176" s="2">
        <v>23.0</v>
      </c>
      <c r="AW176" s="2">
        <v>2.0</v>
      </c>
      <c r="AX176" s="2"/>
      <c r="AY176" s="2"/>
      <c r="AZ176" s="2"/>
      <c r="BA176" s="2"/>
      <c r="BB176" s="2">
        <v>374.0</v>
      </c>
      <c r="BC176" s="2">
        <v>388.0</v>
      </c>
      <c r="BD176" s="2"/>
      <c r="BE176" s="2" t="s">
        <v>3675</v>
      </c>
      <c r="BF176" s="3" t="str">
        <f>HYPERLINK("http://dx.doi.org/10.12681/mms.27949","http://dx.doi.org/10.12681/mms.27949")</f>
        <v>http://dx.doi.org/10.12681/mms.27949</v>
      </c>
      <c r="BG176" s="2"/>
      <c r="BH176" s="2"/>
      <c r="BI176" s="2">
        <v>16.0</v>
      </c>
      <c r="BJ176" s="2" t="s">
        <v>733</v>
      </c>
      <c r="BK176" s="2" t="s">
        <v>226</v>
      </c>
      <c r="BL176" s="2" t="s">
        <v>734</v>
      </c>
      <c r="BM176" s="2" t="s">
        <v>735</v>
      </c>
      <c r="BN176" s="2"/>
      <c r="BO176" s="2" t="s">
        <v>255</v>
      </c>
      <c r="BP176" s="2"/>
      <c r="BQ176" s="2"/>
      <c r="BR176" s="2" t="s">
        <v>99</v>
      </c>
      <c r="BS176" s="2" t="s">
        <v>3676</v>
      </c>
      <c r="BT176" s="2" t="str">
        <f>HYPERLINK("https%3A%2F%2Fwww.webofscience.com%2Fwos%2Fwoscc%2Ffull-record%2FWOS:000782982600011","View Full Record in Web of Science")</f>
        <v>View Full Record in Web of Science</v>
      </c>
    </row>
    <row r="177" ht="64.5" customHeight="1">
      <c r="A177" s="2" t="s">
        <v>72</v>
      </c>
      <c r="B177" s="2" t="s">
        <v>3677</v>
      </c>
      <c r="C177" s="2"/>
      <c r="D177" s="2"/>
      <c r="E177" s="2"/>
      <c r="F177" s="2" t="s">
        <v>3678</v>
      </c>
      <c r="G177" s="2"/>
      <c r="H177" s="2"/>
      <c r="I177" s="2" t="s">
        <v>3679</v>
      </c>
      <c r="J177" s="2" t="s">
        <v>3680</v>
      </c>
      <c r="K177" s="2"/>
      <c r="L177" s="2"/>
      <c r="M177" s="2" t="s">
        <v>116</v>
      </c>
      <c r="N177" s="2" t="s">
        <v>78</v>
      </c>
      <c r="O177" s="2"/>
      <c r="P177" s="2"/>
      <c r="Q177" s="2"/>
      <c r="R177" s="2"/>
      <c r="S177" s="2"/>
      <c r="T177" s="2" t="s">
        <v>3681</v>
      </c>
      <c r="U177" s="2" t="s">
        <v>3682</v>
      </c>
      <c r="V177" s="2" t="s">
        <v>3683</v>
      </c>
      <c r="W177" s="2" t="s">
        <v>3684</v>
      </c>
      <c r="X177" s="2" t="s">
        <v>3685</v>
      </c>
      <c r="Y177" s="2" t="s">
        <v>3686</v>
      </c>
      <c r="Z177" s="2"/>
      <c r="AA177" s="2"/>
      <c r="AB177" s="2"/>
      <c r="AC177" s="2"/>
      <c r="AD177" s="2"/>
      <c r="AE177" s="2"/>
      <c r="AF177" s="2" t="s">
        <v>3687</v>
      </c>
      <c r="AG177" s="2">
        <v>37.0</v>
      </c>
      <c r="AH177" s="2">
        <v>2.0</v>
      </c>
      <c r="AI177" s="2">
        <v>2.0</v>
      </c>
      <c r="AJ177" s="2">
        <v>0.0</v>
      </c>
      <c r="AK177" s="2">
        <v>9.0</v>
      </c>
      <c r="AL177" s="2" t="s">
        <v>3688</v>
      </c>
      <c r="AM177" s="2" t="s">
        <v>3689</v>
      </c>
      <c r="AN177" s="2" t="s">
        <v>3690</v>
      </c>
      <c r="AO177" s="2" t="s">
        <v>3691</v>
      </c>
      <c r="AP177" s="2"/>
      <c r="AQ177" s="2"/>
      <c r="AR177" s="2" t="s">
        <v>3692</v>
      </c>
      <c r="AS177" s="2" t="s">
        <v>3693</v>
      </c>
      <c r="AT177" s="2" t="s">
        <v>195</v>
      </c>
      <c r="AU177" s="2">
        <v>2019.0</v>
      </c>
      <c r="AV177" s="2">
        <v>48.0</v>
      </c>
      <c r="AW177" s="2">
        <v>1.0</v>
      </c>
      <c r="AX177" s="2"/>
      <c r="AY177" s="2"/>
      <c r="AZ177" s="2"/>
      <c r="BA177" s="2"/>
      <c r="BB177" s="2">
        <v>821.0</v>
      </c>
      <c r="BC177" s="2">
        <v>857.0</v>
      </c>
      <c r="BD177" s="2"/>
      <c r="BE177" s="2" t="s">
        <v>3694</v>
      </c>
      <c r="BF177" s="3" t="str">
        <f>HYPERLINK("http://dx.doi.org/10.14812/cufej.489058","http://dx.doi.org/10.14812/cufej.489058")</f>
        <v>http://dx.doi.org/10.14812/cufej.489058</v>
      </c>
      <c r="BG177" s="2"/>
      <c r="BH177" s="2"/>
      <c r="BI177" s="2">
        <v>37.0</v>
      </c>
      <c r="BJ177" s="2" t="s">
        <v>331</v>
      </c>
      <c r="BK177" s="2" t="s">
        <v>96</v>
      </c>
      <c r="BL177" s="2" t="s">
        <v>331</v>
      </c>
      <c r="BM177" s="2" t="s">
        <v>3695</v>
      </c>
      <c r="BN177" s="2"/>
      <c r="BO177" s="2"/>
      <c r="BP177" s="2"/>
      <c r="BQ177" s="2"/>
      <c r="BR177" s="2" t="s">
        <v>99</v>
      </c>
      <c r="BS177" s="2" t="s">
        <v>3696</v>
      </c>
      <c r="BT177" s="2" t="str">
        <f>HYPERLINK("https%3A%2F%2Fwww.webofscience.com%2Fwos%2Fwoscc%2Ffull-record%2FWOS:000466499700027","View Full Record in Web of Science")</f>
        <v>View Full Record in Web of Science</v>
      </c>
    </row>
    <row r="178" ht="64.5" customHeight="1">
      <c r="A178" s="2" t="s">
        <v>72</v>
      </c>
      <c r="B178" s="2" t="s">
        <v>3697</v>
      </c>
      <c r="C178" s="2"/>
      <c r="D178" s="2"/>
      <c r="E178" s="2"/>
      <c r="F178" s="2" t="s">
        <v>3698</v>
      </c>
      <c r="G178" s="2"/>
      <c r="H178" s="2"/>
      <c r="I178" s="2" t="s">
        <v>3699</v>
      </c>
      <c r="J178" s="2" t="s">
        <v>142</v>
      </c>
      <c r="K178" s="2"/>
      <c r="L178" s="2"/>
      <c r="M178" s="2" t="s">
        <v>116</v>
      </c>
      <c r="N178" s="2" t="s">
        <v>643</v>
      </c>
      <c r="O178" s="2"/>
      <c r="P178" s="2"/>
      <c r="Q178" s="2"/>
      <c r="R178" s="2"/>
      <c r="S178" s="2"/>
      <c r="T178" s="2" t="s">
        <v>3700</v>
      </c>
      <c r="U178" s="2" t="s">
        <v>3701</v>
      </c>
      <c r="V178" s="2" t="s">
        <v>3702</v>
      </c>
      <c r="W178" s="2" t="s">
        <v>3703</v>
      </c>
      <c r="X178" s="2" t="s">
        <v>3704</v>
      </c>
      <c r="Y178" s="2" t="s">
        <v>3705</v>
      </c>
      <c r="Z178" s="2" t="s">
        <v>3706</v>
      </c>
      <c r="AA178" s="2"/>
      <c r="AB178" s="2"/>
      <c r="AC178" s="2" t="s">
        <v>3707</v>
      </c>
      <c r="AD178" s="2" t="s">
        <v>3708</v>
      </c>
      <c r="AE178" s="2" t="s">
        <v>3709</v>
      </c>
      <c r="AF178" s="2" t="s">
        <v>3710</v>
      </c>
      <c r="AG178" s="2">
        <v>107.0</v>
      </c>
      <c r="AH178" s="2">
        <v>24.0</v>
      </c>
      <c r="AI178" s="2">
        <v>26.0</v>
      </c>
      <c r="AJ178" s="2">
        <v>4.0</v>
      </c>
      <c r="AK178" s="2">
        <v>24.0</v>
      </c>
      <c r="AL178" s="2" t="s">
        <v>156</v>
      </c>
      <c r="AM178" s="2" t="s">
        <v>157</v>
      </c>
      <c r="AN178" s="2" t="s">
        <v>158</v>
      </c>
      <c r="AO178" s="2" t="s">
        <v>159</v>
      </c>
      <c r="AP178" s="2" t="s">
        <v>160</v>
      </c>
      <c r="AQ178" s="2"/>
      <c r="AR178" s="2" t="s">
        <v>161</v>
      </c>
      <c r="AS178" s="2" t="s">
        <v>162</v>
      </c>
      <c r="AT178" s="2"/>
      <c r="AU178" s="2">
        <v>2017.0</v>
      </c>
      <c r="AV178" s="2">
        <v>23.0</v>
      </c>
      <c r="AW178" s="2">
        <v>6.0</v>
      </c>
      <c r="AX178" s="2"/>
      <c r="AY178" s="2"/>
      <c r="AZ178" s="2"/>
      <c r="BA178" s="2"/>
      <c r="BB178" s="2">
        <v>832.0</v>
      </c>
      <c r="BC178" s="2">
        <v>854.0</v>
      </c>
      <c r="BD178" s="2"/>
      <c r="BE178" s="2" t="s">
        <v>3711</v>
      </c>
      <c r="BF178" s="3" t="str">
        <f>HYPERLINK("http://dx.doi.org/10.1080/13504622.2015.1054267","http://dx.doi.org/10.1080/13504622.2015.1054267")</f>
        <v>http://dx.doi.org/10.1080/13504622.2015.1054267</v>
      </c>
      <c r="BG178" s="2"/>
      <c r="BH178" s="2"/>
      <c r="BI178" s="2">
        <v>23.0</v>
      </c>
      <c r="BJ178" s="2" t="s">
        <v>165</v>
      </c>
      <c r="BK178" s="2" t="s">
        <v>166</v>
      </c>
      <c r="BL178" s="2" t="s">
        <v>167</v>
      </c>
      <c r="BM178" s="2" t="s">
        <v>3712</v>
      </c>
      <c r="BN178" s="2"/>
      <c r="BO178" s="2"/>
      <c r="BP178" s="2"/>
      <c r="BQ178" s="2"/>
      <c r="BR178" s="2" t="s">
        <v>99</v>
      </c>
      <c r="BS178" s="2" t="s">
        <v>3713</v>
      </c>
      <c r="BT178" s="2" t="str">
        <f>HYPERLINK("https%3A%2F%2Fwww.webofscience.com%2Fwos%2Fwoscc%2Ffull-record%2FWOS:000402603700005","View Full Record in Web of Science")</f>
        <v>View Full Record in Web of Science</v>
      </c>
    </row>
    <row r="179" ht="64.5" customHeight="1">
      <c r="A179" s="2" t="s">
        <v>72</v>
      </c>
      <c r="B179" s="2" t="s">
        <v>3714</v>
      </c>
      <c r="C179" s="2"/>
      <c r="D179" s="2"/>
      <c r="E179" s="2"/>
      <c r="F179" s="2" t="s">
        <v>3715</v>
      </c>
      <c r="G179" s="2"/>
      <c r="H179" s="2"/>
      <c r="I179" s="2" t="s">
        <v>3716</v>
      </c>
      <c r="J179" s="2" t="s">
        <v>712</v>
      </c>
      <c r="K179" s="2"/>
      <c r="L179" s="2"/>
      <c r="M179" s="2" t="s">
        <v>116</v>
      </c>
      <c r="N179" s="2" t="s">
        <v>78</v>
      </c>
      <c r="O179" s="2"/>
      <c r="P179" s="2"/>
      <c r="Q179" s="2"/>
      <c r="R179" s="2"/>
      <c r="S179" s="2"/>
      <c r="T179" s="2" t="s">
        <v>3717</v>
      </c>
      <c r="U179" s="2" t="s">
        <v>2491</v>
      </c>
      <c r="V179" s="2" t="s">
        <v>3718</v>
      </c>
      <c r="W179" s="2" t="s">
        <v>3719</v>
      </c>
      <c r="X179" s="2"/>
      <c r="Y179" s="2" t="s">
        <v>3720</v>
      </c>
      <c r="Z179" s="2"/>
      <c r="AA179" s="2"/>
      <c r="AB179" s="2"/>
      <c r="AC179" s="2"/>
      <c r="AD179" s="2"/>
      <c r="AE179" s="2"/>
      <c r="AF179" s="2" t="s">
        <v>3721</v>
      </c>
      <c r="AG179" s="2">
        <v>35.0</v>
      </c>
      <c r="AH179" s="2">
        <v>5.0</v>
      </c>
      <c r="AI179" s="2">
        <v>5.0</v>
      </c>
      <c r="AJ179" s="2">
        <v>5.0</v>
      </c>
      <c r="AK179" s="2">
        <v>20.0</v>
      </c>
      <c r="AL179" s="2" t="s">
        <v>726</v>
      </c>
      <c r="AM179" s="2" t="s">
        <v>727</v>
      </c>
      <c r="AN179" s="2" t="s">
        <v>728</v>
      </c>
      <c r="AO179" s="2" t="s">
        <v>729</v>
      </c>
      <c r="AP179" s="2"/>
      <c r="AQ179" s="2"/>
      <c r="AR179" s="2" t="s">
        <v>730</v>
      </c>
      <c r="AS179" s="2" t="s">
        <v>731</v>
      </c>
      <c r="AT179" s="2"/>
      <c r="AU179" s="2">
        <v>2022.0</v>
      </c>
      <c r="AV179" s="2">
        <v>23.0</v>
      </c>
      <c r="AW179" s="2">
        <v>2.0</v>
      </c>
      <c r="AX179" s="2"/>
      <c r="AY179" s="2"/>
      <c r="AZ179" s="2"/>
      <c r="BA179" s="2"/>
      <c r="BB179" s="2">
        <v>405.0</v>
      </c>
      <c r="BC179" s="2">
        <v>416.0</v>
      </c>
      <c r="BD179" s="2"/>
      <c r="BE179" s="2" t="s">
        <v>3722</v>
      </c>
      <c r="BF179" s="3" t="str">
        <f>HYPERLINK("http://dx.doi.org/10.12681/mms.27152","http://dx.doi.org/10.12681/mms.27152")</f>
        <v>http://dx.doi.org/10.12681/mms.27152</v>
      </c>
      <c r="BG179" s="2"/>
      <c r="BH179" s="2"/>
      <c r="BI179" s="2">
        <v>13.0</v>
      </c>
      <c r="BJ179" s="2" t="s">
        <v>733</v>
      </c>
      <c r="BK179" s="2" t="s">
        <v>226</v>
      </c>
      <c r="BL179" s="2" t="s">
        <v>734</v>
      </c>
      <c r="BM179" s="2" t="s">
        <v>3723</v>
      </c>
      <c r="BN179" s="2"/>
      <c r="BO179" s="2" t="s">
        <v>255</v>
      </c>
      <c r="BP179" s="2"/>
      <c r="BQ179" s="2"/>
      <c r="BR179" s="2" t="s">
        <v>99</v>
      </c>
      <c r="BS179" s="2" t="s">
        <v>3724</v>
      </c>
      <c r="BT179" s="2" t="str">
        <f>HYPERLINK("https%3A%2F%2Fwww.webofscience.com%2Fwos%2Fwoscc%2Ffull-record%2FWOS:000782845600001","View Full Record in Web of Science")</f>
        <v>View Full Record in Web of Science</v>
      </c>
    </row>
    <row r="180" ht="64.5" customHeight="1">
      <c r="A180" s="2" t="s">
        <v>72</v>
      </c>
      <c r="B180" s="2" t="s">
        <v>3725</v>
      </c>
      <c r="C180" s="2"/>
      <c r="D180" s="2"/>
      <c r="E180" s="2"/>
      <c r="F180" s="2" t="s">
        <v>3726</v>
      </c>
      <c r="G180" s="2"/>
      <c r="H180" s="2"/>
      <c r="I180" s="2" t="s">
        <v>3727</v>
      </c>
      <c r="J180" s="2" t="s">
        <v>370</v>
      </c>
      <c r="K180" s="2"/>
      <c r="L180" s="2"/>
      <c r="M180" s="2" t="s">
        <v>116</v>
      </c>
      <c r="N180" s="2" t="s">
        <v>78</v>
      </c>
      <c r="O180" s="2"/>
      <c r="P180" s="2"/>
      <c r="Q180" s="2"/>
      <c r="R180" s="2"/>
      <c r="S180" s="2"/>
      <c r="T180" s="2" t="s">
        <v>3728</v>
      </c>
      <c r="U180" s="2" t="s">
        <v>3729</v>
      </c>
      <c r="V180" s="2" t="s">
        <v>3730</v>
      </c>
      <c r="W180" s="2" t="s">
        <v>3731</v>
      </c>
      <c r="X180" s="2" t="s">
        <v>3732</v>
      </c>
      <c r="Y180" s="2" t="s">
        <v>3733</v>
      </c>
      <c r="Z180" s="2" t="s">
        <v>3734</v>
      </c>
      <c r="AA180" s="2"/>
      <c r="AB180" s="2" t="s">
        <v>3735</v>
      </c>
      <c r="AC180" s="2"/>
      <c r="AD180" s="2"/>
      <c r="AE180" s="2"/>
      <c r="AF180" s="2" t="s">
        <v>3736</v>
      </c>
      <c r="AG180" s="2">
        <v>65.0</v>
      </c>
      <c r="AH180" s="2">
        <v>3.0</v>
      </c>
      <c r="AI180" s="2">
        <v>3.0</v>
      </c>
      <c r="AJ180" s="2">
        <v>4.0</v>
      </c>
      <c r="AK180" s="2">
        <v>16.0</v>
      </c>
      <c r="AL180" s="2" t="s">
        <v>383</v>
      </c>
      <c r="AM180" s="2" t="s">
        <v>384</v>
      </c>
      <c r="AN180" s="2" t="s">
        <v>385</v>
      </c>
      <c r="AO180" s="2"/>
      <c r="AP180" s="2" t="s">
        <v>386</v>
      </c>
      <c r="AQ180" s="2"/>
      <c r="AR180" s="2" t="s">
        <v>387</v>
      </c>
      <c r="AS180" s="2" t="s">
        <v>388</v>
      </c>
      <c r="AT180" s="2" t="s">
        <v>938</v>
      </c>
      <c r="AU180" s="2">
        <v>2022.0</v>
      </c>
      <c r="AV180" s="2">
        <v>14.0</v>
      </c>
      <c r="AW180" s="2">
        <v>11.0</v>
      </c>
      <c r="AX180" s="2"/>
      <c r="AY180" s="2"/>
      <c r="AZ180" s="2"/>
      <c r="BA180" s="2"/>
      <c r="BB180" s="2"/>
      <c r="BC180" s="2"/>
      <c r="BD180" s="2">
        <v>6791.0</v>
      </c>
      <c r="BE180" s="2" t="s">
        <v>3737</v>
      </c>
      <c r="BF180" s="3" t="str">
        <f>HYPERLINK("http://dx.doi.org/10.3390/su14116791","http://dx.doi.org/10.3390/su14116791")</f>
        <v>http://dx.doi.org/10.3390/su14116791</v>
      </c>
      <c r="BG180" s="2"/>
      <c r="BH180" s="2"/>
      <c r="BI180" s="2">
        <v>28.0</v>
      </c>
      <c r="BJ180" s="2" t="s">
        <v>390</v>
      </c>
      <c r="BK180" s="2" t="s">
        <v>363</v>
      </c>
      <c r="BL180" s="2" t="s">
        <v>391</v>
      </c>
      <c r="BM180" s="2" t="s">
        <v>3738</v>
      </c>
      <c r="BN180" s="2"/>
      <c r="BO180" s="2" t="s">
        <v>272</v>
      </c>
      <c r="BP180" s="2"/>
      <c r="BQ180" s="2"/>
      <c r="BR180" s="2" t="s">
        <v>99</v>
      </c>
      <c r="BS180" s="2" t="s">
        <v>3739</v>
      </c>
      <c r="BT180" s="2" t="str">
        <f>HYPERLINK("https%3A%2F%2Fwww.webofscience.com%2Fwos%2Fwoscc%2Ffull-record%2FWOS:000809091500001","View Full Record in Web of Science")</f>
        <v>View Full Record in Web of Science</v>
      </c>
    </row>
    <row r="181" ht="64.5" customHeight="1">
      <c r="A181" s="2" t="s">
        <v>72</v>
      </c>
      <c r="B181" s="2" t="s">
        <v>3740</v>
      </c>
      <c r="C181" s="2"/>
      <c r="D181" s="2"/>
      <c r="E181" s="2"/>
      <c r="F181" s="2" t="s">
        <v>3741</v>
      </c>
      <c r="G181" s="2"/>
      <c r="H181" s="2"/>
      <c r="I181" s="2" t="s">
        <v>3742</v>
      </c>
      <c r="J181" s="2" t="s">
        <v>3743</v>
      </c>
      <c r="K181" s="2"/>
      <c r="L181" s="2"/>
      <c r="M181" s="2" t="s">
        <v>116</v>
      </c>
      <c r="N181" s="2" t="s">
        <v>78</v>
      </c>
      <c r="O181" s="2"/>
      <c r="P181" s="2"/>
      <c r="Q181" s="2"/>
      <c r="R181" s="2"/>
      <c r="S181" s="2"/>
      <c r="T181" s="2" t="s">
        <v>3744</v>
      </c>
      <c r="U181" s="2" t="s">
        <v>3745</v>
      </c>
      <c r="V181" s="2" t="s">
        <v>3746</v>
      </c>
      <c r="W181" s="2" t="s">
        <v>3747</v>
      </c>
      <c r="X181" s="2" t="s">
        <v>3748</v>
      </c>
      <c r="Y181" s="2" t="s">
        <v>3749</v>
      </c>
      <c r="Z181" s="2" t="s">
        <v>3750</v>
      </c>
      <c r="AA181" s="2"/>
      <c r="AB181" s="2" t="s">
        <v>3751</v>
      </c>
      <c r="AC181" s="2" t="s">
        <v>3752</v>
      </c>
      <c r="AD181" s="2" t="s">
        <v>3753</v>
      </c>
      <c r="AE181" s="2" t="s">
        <v>3754</v>
      </c>
      <c r="AF181" s="2" t="s">
        <v>3755</v>
      </c>
      <c r="AG181" s="2">
        <v>58.0</v>
      </c>
      <c r="AH181" s="2">
        <v>8.0</v>
      </c>
      <c r="AI181" s="2">
        <v>10.0</v>
      </c>
      <c r="AJ181" s="2">
        <v>10.0</v>
      </c>
      <c r="AK181" s="2">
        <v>72.0</v>
      </c>
      <c r="AL181" s="2" t="s">
        <v>156</v>
      </c>
      <c r="AM181" s="2" t="s">
        <v>157</v>
      </c>
      <c r="AN181" s="2" t="s">
        <v>158</v>
      </c>
      <c r="AO181" s="2" t="s">
        <v>3756</v>
      </c>
      <c r="AP181" s="2" t="s">
        <v>3757</v>
      </c>
      <c r="AQ181" s="2"/>
      <c r="AR181" s="2" t="s">
        <v>3758</v>
      </c>
      <c r="AS181" s="2" t="s">
        <v>3759</v>
      </c>
      <c r="AT181" s="2" t="s">
        <v>3760</v>
      </c>
      <c r="AU181" s="2">
        <v>2020.0</v>
      </c>
      <c r="AV181" s="2">
        <v>25.0</v>
      </c>
      <c r="AW181" s="2">
        <v>4.0</v>
      </c>
      <c r="AX181" s="2"/>
      <c r="AY181" s="2"/>
      <c r="AZ181" s="2"/>
      <c r="BA181" s="2"/>
      <c r="BB181" s="2">
        <v>441.0</v>
      </c>
      <c r="BC181" s="2">
        <v>456.0</v>
      </c>
      <c r="BD181" s="2"/>
      <c r="BE181" s="2" t="s">
        <v>3761</v>
      </c>
      <c r="BF181" s="3" t="str">
        <f>HYPERLINK("http://dx.doi.org/10.1080/10941665.2020.1741410","http://dx.doi.org/10.1080/10941665.2020.1741410")</f>
        <v>http://dx.doi.org/10.1080/10941665.2020.1741410</v>
      </c>
      <c r="BG181" s="2"/>
      <c r="BH181" s="2"/>
      <c r="BI181" s="2">
        <v>16.0</v>
      </c>
      <c r="BJ181" s="2" t="s">
        <v>3762</v>
      </c>
      <c r="BK181" s="2" t="s">
        <v>166</v>
      </c>
      <c r="BL181" s="2" t="s">
        <v>476</v>
      </c>
      <c r="BM181" s="2" t="s">
        <v>3763</v>
      </c>
      <c r="BN181" s="2"/>
      <c r="BO181" s="2"/>
      <c r="BP181" s="2"/>
      <c r="BQ181" s="2"/>
      <c r="BR181" s="2" t="s">
        <v>99</v>
      </c>
      <c r="BS181" s="2" t="s">
        <v>3764</v>
      </c>
      <c r="BT181" s="2" t="str">
        <f>HYPERLINK("https%3A%2F%2Fwww.webofscience.com%2Fwos%2Fwoscc%2Ffull-record%2FWOS:000520591600001","View Full Record in Web of Science")</f>
        <v>View Full Record in Web of Science</v>
      </c>
    </row>
    <row r="182" ht="64.5" customHeight="1">
      <c r="A182" s="2" t="s">
        <v>72</v>
      </c>
      <c r="B182" s="2" t="s">
        <v>3765</v>
      </c>
      <c r="C182" s="2"/>
      <c r="D182" s="2"/>
      <c r="E182" s="2"/>
      <c r="F182" s="2" t="s">
        <v>3766</v>
      </c>
      <c r="G182" s="2"/>
      <c r="H182" s="2"/>
      <c r="I182" s="2" t="s">
        <v>3767</v>
      </c>
      <c r="J182" s="2" t="s">
        <v>233</v>
      </c>
      <c r="K182" s="2"/>
      <c r="L182" s="2"/>
      <c r="M182" s="2" t="s">
        <v>116</v>
      </c>
      <c r="N182" s="2" t="s">
        <v>78</v>
      </c>
      <c r="O182" s="2"/>
      <c r="P182" s="2"/>
      <c r="Q182" s="2"/>
      <c r="R182" s="2"/>
      <c r="S182" s="2"/>
      <c r="T182" s="2" t="s">
        <v>3768</v>
      </c>
      <c r="U182" s="2" t="s">
        <v>3769</v>
      </c>
      <c r="V182" s="2" t="s">
        <v>3770</v>
      </c>
      <c r="W182" s="2" t="s">
        <v>3771</v>
      </c>
      <c r="X182" s="2" t="s">
        <v>1604</v>
      </c>
      <c r="Y182" s="2" t="s">
        <v>3772</v>
      </c>
      <c r="Z182" s="2" t="s">
        <v>3111</v>
      </c>
      <c r="AA182" s="2" t="s">
        <v>3112</v>
      </c>
      <c r="AB182" s="2" t="s">
        <v>3773</v>
      </c>
      <c r="AC182" s="2" t="s">
        <v>3774</v>
      </c>
      <c r="AD182" s="2"/>
      <c r="AE182" s="2" t="s">
        <v>3775</v>
      </c>
      <c r="AF182" s="2" t="s">
        <v>3776</v>
      </c>
      <c r="AG182" s="2">
        <v>48.0</v>
      </c>
      <c r="AH182" s="2">
        <v>13.0</v>
      </c>
      <c r="AI182" s="2">
        <v>13.0</v>
      </c>
      <c r="AJ182" s="2">
        <v>6.0</v>
      </c>
      <c r="AK182" s="2">
        <v>30.0</v>
      </c>
      <c r="AL182" s="2" t="s">
        <v>246</v>
      </c>
      <c r="AM182" s="2" t="s">
        <v>247</v>
      </c>
      <c r="AN182" s="2" t="s">
        <v>248</v>
      </c>
      <c r="AO182" s="2"/>
      <c r="AP182" s="2" t="s">
        <v>249</v>
      </c>
      <c r="AQ182" s="2"/>
      <c r="AR182" s="2" t="s">
        <v>250</v>
      </c>
      <c r="AS182" s="2" t="s">
        <v>251</v>
      </c>
      <c r="AT182" s="2" t="s">
        <v>3777</v>
      </c>
      <c r="AU182" s="2">
        <v>2022.0</v>
      </c>
      <c r="AV182" s="2">
        <v>9.0</v>
      </c>
      <c r="AW182" s="2"/>
      <c r="AX182" s="2"/>
      <c r="AY182" s="2"/>
      <c r="AZ182" s="2"/>
      <c r="BA182" s="2"/>
      <c r="BB182" s="2"/>
      <c r="BC182" s="2"/>
      <c r="BD182" s="2">
        <v>883524.0</v>
      </c>
      <c r="BE182" s="2" t="s">
        <v>3778</v>
      </c>
      <c r="BF182" s="3" t="str">
        <f>HYPERLINK("http://dx.doi.org/10.3389/fmars.2022.883524","http://dx.doi.org/10.3389/fmars.2022.883524")</f>
        <v>http://dx.doi.org/10.3389/fmars.2022.883524</v>
      </c>
      <c r="BG182" s="2"/>
      <c r="BH182" s="2"/>
      <c r="BI182" s="2">
        <v>11.0</v>
      </c>
      <c r="BJ182" s="2" t="s">
        <v>225</v>
      </c>
      <c r="BK182" s="2" t="s">
        <v>226</v>
      </c>
      <c r="BL182" s="2" t="s">
        <v>227</v>
      </c>
      <c r="BM182" s="2" t="s">
        <v>3779</v>
      </c>
      <c r="BN182" s="2"/>
      <c r="BO182" s="2" t="s">
        <v>255</v>
      </c>
      <c r="BP182" s="2"/>
      <c r="BQ182" s="2"/>
      <c r="BR182" s="2" t="s">
        <v>99</v>
      </c>
      <c r="BS182" s="2" t="s">
        <v>3780</v>
      </c>
      <c r="BT182" s="2" t="str">
        <f>HYPERLINK("https%3A%2F%2Fwww.webofscience.com%2Fwos%2Fwoscc%2Ffull-record%2FWOS:000826687400001","View Full Record in Web of Science")</f>
        <v>View Full Record in Web of Science</v>
      </c>
    </row>
    <row r="183" ht="64.5" customHeight="1">
      <c r="A183" s="2" t="s">
        <v>72</v>
      </c>
      <c r="B183" s="2" t="s">
        <v>3781</v>
      </c>
      <c r="C183" s="2"/>
      <c r="D183" s="2"/>
      <c r="E183" s="2"/>
      <c r="F183" s="2" t="s">
        <v>3782</v>
      </c>
      <c r="G183" s="2"/>
      <c r="H183" s="2"/>
      <c r="I183" s="2" t="s">
        <v>3783</v>
      </c>
      <c r="J183" s="2" t="s">
        <v>1337</v>
      </c>
      <c r="K183" s="2"/>
      <c r="L183" s="2"/>
      <c r="M183" s="2" t="s">
        <v>116</v>
      </c>
      <c r="N183" s="2" t="s">
        <v>78</v>
      </c>
      <c r="O183" s="2"/>
      <c r="P183" s="2"/>
      <c r="Q183" s="2"/>
      <c r="R183" s="2"/>
      <c r="S183" s="2"/>
      <c r="T183" s="2" t="s">
        <v>3784</v>
      </c>
      <c r="U183" s="2" t="s">
        <v>3785</v>
      </c>
      <c r="V183" s="2" t="s">
        <v>3786</v>
      </c>
      <c r="W183" s="2" t="s">
        <v>3787</v>
      </c>
      <c r="X183" s="2" t="s">
        <v>3788</v>
      </c>
      <c r="Y183" s="2" t="s">
        <v>3789</v>
      </c>
      <c r="Z183" s="2" t="s">
        <v>3790</v>
      </c>
      <c r="AA183" s="2"/>
      <c r="AB183" s="2" t="s">
        <v>3791</v>
      </c>
      <c r="AC183" s="2" t="s">
        <v>3792</v>
      </c>
      <c r="AD183" s="2" t="s">
        <v>3792</v>
      </c>
      <c r="AE183" s="2" t="s">
        <v>3793</v>
      </c>
      <c r="AF183" s="2" t="s">
        <v>3794</v>
      </c>
      <c r="AG183" s="2">
        <v>53.0</v>
      </c>
      <c r="AH183" s="2">
        <v>14.0</v>
      </c>
      <c r="AI183" s="2">
        <v>19.0</v>
      </c>
      <c r="AJ183" s="2">
        <v>8.0</v>
      </c>
      <c r="AK183" s="2">
        <v>37.0</v>
      </c>
      <c r="AL183" s="2" t="s">
        <v>1346</v>
      </c>
      <c r="AM183" s="2" t="s">
        <v>428</v>
      </c>
      <c r="AN183" s="2" t="s">
        <v>1347</v>
      </c>
      <c r="AO183" s="2" t="s">
        <v>1348</v>
      </c>
      <c r="AP183" s="2" t="s">
        <v>1349</v>
      </c>
      <c r="AQ183" s="2"/>
      <c r="AR183" s="2" t="s">
        <v>1350</v>
      </c>
      <c r="AS183" s="2" t="s">
        <v>1351</v>
      </c>
      <c r="AT183" s="2" t="s">
        <v>292</v>
      </c>
      <c r="AU183" s="2">
        <v>2018.0</v>
      </c>
      <c r="AV183" s="2">
        <v>45.0</v>
      </c>
      <c r="AW183" s="2"/>
      <c r="AX183" s="2"/>
      <c r="AY183" s="2"/>
      <c r="AZ183" s="2" t="s">
        <v>359</v>
      </c>
      <c r="BA183" s="2"/>
      <c r="BB183" s="2">
        <v>374.0</v>
      </c>
      <c r="BC183" s="2">
        <v>384.0</v>
      </c>
      <c r="BD183" s="2"/>
      <c r="BE183" s="2" t="s">
        <v>3795</v>
      </c>
      <c r="BF183" s="3" t="str">
        <f>HYPERLINK("http://dx.doi.org/10.1016/j.erss.2018.06.023","http://dx.doi.org/10.1016/j.erss.2018.06.023")</f>
        <v>http://dx.doi.org/10.1016/j.erss.2018.06.023</v>
      </c>
      <c r="BG183" s="2"/>
      <c r="BH183" s="2"/>
      <c r="BI183" s="2">
        <v>11.0</v>
      </c>
      <c r="BJ183" s="2" t="s">
        <v>95</v>
      </c>
      <c r="BK183" s="2" t="s">
        <v>166</v>
      </c>
      <c r="BL183" s="2" t="s">
        <v>97</v>
      </c>
      <c r="BM183" s="2" t="s">
        <v>3796</v>
      </c>
      <c r="BN183" s="2"/>
      <c r="BO183" s="2"/>
      <c r="BP183" s="2"/>
      <c r="BQ183" s="2"/>
      <c r="BR183" s="2" t="s">
        <v>99</v>
      </c>
      <c r="BS183" s="2" t="s">
        <v>3797</v>
      </c>
      <c r="BT183" s="2" t="str">
        <f>HYPERLINK("https%3A%2F%2Fwww.webofscience.com%2Fwos%2Fwoscc%2Ffull-record%2FWOS:000448868500034","View Full Record in Web of Science")</f>
        <v>View Full Record in Web of Science</v>
      </c>
    </row>
    <row r="184" ht="64.5" customHeight="1">
      <c r="A184" s="2" t="s">
        <v>72</v>
      </c>
      <c r="B184" s="2" t="s">
        <v>3798</v>
      </c>
      <c r="C184" s="2"/>
      <c r="D184" s="2"/>
      <c r="E184" s="2"/>
      <c r="F184" s="2" t="s">
        <v>3799</v>
      </c>
      <c r="G184" s="2"/>
      <c r="H184" s="2"/>
      <c r="I184" s="2" t="s">
        <v>3800</v>
      </c>
      <c r="J184" s="2" t="s">
        <v>623</v>
      </c>
      <c r="K184" s="2"/>
      <c r="L184" s="2"/>
      <c r="M184" s="2" t="s">
        <v>116</v>
      </c>
      <c r="N184" s="2" t="s">
        <v>78</v>
      </c>
      <c r="O184" s="2"/>
      <c r="P184" s="2"/>
      <c r="Q184" s="2"/>
      <c r="R184" s="2"/>
      <c r="S184" s="2"/>
      <c r="T184" s="2" t="s">
        <v>3801</v>
      </c>
      <c r="U184" s="2"/>
      <c r="V184" s="2" t="s">
        <v>3802</v>
      </c>
      <c r="W184" s="2" t="s">
        <v>3803</v>
      </c>
      <c r="X184" s="2" t="s">
        <v>124</v>
      </c>
      <c r="Y184" s="2" t="s">
        <v>3804</v>
      </c>
      <c r="Z184" s="2"/>
      <c r="AA184" s="2"/>
      <c r="AB184" s="2"/>
      <c r="AC184" s="2"/>
      <c r="AD184" s="2"/>
      <c r="AE184" s="2"/>
      <c r="AF184" s="2" t="s">
        <v>3805</v>
      </c>
      <c r="AG184" s="2">
        <v>13.0</v>
      </c>
      <c r="AH184" s="2">
        <v>0.0</v>
      </c>
      <c r="AI184" s="2">
        <v>0.0</v>
      </c>
      <c r="AJ184" s="2">
        <v>2.0</v>
      </c>
      <c r="AK184" s="2">
        <v>9.0</v>
      </c>
      <c r="AL184" s="2" t="s">
        <v>629</v>
      </c>
      <c r="AM184" s="2" t="s">
        <v>630</v>
      </c>
      <c r="AN184" s="2" t="s">
        <v>631</v>
      </c>
      <c r="AO184" s="2" t="s">
        <v>632</v>
      </c>
      <c r="AP184" s="2"/>
      <c r="AQ184" s="2"/>
      <c r="AR184" s="2" t="s">
        <v>634</v>
      </c>
      <c r="AS184" s="2" t="s">
        <v>635</v>
      </c>
      <c r="AT184" s="2" t="s">
        <v>3806</v>
      </c>
      <c r="AU184" s="2">
        <v>2009.0</v>
      </c>
      <c r="AV184" s="2">
        <v>43.0</v>
      </c>
      <c r="AW184" s="2">
        <v>2.0</v>
      </c>
      <c r="AX184" s="2"/>
      <c r="AY184" s="2"/>
      <c r="AZ184" s="2"/>
      <c r="BA184" s="2"/>
      <c r="BB184" s="2">
        <v>73.0</v>
      </c>
      <c r="BC184" s="2">
        <v>80.0</v>
      </c>
      <c r="BD184" s="2"/>
      <c r="BE184" s="2" t="s">
        <v>3807</v>
      </c>
      <c r="BF184" s="3" t="str">
        <f>HYPERLINK("http://dx.doi.org/10.4031/MTSJ.43.2.3","http://dx.doi.org/10.4031/MTSJ.43.2.3")</f>
        <v>http://dx.doi.org/10.4031/MTSJ.43.2.3</v>
      </c>
      <c r="BG184" s="2"/>
      <c r="BH184" s="2"/>
      <c r="BI184" s="2">
        <v>8.0</v>
      </c>
      <c r="BJ184" s="2" t="s">
        <v>134</v>
      </c>
      <c r="BK184" s="2" t="s">
        <v>226</v>
      </c>
      <c r="BL184" s="2" t="s">
        <v>136</v>
      </c>
      <c r="BM184" s="2" t="s">
        <v>3808</v>
      </c>
      <c r="BN184" s="2"/>
      <c r="BO184" s="2" t="s">
        <v>201</v>
      </c>
      <c r="BP184" s="2"/>
      <c r="BQ184" s="2"/>
      <c r="BR184" s="2" t="s">
        <v>99</v>
      </c>
      <c r="BS184" s="2" t="s">
        <v>3809</v>
      </c>
      <c r="BT184" s="2" t="str">
        <f>HYPERLINK("https%3A%2F%2Fwww.webofscience.com%2Fwos%2Fwoscc%2Ffull-record%2FWOS:000267143600008","View Full Record in Web of Science")</f>
        <v>View Full Record in Web of Science</v>
      </c>
    </row>
    <row r="185" ht="64.5" customHeight="1">
      <c r="A185" s="2" t="s">
        <v>72</v>
      </c>
      <c r="B185" s="2" t="s">
        <v>3810</v>
      </c>
      <c r="C185" s="2"/>
      <c r="D185" s="2"/>
      <c r="E185" s="2"/>
      <c r="F185" s="2" t="s">
        <v>3811</v>
      </c>
      <c r="G185" s="2"/>
      <c r="H185" s="2"/>
      <c r="I185" s="2" t="s">
        <v>3812</v>
      </c>
      <c r="J185" s="2" t="s">
        <v>2105</v>
      </c>
      <c r="K185" s="2"/>
      <c r="L185" s="2"/>
      <c r="M185" s="2" t="s">
        <v>116</v>
      </c>
      <c r="N185" s="2" t="s">
        <v>78</v>
      </c>
      <c r="O185" s="2"/>
      <c r="P185" s="2"/>
      <c r="Q185" s="2"/>
      <c r="R185" s="2"/>
      <c r="S185" s="2"/>
      <c r="T185" s="2" t="s">
        <v>3813</v>
      </c>
      <c r="U185" s="2"/>
      <c r="V185" s="2" t="s">
        <v>3814</v>
      </c>
      <c r="W185" s="2" t="s">
        <v>3815</v>
      </c>
      <c r="X185" s="2" t="s">
        <v>3816</v>
      </c>
      <c r="Y185" s="2" t="s">
        <v>3817</v>
      </c>
      <c r="Z185" s="2" t="s">
        <v>3818</v>
      </c>
      <c r="AA185" s="2"/>
      <c r="AB185" s="2"/>
      <c r="AC185" s="2"/>
      <c r="AD185" s="2"/>
      <c r="AE185" s="2"/>
      <c r="AF185" s="2" t="s">
        <v>3819</v>
      </c>
      <c r="AG185" s="2">
        <v>40.0</v>
      </c>
      <c r="AH185" s="2">
        <v>4.0</v>
      </c>
      <c r="AI185" s="2">
        <v>4.0</v>
      </c>
      <c r="AJ185" s="2">
        <v>2.0</v>
      </c>
      <c r="AK185" s="2">
        <v>17.0</v>
      </c>
      <c r="AL185" s="2" t="s">
        <v>2116</v>
      </c>
      <c r="AM185" s="2" t="s">
        <v>2117</v>
      </c>
      <c r="AN185" s="2" t="s">
        <v>2118</v>
      </c>
      <c r="AO185" s="2" t="s">
        <v>2119</v>
      </c>
      <c r="AP185" s="2" t="s">
        <v>2120</v>
      </c>
      <c r="AQ185" s="2"/>
      <c r="AR185" s="2" t="s">
        <v>2121</v>
      </c>
      <c r="AS185" s="2" t="s">
        <v>2122</v>
      </c>
      <c r="AT185" s="2" t="s">
        <v>3820</v>
      </c>
      <c r="AU185" s="2">
        <v>2021.0</v>
      </c>
      <c r="AV185" s="2">
        <v>22.0</v>
      </c>
      <c r="AW185" s="2">
        <v>7.0</v>
      </c>
      <c r="AX185" s="2"/>
      <c r="AY185" s="2"/>
      <c r="AZ185" s="2"/>
      <c r="BA185" s="2"/>
      <c r="BB185" s="2">
        <v>1707.0</v>
      </c>
      <c r="BC185" s="2">
        <v>1727.0</v>
      </c>
      <c r="BD185" s="2"/>
      <c r="BE185" s="2" t="s">
        <v>3821</v>
      </c>
      <c r="BF185" s="3" t="str">
        <f>HYPERLINK("http://dx.doi.org/10.1108/IJSHE-09-2020-0343","http://dx.doi.org/10.1108/IJSHE-09-2020-0343")</f>
        <v>http://dx.doi.org/10.1108/IJSHE-09-2020-0343</v>
      </c>
      <c r="BG185" s="2"/>
      <c r="BH185" s="2" t="s">
        <v>3822</v>
      </c>
      <c r="BI185" s="2">
        <v>21.0</v>
      </c>
      <c r="BJ185" s="2" t="s">
        <v>2124</v>
      </c>
      <c r="BK185" s="2" t="s">
        <v>166</v>
      </c>
      <c r="BL185" s="2" t="s">
        <v>2125</v>
      </c>
      <c r="BM185" s="2" t="s">
        <v>3823</v>
      </c>
      <c r="BN185" s="2"/>
      <c r="BO185" s="2"/>
      <c r="BP185" s="2"/>
      <c r="BQ185" s="2"/>
      <c r="BR185" s="2" t="s">
        <v>99</v>
      </c>
      <c r="BS185" s="2" t="s">
        <v>3824</v>
      </c>
      <c r="BT185" s="2" t="str">
        <f>HYPERLINK("https%3A%2F%2Fwww.webofscience.com%2Fwos%2Fwoscc%2Ffull-record%2FWOS:000690386800001","View Full Record in Web of Science")</f>
        <v>View Full Record in Web of Science</v>
      </c>
    </row>
    <row r="186" ht="64.5" customHeight="1">
      <c r="A186" s="2" t="s">
        <v>72</v>
      </c>
      <c r="B186" s="2" t="s">
        <v>3825</v>
      </c>
      <c r="C186" s="2"/>
      <c r="D186" s="2"/>
      <c r="E186" s="2"/>
      <c r="F186" s="2" t="s">
        <v>3826</v>
      </c>
      <c r="G186" s="2"/>
      <c r="H186" s="2"/>
      <c r="I186" s="2" t="s">
        <v>3827</v>
      </c>
      <c r="J186" s="2" t="s">
        <v>2968</v>
      </c>
      <c r="K186" s="2"/>
      <c r="L186" s="2"/>
      <c r="M186" s="2" t="s">
        <v>116</v>
      </c>
      <c r="N186" s="2" t="s">
        <v>78</v>
      </c>
      <c r="O186" s="2"/>
      <c r="P186" s="2"/>
      <c r="Q186" s="2"/>
      <c r="R186" s="2"/>
      <c r="S186" s="2"/>
      <c r="T186" s="2" t="s">
        <v>3828</v>
      </c>
      <c r="U186" s="2" t="s">
        <v>3829</v>
      </c>
      <c r="V186" s="2" t="s">
        <v>3830</v>
      </c>
      <c r="W186" s="2" t="s">
        <v>3831</v>
      </c>
      <c r="X186" s="2" t="s">
        <v>3832</v>
      </c>
      <c r="Y186" s="2" t="s">
        <v>3833</v>
      </c>
      <c r="Z186" s="2" t="s">
        <v>3834</v>
      </c>
      <c r="AA186" s="2" t="s">
        <v>3835</v>
      </c>
      <c r="AB186" s="2" t="s">
        <v>3836</v>
      </c>
      <c r="AC186" s="2" t="s">
        <v>3837</v>
      </c>
      <c r="AD186" s="2" t="s">
        <v>3838</v>
      </c>
      <c r="AE186" s="2" t="s">
        <v>3839</v>
      </c>
      <c r="AF186" s="2" t="s">
        <v>3840</v>
      </c>
      <c r="AG186" s="2">
        <v>43.0</v>
      </c>
      <c r="AH186" s="2">
        <v>31.0</v>
      </c>
      <c r="AI186" s="2">
        <v>37.0</v>
      </c>
      <c r="AJ186" s="2">
        <v>2.0</v>
      </c>
      <c r="AK186" s="2">
        <v>83.0</v>
      </c>
      <c r="AL186" s="2" t="s">
        <v>216</v>
      </c>
      <c r="AM186" s="2" t="s">
        <v>189</v>
      </c>
      <c r="AN186" s="2" t="s">
        <v>217</v>
      </c>
      <c r="AO186" s="2" t="s">
        <v>2982</v>
      </c>
      <c r="AP186" s="2" t="s">
        <v>2983</v>
      </c>
      <c r="AQ186" s="2"/>
      <c r="AR186" s="2" t="s">
        <v>2984</v>
      </c>
      <c r="AS186" s="2" t="s">
        <v>2985</v>
      </c>
      <c r="AT186" s="2" t="s">
        <v>358</v>
      </c>
      <c r="AU186" s="2">
        <v>2015.0</v>
      </c>
      <c r="AV186" s="2">
        <v>82.0</v>
      </c>
      <c r="AW186" s="2"/>
      <c r="AX186" s="2"/>
      <c r="AY186" s="2"/>
      <c r="AZ186" s="2"/>
      <c r="BA186" s="2"/>
      <c r="BB186" s="2">
        <v>60.0</v>
      </c>
      <c r="BC186" s="2">
        <v>73.0</v>
      </c>
      <c r="BD186" s="2"/>
      <c r="BE186" s="2" t="s">
        <v>3841</v>
      </c>
      <c r="BF186" s="3" t="str">
        <f>HYPERLINK("http://dx.doi.org/10.1016/j.compedu.2014.11.003","http://dx.doi.org/10.1016/j.compedu.2014.11.003")</f>
        <v>http://dx.doi.org/10.1016/j.compedu.2014.11.003</v>
      </c>
      <c r="BG186" s="2"/>
      <c r="BH186" s="2"/>
      <c r="BI186" s="2">
        <v>14.0</v>
      </c>
      <c r="BJ186" s="2" t="s">
        <v>2987</v>
      </c>
      <c r="BK186" s="2" t="s">
        <v>363</v>
      </c>
      <c r="BL186" s="2" t="s">
        <v>1054</v>
      </c>
      <c r="BM186" s="2" t="s">
        <v>3842</v>
      </c>
      <c r="BN186" s="2"/>
      <c r="BO186" s="2"/>
      <c r="BP186" s="2"/>
      <c r="BQ186" s="2"/>
      <c r="BR186" s="2" t="s">
        <v>99</v>
      </c>
      <c r="BS186" s="2" t="s">
        <v>3843</v>
      </c>
      <c r="BT186" s="2" t="str">
        <f>HYPERLINK("https%3A%2F%2Fwww.webofscience.com%2Fwos%2Fwoscc%2Ffull-record%2FWOS:000349723200005","View Full Record in Web of Science")</f>
        <v>View Full Record in Web of Science</v>
      </c>
    </row>
    <row r="187" ht="64.5" customHeight="1">
      <c r="A187" s="2" t="s">
        <v>72</v>
      </c>
      <c r="B187" s="2" t="s">
        <v>3844</v>
      </c>
      <c r="C187" s="2"/>
      <c r="D187" s="2"/>
      <c r="E187" s="2"/>
      <c r="F187" s="2" t="s">
        <v>3845</v>
      </c>
      <c r="G187" s="2"/>
      <c r="H187" s="2"/>
      <c r="I187" s="2" t="s">
        <v>3846</v>
      </c>
      <c r="J187" s="2" t="s">
        <v>233</v>
      </c>
      <c r="K187" s="2"/>
      <c r="L187" s="2"/>
      <c r="M187" s="2" t="s">
        <v>116</v>
      </c>
      <c r="N187" s="2" t="s">
        <v>78</v>
      </c>
      <c r="O187" s="2"/>
      <c r="P187" s="2"/>
      <c r="Q187" s="2"/>
      <c r="R187" s="2"/>
      <c r="S187" s="2"/>
      <c r="T187" s="2" t="s">
        <v>3847</v>
      </c>
      <c r="U187" s="2" t="s">
        <v>3848</v>
      </c>
      <c r="V187" s="2" t="s">
        <v>3849</v>
      </c>
      <c r="W187" s="2" t="s">
        <v>3850</v>
      </c>
      <c r="X187" s="2" t="s">
        <v>3851</v>
      </c>
      <c r="Y187" s="2" t="s">
        <v>3852</v>
      </c>
      <c r="Z187" s="2" t="s">
        <v>3853</v>
      </c>
      <c r="AA187" s="2" t="s">
        <v>3854</v>
      </c>
      <c r="AB187" s="2" t="s">
        <v>3855</v>
      </c>
      <c r="AC187" s="2" t="s">
        <v>3856</v>
      </c>
      <c r="AD187" s="2" t="s">
        <v>3857</v>
      </c>
      <c r="AE187" s="2" t="s">
        <v>3858</v>
      </c>
      <c r="AF187" s="2" t="s">
        <v>3859</v>
      </c>
      <c r="AG187" s="2">
        <v>87.0</v>
      </c>
      <c r="AH187" s="2">
        <v>2.0</v>
      </c>
      <c r="AI187" s="2">
        <v>2.0</v>
      </c>
      <c r="AJ187" s="2">
        <v>6.0</v>
      </c>
      <c r="AK187" s="2">
        <v>17.0</v>
      </c>
      <c r="AL187" s="2" t="s">
        <v>246</v>
      </c>
      <c r="AM187" s="2" t="s">
        <v>247</v>
      </c>
      <c r="AN187" s="2" t="s">
        <v>248</v>
      </c>
      <c r="AO187" s="2"/>
      <c r="AP187" s="2" t="s">
        <v>249</v>
      </c>
      <c r="AQ187" s="2"/>
      <c r="AR187" s="2" t="s">
        <v>250</v>
      </c>
      <c r="AS187" s="2" t="s">
        <v>251</v>
      </c>
      <c r="AT187" s="2" t="s">
        <v>3860</v>
      </c>
      <c r="AU187" s="2">
        <v>2022.0</v>
      </c>
      <c r="AV187" s="2">
        <v>9.0</v>
      </c>
      <c r="AW187" s="2"/>
      <c r="AX187" s="2"/>
      <c r="AY187" s="2"/>
      <c r="AZ187" s="2"/>
      <c r="BA187" s="2"/>
      <c r="BB187" s="2"/>
      <c r="BC187" s="2"/>
      <c r="BD187" s="2">
        <v>941694.0</v>
      </c>
      <c r="BE187" s="2" t="s">
        <v>3861</v>
      </c>
      <c r="BF187" s="3" t="str">
        <f>HYPERLINK("http://dx.doi.org/10.3389/fmars.2022.941694","http://dx.doi.org/10.3389/fmars.2022.941694")</f>
        <v>http://dx.doi.org/10.3389/fmars.2022.941694</v>
      </c>
      <c r="BG187" s="2"/>
      <c r="BH187" s="2"/>
      <c r="BI187" s="2">
        <v>19.0</v>
      </c>
      <c r="BJ187" s="2" t="s">
        <v>225</v>
      </c>
      <c r="BK187" s="2" t="s">
        <v>226</v>
      </c>
      <c r="BL187" s="2" t="s">
        <v>227</v>
      </c>
      <c r="BM187" s="2" t="s">
        <v>3862</v>
      </c>
      <c r="BN187" s="2"/>
      <c r="BO187" s="2" t="s">
        <v>255</v>
      </c>
      <c r="BP187" s="2"/>
      <c r="BQ187" s="2"/>
      <c r="BR187" s="2" t="s">
        <v>99</v>
      </c>
      <c r="BS187" s="2" t="s">
        <v>3863</v>
      </c>
      <c r="BT187" s="2" t="str">
        <f>HYPERLINK("https%3A%2F%2Fwww.webofscience.com%2Fwos%2Fwoscc%2Ffull-record%2FWOS:000861163500001","View Full Record in Web of Science")</f>
        <v>View Full Record in Web of Science</v>
      </c>
    </row>
    <row r="188" ht="64.5" customHeight="1">
      <c r="A188" s="2" t="s">
        <v>72</v>
      </c>
      <c r="B188" s="2" t="s">
        <v>3864</v>
      </c>
      <c r="C188" s="2"/>
      <c r="D188" s="2"/>
      <c r="E188" s="2"/>
      <c r="F188" s="2" t="s">
        <v>3865</v>
      </c>
      <c r="G188" s="2"/>
      <c r="H188" s="2"/>
      <c r="I188" s="2" t="s">
        <v>3866</v>
      </c>
      <c r="J188" s="2" t="s">
        <v>206</v>
      </c>
      <c r="K188" s="2"/>
      <c r="L188" s="2"/>
      <c r="M188" s="2" t="s">
        <v>116</v>
      </c>
      <c r="N188" s="2" t="s">
        <v>78</v>
      </c>
      <c r="O188" s="2"/>
      <c r="P188" s="2"/>
      <c r="Q188" s="2"/>
      <c r="R188" s="2"/>
      <c r="S188" s="2"/>
      <c r="T188" s="2" t="s">
        <v>3867</v>
      </c>
      <c r="U188" s="2" t="s">
        <v>3868</v>
      </c>
      <c r="V188" s="2" t="s">
        <v>3869</v>
      </c>
      <c r="W188" s="2" t="s">
        <v>3870</v>
      </c>
      <c r="X188" s="2" t="s">
        <v>3871</v>
      </c>
      <c r="Y188" s="2" t="s">
        <v>3872</v>
      </c>
      <c r="Z188" s="2" t="s">
        <v>3873</v>
      </c>
      <c r="AA188" s="2" t="s">
        <v>3874</v>
      </c>
      <c r="AB188" s="2" t="s">
        <v>3875</v>
      </c>
      <c r="AC188" s="2" t="s">
        <v>3876</v>
      </c>
      <c r="AD188" s="2" t="s">
        <v>3876</v>
      </c>
      <c r="AE188" s="2" t="s">
        <v>3877</v>
      </c>
      <c r="AF188" s="2" t="s">
        <v>3878</v>
      </c>
      <c r="AG188" s="2">
        <v>80.0</v>
      </c>
      <c r="AH188" s="2">
        <v>0.0</v>
      </c>
      <c r="AI188" s="2">
        <v>0.0</v>
      </c>
      <c r="AJ188" s="2">
        <v>0.0</v>
      </c>
      <c r="AK188" s="2">
        <v>0.0</v>
      </c>
      <c r="AL188" s="2" t="s">
        <v>216</v>
      </c>
      <c r="AM188" s="2" t="s">
        <v>189</v>
      </c>
      <c r="AN188" s="2" t="s">
        <v>217</v>
      </c>
      <c r="AO188" s="2" t="s">
        <v>218</v>
      </c>
      <c r="AP188" s="2" t="s">
        <v>219</v>
      </c>
      <c r="AQ188" s="2"/>
      <c r="AR188" s="2" t="s">
        <v>220</v>
      </c>
      <c r="AS188" s="2" t="s">
        <v>221</v>
      </c>
      <c r="AT188" s="2" t="s">
        <v>1073</v>
      </c>
      <c r="AU188" s="2">
        <v>2024.0</v>
      </c>
      <c r="AV188" s="2">
        <v>202.0</v>
      </c>
      <c r="AW188" s="2"/>
      <c r="AX188" s="2"/>
      <c r="AY188" s="2"/>
      <c r="AZ188" s="2"/>
      <c r="BA188" s="2"/>
      <c r="BB188" s="2"/>
      <c r="BC188" s="2"/>
      <c r="BD188" s="2">
        <v>116297.0</v>
      </c>
      <c r="BE188" s="2" t="s">
        <v>3879</v>
      </c>
      <c r="BF188" s="3" t="str">
        <f>HYPERLINK("http://dx.doi.org/10.1016/j.marpolbul.2024.116297","http://dx.doi.org/10.1016/j.marpolbul.2024.116297")</f>
        <v>http://dx.doi.org/10.1016/j.marpolbul.2024.116297</v>
      </c>
      <c r="BG188" s="2"/>
      <c r="BH188" s="2" t="s">
        <v>2445</v>
      </c>
      <c r="BI188" s="2">
        <v>10.0</v>
      </c>
      <c r="BJ188" s="2" t="s">
        <v>225</v>
      </c>
      <c r="BK188" s="2" t="s">
        <v>226</v>
      </c>
      <c r="BL188" s="2" t="s">
        <v>227</v>
      </c>
      <c r="BM188" s="2" t="s">
        <v>3880</v>
      </c>
      <c r="BN188" s="2">
        <v>3.8583222E7</v>
      </c>
      <c r="BO188" s="2"/>
      <c r="BP188" s="2"/>
      <c r="BQ188" s="2"/>
      <c r="BR188" s="2" t="s">
        <v>99</v>
      </c>
      <c r="BS188" s="2" t="s">
        <v>3881</v>
      </c>
      <c r="BT188" s="2" t="str">
        <f>HYPERLINK("https%3A%2F%2Fwww.webofscience.com%2Fwos%2Fwoscc%2Ffull-record%2FWOS:001224075700001","View Full Record in Web of Science")</f>
        <v>View Full Record in Web of Science</v>
      </c>
    </row>
    <row r="189" ht="64.5" customHeight="1">
      <c r="A189" s="2" t="s">
        <v>72</v>
      </c>
      <c r="B189" s="2" t="s">
        <v>3882</v>
      </c>
      <c r="C189" s="2"/>
      <c r="D189" s="2"/>
      <c r="E189" s="2"/>
      <c r="F189" s="2" t="s">
        <v>3883</v>
      </c>
      <c r="G189" s="2"/>
      <c r="H189" s="2"/>
      <c r="I189" s="2" t="s">
        <v>3884</v>
      </c>
      <c r="J189" s="2" t="s">
        <v>174</v>
      </c>
      <c r="K189" s="2"/>
      <c r="L189" s="2"/>
      <c r="M189" s="2" t="s">
        <v>116</v>
      </c>
      <c r="N189" s="2" t="s">
        <v>78</v>
      </c>
      <c r="O189" s="2"/>
      <c r="P189" s="2"/>
      <c r="Q189" s="2"/>
      <c r="R189" s="2"/>
      <c r="S189" s="2"/>
      <c r="T189" s="2" t="s">
        <v>3885</v>
      </c>
      <c r="U189" s="2" t="s">
        <v>3886</v>
      </c>
      <c r="V189" s="2" t="s">
        <v>3887</v>
      </c>
      <c r="W189" s="2" t="s">
        <v>3888</v>
      </c>
      <c r="X189" s="2" t="s">
        <v>3889</v>
      </c>
      <c r="Y189" s="2" t="s">
        <v>3890</v>
      </c>
      <c r="Z189" s="2" t="s">
        <v>3891</v>
      </c>
      <c r="AA189" s="2" t="s">
        <v>3892</v>
      </c>
      <c r="AB189" s="2" t="s">
        <v>3893</v>
      </c>
      <c r="AC189" s="2"/>
      <c r="AD189" s="2"/>
      <c r="AE189" s="2"/>
      <c r="AF189" s="2" t="s">
        <v>3894</v>
      </c>
      <c r="AG189" s="2">
        <v>69.0</v>
      </c>
      <c r="AH189" s="2">
        <v>10.0</v>
      </c>
      <c r="AI189" s="2">
        <v>10.0</v>
      </c>
      <c r="AJ189" s="2">
        <v>0.0</v>
      </c>
      <c r="AK189" s="2">
        <v>8.0</v>
      </c>
      <c r="AL189" s="2" t="s">
        <v>188</v>
      </c>
      <c r="AM189" s="2" t="s">
        <v>189</v>
      </c>
      <c r="AN189" s="2" t="s">
        <v>190</v>
      </c>
      <c r="AO189" s="2" t="s">
        <v>191</v>
      </c>
      <c r="AP189" s="2" t="s">
        <v>192</v>
      </c>
      <c r="AQ189" s="2"/>
      <c r="AR189" s="2" t="s">
        <v>193</v>
      </c>
      <c r="AS189" s="2" t="s">
        <v>194</v>
      </c>
      <c r="AT189" s="2" t="s">
        <v>1017</v>
      </c>
      <c r="AU189" s="2">
        <v>2021.0</v>
      </c>
      <c r="AV189" s="2">
        <v>124.0</v>
      </c>
      <c r="AW189" s="2"/>
      <c r="AX189" s="2"/>
      <c r="AY189" s="2"/>
      <c r="AZ189" s="2"/>
      <c r="BA189" s="2"/>
      <c r="BB189" s="2"/>
      <c r="BC189" s="2"/>
      <c r="BD189" s="2">
        <v>104312.0</v>
      </c>
      <c r="BE189" s="2" t="s">
        <v>3895</v>
      </c>
      <c r="BF189" s="3" t="str">
        <f>HYPERLINK("http://dx.doi.org/10.1016/j.marpol.2020.104312","http://dx.doi.org/10.1016/j.marpol.2020.104312")</f>
        <v>http://dx.doi.org/10.1016/j.marpol.2020.104312</v>
      </c>
      <c r="BG189" s="2"/>
      <c r="BH189" s="2"/>
      <c r="BI189" s="2">
        <v>14.0</v>
      </c>
      <c r="BJ189" s="2" t="s">
        <v>198</v>
      </c>
      <c r="BK189" s="2" t="s">
        <v>166</v>
      </c>
      <c r="BL189" s="2" t="s">
        <v>199</v>
      </c>
      <c r="BM189" s="2" t="s">
        <v>3896</v>
      </c>
      <c r="BN189" s="2"/>
      <c r="BO189" s="2" t="s">
        <v>1177</v>
      </c>
      <c r="BP189" s="2"/>
      <c r="BQ189" s="2"/>
      <c r="BR189" s="2" t="s">
        <v>99</v>
      </c>
      <c r="BS189" s="2" t="s">
        <v>3897</v>
      </c>
      <c r="BT189" s="2" t="str">
        <f>HYPERLINK("https%3A%2F%2Fwww.webofscience.com%2Fwos%2Fwoscc%2Ffull-record%2FWOS:000609164300004","View Full Record in Web of Science")</f>
        <v>View Full Record in Web of Science</v>
      </c>
    </row>
    <row r="190" ht="64.5" customHeight="1">
      <c r="A190" s="2" t="s">
        <v>72</v>
      </c>
      <c r="B190" s="2" t="s">
        <v>3898</v>
      </c>
      <c r="C190" s="2"/>
      <c r="D190" s="2"/>
      <c r="E190" s="2"/>
      <c r="F190" s="2" t="s">
        <v>3899</v>
      </c>
      <c r="G190" s="2"/>
      <c r="H190" s="2"/>
      <c r="I190" s="2" t="s">
        <v>3900</v>
      </c>
      <c r="J190" s="2" t="s">
        <v>233</v>
      </c>
      <c r="K190" s="2"/>
      <c r="L190" s="2"/>
      <c r="M190" s="2" t="s">
        <v>116</v>
      </c>
      <c r="N190" s="2" t="s">
        <v>78</v>
      </c>
      <c r="O190" s="2"/>
      <c r="P190" s="2"/>
      <c r="Q190" s="2"/>
      <c r="R190" s="2"/>
      <c r="S190" s="2"/>
      <c r="T190" s="2" t="s">
        <v>3901</v>
      </c>
      <c r="U190" s="2" t="s">
        <v>3902</v>
      </c>
      <c r="V190" s="2" t="s">
        <v>3903</v>
      </c>
      <c r="W190" s="2" t="s">
        <v>3904</v>
      </c>
      <c r="X190" s="2" t="s">
        <v>3905</v>
      </c>
      <c r="Y190" s="2" t="s">
        <v>3906</v>
      </c>
      <c r="Z190" s="2" t="s">
        <v>3907</v>
      </c>
      <c r="AA190" s="2" t="s">
        <v>3908</v>
      </c>
      <c r="AB190" s="2" t="s">
        <v>3909</v>
      </c>
      <c r="AC190" s="2" t="s">
        <v>3910</v>
      </c>
      <c r="AD190" s="2" t="s">
        <v>3911</v>
      </c>
      <c r="AE190" s="2" t="s">
        <v>3912</v>
      </c>
      <c r="AF190" s="2" t="s">
        <v>3913</v>
      </c>
      <c r="AG190" s="2">
        <v>86.0</v>
      </c>
      <c r="AH190" s="2">
        <v>0.0</v>
      </c>
      <c r="AI190" s="2">
        <v>0.0</v>
      </c>
      <c r="AJ190" s="2">
        <v>2.0</v>
      </c>
      <c r="AK190" s="2">
        <v>2.0</v>
      </c>
      <c r="AL190" s="2" t="s">
        <v>246</v>
      </c>
      <c r="AM190" s="2" t="s">
        <v>247</v>
      </c>
      <c r="AN190" s="2" t="s">
        <v>248</v>
      </c>
      <c r="AO190" s="2"/>
      <c r="AP190" s="2" t="s">
        <v>249</v>
      </c>
      <c r="AQ190" s="2"/>
      <c r="AR190" s="2" t="s">
        <v>250</v>
      </c>
      <c r="AS190" s="2" t="s">
        <v>251</v>
      </c>
      <c r="AT190" s="2" t="s">
        <v>3914</v>
      </c>
      <c r="AU190" s="2">
        <v>2024.0</v>
      </c>
      <c r="AV190" s="2">
        <v>11.0</v>
      </c>
      <c r="AW190" s="2"/>
      <c r="AX190" s="2"/>
      <c r="AY190" s="2"/>
      <c r="AZ190" s="2"/>
      <c r="BA190" s="2"/>
      <c r="BB190" s="2"/>
      <c r="BC190" s="2"/>
      <c r="BD190" s="2">
        <v>1320515.0</v>
      </c>
      <c r="BE190" s="2" t="s">
        <v>3915</v>
      </c>
      <c r="BF190" s="3" t="str">
        <f>HYPERLINK("http://dx.doi.org/10.3389/fmars.2024.1320515","http://dx.doi.org/10.3389/fmars.2024.1320515")</f>
        <v>http://dx.doi.org/10.3389/fmars.2024.1320515</v>
      </c>
      <c r="BG190" s="2"/>
      <c r="BH190" s="2"/>
      <c r="BI190" s="2">
        <v>19.0</v>
      </c>
      <c r="BJ190" s="2" t="s">
        <v>225</v>
      </c>
      <c r="BK190" s="2" t="s">
        <v>226</v>
      </c>
      <c r="BL190" s="2" t="s">
        <v>227</v>
      </c>
      <c r="BM190" s="2" t="s">
        <v>3916</v>
      </c>
      <c r="BN190" s="2"/>
      <c r="BO190" s="2" t="s">
        <v>255</v>
      </c>
      <c r="BP190" s="2"/>
      <c r="BQ190" s="2"/>
      <c r="BR190" s="2" t="s">
        <v>99</v>
      </c>
      <c r="BS190" s="2" t="s">
        <v>3917</v>
      </c>
      <c r="BT190" s="2" t="str">
        <f>HYPERLINK("https%3A%2F%2Fwww.webofscience.com%2Fwos%2Fwoscc%2Ffull-record%2FWOS:001158709500001","View Full Record in Web of Science")</f>
        <v>View Full Record in Web of Science</v>
      </c>
    </row>
    <row r="191" ht="64.5" customHeight="1">
      <c r="A191" s="2" t="s">
        <v>72</v>
      </c>
      <c r="B191" s="2" t="s">
        <v>3918</v>
      </c>
      <c r="C191" s="2"/>
      <c r="D191" s="2"/>
      <c r="E191" s="2"/>
      <c r="F191" s="2" t="s">
        <v>3919</v>
      </c>
      <c r="G191" s="2"/>
      <c r="H191" s="2"/>
      <c r="I191" s="2" t="s">
        <v>3920</v>
      </c>
      <c r="J191" s="2" t="s">
        <v>142</v>
      </c>
      <c r="K191" s="2"/>
      <c r="L191" s="2"/>
      <c r="M191" s="2" t="s">
        <v>116</v>
      </c>
      <c r="N191" s="2" t="s">
        <v>78</v>
      </c>
      <c r="O191" s="2"/>
      <c r="P191" s="2"/>
      <c r="Q191" s="2"/>
      <c r="R191" s="2"/>
      <c r="S191" s="2"/>
      <c r="T191" s="2" t="s">
        <v>3921</v>
      </c>
      <c r="U191" s="2" t="s">
        <v>3922</v>
      </c>
      <c r="V191" s="2" t="s">
        <v>3923</v>
      </c>
      <c r="W191" s="2" t="s">
        <v>3924</v>
      </c>
      <c r="X191" s="2" t="s">
        <v>2266</v>
      </c>
      <c r="Y191" s="2" t="s">
        <v>3925</v>
      </c>
      <c r="Z191" s="2" t="s">
        <v>3926</v>
      </c>
      <c r="AA191" s="2"/>
      <c r="AB191" s="2"/>
      <c r="AC191" s="2"/>
      <c r="AD191" s="2"/>
      <c r="AE191" s="2"/>
      <c r="AF191" s="2" t="s">
        <v>3927</v>
      </c>
      <c r="AG191" s="2">
        <v>81.0</v>
      </c>
      <c r="AH191" s="2">
        <v>11.0</v>
      </c>
      <c r="AI191" s="2">
        <v>12.0</v>
      </c>
      <c r="AJ191" s="2">
        <v>9.0</v>
      </c>
      <c r="AK191" s="2">
        <v>44.0</v>
      </c>
      <c r="AL191" s="2" t="s">
        <v>156</v>
      </c>
      <c r="AM191" s="2" t="s">
        <v>157</v>
      </c>
      <c r="AN191" s="2" t="s">
        <v>158</v>
      </c>
      <c r="AO191" s="2" t="s">
        <v>159</v>
      </c>
      <c r="AP191" s="2" t="s">
        <v>160</v>
      </c>
      <c r="AQ191" s="2"/>
      <c r="AR191" s="2" t="s">
        <v>161</v>
      </c>
      <c r="AS191" s="2" t="s">
        <v>162</v>
      </c>
      <c r="AT191" s="2" t="s">
        <v>3928</v>
      </c>
      <c r="AU191" s="2">
        <v>2022.0</v>
      </c>
      <c r="AV191" s="2">
        <v>28.0</v>
      </c>
      <c r="AW191" s="2">
        <v>6.0</v>
      </c>
      <c r="AX191" s="2"/>
      <c r="AY191" s="2"/>
      <c r="AZ191" s="2"/>
      <c r="BA191" s="2"/>
      <c r="BB191" s="2">
        <v>907.0</v>
      </c>
      <c r="BC191" s="2">
        <v>924.0</v>
      </c>
      <c r="BD191" s="2"/>
      <c r="BE191" s="2" t="s">
        <v>3929</v>
      </c>
      <c r="BF191" s="3" t="str">
        <f>HYPERLINK("http://dx.doi.org/10.1080/13504622.2022.2034752","http://dx.doi.org/10.1080/13504622.2022.2034752")</f>
        <v>http://dx.doi.org/10.1080/13504622.2022.2034752</v>
      </c>
      <c r="BG191" s="2"/>
      <c r="BH191" s="2" t="s">
        <v>3930</v>
      </c>
      <c r="BI191" s="2">
        <v>18.0</v>
      </c>
      <c r="BJ191" s="2" t="s">
        <v>165</v>
      </c>
      <c r="BK191" s="2" t="s">
        <v>166</v>
      </c>
      <c r="BL191" s="2" t="s">
        <v>167</v>
      </c>
      <c r="BM191" s="2" t="s">
        <v>3931</v>
      </c>
      <c r="BN191" s="2"/>
      <c r="BO191" s="2"/>
      <c r="BP191" s="2"/>
      <c r="BQ191" s="2"/>
      <c r="BR191" s="2" t="s">
        <v>99</v>
      </c>
      <c r="BS191" s="2" t="s">
        <v>3932</v>
      </c>
      <c r="BT191" s="2" t="str">
        <f>HYPERLINK("https%3A%2F%2Fwww.webofscience.com%2Fwos%2Fwoscc%2Ffull-record%2FWOS:000753895100001","View Full Record in Web of Science")</f>
        <v>View Full Record in Web of Science</v>
      </c>
    </row>
    <row r="192" ht="64.5" customHeight="1">
      <c r="A192" s="2" t="s">
        <v>72</v>
      </c>
      <c r="B192" s="2" t="s">
        <v>3933</v>
      </c>
      <c r="C192" s="2"/>
      <c r="D192" s="2"/>
      <c r="E192" s="2"/>
      <c r="F192" s="2" t="s">
        <v>3934</v>
      </c>
      <c r="G192" s="2"/>
      <c r="H192" s="2"/>
      <c r="I192" s="2" t="s">
        <v>3935</v>
      </c>
      <c r="J192" s="2" t="s">
        <v>3467</v>
      </c>
      <c r="K192" s="2"/>
      <c r="L192" s="2"/>
      <c r="M192" s="2" t="s">
        <v>116</v>
      </c>
      <c r="N192" s="2" t="s">
        <v>78</v>
      </c>
      <c r="O192" s="2"/>
      <c r="P192" s="2"/>
      <c r="Q192" s="2"/>
      <c r="R192" s="2"/>
      <c r="S192" s="2"/>
      <c r="T192" s="2" t="s">
        <v>3936</v>
      </c>
      <c r="U192" s="2" t="s">
        <v>3937</v>
      </c>
      <c r="V192" s="2" t="s">
        <v>3938</v>
      </c>
      <c r="W192" s="2" t="s">
        <v>3939</v>
      </c>
      <c r="X192" s="2" t="s">
        <v>3940</v>
      </c>
      <c r="Y192" s="2" t="s">
        <v>3941</v>
      </c>
      <c r="Z192" s="2" t="s">
        <v>3942</v>
      </c>
      <c r="AA192" s="2"/>
      <c r="AB192" s="2" t="s">
        <v>3943</v>
      </c>
      <c r="AC192" s="2"/>
      <c r="AD192" s="2"/>
      <c r="AE192" s="2"/>
      <c r="AF192" s="2" t="s">
        <v>3944</v>
      </c>
      <c r="AG192" s="2">
        <v>79.0</v>
      </c>
      <c r="AH192" s="2">
        <v>22.0</v>
      </c>
      <c r="AI192" s="2">
        <v>23.0</v>
      </c>
      <c r="AJ192" s="2">
        <v>3.0</v>
      </c>
      <c r="AK192" s="2">
        <v>31.0</v>
      </c>
      <c r="AL192" s="2" t="s">
        <v>351</v>
      </c>
      <c r="AM192" s="2" t="s">
        <v>352</v>
      </c>
      <c r="AN192" s="2" t="s">
        <v>353</v>
      </c>
      <c r="AO192" s="2" t="s">
        <v>3481</v>
      </c>
      <c r="AP192" s="2" t="s">
        <v>3482</v>
      </c>
      <c r="AQ192" s="2"/>
      <c r="AR192" s="2" t="s">
        <v>3483</v>
      </c>
      <c r="AS192" s="2" t="s">
        <v>3484</v>
      </c>
      <c r="AT192" s="2" t="s">
        <v>751</v>
      </c>
      <c r="AU192" s="2">
        <v>2015.0</v>
      </c>
      <c r="AV192" s="2">
        <v>8.0</v>
      </c>
      <c r="AW192" s="2">
        <v>4.0</v>
      </c>
      <c r="AX192" s="2"/>
      <c r="AY192" s="2"/>
      <c r="AZ192" s="2"/>
      <c r="BA192" s="2"/>
      <c r="BB192" s="2">
        <v>791.0</v>
      </c>
      <c r="BC192" s="2">
        <v>808.0</v>
      </c>
      <c r="BD192" s="2"/>
      <c r="BE192" s="2" t="s">
        <v>3945</v>
      </c>
      <c r="BF192" s="3" t="str">
        <f>HYPERLINK("http://dx.doi.org/10.1007/s12053-015-9327-5","http://dx.doi.org/10.1007/s12053-015-9327-5")</f>
        <v>http://dx.doi.org/10.1007/s12053-015-9327-5</v>
      </c>
      <c r="BG192" s="2"/>
      <c r="BH192" s="2"/>
      <c r="BI192" s="2">
        <v>18.0</v>
      </c>
      <c r="BJ192" s="2" t="s">
        <v>3486</v>
      </c>
      <c r="BK192" s="2" t="s">
        <v>363</v>
      </c>
      <c r="BL192" s="2" t="s">
        <v>3487</v>
      </c>
      <c r="BM192" s="2" t="s">
        <v>3946</v>
      </c>
      <c r="BN192" s="2"/>
      <c r="BO192" s="2"/>
      <c r="BP192" s="2"/>
      <c r="BQ192" s="2"/>
      <c r="BR192" s="2" t="s">
        <v>99</v>
      </c>
      <c r="BS192" s="2" t="s">
        <v>3947</v>
      </c>
      <c r="BT192" s="2" t="str">
        <f>HYPERLINK("https%3A%2F%2Fwww.webofscience.com%2Fwos%2Fwoscc%2Ffull-record%2FWOS:000358046700010","View Full Record in Web of Science")</f>
        <v>View Full Record in Web of Science</v>
      </c>
    </row>
    <row r="193" ht="64.5" customHeight="1">
      <c r="A193" s="2" t="s">
        <v>72</v>
      </c>
      <c r="B193" s="2" t="s">
        <v>3948</v>
      </c>
      <c r="C193" s="2"/>
      <c r="D193" s="2"/>
      <c r="E193" s="2"/>
      <c r="F193" s="2" t="s">
        <v>3949</v>
      </c>
      <c r="G193" s="2"/>
      <c r="H193" s="2"/>
      <c r="I193" s="2" t="s">
        <v>3950</v>
      </c>
      <c r="J193" s="2" t="s">
        <v>1864</v>
      </c>
      <c r="K193" s="2"/>
      <c r="L193" s="2"/>
      <c r="M193" s="2" t="s">
        <v>116</v>
      </c>
      <c r="N193" s="2" t="s">
        <v>78</v>
      </c>
      <c r="O193" s="2"/>
      <c r="P193" s="2"/>
      <c r="Q193" s="2"/>
      <c r="R193" s="2"/>
      <c r="S193" s="2"/>
      <c r="T193" s="2" t="s">
        <v>3951</v>
      </c>
      <c r="U193" s="2" t="s">
        <v>3952</v>
      </c>
      <c r="V193" s="2" t="s">
        <v>3953</v>
      </c>
      <c r="W193" s="2" t="s">
        <v>3954</v>
      </c>
      <c r="X193" s="2" t="s">
        <v>3955</v>
      </c>
      <c r="Y193" s="2" t="s">
        <v>3956</v>
      </c>
      <c r="Z193" s="2" t="s">
        <v>3957</v>
      </c>
      <c r="AA193" s="2"/>
      <c r="AB193" s="2" t="s">
        <v>3958</v>
      </c>
      <c r="AC193" s="2"/>
      <c r="AD193" s="2"/>
      <c r="AE193" s="2"/>
      <c r="AF193" s="2" t="s">
        <v>3959</v>
      </c>
      <c r="AG193" s="2">
        <v>96.0</v>
      </c>
      <c r="AH193" s="2">
        <v>3.0</v>
      </c>
      <c r="AI193" s="2">
        <v>3.0</v>
      </c>
      <c r="AJ193" s="2">
        <v>20.0</v>
      </c>
      <c r="AK193" s="2">
        <v>39.0</v>
      </c>
      <c r="AL193" s="2" t="s">
        <v>1346</v>
      </c>
      <c r="AM193" s="2" t="s">
        <v>428</v>
      </c>
      <c r="AN193" s="2" t="s">
        <v>1347</v>
      </c>
      <c r="AO193" s="2" t="s">
        <v>1877</v>
      </c>
      <c r="AP193" s="2"/>
      <c r="AQ193" s="2"/>
      <c r="AR193" s="2" t="s">
        <v>1878</v>
      </c>
      <c r="AS193" s="2" t="s">
        <v>1879</v>
      </c>
      <c r="AT193" s="2" t="s">
        <v>292</v>
      </c>
      <c r="AU193" s="2">
        <v>2023.0</v>
      </c>
      <c r="AV193" s="2">
        <v>10.0</v>
      </c>
      <c r="AW193" s="2"/>
      <c r="AX193" s="2"/>
      <c r="AY193" s="2"/>
      <c r="AZ193" s="2"/>
      <c r="BA193" s="2"/>
      <c r="BB193" s="2">
        <v>72.0</v>
      </c>
      <c r="BC193" s="2">
        <v>85.0</v>
      </c>
      <c r="BD193" s="2"/>
      <c r="BE193" s="2" t="s">
        <v>3960</v>
      </c>
      <c r="BF193" s="3" t="str">
        <f>HYPERLINK("http://dx.doi.org/10.1016/j.egyr.2023.06.008","http://dx.doi.org/10.1016/j.egyr.2023.06.008")</f>
        <v>http://dx.doi.org/10.1016/j.egyr.2023.06.008</v>
      </c>
      <c r="BG193" s="2"/>
      <c r="BH193" s="2" t="s">
        <v>224</v>
      </c>
      <c r="BI193" s="2">
        <v>14.0</v>
      </c>
      <c r="BJ193" s="2" t="s">
        <v>1592</v>
      </c>
      <c r="BK193" s="2" t="s">
        <v>226</v>
      </c>
      <c r="BL193" s="2" t="s">
        <v>1592</v>
      </c>
      <c r="BM193" s="2" t="s">
        <v>3961</v>
      </c>
      <c r="BN193" s="2"/>
      <c r="BO193" s="2" t="s">
        <v>255</v>
      </c>
      <c r="BP193" s="2"/>
      <c r="BQ193" s="2"/>
      <c r="BR193" s="2" t="s">
        <v>99</v>
      </c>
      <c r="BS193" s="2" t="s">
        <v>3962</v>
      </c>
      <c r="BT193" s="2" t="str">
        <f>HYPERLINK("https%3A%2F%2Fwww.webofscience.com%2Fwos%2Fwoscc%2Ffull-record%2FWOS:001024763400001","View Full Record in Web of Science")</f>
        <v>View Full Record in Web of Science</v>
      </c>
    </row>
    <row r="194" ht="64.5" customHeight="1">
      <c r="A194" s="2" t="s">
        <v>72</v>
      </c>
      <c r="B194" s="2" t="s">
        <v>3963</v>
      </c>
      <c r="C194" s="2"/>
      <c r="D194" s="2"/>
      <c r="E194" s="2"/>
      <c r="F194" s="2" t="s">
        <v>3964</v>
      </c>
      <c r="G194" s="2"/>
      <c r="H194" s="2"/>
      <c r="I194" s="2" t="s">
        <v>3965</v>
      </c>
      <c r="J194" s="2" t="s">
        <v>712</v>
      </c>
      <c r="K194" s="2"/>
      <c r="L194" s="2"/>
      <c r="M194" s="2" t="s">
        <v>116</v>
      </c>
      <c r="N194" s="2" t="s">
        <v>78</v>
      </c>
      <c r="O194" s="2"/>
      <c r="P194" s="2"/>
      <c r="Q194" s="2"/>
      <c r="R194" s="2"/>
      <c r="S194" s="2"/>
      <c r="T194" s="2" t="s">
        <v>3966</v>
      </c>
      <c r="U194" s="2" t="s">
        <v>3967</v>
      </c>
      <c r="V194" s="2" t="s">
        <v>3968</v>
      </c>
      <c r="W194" s="2" t="s">
        <v>3969</v>
      </c>
      <c r="X194" s="2" t="s">
        <v>3970</v>
      </c>
      <c r="Y194" s="2" t="s">
        <v>3459</v>
      </c>
      <c r="Z194" s="2" t="s">
        <v>1914</v>
      </c>
      <c r="AA194" s="2" t="s">
        <v>3971</v>
      </c>
      <c r="AB194" s="2" t="s">
        <v>3972</v>
      </c>
      <c r="AC194" s="2" t="s">
        <v>3973</v>
      </c>
      <c r="AD194" s="2" t="s">
        <v>3973</v>
      </c>
      <c r="AE194" s="2" t="s">
        <v>3974</v>
      </c>
      <c r="AF194" s="2" t="s">
        <v>3975</v>
      </c>
      <c r="AG194" s="2">
        <v>71.0</v>
      </c>
      <c r="AH194" s="2">
        <v>10.0</v>
      </c>
      <c r="AI194" s="2">
        <v>10.0</v>
      </c>
      <c r="AJ194" s="2">
        <v>4.0</v>
      </c>
      <c r="AK194" s="2">
        <v>24.0</v>
      </c>
      <c r="AL194" s="2" t="s">
        <v>726</v>
      </c>
      <c r="AM194" s="2" t="s">
        <v>727</v>
      </c>
      <c r="AN194" s="2" t="s">
        <v>728</v>
      </c>
      <c r="AO194" s="2" t="s">
        <v>729</v>
      </c>
      <c r="AP194" s="2"/>
      <c r="AQ194" s="2"/>
      <c r="AR194" s="2" t="s">
        <v>730</v>
      </c>
      <c r="AS194" s="2" t="s">
        <v>731</v>
      </c>
      <c r="AT194" s="2"/>
      <c r="AU194" s="2">
        <v>2022.0</v>
      </c>
      <c r="AV194" s="2">
        <v>23.0</v>
      </c>
      <c r="AW194" s="2">
        <v>2.0</v>
      </c>
      <c r="AX194" s="2"/>
      <c r="AY194" s="2"/>
      <c r="AZ194" s="2"/>
      <c r="BA194" s="2"/>
      <c r="BB194" s="2">
        <v>289.0</v>
      </c>
      <c r="BC194" s="2">
        <v>301.0</v>
      </c>
      <c r="BD194" s="2"/>
      <c r="BE194" s="2" t="s">
        <v>3976</v>
      </c>
      <c r="BF194" s="3" t="str">
        <f>HYPERLINK("http://dx.doi.org/10.12681/mms.26797","http://dx.doi.org/10.12681/mms.26797")</f>
        <v>http://dx.doi.org/10.12681/mms.26797</v>
      </c>
      <c r="BG194" s="2"/>
      <c r="BH194" s="2"/>
      <c r="BI194" s="2">
        <v>14.0</v>
      </c>
      <c r="BJ194" s="2" t="s">
        <v>733</v>
      </c>
      <c r="BK194" s="2" t="s">
        <v>226</v>
      </c>
      <c r="BL194" s="2" t="s">
        <v>734</v>
      </c>
      <c r="BM194" s="2" t="s">
        <v>735</v>
      </c>
      <c r="BN194" s="2"/>
      <c r="BO194" s="2" t="s">
        <v>255</v>
      </c>
      <c r="BP194" s="2"/>
      <c r="BQ194" s="2"/>
      <c r="BR194" s="2" t="s">
        <v>99</v>
      </c>
      <c r="BS194" s="2" t="s">
        <v>3977</v>
      </c>
      <c r="BT194" s="2" t="str">
        <f>HYPERLINK("https%3A%2F%2Fwww.webofscience.com%2Fwos%2Fwoscc%2Ffull-record%2FWOS:000782982600003","View Full Record in Web of Science")</f>
        <v>View Full Record in Web of Science</v>
      </c>
    </row>
    <row r="195" ht="64.5" customHeight="1">
      <c r="A195" s="2" t="s">
        <v>72</v>
      </c>
      <c r="B195" s="2" t="s">
        <v>3978</v>
      </c>
      <c r="C195" s="2"/>
      <c r="D195" s="2"/>
      <c r="E195" s="2"/>
      <c r="F195" s="2" t="s">
        <v>3979</v>
      </c>
      <c r="G195" s="2"/>
      <c r="H195" s="2"/>
      <c r="I195" s="2" t="s">
        <v>3980</v>
      </c>
      <c r="J195" s="2" t="s">
        <v>233</v>
      </c>
      <c r="K195" s="2"/>
      <c r="L195" s="2"/>
      <c r="M195" s="2" t="s">
        <v>116</v>
      </c>
      <c r="N195" s="2" t="s">
        <v>78</v>
      </c>
      <c r="O195" s="2"/>
      <c r="P195" s="2"/>
      <c r="Q195" s="2"/>
      <c r="R195" s="2"/>
      <c r="S195" s="2"/>
      <c r="T195" s="2" t="s">
        <v>3981</v>
      </c>
      <c r="U195" s="2" t="s">
        <v>3982</v>
      </c>
      <c r="V195" s="2" t="s">
        <v>3983</v>
      </c>
      <c r="W195" s="2" t="s">
        <v>3984</v>
      </c>
      <c r="X195" s="2" t="s">
        <v>3985</v>
      </c>
      <c r="Y195" s="2" t="s">
        <v>3986</v>
      </c>
      <c r="Z195" s="2" t="s">
        <v>3987</v>
      </c>
      <c r="AA195" s="2" t="s">
        <v>799</v>
      </c>
      <c r="AB195" s="2" t="s">
        <v>800</v>
      </c>
      <c r="AC195" s="2"/>
      <c r="AD195" s="2"/>
      <c r="AE195" s="2"/>
      <c r="AF195" s="2" t="s">
        <v>3988</v>
      </c>
      <c r="AG195" s="2">
        <v>65.0</v>
      </c>
      <c r="AH195" s="2">
        <v>1.0</v>
      </c>
      <c r="AI195" s="2">
        <v>1.0</v>
      </c>
      <c r="AJ195" s="2">
        <v>3.0</v>
      </c>
      <c r="AK195" s="2">
        <v>9.0</v>
      </c>
      <c r="AL195" s="2" t="s">
        <v>246</v>
      </c>
      <c r="AM195" s="2" t="s">
        <v>247</v>
      </c>
      <c r="AN195" s="2" t="s">
        <v>248</v>
      </c>
      <c r="AO195" s="2"/>
      <c r="AP195" s="2" t="s">
        <v>249</v>
      </c>
      <c r="AQ195" s="2"/>
      <c r="AR195" s="2" t="s">
        <v>250</v>
      </c>
      <c r="AS195" s="2" t="s">
        <v>251</v>
      </c>
      <c r="AT195" s="2" t="s">
        <v>3989</v>
      </c>
      <c r="AU195" s="2">
        <v>2023.0</v>
      </c>
      <c r="AV195" s="2">
        <v>10.0</v>
      </c>
      <c r="AW195" s="2"/>
      <c r="AX195" s="2"/>
      <c r="AY195" s="2"/>
      <c r="AZ195" s="2"/>
      <c r="BA195" s="2"/>
      <c r="BB195" s="2"/>
      <c r="BC195" s="2"/>
      <c r="BD195" s="2">
        <v>1178061.0</v>
      </c>
      <c r="BE195" s="2" t="s">
        <v>3990</v>
      </c>
      <c r="BF195" s="3" t="str">
        <f>HYPERLINK("http://dx.doi.org/10.3389/fmars.2023.1178061","http://dx.doi.org/10.3389/fmars.2023.1178061")</f>
        <v>http://dx.doi.org/10.3389/fmars.2023.1178061</v>
      </c>
      <c r="BG195" s="2"/>
      <c r="BH195" s="2"/>
      <c r="BI195" s="2">
        <v>7.0</v>
      </c>
      <c r="BJ195" s="2" t="s">
        <v>225</v>
      </c>
      <c r="BK195" s="2" t="s">
        <v>226</v>
      </c>
      <c r="BL195" s="2" t="s">
        <v>227</v>
      </c>
      <c r="BM195" s="2" t="s">
        <v>3991</v>
      </c>
      <c r="BN195" s="2"/>
      <c r="BO195" s="2" t="s">
        <v>255</v>
      </c>
      <c r="BP195" s="2"/>
      <c r="BQ195" s="2"/>
      <c r="BR195" s="2" t="s">
        <v>99</v>
      </c>
      <c r="BS195" s="2" t="s">
        <v>3992</v>
      </c>
      <c r="BT195" s="2" t="str">
        <f>HYPERLINK("https%3A%2F%2Fwww.webofscience.com%2Fwos%2Fwoscc%2Ffull-record%2FWOS:001032682800001","View Full Record in Web of Science")</f>
        <v>View Full Record in Web of Science</v>
      </c>
    </row>
    <row r="196" ht="64.5" customHeight="1">
      <c r="A196" s="2" t="s">
        <v>72</v>
      </c>
      <c r="B196" s="2" t="s">
        <v>3993</v>
      </c>
      <c r="C196" s="2"/>
      <c r="D196" s="2"/>
      <c r="E196" s="2"/>
      <c r="F196" s="2" t="s">
        <v>3994</v>
      </c>
      <c r="G196" s="2"/>
      <c r="H196" s="2"/>
      <c r="I196" s="2" t="s">
        <v>3995</v>
      </c>
      <c r="J196" s="2" t="s">
        <v>3996</v>
      </c>
      <c r="K196" s="2"/>
      <c r="L196" s="2"/>
      <c r="M196" s="2" t="s">
        <v>116</v>
      </c>
      <c r="N196" s="2" t="s">
        <v>78</v>
      </c>
      <c r="O196" s="2"/>
      <c r="P196" s="2"/>
      <c r="Q196" s="2"/>
      <c r="R196" s="2"/>
      <c r="S196" s="2"/>
      <c r="T196" s="2" t="s">
        <v>3997</v>
      </c>
      <c r="U196" s="2" t="s">
        <v>3998</v>
      </c>
      <c r="V196" s="2" t="s">
        <v>3999</v>
      </c>
      <c r="W196" s="2" t="s">
        <v>4000</v>
      </c>
      <c r="X196" s="2" t="s">
        <v>2033</v>
      </c>
      <c r="Y196" s="2" t="s">
        <v>4001</v>
      </c>
      <c r="Z196" s="2" t="s">
        <v>4002</v>
      </c>
      <c r="AA196" s="2" t="s">
        <v>4003</v>
      </c>
      <c r="AB196" s="2" t="s">
        <v>4004</v>
      </c>
      <c r="AC196" s="2" t="s">
        <v>4005</v>
      </c>
      <c r="AD196" s="2" t="s">
        <v>4006</v>
      </c>
      <c r="AE196" s="2" t="s">
        <v>4007</v>
      </c>
      <c r="AF196" s="2" t="s">
        <v>4008</v>
      </c>
      <c r="AG196" s="2">
        <v>83.0</v>
      </c>
      <c r="AH196" s="2">
        <v>26.0</v>
      </c>
      <c r="AI196" s="2">
        <v>26.0</v>
      </c>
      <c r="AJ196" s="2">
        <v>11.0</v>
      </c>
      <c r="AK196" s="2">
        <v>80.0</v>
      </c>
      <c r="AL196" s="2" t="s">
        <v>351</v>
      </c>
      <c r="AM196" s="2" t="s">
        <v>130</v>
      </c>
      <c r="AN196" s="2" t="s">
        <v>2328</v>
      </c>
      <c r="AO196" s="2" t="s">
        <v>4009</v>
      </c>
      <c r="AP196" s="2" t="s">
        <v>4010</v>
      </c>
      <c r="AQ196" s="2"/>
      <c r="AR196" s="2" t="s">
        <v>4011</v>
      </c>
      <c r="AS196" s="2" t="s">
        <v>4012</v>
      </c>
      <c r="AT196" s="2" t="s">
        <v>453</v>
      </c>
      <c r="AU196" s="2">
        <v>2022.0</v>
      </c>
      <c r="AV196" s="2">
        <v>27.0</v>
      </c>
      <c r="AW196" s="2">
        <v>1.0</v>
      </c>
      <c r="AX196" s="2"/>
      <c r="AY196" s="2"/>
      <c r="AZ196" s="2" t="s">
        <v>359</v>
      </c>
      <c r="BA196" s="2"/>
      <c r="BB196" s="2">
        <v>1081.0</v>
      </c>
      <c r="BC196" s="2">
        <v>1103.0</v>
      </c>
      <c r="BD196" s="2"/>
      <c r="BE196" s="2" t="s">
        <v>4013</v>
      </c>
      <c r="BF196" s="3" t="str">
        <f>HYPERLINK("http://dx.doi.org/10.1007/s10639-021-10651-8","http://dx.doi.org/10.1007/s10639-021-10651-8")</f>
        <v>http://dx.doi.org/10.1007/s10639-021-10651-8</v>
      </c>
      <c r="BG196" s="2"/>
      <c r="BH196" s="2" t="s">
        <v>4014</v>
      </c>
      <c r="BI196" s="2">
        <v>23.0</v>
      </c>
      <c r="BJ196" s="2" t="s">
        <v>331</v>
      </c>
      <c r="BK196" s="2" t="s">
        <v>166</v>
      </c>
      <c r="BL196" s="2" t="s">
        <v>331</v>
      </c>
      <c r="BM196" s="2" t="s">
        <v>4015</v>
      </c>
      <c r="BN196" s="2"/>
      <c r="BO196" s="2" t="s">
        <v>2046</v>
      </c>
      <c r="BP196" s="2"/>
      <c r="BQ196" s="2"/>
      <c r="BR196" s="2" t="s">
        <v>99</v>
      </c>
      <c r="BS196" s="2" t="s">
        <v>4016</v>
      </c>
      <c r="BT196" s="2" t="str">
        <f>HYPERLINK("https%3A%2F%2Fwww.webofscience.com%2Fwos%2Fwoscc%2Ffull-record%2FWOS:000670725600006","View Full Record in Web of Science")</f>
        <v>View Full Record in Web of Science</v>
      </c>
    </row>
    <row r="197" ht="64.5" customHeight="1">
      <c r="A197" s="2" t="s">
        <v>72</v>
      </c>
      <c r="B197" s="2" t="s">
        <v>4017</v>
      </c>
      <c r="C197" s="2"/>
      <c r="D197" s="2"/>
      <c r="E197" s="2"/>
      <c r="F197" s="2" t="s">
        <v>4018</v>
      </c>
      <c r="G197" s="2"/>
      <c r="H197" s="2"/>
      <c r="I197" s="2" t="s">
        <v>4019</v>
      </c>
      <c r="J197" s="2" t="s">
        <v>4020</v>
      </c>
      <c r="K197" s="2"/>
      <c r="L197" s="2"/>
      <c r="M197" s="2" t="s">
        <v>116</v>
      </c>
      <c r="N197" s="2" t="s">
        <v>78</v>
      </c>
      <c r="O197" s="2"/>
      <c r="P197" s="2"/>
      <c r="Q197" s="2"/>
      <c r="R197" s="2"/>
      <c r="S197" s="2"/>
      <c r="T197" s="4" t="s">
        <v>121</v>
      </c>
      <c r="U197" s="2" t="s">
        <v>2491</v>
      </c>
      <c r="V197" s="2" t="s">
        <v>4021</v>
      </c>
      <c r="W197" s="2" t="s">
        <v>4022</v>
      </c>
      <c r="X197" s="2" t="s">
        <v>4023</v>
      </c>
      <c r="Y197" s="2" t="s">
        <v>4024</v>
      </c>
      <c r="Z197" s="2" t="s">
        <v>4025</v>
      </c>
      <c r="AA197" s="2"/>
      <c r="AB197" s="2"/>
      <c r="AC197" s="2"/>
      <c r="AD197" s="2"/>
      <c r="AE197" s="2"/>
      <c r="AF197" s="2" t="s">
        <v>4026</v>
      </c>
      <c r="AG197" s="2">
        <v>37.0</v>
      </c>
      <c r="AH197" s="2">
        <v>2.0</v>
      </c>
      <c r="AI197" s="2">
        <v>3.0</v>
      </c>
      <c r="AJ197" s="2">
        <v>0.0</v>
      </c>
      <c r="AK197" s="2">
        <v>5.0</v>
      </c>
      <c r="AL197" s="2" t="s">
        <v>4027</v>
      </c>
      <c r="AM197" s="2" t="s">
        <v>4028</v>
      </c>
      <c r="AN197" s="2" t="s">
        <v>4029</v>
      </c>
      <c r="AO197" s="2" t="s">
        <v>4030</v>
      </c>
      <c r="AP197" s="2" t="s">
        <v>4031</v>
      </c>
      <c r="AQ197" s="2"/>
      <c r="AR197" s="2" t="s">
        <v>4032</v>
      </c>
      <c r="AS197" s="2" t="s">
        <v>4033</v>
      </c>
      <c r="AT197" s="2" t="s">
        <v>596</v>
      </c>
      <c r="AU197" s="2">
        <v>2020.0</v>
      </c>
      <c r="AV197" s="2">
        <v>101.0</v>
      </c>
      <c r="AW197" s="2">
        <v>10.0</v>
      </c>
      <c r="AX197" s="2"/>
      <c r="AY197" s="2"/>
      <c r="AZ197" s="2"/>
      <c r="BA197" s="2"/>
      <c r="BB197" s="2" t="s">
        <v>4034</v>
      </c>
      <c r="BC197" s="2" t="s">
        <v>4035</v>
      </c>
      <c r="BD197" s="2"/>
      <c r="BE197" s="2" t="s">
        <v>4036</v>
      </c>
      <c r="BF197" s="3" t="str">
        <f>HYPERLINK("http://dx.doi.org/10.1175/BAMS-D-19-0271.1","http://dx.doi.org/10.1175/BAMS-D-19-0271.1")</f>
        <v>http://dx.doi.org/10.1175/BAMS-D-19-0271.1</v>
      </c>
      <c r="BG197" s="2"/>
      <c r="BH197" s="2"/>
      <c r="BI197" s="2">
        <v>12.0</v>
      </c>
      <c r="BJ197" s="2" t="s">
        <v>4037</v>
      </c>
      <c r="BK197" s="2" t="s">
        <v>226</v>
      </c>
      <c r="BL197" s="2" t="s">
        <v>4037</v>
      </c>
      <c r="BM197" s="2" t="s">
        <v>4038</v>
      </c>
      <c r="BN197" s="2"/>
      <c r="BO197" s="2" t="s">
        <v>2170</v>
      </c>
      <c r="BP197" s="2"/>
      <c r="BQ197" s="2"/>
      <c r="BR197" s="2" t="s">
        <v>99</v>
      </c>
      <c r="BS197" s="2" t="s">
        <v>4039</v>
      </c>
      <c r="BT197" s="2" t="str">
        <f>HYPERLINK("https%3A%2F%2Fwww.webofscience.com%2Fwos%2Fwoscc%2Ffull-record%2FWOS:000588395600010","View Full Record in Web of Science")</f>
        <v>View Full Record in Web of Science</v>
      </c>
    </row>
    <row r="198" ht="64.5" customHeight="1">
      <c r="A198" s="2" t="s">
        <v>72</v>
      </c>
      <c r="B198" s="2" t="s">
        <v>4040</v>
      </c>
      <c r="C198" s="2"/>
      <c r="D198" s="2"/>
      <c r="E198" s="2"/>
      <c r="F198" s="2" t="s">
        <v>4041</v>
      </c>
      <c r="G198" s="2"/>
      <c r="H198" s="2"/>
      <c r="I198" s="2" t="s">
        <v>4042</v>
      </c>
      <c r="J198" s="2" t="s">
        <v>1727</v>
      </c>
      <c r="K198" s="2"/>
      <c r="L198" s="2"/>
      <c r="M198" s="2" t="s">
        <v>116</v>
      </c>
      <c r="N198" s="2" t="s">
        <v>78</v>
      </c>
      <c r="O198" s="2"/>
      <c r="P198" s="2"/>
      <c r="Q198" s="2"/>
      <c r="R198" s="2"/>
      <c r="S198" s="2"/>
      <c r="T198" s="2" t="s">
        <v>4043</v>
      </c>
      <c r="U198" s="2" t="s">
        <v>4044</v>
      </c>
      <c r="V198" s="2" t="s">
        <v>4045</v>
      </c>
      <c r="W198" s="2" t="s">
        <v>4046</v>
      </c>
      <c r="X198" s="2" t="s">
        <v>4047</v>
      </c>
      <c r="Y198" s="2" t="s">
        <v>4048</v>
      </c>
      <c r="Z198" s="2" t="s">
        <v>4049</v>
      </c>
      <c r="AA198" s="2" t="s">
        <v>4050</v>
      </c>
      <c r="AB198" s="2" t="s">
        <v>4051</v>
      </c>
      <c r="AC198" s="2" t="s">
        <v>4052</v>
      </c>
      <c r="AD198" s="2" t="s">
        <v>4053</v>
      </c>
      <c r="AE198" s="2" t="s">
        <v>4054</v>
      </c>
      <c r="AF198" s="2" t="s">
        <v>4055</v>
      </c>
      <c r="AG198" s="2">
        <v>43.0</v>
      </c>
      <c r="AH198" s="2">
        <v>3.0</v>
      </c>
      <c r="AI198" s="2">
        <v>4.0</v>
      </c>
      <c r="AJ198" s="2">
        <v>0.0</v>
      </c>
      <c r="AK198" s="2">
        <v>25.0</v>
      </c>
      <c r="AL198" s="2" t="s">
        <v>1735</v>
      </c>
      <c r="AM198" s="2" t="s">
        <v>1736</v>
      </c>
      <c r="AN198" s="2" t="s">
        <v>1737</v>
      </c>
      <c r="AO198" s="2" t="s">
        <v>1738</v>
      </c>
      <c r="AP198" s="2" t="s">
        <v>1739</v>
      </c>
      <c r="AQ198" s="2"/>
      <c r="AR198" s="2" t="s">
        <v>1740</v>
      </c>
      <c r="AS198" s="2" t="s">
        <v>1741</v>
      </c>
      <c r="AT198" s="2"/>
      <c r="AU198" s="2">
        <v>2017.0</v>
      </c>
      <c r="AV198" s="2">
        <v>12.0</v>
      </c>
      <c r="AW198" s="2" t="s">
        <v>2420</v>
      </c>
      <c r="AX198" s="2"/>
      <c r="AY198" s="2"/>
      <c r="AZ198" s="2" t="s">
        <v>359</v>
      </c>
      <c r="BA198" s="2"/>
      <c r="BB198" s="2">
        <v>448.0</v>
      </c>
      <c r="BC198" s="2">
        <v>467.0</v>
      </c>
      <c r="BD198" s="2"/>
      <c r="BE198" s="2" t="s">
        <v>4056</v>
      </c>
      <c r="BF198" s="3" t="str">
        <f>HYPERLINK("http://dx.doi.org/10.1504/IJGW.2017.10005896","http://dx.doi.org/10.1504/IJGW.2017.10005896")</f>
        <v>http://dx.doi.org/10.1504/IJGW.2017.10005896</v>
      </c>
      <c r="BG198" s="2"/>
      <c r="BH198" s="2"/>
      <c r="BI198" s="2">
        <v>20.0</v>
      </c>
      <c r="BJ198" s="2" t="s">
        <v>1570</v>
      </c>
      <c r="BK198" s="2" t="s">
        <v>226</v>
      </c>
      <c r="BL198" s="2" t="s">
        <v>97</v>
      </c>
      <c r="BM198" s="2" t="s">
        <v>2422</v>
      </c>
      <c r="BN198" s="2"/>
      <c r="BO198" s="2"/>
      <c r="BP198" s="2"/>
      <c r="BQ198" s="2"/>
      <c r="BR198" s="2" t="s">
        <v>99</v>
      </c>
      <c r="BS198" s="2" t="s">
        <v>4057</v>
      </c>
      <c r="BT198" s="2" t="str">
        <f>HYPERLINK("https%3A%2F%2Fwww.webofscience.com%2Fwos%2Fwoscc%2Ffull-record%2FWOS:000418492700009","View Full Record in Web of Science")</f>
        <v>View Full Record in Web of Science</v>
      </c>
    </row>
    <row r="199" ht="64.5" customHeight="1">
      <c r="A199" s="2" t="s">
        <v>110</v>
      </c>
      <c r="B199" s="2" t="s">
        <v>4058</v>
      </c>
      <c r="C199" s="2"/>
      <c r="D199" s="2"/>
      <c r="E199" s="2" t="s">
        <v>129</v>
      </c>
      <c r="F199" s="2" t="s">
        <v>4059</v>
      </c>
      <c r="G199" s="2"/>
      <c r="H199" s="2"/>
      <c r="I199" s="2" t="s">
        <v>4060</v>
      </c>
      <c r="J199" s="2" t="s">
        <v>4061</v>
      </c>
      <c r="K199" s="2"/>
      <c r="L199" s="2"/>
      <c r="M199" s="2" t="s">
        <v>116</v>
      </c>
      <c r="N199" s="2" t="s">
        <v>117</v>
      </c>
      <c r="O199" s="2" t="s">
        <v>4062</v>
      </c>
      <c r="P199" s="2" t="s">
        <v>4063</v>
      </c>
      <c r="Q199" s="2" t="s">
        <v>4064</v>
      </c>
      <c r="R199" s="2"/>
      <c r="S199" s="2" t="s">
        <v>4065</v>
      </c>
      <c r="T199" s="2" t="s">
        <v>4066</v>
      </c>
      <c r="U199" s="2"/>
      <c r="V199" s="2" t="s">
        <v>4067</v>
      </c>
      <c r="W199" s="2" t="s">
        <v>4068</v>
      </c>
      <c r="X199" s="2" t="s">
        <v>4069</v>
      </c>
      <c r="Y199" s="2" t="s">
        <v>4070</v>
      </c>
      <c r="Z199" s="2" t="s">
        <v>4071</v>
      </c>
      <c r="AA199" s="2" t="s">
        <v>4072</v>
      </c>
      <c r="AB199" s="2" t="s">
        <v>4073</v>
      </c>
      <c r="AC199" s="2"/>
      <c r="AD199" s="2"/>
      <c r="AE199" s="2"/>
      <c r="AF199" s="2" t="s">
        <v>4074</v>
      </c>
      <c r="AG199" s="2">
        <v>17.0</v>
      </c>
      <c r="AH199" s="2">
        <v>0.0</v>
      </c>
      <c r="AI199" s="2">
        <v>0.0</v>
      </c>
      <c r="AJ199" s="2">
        <v>0.0</v>
      </c>
      <c r="AK199" s="2">
        <v>0.0</v>
      </c>
      <c r="AL199" s="2" t="s">
        <v>129</v>
      </c>
      <c r="AM199" s="2" t="s">
        <v>130</v>
      </c>
      <c r="AN199" s="2" t="s">
        <v>131</v>
      </c>
      <c r="AO199" s="2"/>
      <c r="AP199" s="2"/>
      <c r="AQ199" s="2" t="s">
        <v>4075</v>
      </c>
      <c r="AR199" s="2"/>
      <c r="AS199" s="2"/>
      <c r="AT199" s="2"/>
      <c r="AU199" s="2">
        <v>2022.0</v>
      </c>
      <c r="AV199" s="2"/>
      <c r="AW199" s="2"/>
      <c r="AX199" s="2"/>
      <c r="AY199" s="2"/>
      <c r="AZ199" s="2"/>
      <c r="BA199" s="2"/>
      <c r="BB199" s="2">
        <v>346.0</v>
      </c>
      <c r="BC199" s="2">
        <v>350.0</v>
      </c>
      <c r="BD199" s="2"/>
      <c r="BE199" s="2" t="s">
        <v>4076</v>
      </c>
      <c r="BF199" s="3" t="str">
        <f>HYPERLINK("http://dx.doi.org/10.1109/NIGERCON54645.2022.9803004","http://dx.doi.org/10.1109/NIGERCON54645.2022.9803004")</f>
        <v>http://dx.doi.org/10.1109/NIGERCON54645.2022.9803004</v>
      </c>
      <c r="BG199" s="2"/>
      <c r="BH199" s="2"/>
      <c r="BI199" s="2">
        <v>5.0</v>
      </c>
      <c r="BJ199" s="2" t="s">
        <v>4077</v>
      </c>
      <c r="BK199" s="2" t="s">
        <v>135</v>
      </c>
      <c r="BL199" s="2" t="s">
        <v>4078</v>
      </c>
      <c r="BM199" s="2" t="s">
        <v>4079</v>
      </c>
      <c r="BN199" s="2"/>
      <c r="BO199" s="2"/>
      <c r="BP199" s="2"/>
      <c r="BQ199" s="2"/>
      <c r="BR199" s="2" t="s">
        <v>99</v>
      </c>
      <c r="BS199" s="2" t="s">
        <v>4080</v>
      </c>
      <c r="BT199" s="2" t="str">
        <f>HYPERLINK("https%3A%2F%2Fwww.webofscience.com%2Fwos%2Fwoscc%2Ffull-record%2FWOS:000869204000062","View Full Record in Web of Science")</f>
        <v>View Full Record in Web of Science</v>
      </c>
    </row>
    <row r="200" ht="64.5" customHeight="1">
      <c r="A200" s="2" t="s">
        <v>72</v>
      </c>
      <c r="B200" s="2" t="s">
        <v>4081</v>
      </c>
      <c r="C200" s="2"/>
      <c r="D200" s="2"/>
      <c r="E200" s="2"/>
      <c r="F200" s="2" t="s">
        <v>4082</v>
      </c>
      <c r="G200" s="2"/>
      <c r="H200" s="2"/>
      <c r="I200" s="2" t="s">
        <v>4083</v>
      </c>
      <c r="J200" s="2" t="s">
        <v>2878</v>
      </c>
      <c r="K200" s="2"/>
      <c r="L200" s="2"/>
      <c r="M200" s="2" t="s">
        <v>116</v>
      </c>
      <c r="N200" s="2" t="s">
        <v>78</v>
      </c>
      <c r="O200" s="2"/>
      <c r="P200" s="2"/>
      <c r="Q200" s="2"/>
      <c r="R200" s="2"/>
      <c r="S200" s="2"/>
      <c r="T200" s="2" t="s">
        <v>4084</v>
      </c>
      <c r="U200" s="2" t="s">
        <v>4085</v>
      </c>
      <c r="V200" s="2" t="s">
        <v>4086</v>
      </c>
      <c r="W200" s="2" t="s">
        <v>4087</v>
      </c>
      <c r="X200" s="2" t="s">
        <v>4088</v>
      </c>
      <c r="Y200" s="2" t="s">
        <v>4089</v>
      </c>
      <c r="Z200" s="2" t="s">
        <v>4090</v>
      </c>
      <c r="AA200" s="2" t="s">
        <v>4091</v>
      </c>
      <c r="AB200" s="2" t="s">
        <v>4092</v>
      </c>
      <c r="AC200" s="2" t="s">
        <v>4093</v>
      </c>
      <c r="AD200" s="2" t="s">
        <v>4094</v>
      </c>
      <c r="AE200" s="2" t="s">
        <v>4095</v>
      </c>
      <c r="AF200" s="2" t="s">
        <v>4096</v>
      </c>
      <c r="AG200" s="2">
        <v>78.0</v>
      </c>
      <c r="AH200" s="2">
        <v>6.0</v>
      </c>
      <c r="AI200" s="2">
        <v>6.0</v>
      </c>
      <c r="AJ200" s="2">
        <v>6.0</v>
      </c>
      <c r="AK200" s="2">
        <v>23.0</v>
      </c>
      <c r="AL200" s="2" t="s">
        <v>1346</v>
      </c>
      <c r="AM200" s="2" t="s">
        <v>428</v>
      </c>
      <c r="AN200" s="2" t="s">
        <v>1347</v>
      </c>
      <c r="AO200" s="2" t="s">
        <v>2888</v>
      </c>
      <c r="AP200" s="2" t="s">
        <v>2889</v>
      </c>
      <c r="AQ200" s="2"/>
      <c r="AR200" s="2" t="s">
        <v>2890</v>
      </c>
      <c r="AS200" s="2" t="s">
        <v>2891</v>
      </c>
      <c r="AT200" s="2" t="s">
        <v>596</v>
      </c>
      <c r="AU200" s="2">
        <v>2022.0</v>
      </c>
      <c r="AV200" s="2">
        <v>114.0</v>
      </c>
      <c r="AW200" s="2"/>
      <c r="AX200" s="2"/>
      <c r="AY200" s="2"/>
      <c r="AZ200" s="2"/>
      <c r="BA200" s="2"/>
      <c r="BB200" s="2"/>
      <c r="BC200" s="2"/>
      <c r="BD200" s="2">
        <v>106279.0</v>
      </c>
      <c r="BE200" s="2" t="s">
        <v>4097</v>
      </c>
      <c r="BF200" s="3" t="str">
        <f>HYPERLINK("http://dx.doi.org/10.1016/j.eneco.2022.106279","http://dx.doi.org/10.1016/j.eneco.2022.106279")</f>
        <v>http://dx.doi.org/10.1016/j.eneco.2022.106279</v>
      </c>
      <c r="BG200" s="2"/>
      <c r="BH200" s="2" t="s">
        <v>4098</v>
      </c>
      <c r="BI200" s="2">
        <v>15.0</v>
      </c>
      <c r="BJ200" s="2" t="s">
        <v>2893</v>
      </c>
      <c r="BK200" s="2" t="s">
        <v>166</v>
      </c>
      <c r="BL200" s="2" t="s">
        <v>2894</v>
      </c>
      <c r="BM200" s="2" t="s">
        <v>4099</v>
      </c>
      <c r="BN200" s="2"/>
      <c r="BO200" s="2" t="s">
        <v>201</v>
      </c>
      <c r="BP200" s="2"/>
      <c r="BQ200" s="2"/>
      <c r="BR200" s="2" t="s">
        <v>99</v>
      </c>
      <c r="BS200" s="2" t="s">
        <v>4100</v>
      </c>
      <c r="BT200" s="2" t="str">
        <f>HYPERLINK("https%3A%2F%2Fwww.webofscience.com%2Fwos%2Fwoscc%2Ffull-record%2FWOS:000862830200011","View Full Record in Web of Science")</f>
        <v>View Full Record in Web of Science</v>
      </c>
    </row>
    <row r="201" ht="64.5" customHeight="1">
      <c r="A201" s="2" t="s">
        <v>72</v>
      </c>
      <c r="B201" s="2" t="s">
        <v>4101</v>
      </c>
      <c r="C201" s="2"/>
      <c r="D201" s="2"/>
      <c r="E201" s="2"/>
      <c r="F201" s="2" t="s">
        <v>4102</v>
      </c>
      <c r="G201" s="2"/>
      <c r="H201" s="2"/>
      <c r="I201" s="2" t="s">
        <v>4103</v>
      </c>
      <c r="J201" s="2" t="s">
        <v>233</v>
      </c>
      <c r="K201" s="2"/>
      <c r="L201" s="2"/>
      <c r="M201" s="2" t="s">
        <v>116</v>
      </c>
      <c r="N201" s="2" t="s">
        <v>643</v>
      </c>
      <c r="O201" s="2"/>
      <c r="P201" s="2"/>
      <c r="Q201" s="2"/>
      <c r="R201" s="2"/>
      <c r="S201" s="2"/>
      <c r="T201" s="2" t="s">
        <v>4104</v>
      </c>
      <c r="U201" s="2" t="s">
        <v>4105</v>
      </c>
      <c r="V201" s="2" t="s">
        <v>4106</v>
      </c>
      <c r="W201" s="2" t="s">
        <v>4107</v>
      </c>
      <c r="X201" s="2" t="s">
        <v>4108</v>
      </c>
      <c r="Y201" s="2" t="s">
        <v>4109</v>
      </c>
      <c r="Z201" s="2" t="s">
        <v>4110</v>
      </c>
      <c r="AA201" s="2" t="s">
        <v>4111</v>
      </c>
      <c r="AB201" s="2" t="s">
        <v>4112</v>
      </c>
      <c r="AC201" s="2" t="s">
        <v>4113</v>
      </c>
      <c r="AD201" s="2" t="s">
        <v>4114</v>
      </c>
      <c r="AE201" s="2" t="s">
        <v>4115</v>
      </c>
      <c r="AF201" s="2" t="s">
        <v>4116</v>
      </c>
      <c r="AG201" s="2">
        <v>34.0</v>
      </c>
      <c r="AH201" s="2">
        <v>29.0</v>
      </c>
      <c r="AI201" s="2">
        <v>30.0</v>
      </c>
      <c r="AJ201" s="2">
        <v>11.0</v>
      </c>
      <c r="AK201" s="2">
        <v>60.0</v>
      </c>
      <c r="AL201" s="2" t="s">
        <v>246</v>
      </c>
      <c r="AM201" s="2" t="s">
        <v>247</v>
      </c>
      <c r="AN201" s="2" t="s">
        <v>248</v>
      </c>
      <c r="AO201" s="2"/>
      <c r="AP201" s="2" t="s">
        <v>249</v>
      </c>
      <c r="AQ201" s="2"/>
      <c r="AR201" s="2" t="s">
        <v>250</v>
      </c>
      <c r="AS201" s="2" t="s">
        <v>251</v>
      </c>
      <c r="AT201" s="2" t="s">
        <v>4117</v>
      </c>
      <c r="AU201" s="2">
        <v>2019.0</v>
      </c>
      <c r="AV201" s="2">
        <v>6.0</v>
      </c>
      <c r="AW201" s="2"/>
      <c r="AX201" s="2"/>
      <c r="AY201" s="2"/>
      <c r="AZ201" s="2"/>
      <c r="BA201" s="2"/>
      <c r="BB201" s="2"/>
      <c r="BC201" s="2"/>
      <c r="BD201" s="2">
        <v>626.0</v>
      </c>
      <c r="BE201" s="2" t="s">
        <v>4118</v>
      </c>
      <c r="BF201" s="3" t="str">
        <f>HYPERLINK("http://dx.doi.org/10.3389/fmars.2019.00626","http://dx.doi.org/10.3389/fmars.2019.00626")</f>
        <v>http://dx.doi.org/10.3389/fmars.2019.00626</v>
      </c>
      <c r="BG201" s="2"/>
      <c r="BH201" s="2"/>
      <c r="BI201" s="2">
        <v>10.0</v>
      </c>
      <c r="BJ201" s="2" t="s">
        <v>225</v>
      </c>
      <c r="BK201" s="2" t="s">
        <v>226</v>
      </c>
      <c r="BL201" s="2" t="s">
        <v>227</v>
      </c>
      <c r="BM201" s="2" t="s">
        <v>4119</v>
      </c>
      <c r="BN201" s="2"/>
      <c r="BO201" s="2" t="s">
        <v>272</v>
      </c>
      <c r="BP201" s="2"/>
      <c r="BQ201" s="2"/>
      <c r="BR201" s="2" t="s">
        <v>99</v>
      </c>
      <c r="BS201" s="2" t="s">
        <v>4120</v>
      </c>
      <c r="BT201" s="2" t="str">
        <f>HYPERLINK("https%3A%2F%2Fwww.webofscience.com%2Fwos%2Fwoscc%2Ffull-record%2FWOS:000490152200001","View Full Record in Web of Science")</f>
        <v>View Full Record in Web of Science</v>
      </c>
    </row>
    <row r="202" ht="64.5" customHeight="1">
      <c r="A202" s="2" t="s">
        <v>72</v>
      </c>
      <c r="B202" s="2" t="s">
        <v>4121</v>
      </c>
      <c r="C202" s="2"/>
      <c r="D202" s="2"/>
      <c r="E202" s="2"/>
      <c r="F202" s="2" t="s">
        <v>4122</v>
      </c>
      <c r="G202" s="2"/>
      <c r="H202" s="2"/>
      <c r="I202" s="2" t="s">
        <v>4123</v>
      </c>
      <c r="J202" s="2" t="s">
        <v>370</v>
      </c>
      <c r="K202" s="2"/>
      <c r="L202" s="2"/>
      <c r="M202" s="2" t="s">
        <v>116</v>
      </c>
      <c r="N202" s="2" t="s">
        <v>643</v>
      </c>
      <c r="O202" s="2"/>
      <c r="P202" s="2"/>
      <c r="Q202" s="2"/>
      <c r="R202" s="2"/>
      <c r="S202" s="2"/>
      <c r="T202" s="2" t="s">
        <v>4124</v>
      </c>
      <c r="U202" s="2" t="s">
        <v>4125</v>
      </c>
      <c r="V202" s="2" t="s">
        <v>4126</v>
      </c>
      <c r="W202" s="2" t="s">
        <v>4127</v>
      </c>
      <c r="X202" s="2" t="s">
        <v>4128</v>
      </c>
      <c r="Y202" s="2" t="s">
        <v>4129</v>
      </c>
      <c r="Z202" s="2" t="s">
        <v>4130</v>
      </c>
      <c r="AA202" s="2"/>
      <c r="AB202" s="2" t="s">
        <v>4131</v>
      </c>
      <c r="AC202" s="2" t="s">
        <v>4132</v>
      </c>
      <c r="AD202" s="2" t="s">
        <v>4133</v>
      </c>
      <c r="AE202" s="2" t="s">
        <v>4134</v>
      </c>
      <c r="AF202" s="2" t="s">
        <v>4135</v>
      </c>
      <c r="AG202" s="2">
        <v>33.0</v>
      </c>
      <c r="AH202" s="2">
        <v>6.0</v>
      </c>
      <c r="AI202" s="2">
        <v>6.0</v>
      </c>
      <c r="AJ202" s="2">
        <v>11.0</v>
      </c>
      <c r="AK202" s="2">
        <v>42.0</v>
      </c>
      <c r="AL202" s="2" t="s">
        <v>383</v>
      </c>
      <c r="AM202" s="2" t="s">
        <v>384</v>
      </c>
      <c r="AN202" s="2" t="s">
        <v>385</v>
      </c>
      <c r="AO202" s="2"/>
      <c r="AP202" s="2" t="s">
        <v>386</v>
      </c>
      <c r="AQ202" s="2"/>
      <c r="AR202" s="2" t="s">
        <v>387</v>
      </c>
      <c r="AS202" s="2" t="s">
        <v>388</v>
      </c>
      <c r="AT202" s="2" t="s">
        <v>596</v>
      </c>
      <c r="AU202" s="2">
        <v>2022.0</v>
      </c>
      <c r="AV202" s="2">
        <v>14.0</v>
      </c>
      <c r="AW202" s="2">
        <v>19.0</v>
      </c>
      <c r="AX202" s="2"/>
      <c r="AY202" s="2"/>
      <c r="AZ202" s="2"/>
      <c r="BA202" s="2"/>
      <c r="BB202" s="2"/>
      <c r="BC202" s="2"/>
      <c r="BD202" s="2">
        <v>11940.0</v>
      </c>
      <c r="BE202" s="2" t="s">
        <v>4136</v>
      </c>
      <c r="BF202" s="3" t="str">
        <f>HYPERLINK("http://dx.doi.org/10.3390/su141911940","http://dx.doi.org/10.3390/su141911940")</f>
        <v>http://dx.doi.org/10.3390/su141911940</v>
      </c>
      <c r="BG202" s="2"/>
      <c r="BH202" s="2"/>
      <c r="BI202" s="2">
        <v>13.0</v>
      </c>
      <c r="BJ202" s="2" t="s">
        <v>390</v>
      </c>
      <c r="BK202" s="2" t="s">
        <v>363</v>
      </c>
      <c r="BL202" s="2" t="s">
        <v>391</v>
      </c>
      <c r="BM202" s="2" t="s">
        <v>4137</v>
      </c>
      <c r="BN202" s="2"/>
      <c r="BO202" s="2" t="s">
        <v>255</v>
      </c>
      <c r="BP202" s="2"/>
      <c r="BQ202" s="2"/>
      <c r="BR202" s="2" t="s">
        <v>99</v>
      </c>
      <c r="BS202" s="2" t="s">
        <v>4138</v>
      </c>
      <c r="BT202" s="2" t="str">
        <f>HYPERLINK("https%3A%2F%2Fwww.webofscience.com%2Fwos%2Fwoscc%2Ffull-record%2FWOS:000867406900001","View Full Record in Web of Science")</f>
        <v>View Full Record in Web of Science</v>
      </c>
    </row>
    <row r="203" ht="64.5" customHeight="1">
      <c r="A203" s="2" t="s">
        <v>72</v>
      </c>
      <c r="B203" s="2" t="s">
        <v>4139</v>
      </c>
      <c r="C203" s="2"/>
      <c r="D203" s="2"/>
      <c r="E203" s="2"/>
      <c r="F203" s="2" t="s">
        <v>4140</v>
      </c>
      <c r="G203" s="2"/>
      <c r="H203" s="2"/>
      <c r="I203" s="2" t="s">
        <v>4141</v>
      </c>
      <c r="J203" s="2" t="s">
        <v>1337</v>
      </c>
      <c r="K203" s="2"/>
      <c r="L203" s="2"/>
      <c r="M203" s="2" t="s">
        <v>116</v>
      </c>
      <c r="N203" s="2" t="s">
        <v>78</v>
      </c>
      <c r="O203" s="2"/>
      <c r="P203" s="2"/>
      <c r="Q203" s="2"/>
      <c r="R203" s="2"/>
      <c r="S203" s="2"/>
      <c r="T203" s="2" t="s">
        <v>4142</v>
      </c>
      <c r="U203" s="2" t="s">
        <v>4143</v>
      </c>
      <c r="V203" s="2" t="s">
        <v>4144</v>
      </c>
      <c r="W203" s="2" t="s">
        <v>4145</v>
      </c>
      <c r="X203" s="2" t="s">
        <v>4146</v>
      </c>
      <c r="Y203" s="2" t="s">
        <v>4147</v>
      </c>
      <c r="Z203" s="2" t="s">
        <v>4148</v>
      </c>
      <c r="AA203" s="2"/>
      <c r="AB203" s="2"/>
      <c r="AC203" s="2"/>
      <c r="AD203" s="2"/>
      <c r="AE203" s="2"/>
      <c r="AF203" s="2" t="s">
        <v>4149</v>
      </c>
      <c r="AG203" s="2">
        <v>63.0</v>
      </c>
      <c r="AH203" s="2">
        <v>0.0</v>
      </c>
      <c r="AI203" s="2">
        <v>0.0</v>
      </c>
      <c r="AJ203" s="2">
        <v>2.0</v>
      </c>
      <c r="AK203" s="2">
        <v>6.0</v>
      </c>
      <c r="AL203" s="2" t="s">
        <v>1346</v>
      </c>
      <c r="AM203" s="2" t="s">
        <v>428</v>
      </c>
      <c r="AN203" s="2" t="s">
        <v>1347</v>
      </c>
      <c r="AO203" s="2" t="s">
        <v>1348</v>
      </c>
      <c r="AP203" s="2" t="s">
        <v>1349</v>
      </c>
      <c r="AQ203" s="2"/>
      <c r="AR203" s="2" t="s">
        <v>1350</v>
      </c>
      <c r="AS203" s="2" t="s">
        <v>1351</v>
      </c>
      <c r="AT203" s="2" t="s">
        <v>533</v>
      </c>
      <c r="AU203" s="2">
        <v>2023.0</v>
      </c>
      <c r="AV203" s="2">
        <v>103.0</v>
      </c>
      <c r="AW203" s="2"/>
      <c r="AX203" s="2"/>
      <c r="AY203" s="2"/>
      <c r="AZ203" s="2"/>
      <c r="BA203" s="2"/>
      <c r="BB203" s="2"/>
      <c r="BC203" s="2"/>
      <c r="BD203" s="2">
        <v>103209.0</v>
      </c>
      <c r="BE203" s="2" t="s">
        <v>4150</v>
      </c>
      <c r="BF203" s="3" t="str">
        <f>HYPERLINK("http://dx.doi.org/10.1016/j.erss.2023.103209","http://dx.doi.org/10.1016/j.erss.2023.103209")</f>
        <v>http://dx.doi.org/10.1016/j.erss.2023.103209</v>
      </c>
      <c r="BG203" s="2"/>
      <c r="BH203" s="2" t="s">
        <v>4151</v>
      </c>
      <c r="BI203" s="2">
        <v>15.0</v>
      </c>
      <c r="BJ203" s="2" t="s">
        <v>95</v>
      </c>
      <c r="BK203" s="2" t="s">
        <v>166</v>
      </c>
      <c r="BL203" s="2" t="s">
        <v>97</v>
      </c>
      <c r="BM203" s="2" t="s">
        <v>4152</v>
      </c>
      <c r="BN203" s="2"/>
      <c r="BO203" s="2"/>
      <c r="BP203" s="2"/>
      <c r="BQ203" s="2"/>
      <c r="BR203" s="2" t="s">
        <v>99</v>
      </c>
      <c r="BS203" s="2" t="s">
        <v>4153</v>
      </c>
      <c r="BT203" s="2" t="str">
        <f>HYPERLINK("https%3A%2F%2Fwww.webofscience.com%2Fwos%2Fwoscc%2Ffull-record%2FWOS:001052778900001","View Full Record in Web of Science")</f>
        <v>View Full Record in Web of Science</v>
      </c>
    </row>
    <row r="204" ht="64.5" customHeight="1">
      <c r="A204" s="2" t="s">
        <v>72</v>
      </c>
      <c r="B204" s="2" t="s">
        <v>4154</v>
      </c>
      <c r="C204" s="2"/>
      <c r="D204" s="2"/>
      <c r="E204" s="2"/>
      <c r="F204" s="2" t="s">
        <v>4155</v>
      </c>
      <c r="G204" s="2"/>
      <c r="H204" s="2"/>
      <c r="I204" s="2" t="s">
        <v>4156</v>
      </c>
      <c r="J204" s="2" t="s">
        <v>370</v>
      </c>
      <c r="K204" s="2"/>
      <c r="L204" s="2"/>
      <c r="M204" s="2" t="s">
        <v>116</v>
      </c>
      <c r="N204" s="2" t="s">
        <v>78</v>
      </c>
      <c r="O204" s="2"/>
      <c r="P204" s="2"/>
      <c r="Q204" s="2"/>
      <c r="R204" s="2"/>
      <c r="S204" s="2"/>
      <c r="T204" s="2" t="s">
        <v>4157</v>
      </c>
      <c r="U204" s="2" t="s">
        <v>4158</v>
      </c>
      <c r="V204" s="2" t="s">
        <v>4159</v>
      </c>
      <c r="W204" s="2" t="s">
        <v>4160</v>
      </c>
      <c r="X204" s="2" t="s">
        <v>4161</v>
      </c>
      <c r="Y204" s="2" t="s">
        <v>4162</v>
      </c>
      <c r="Z204" s="2" t="s">
        <v>4163</v>
      </c>
      <c r="AA204" s="2" t="s">
        <v>4164</v>
      </c>
      <c r="AB204" s="2" t="s">
        <v>4165</v>
      </c>
      <c r="AC204" s="2"/>
      <c r="AD204" s="2"/>
      <c r="AE204" s="2"/>
      <c r="AF204" s="2" t="s">
        <v>4166</v>
      </c>
      <c r="AG204" s="2">
        <v>111.0</v>
      </c>
      <c r="AH204" s="2">
        <v>16.0</v>
      </c>
      <c r="AI204" s="2">
        <v>16.0</v>
      </c>
      <c r="AJ204" s="2">
        <v>14.0</v>
      </c>
      <c r="AK204" s="2">
        <v>55.0</v>
      </c>
      <c r="AL204" s="2" t="s">
        <v>383</v>
      </c>
      <c r="AM204" s="2" t="s">
        <v>384</v>
      </c>
      <c r="AN204" s="2" t="s">
        <v>385</v>
      </c>
      <c r="AO204" s="2"/>
      <c r="AP204" s="2" t="s">
        <v>386</v>
      </c>
      <c r="AQ204" s="2"/>
      <c r="AR204" s="2" t="s">
        <v>387</v>
      </c>
      <c r="AS204" s="2" t="s">
        <v>388</v>
      </c>
      <c r="AT204" s="2" t="s">
        <v>222</v>
      </c>
      <c r="AU204" s="2">
        <v>2022.0</v>
      </c>
      <c r="AV204" s="2">
        <v>14.0</v>
      </c>
      <c r="AW204" s="2">
        <v>16.0</v>
      </c>
      <c r="AX204" s="2"/>
      <c r="AY204" s="2"/>
      <c r="AZ204" s="2"/>
      <c r="BA204" s="2"/>
      <c r="BB204" s="2"/>
      <c r="BC204" s="2"/>
      <c r="BD204" s="2">
        <v>10365.0</v>
      </c>
      <c r="BE204" s="2" t="s">
        <v>4167</v>
      </c>
      <c r="BF204" s="3" t="str">
        <f>HYPERLINK("http://dx.doi.org/10.3390/su141610365","http://dx.doi.org/10.3390/su141610365")</f>
        <v>http://dx.doi.org/10.3390/su141610365</v>
      </c>
      <c r="BG204" s="2"/>
      <c r="BH204" s="2"/>
      <c r="BI204" s="2">
        <v>20.0</v>
      </c>
      <c r="BJ204" s="2" t="s">
        <v>390</v>
      </c>
      <c r="BK204" s="2" t="s">
        <v>363</v>
      </c>
      <c r="BL204" s="2" t="s">
        <v>391</v>
      </c>
      <c r="BM204" s="2" t="s">
        <v>4168</v>
      </c>
      <c r="BN204" s="2"/>
      <c r="BO204" s="2" t="s">
        <v>601</v>
      </c>
      <c r="BP204" s="2"/>
      <c r="BQ204" s="2"/>
      <c r="BR204" s="2" t="s">
        <v>99</v>
      </c>
      <c r="BS204" s="2" t="s">
        <v>4169</v>
      </c>
      <c r="BT204" s="2" t="str">
        <f>HYPERLINK("https%3A%2F%2Fwww.webofscience.com%2Fwos%2Fwoscc%2Ffull-record%2FWOS:000845523600001","View Full Record in Web of Science")</f>
        <v>View Full Record in Web of Science</v>
      </c>
    </row>
    <row r="205" ht="64.5" customHeight="1">
      <c r="A205" s="2" t="s">
        <v>72</v>
      </c>
      <c r="B205" s="2" t="s">
        <v>4170</v>
      </c>
      <c r="C205" s="2"/>
      <c r="D205" s="2"/>
      <c r="E205" s="2"/>
      <c r="F205" s="2" t="s">
        <v>4171</v>
      </c>
      <c r="G205" s="2"/>
      <c r="H205" s="2"/>
      <c r="I205" s="2" t="s">
        <v>4172</v>
      </c>
      <c r="J205" s="2" t="s">
        <v>4173</v>
      </c>
      <c r="K205" s="2"/>
      <c r="L205" s="2"/>
      <c r="M205" s="2" t="s">
        <v>116</v>
      </c>
      <c r="N205" s="2" t="s">
        <v>78</v>
      </c>
      <c r="O205" s="2"/>
      <c r="P205" s="2"/>
      <c r="Q205" s="2"/>
      <c r="R205" s="2"/>
      <c r="S205" s="2"/>
      <c r="T205" s="2" t="s">
        <v>4174</v>
      </c>
      <c r="U205" s="2" t="s">
        <v>4175</v>
      </c>
      <c r="V205" s="2" t="s">
        <v>4176</v>
      </c>
      <c r="W205" s="2" t="s">
        <v>4177</v>
      </c>
      <c r="X205" s="2" t="s">
        <v>4178</v>
      </c>
      <c r="Y205" s="2" t="s">
        <v>4179</v>
      </c>
      <c r="Z205" s="2"/>
      <c r="AA205" s="2"/>
      <c r="AB205" s="2" t="s">
        <v>4180</v>
      </c>
      <c r="AC205" s="2" t="s">
        <v>4181</v>
      </c>
      <c r="AD205" s="2" t="s">
        <v>4182</v>
      </c>
      <c r="AE205" s="2" t="s">
        <v>4183</v>
      </c>
      <c r="AF205" s="2" t="s">
        <v>4184</v>
      </c>
      <c r="AG205" s="2">
        <v>61.0</v>
      </c>
      <c r="AH205" s="2">
        <v>4.0</v>
      </c>
      <c r="AI205" s="2">
        <v>4.0</v>
      </c>
      <c r="AJ205" s="2">
        <v>2.0</v>
      </c>
      <c r="AK205" s="2">
        <v>12.0</v>
      </c>
      <c r="AL205" s="2" t="s">
        <v>4185</v>
      </c>
      <c r="AM205" s="2" t="s">
        <v>247</v>
      </c>
      <c r="AN205" s="2" t="s">
        <v>4186</v>
      </c>
      <c r="AO205" s="2" t="s">
        <v>4187</v>
      </c>
      <c r="AP205" s="2" t="s">
        <v>4188</v>
      </c>
      <c r="AQ205" s="2"/>
      <c r="AR205" s="2" t="s">
        <v>4189</v>
      </c>
      <c r="AS205" s="2" t="s">
        <v>4190</v>
      </c>
      <c r="AT205" s="2" t="s">
        <v>4191</v>
      </c>
      <c r="AU205" s="2">
        <v>2022.0</v>
      </c>
      <c r="AV205" s="2">
        <v>266.0</v>
      </c>
      <c r="AW205" s="2"/>
      <c r="AX205" s="2"/>
      <c r="AY205" s="2"/>
      <c r="AZ205" s="2"/>
      <c r="BA205" s="2"/>
      <c r="BB205" s="2"/>
      <c r="BC205" s="2"/>
      <c r="BD205" s="2">
        <v>112116.0</v>
      </c>
      <c r="BE205" s="2" t="s">
        <v>4192</v>
      </c>
      <c r="BF205" s="3" t="str">
        <f>HYPERLINK("http://dx.doi.org/10.1016/j.enbuild.2022.112116","http://dx.doi.org/10.1016/j.enbuild.2022.112116")</f>
        <v>http://dx.doi.org/10.1016/j.enbuild.2022.112116</v>
      </c>
      <c r="BG205" s="2"/>
      <c r="BH205" s="2" t="s">
        <v>4193</v>
      </c>
      <c r="BI205" s="2">
        <v>16.0</v>
      </c>
      <c r="BJ205" s="2" t="s">
        <v>4194</v>
      </c>
      <c r="BK205" s="2" t="s">
        <v>226</v>
      </c>
      <c r="BL205" s="2" t="s">
        <v>4195</v>
      </c>
      <c r="BM205" s="2" t="s">
        <v>4196</v>
      </c>
      <c r="BN205" s="2"/>
      <c r="BO205" s="2" t="s">
        <v>2170</v>
      </c>
      <c r="BP205" s="2"/>
      <c r="BQ205" s="2"/>
      <c r="BR205" s="2" t="s">
        <v>99</v>
      </c>
      <c r="BS205" s="2" t="s">
        <v>4197</v>
      </c>
      <c r="BT205" s="2" t="str">
        <f>HYPERLINK("https%3A%2F%2Fwww.webofscience.com%2Fwos%2Fwoscc%2Ffull-record%2FWOS:000801708000002","View Full Record in Web of Science")</f>
        <v>View Full Record in Web of Science</v>
      </c>
    </row>
    <row r="206" ht="64.5" customHeight="1">
      <c r="A206" s="2" t="s">
        <v>72</v>
      </c>
      <c r="B206" s="2" t="s">
        <v>4198</v>
      </c>
      <c r="C206" s="2"/>
      <c r="D206" s="2"/>
      <c r="E206" s="2"/>
      <c r="F206" s="2" t="s">
        <v>4199</v>
      </c>
      <c r="G206" s="2"/>
      <c r="H206" s="2"/>
      <c r="I206" s="2" t="s">
        <v>4200</v>
      </c>
      <c r="J206" s="2" t="s">
        <v>1823</v>
      </c>
      <c r="K206" s="2"/>
      <c r="L206" s="2"/>
      <c r="M206" s="2" t="s">
        <v>116</v>
      </c>
      <c r="N206" s="2" t="s">
        <v>78</v>
      </c>
      <c r="O206" s="2"/>
      <c r="P206" s="2"/>
      <c r="Q206" s="2"/>
      <c r="R206" s="2"/>
      <c r="S206" s="2"/>
      <c r="T206" s="2" t="s">
        <v>4201</v>
      </c>
      <c r="U206" s="2" t="s">
        <v>4202</v>
      </c>
      <c r="V206" s="2" t="s">
        <v>4203</v>
      </c>
      <c r="W206" s="2" t="s">
        <v>4204</v>
      </c>
      <c r="X206" s="2" t="s">
        <v>1664</v>
      </c>
      <c r="Y206" s="2" t="s">
        <v>4205</v>
      </c>
      <c r="Z206" s="2" t="s">
        <v>4206</v>
      </c>
      <c r="AA206" s="2" t="s">
        <v>1667</v>
      </c>
      <c r="AB206" s="2"/>
      <c r="AC206" s="2" t="s">
        <v>4207</v>
      </c>
      <c r="AD206" s="2" t="s">
        <v>4208</v>
      </c>
      <c r="AE206" s="2" t="s">
        <v>4209</v>
      </c>
      <c r="AF206" s="2" t="s">
        <v>4210</v>
      </c>
      <c r="AG206" s="2">
        <v>72.0</v>
      </c>
      <c r="AH206" s="2">
        <v>13.0</v>
      </c>
      <c r="AI206" s="2">
        <v>13.0</v>
      </c>
      <c r="AJ206" s="2">
        <v>0.0</v>
      </c>
      <c r="AK206" s="2">
        <v>8.0</v>
      </c>
      <c r="AL206" s="2" t="s">
        <v>188</v>
      </c>
      <c r="AM206" s="2" t="s">
        <v>189</v>
      </c>
      <c r="AN206" s="2" t="s">
        <v>190</v>
      </c>
      <c r="AO206" s="2" t="s">
        <v>1836</v>
      </c>
      <c r="AP206" s="2" t="s">
        <v>1837</v>
      </c>
      <c r="AQ206" s="2"/>
      <c r="AR206" s="2" t="s">
        <v>1838</v>
      </c>
      <c r="AS206" s="2" t="s">
        <v>1839</v>
      </c>
      <c r="AT206" s="2" t="s">
        <v>1840</v>
      </c>
      <c r="AU206" s="2">
        <v>2022.0</v>
      </c>
      <c r="AV206" s="2">
        <v>219.0</v>
      </c>
      <c r="AW206" s="2"/>
      <c r="AX206" s="2"/>
      <c r="AY206" s="2"/>
      <c r="AZ206" s="2"/>
      <c r="BA206" s="2"/>
      <c r="BB206" s="2"/>
      <c r="BC206" s="2"/>
      <c r="BD206" s="2">
        <v>106047.0</v>
      </c>
      <c r="BE206" s="2" t="s">
        <v>4211</v>
      </c>
      <c r="BF206" s="3" t="str">
        <f>HYPERLINK("http://dx.doi.org/10.1016/j.ocecoaman.2022.106047","http://dx.doi.org/10.1016/j.ocecoaman.2022.106047")</f>
        <v>http://dx.doi.org/10.1016/j.ocecoaman.2022.106047</v>
      </c>
      <c r="BG206" s="2"/>
      <c r="BH206" s="2" t="s">
        <v>3930</v>
      </c>
      <c r="BI206" s="2">
        <v>10.0</v>
      </c>
      <c r="BJ206" s="2" t="s">
        <v>1842</v>
      </c>
      <c r="BK206" s="2" t="s">
        <v>226</v>
      </c>
      <c r="BL206" s="2" t="s">
        <v>1842</v>
      </c>
      <c r="BM206" s="2" t="s">
        <v>4212</v>
      </c>
      <c r="BN206" s="2"/>
      <c r="BO206" s="2"/>
      <c r="BP206" s="2"/>
      <c r="BQ206" s="2"/>
      <c r="BR206" s="2" t="s">
        <v>99</v>
      </c>
      <c r="BS206" s="2" t="s">
        <v>4213</v>
      </c>
      <c r="BT206" s="2" t="str">
        <f>HYPERLINK("https%3A%2F%2Fwww.webofscience.com%2Fwos%2Fwoscc%2Ffull-record%2FWOS:000819917900006","View Full Record in Web of Science")</f>
        <v>View Full Record in Web of Science</v>
      </c>
    </row>
    <row r="207" ht="64.5" customHeight="1">
      <c r="A207" s="2" t="s">
        <v>72</v>
      </c>
      <c r="B207" s="2" t="s">
        <v>311</v>
      </c>
      <c r="C207" s="2"/>
      <c r="D207" s="2"/>
      <c r="E207" s="2"/>
      <c r="F207" s="2" t="s">
        <v>312</v>
      </c>
      <c r="G207" s="2"/>
      <c r="H207" s="2"/>
      <c r="I207" s="2" t="s">
        <v>4214</v>
      </c>
      <c r="J207" s="2" t="s">
        <v>712</v>
      </c>
      <c r="K207" s="2"/>
      <c r="L207" s="2"/>
      <c r="M207" s="2" t="s">
        <v>116</v>
      </c>
      <c r="N207" s="2" t="s">
        <v>78</v>
      </c>
      <c r="O207" s="2"/>
      <c r="P207" s="2"/>
      <c r="Q207" s="2"/>
      <c r="R207" s="2"/>
      <c r="S207" s="2"/>
      <c r="T207" s="2" t="s">
        <v>4215</v>
      </c>
      <c r="U207" s="2" t="s">
        <v>4216</v>
      </c>
      <c r="V207" s="2" t="s">
        <v>4217</v>
      </c>
      <c r="W207" s="2" t="s">
        <v>4218</v>
      </c>
      <c r="X207" s="2" t="s">
        <v>319</v>
      </c>
      <c r="Y207" s="2" t="s">
        <v>4219</v>
      </c>
      <c r="Z207" s="2" t="s">
        <v>321</v>
      </c>
      <c r="AA207" s="2"/>
      <c r="AB207" s="2"/>
      <c r="AC207" s="2"/>
      <c r="AD207" s="2"/>
      <c r="AE207" s="2"/>
      <c r="AF207" s="2" t="s">
        <v>4220</v>
      </c>
      <c r="AG207" s="2">
        <v>44.0</v>
      </c>
      <c r="AH207" s="2">
        <v>7.0</v>
      </c>
      <c r="AI207" s="2">
        <v>7.0</v>
      </c>
      <c r="AJ207" s="2">
        <v>7.0</v>
      </c>
      <c r="AK207" s="2">
        <v>21.0</v>
      </c>
      <c r="AL207" s="2" t="s">
        <v>726</v>
      </c>
      <c r="AM207" s="2" t="s">
        <v>727</v>
      </c>
      <c r="AN207" s="2" t="s">
        <v>728</v>
      </c>
      <c r="AO207" s="2" t="s">
        <v>729</v>
      </c>
      <c r="AP207" s="2"/>
      <c r="AQ207" s="2"/>
      <c r="AR207" s="2" t="s">
        <v>730</v>
      </c>
      <c r="AS207" s="2" t="s">
        <v>731</v>
      </c>
      <c r="AT207" s="2"/>
      <c r="AU207" s="2">
        <v>2022.0</v>
      </c>
      <c r="AV207" s="2">
        <v>23.0</v>
      </c>
      <c r="AW207" s="2">
        <v>2.0</v>
      </c>
      <c r="AX207" s="2"/>
      <c r="AY207" s="2"/>
      <c r="AZ207" s="2"/>
      <c r="BA207" s="2"/>
      <c r="BB207" s="2">
        <v>310.0</v>
      </c>
      <c r="BC207" s="2">
        <v>320.0</v>
      </c>
      <c r="BD207" s="2"/>
      <c r="BE207" s="2" t="s">
        <v>4221</v>
      </c>
      <c r="BF207" s="3" t="str">
        <f>HYPERLINK("http://dx.doi.org/10.12681/mms.27059","http://dx.doi.org/10.12681/mms.27059")</f>
        <v>http://dx.doi.org/10.12681/mms.27059</v>
      </c>
      <c r="BG207" s="2"/>
      <c r="BH207" s="2"/>
      <c r="BI207" s="2">
        <v>12.0</v>
      </c>
      <c r="BJ207" s="2" t="s">
        <v>733</v>
      </c>
      <c r="BK207" s="2" t="s">
        <v>226</v>
      </c>
      <c r="BL207" s="2" t="s">
        <v>734</v>
      </c>
      <c r="BM207" s="2" t="s">
        <v>735</v>
      </c>
      <c r="BN207" s="2"/>
      <c r="BO207" s="2" t="s">
        <v>255</v>
      </c>
      <c r="BP207" s="2"/>
      <c r="BQ207" s="2"/>
      <c r="BR207" s="2" t="s">
        <v>99</v>
      </c>
      <c r="BS207" s="2" t="s">
        <v>4222</v>
      </c>
      <c r="BT207" s="2" t="str">
        <f>HYPERLINK("https%3A%2F%2Fwww.webofscience.com%2Fwos%2Fwoscc%2Ffull-record%2FWOS:000782982600005","View Full Record in Web of Science")</f>
        <v>View Full Record in Web of Science</v>
      </c>
    </row>
    <row r="208" ht="64.5" customHeight="1">
      <c r="A208" s="2" t="s">
        <v>110</v>
      </c>
      <c r="B208" s="2" t="s">
        <v>4223</v>
      </c>
      <c r="C208" s="2"/>
      <c r="D208" s="2"/>
      <c r="E208" s="2"/>
      <c r="F208" s="2" t="s">
        <v>4224</v>
      </c>
      <c r="G208" s="2"/>
      <c r="H208" s="2"/>
      <c r="I208" s="2" t="s">
        <v>4225</v>
      </c>
      <c r="J208" s="2" t="s">
        <v>114</v>
      </c>
      <c r="K208" s="2" t="s">
        <v>115</v>
      </c>
      <c r="L208" s="2"/>
      <c r="M208" s="2" t="s">
        <v>116</v>
      </c>
      <c r="N208" s="2" t="s">
        <v>117</v>
      </c>
      <c r="O208" s="2" t="s">
        <v>118</v>
      </c>
      <c r="P208" s="2" t="s">
        <v>119</v>
      </c>
      <c r="Q208" s="2" t="s">
        <v>120</v>
      </c>
      <c r="R208" s="2"/>
      <c r="S208" s="2"/>
      <c r="T208" s="4" t="s">
        <v>121</v>
      </c>
      <c r="U208" s="2"/>
      <c r="V208" s="2" t="s">
        <v>4226</v>
      </c>
      <c r="W208" s="2" t="s">
        <v>4227</v>
      </c>
      <c r="X208" s="2" t="s">
        <v>124</v>
      </c>
      <c r="Y208" s="2" t="s">
        <v>4228</v>
      </c>
      <c r="Z208" s="2"/>
      <c r="AA208" s="2"/>
      <c r="AB208" s="2"/>
      <c r="AC208" s="2"/>
      <c r="AD208" s="2"/>
      <c r="AE208" s="2"/>
      <c r="AF208" s="2" t="s">
        <v>4229</v>
      </c>
      <c r="AG208" s="2">
        <v>12.0</v>
      </c>
      <c r="AH208" s="2">
        <v>0.0</v>
      </c>
      <c r="AI208" s="2">
        <v>0.0</v>
      </c>
      <c r="AJ208" s="2">
        <v>0.0</v>
      </c>
      <c r="AK208" s="2">
        <v>5.0</v>
      </c>
      <c r="AL208" s="2" t="s">
        <v>129</v>
      </c>
      <c r="AM208" s="2" t="s">
        <v>130</v>
      </c>
      <c r="AN208" s="2" t="s">
        <v>131</v>
      </c>
      <c r="AO208" s="2" t="s">
        <v>132</v>
      </c>
      <c r="AP208" s="2"/>
      <c r="AQ208" s="2" t="s">
        <v>133</v>
      </c>
      <c r="AR208" s="2" t="s">
        <v>115</v>
      </c>
      <c r="AS208" s="2"/>
      <c r="AT208" s="2"/>
      <c r="AU208" s="2">
        <v>2005.0</v>
      </c>
      <c r="AV208" s="2"/>
      <c r="AW208" s="2"/>
      <c r="AX208" s="2"/>
      <c r="AY208" s="2"/>
      <c r="AZ208" s="2"/>
      <c r="BA208" s="2"/>
      <c r="BB208" s="2">
        <v>900.0</v>
      </c>
      <c r="BC208" s="2">
        <v>904.0</v>
      </c>
      <c r="BD208" s="2"/>
      <c r="BE208" s="2"/>
      <c r="BF208" s="2"/>
      <c r="BG208" s="2"/>
      <c r="BH208" s="2"/>
      <c r="BI208" s="2">
        <v>5.0</v>
      </c>
      <c r="BJ208" s="2" t="s">
        <v>134</v>
      </c>
      <c r="BK208" s="2" t="s">
        <v>135</v>
      </c>
      <c r="BL208" s="2" t="s">
        <v>136</v>
      </c>
      <c r="BM208" s="2" t="s">
        <v>137</v>
      </c>
      <c r="BN208" s="2"/>
      <c r="BO208" s="2"/>
      <c r="BP208" s="2"/>
      <c r="BQ208" s="2"/>
      <c r="BR208" s="2" t="s">
        <v>99</v>
      </c>
      <c r="BS208" s="2" t="s">
        <v>4230</v>
      </c>
      <c r="BT208" s="2" t="str">
        <f>HYPERLINK("https%3A%2F%2Fwww.webofscience.com%2Fwos%2Fwoscc%2Ffull-record%2FWOS:000238978700144","View Full Record in Web of Science")</f>
        <v>View Full Record in Web of Science</v>
      </c>
    </row>
    <row r="209" ht="64.5" customHeight="1">
      <c r="A209" s="2" t="s">
        <v>72</v>
      </c>
      <c r="B209" s="2" t="s">
        <v>4231</v>
      </c>
      <c r="C209" s="2"/>
      <c r="D209" s="2"/>
      <c r="E209" s="2"/>
      <c r="F209" s="2" t="s">
        <v>4232</v>
      </c>
      <c r="G209" s="2"/>
      <c r="H209" s="2"/>
      <c r="I209" s="2" t="s">
        <v>4233</v>
      </c>
      <c r="J209" s="2" t="s">
        <v>370</v>
      </c>
      <c r="K209" s="2"/>
      <c r="L209" s="2"/>
      <c r="M209" s="2" t="s">
        <v>116</v>
      </c>
      <c r="N209" s="2" t="s">
        <v>78</v>
      </c>
      <c r="O209" s="2"/>
      <c r="P209" s="2"/>
      <c r="Q209" s="2"/>
      <c r="R209" s="2"/>
      <c r="S209" s="2"/>
      <c r="T209" s="2" t="s">
        <v>4234</v>
      </c>
      <c r="U209" s="2" t="s">
        <v>4235</v>
      </c>
      <c r="V209" s="2" t="s">
        <v>4236</v>
      </c>
      <c r="W209" s="2" t="s">
        <v>4237</v>
      </c>
      <c r="X209" s="2" t="s">
        <v>4238</v>
      </c>
      <c r="Y209" s="2" t="s">
        <v>4239</v>
      </c>
      <c r="Z209" s="2" t="s">
        <v>4240</v>
      </c>
      <c r="AA209" s="2" t="s">
        <v>4241</v>
      </c>
      <c r="AB209" s="2" t="s">
        <v>4242</v>
      </c>
      <c r="AC209" s="2"/>
      <c r="AD209" s="2"/>
      <c r="AE209" s="2"/>
      <c r="AF209" s="2" t="s">
        <v>4243</v>
      </c>
      <c r="AG209" s="2">
        <v>56.0</v>
      </c>
      <c r="AH209" s="2">
        <v>1.0</v>
      </c>
      <c r="AI209" s="2">
        <v>1.0</v>
      </c>
      <c r="AJ209" s="2">
        <v>1.0</v>
      </c>
      <c r="AK209" s="2">
        <v>13.0</v>
      </c>
      <c r="AL209" s="2" t="s">
        <v>383</v>
      </c>
      <c r="AM209" s="2" t="s">
        <v>384</v>
      </c>
      <c r="AN209" s="2" t="s">
        <v>385</v>
      </c>
      <c r="AO209" s="2"/>
      <c r="AP209" s="2" t="s">
        <v>386</v>
      </c>
      <c r="AQ209" s="2"/>
      <c r="AR209" s="2" t="s">
        <v>387</v>
      </c>
      <c r="AS209" s="2" t="s">
        <v>388</v>
      </c>
      <c r="AT209" s="2" t="s">
        <v>4244</v>
      </c>
      <c r="AU209" s="2">
        <v>2023.0</v>
      </c>
      <c r="AV209" s="2">
        <v>15.0</v>
      </c>
      <c r="AW209" s="2">
        <v>11.0</v>
      </c>
      <c r="AX209" s="2"/>
      <c r="AY209" s="2"/>
      <c r="AZ209" s="2"/>
      <c r="BA209" s="2"/>
      <c r="BB209" s="2"/>
      <c r="BC209" s="2"/>
      <c r="BD209" s="2">
        <v>8544.0</v>
      </c>
      <c r="BE209" s="2" t="s">
        <v>4245</v>
      </c>
      <c r="BF209" s="3" t="str">
        <f>HYPERLINK("http://dx.doi.org/10.3390/su15118544","http://dx.doi.org/10.3390/su15118544")</f>
        <v>http://dx.doi.org/10.3390/su15118544</v>
      </c>
      <c r="BG209" s="2"/>
      <c r="BH209" s="2"/>
      <c r="BI209" s="2">
        <v>18.0</v>
      </c>
      <c r="BJ209" s="2" t="s">
        <v>390</v>
      </c>
      <c r="BK209" s="2" t="s">
        <v>363</v>
      </c>
      <c r="BL209" s="2" t="s">
        <v>391</v>
      </c>
      <c r="BM209" s="2" t="s">
        <v>4246</v>
      </c>
      <c r="BN209" s="2"/>
      <c r="BO209" s="2" t="s">
        <v>272</v>
      </c>
      <c r="BP209" s="2"/>
      <c r="BQ209" s="2"/>
      <c r="BR209" s="2" t="s">
        <v>99</v>
      </c>
      <c r="BS209" s="2" t="s">
        <v>4247</v>
      </c>
      <c r="BT209" s="2" t="str">
        <f>HYPERLINK("https%3A%2F%2Fwww.webofscience.com%2Fwos%2Fwoscc%2Ffull-record%2FWOS:001005560600001","View Full Record in Web of Science")</f>
        <v>View Full Record in Web of Science</v>
      </c>
    </row>
    <row r="210" ht="64.5" customHeight="1">
      <c r="A210" s="2" t="s">
        <v>110</v>
      </c>
      <c r="B210" s="2" t="s">
        <v>4248</v>
      </c>
      <c r="C210" s="2"/>
      <c r="D210" s="2" t="s">
        <v>4249</v>
      </c>
      <c r="E210" s="2"/>
      <c r="F210" s="2" t="s">
        <v>4250</v>
      </c>
      <c r="G210" s="2"/>
      <c r="H210" s="2"/>
      <c r="I210" s="2" t="s">
        <v>4251</v>
      </c>
      <c r="J210" s="2" t="s">
        <v>4252</v>
      </c>
      <c r="K210" s="2" t="s">
        <v>4253</v>
      </c>
      <c r="L210" s="2"/>
      <c r="M210" s="2" t="s">
        <v>116</v>
      </c>
      <c r="N210" s="2" t="s">
        <v>117</v>
      </c>
      <c r="O210" s="2" t="s">
        <v>4254</v>
      </c>
      <c r="P210" s="2" t="s">
        <v>4255</v>
      </c>
      <c r="Q210" s="2" t="s">
        <v>4256</v>
      </c>
      <c r="R210" s="2"/>
      <c r="S210" s="2"/>
      <c r="T210" s="4" t="s">
        <v>121</v>
      </c>
      <c r="U210" s="2"/>
      <c r="V210" s="2" t="s">
        <v>4257</v>
      </c>
      <c r="W210" s="2" t="s">
        <v>4258</v>
      </c>
      <c r="X210" s="2" t="s">
        <v>4259</v>
      </c>
      <c r="Y210" s="2" t="s">
        <v>4260</v>
      </c>
      <c r="Z210" s="2"/>
      <c r="AA210" s="2" t="s">
        <v>4261</v>
      </c>
      <c r="AB210" s="2" t="s">
        <v>4262</v>
      </c>
      <c r="AC210" s="2" t="s">
        <v>4263</v>
      </c>
      <c r="AD210" s="2" t="s">
        <v>4264</v>
      </c>
      <c r="AE210" s="2" t="s">
        <v>4265</v>
      </c>
      <c r="AF210" s="2" t="s">
        <v>4266</v>
      </c>
      <c r="AG210" s="2">
        <v>12.0</v>
      </c>
      <c r="AH210" s="2">
        <v>1.0</v>
      </c>
      <c r="AI210" s="2">
        <v>1.0</v>
      </c>
      <c r="AJ210" s="2">
        <v>0.0</v>
      </c>
      <c r="AK210" s="2">
        <v>1.0</v>
      </c>
      <c r="AL210" s="2" t="s">
        <v>4267</v>
      </c>
      <c r="AM210" s="2" t="s">
        <v>4268</v>
      </c>
      <c r="AN210" s="2" t="s">
        <v>4269</v>
      </c>
      <c r="AO210" s="2" t="s">
        <v>4270</v>
      </c>
      <c r="AP210" s="2"/>
      <c r="AQ210" s="2" t="s">
        <v>4271</v>
      </c>
      <c r="AR210" s="2" t="s">
        <v>4272</v>
      </c>
      <c r="AS210" s="2"/>
      <c r="AT210" s="2"/>
      <c r="AU210" s="2">
        <v>2020.0</v>
      </c>
      <c r="AV210" s="2"/>
      <c r="AW210" s="2"/>
      <c r="AX210" s="2"/>
      <c r="AY210" s="2"/>
      <c r="AZ210" s="2"/>
      <c r="BA210" s="2"/>
      <c r="BB210" s="2">
        <v>2707.0</v>
      </c>
      <c r="BC210" s="2">
        <v>2713.0</v>
      </c>
      <c r="BD210" s="2"/>
      <c r="BE210" s="2" t="s">
        <v>4273</v>
      </c>
      <c r="BF210" s="3" t="str">
        <f>HYPERLINK("http://dx.doi.org/10.26868/25222708.2019.211006","http://dx.doi.org/10.26868/25222708.2019.211006")</f>
        <v>http://dx.doi.org/10.26868/25222708.2019.211006</v>
      </c>
      <c r="BG210" s="2"/>
      <c r="BH210" s="2"/>
      <c r="BI210" s="2">
        <v>7.0</v>
      </c>
      <c r="BJ210" s="2" t="s">
        <v>4274</v>
      </c>
      <c r="BK210" s="2" t="s">
        <v>135</v>
      </c>
      <c r="BL210" s="2" t="s">
        <v>4274</v>
      </c>
      <c r="BM210" s="2" t="s">
        <v>4275</v>
      </c>
      <c r="BN210" s="2"/>
      <c r="BO210" s="2" t="s">
        <v>2170</v>
      </c>
      <c r="BP210" s="2"/>
      <c r="BQ210" s="2"/>
      <c r="BR210" s="2" t="s">
        <v>99</v>
      </c>
      <c r="BS210" s="2" t="s">
        <v>4276</v>
      </c>
      <c r="BT210" s="2" t="str">
        <f>HYPERLINK("https%3A%2F%2Fwww.webofscience.com%2Fwos%2Fwoscc%2Ffull-record%2FWOS:000709431302100","View Full Record in Web of Science")</f>
        <v>View Full Record in Web of Science</v>
      </c>
    </row>
    <row r="211" ht="64.5" customHeight="1">
      <c r="A211" s="2" t="s">
        <v>72</v>
      </c>
      <c r="B211" s="2" t="s">
        <v>4277</v>
      </c>
      <c r="C211" s="2"/>
      <c r="D211" s="2"/>
      <c r="E211" s="2"/>
      <c r="F211" s="2" t="s">
        <v>4278</v>
      </c>
      <c r="G211" s="2"/>
      <c r="H211" s="2"/>
      <c r="I211" s="2" t="s">
        <v>4279</v>
      </c>
      <c r="J211" s="2" t="s">
        <v>623</v>
      </c>
      <c r="K211" s="2"/>
      <c r="L211" s="2"/>
      <c r="M211" s="2" t="s">
        <v>116</v>
      </c>
      <c r="N211" s="2" t="s">
        <v>4280</v>
      </c>
      <c r="O211" s="2"/>
      <c r="P211" s="2"/>
      <c r="Q211" s="2"/>
      <c r="R211" s="2"/>
      <c r="S211" s="2"/>
      <c r="T211" s="4" t="s">
        <v>121</v>
      </c>
      <c r="U211" s="2"/>
      <c r="V211" s="2" t="s">
        <v>4281</v>
      </c>
      <c r="W211" s="2" t="s">
        <v>4282</v>
      </c>
      <c r="X211" s="2" t="s">
        <v>4283</v>
      </c>
      <c r="Y211" s="2" t="s">
        <v>4284</v>
      </c>
      <c r="Z211" s="2" t="s">
        <v>4285</v>
      </c>
      <c r="AA211" s="2" t="s">
        <v>126</v>
      </c>
      <c r="AB211" s="2" t="s">
        <v>4286</v>
      </c>
      <c r="AC211" s="2"/>
      <c r="AD211" s="2"/>
      <c r="AE211" s="2"/>
      <c r="AF211" s="2"/>
      <c r="AG211" s="2">
        <v>0.0</v>
      </c>
      <c r="AH211" s="2">
        <v>0.0</v>
      </c>
      <c r="AI211" s="2">
        <v>0.0</v>
      </c>
      <c r="AJ211" s="2">
        <v>0.0</v>
      </c>
      <c r="AK211" s="2">
        <v>8.0</v>
      </c>
      <c r="AL211" s="2" t="s">
        <v>629</v>
      </c>
      <c r="AM211" s="2" t="s">
        <v>630</v>
      </c>
      <c r="AN211" s="2" t="s">
        <v>631</v>
      </c>
      <c r="AO211" s="2" t="s">
        <v>632</v>
      </c>
      <c r="AP211" s="2" t="s">
        <v>633</v>
      </c>
      <c r="AQ211" s="2"/>
      <c r="AR211" s="2" t="s">
        <v>634</v>
      </c>
      <c r="AS211" s="2" t="s">
        <v>635</v>
      </c>
      <c r="AT211" s="2" t="s">
        <v>636</v>
      </c>
      <c r="AU211" s="2">
        <v>2021.0</v>
      </c>
      <c r="AV211" s="2">
        <v>55.0</v>
      </c>
      <c r="AW211" s="2">
        <v>3.0</v>
      </c>
      <c r="AX211" s="2"/>
      <c r="AY211" s="2"/>
      <c r="AZ211" s="2"/>
      <c r="BA211" s="2"/>
      <c r="BB211" s="2">
        <v>102.0</v>
      </c>
      <c r="BC211" s="2">
        <v>102.0</v>
      </c>
      <c r="BD211" s="2"/>
      <c r="BE211" s="2"/>
      <c r="BF211" s="2"/>
      <c r="BG211" s="2"/>
      <c r="BH211" s="2"/>
      <c r="BI211" s="2">
        <v>1.0</v>
      </c>
      <c r="BJ211" s="2" t="s">
        <v>134</v>
      </c>
      <c r="BK211" s="2" t="s">
        <v>226</v>
      </c>
      <c r="BL211" s="2" t="s">
        <v>136</v>
      </c>
      <c r="BM211" s="2" t="s">
        <v>4287</v>
      </c>
      <c r="BN211" s="2"/>
      <c r="BO211" s="2"/>
      <c r="BP211" s="2"/>
      <c r="BQ211" s="2"/>
      <c r="BR211" s="2" t="s">
        <v>99</v>
      </c>
      <c r="BS211" s="2" t="s">
        <v>4288</v>
      </c>
      <c r="BT211" s="2" t="str">
        <f>HYPERLINK("https%3A%2F%2Fwww.webofscience.com%2Fwos%2Fwoscc%2Ffull-record%2FWOS:000707639700031","View Full Record in Web of Science")</f>
        <v>View Full Record in Web of Science</v>
      </c>
    </row>
    <row r="212" ht="64.5" customHeight="1">
      <c r="A212" s="2" t="s">
        <v>110</v>
      </c>
      <c r="B212" s="2" t="s">
        <v>4289</v>
      </c>
      <c r="C212" s="2"/>
      <c r="D212" s="2" t="s">
        <v>4290</v>
      </c>
      <c r="E212" s="2"/>
      <c r="F212" s="2" t="s">
        <v>4291</v>
      </c>
      <c r="G212" s="2"/>
      <c r="H212" s="2"/>
      <c r="I212" s="2" t="s">
        <v>4292</v>
      </c>
      <c r="J212" s="2" t="s">
        <v>4293</v>
      </c>
      <c r="K212" s="2"/>
      <c r="L212" s="2"/>
      <c r="M212" s="2" t="s">
        <v>116</v>
      </c>
      <c r="N212" s="2" t="s">
        <v>117</v>
      </c>
      <c r="O212" s="2" t="s">
        <v>4294</v>
      </c>
      <c r="P212" s="2" t="s">
        <v>4295</v>
      </c>
      <c r="Q212" s="2" t="s">
        <v>4296</v>
      </c>
      <c r="R212" s="2"/>
      <c r="S212" s="2"/>
      <c r="T212" s="2" t="s">
        <v>4297</v>
      </c>
      <c r="U212" s="2"/>
      <c r="V212" s="2" t="s">
        <v>4298</v>
      </c>
      <c r="W212" s="2" t="s">
        <v>4299</v>
      </c>
      <c r="X212" s="2" t="s">
        <v>4300</v>
      </c>
      <c r="Y212" s="2" t="s">
        <v>4301</v>
      </c>
      <c r="Z212" s="2"/>
      <c r="AA212" s="2"/>
      <c r="AB212" s="2" t="s">
        <v>4302</v>
      </c>
      <c r="AC212" s="2"/>
      <c r="AD212" s="2"/>
      <c r="AE212" s="2"/>
      <c r="AF212" s="2" t="s">
        <v>4303</v>
      </c>
      <c r="AG212" s="2">
        <v>20.0</v>
      </c>
      <c r="AH212" s="2">
        <v>1.0</v>
      </c>
      <c r="AI212" s="2">
        <v>1.0</v>
      </c>
      <c r="AJ212" s="2">
        <v>0.0</v>
      </c>
      <c r="AK212" s="2">
        <v>9.0</v>
      </c>
      <c r="AL212" s="2" t="s">
        <v>4304</v>
      </c>
      <c r="AM212" s="2" t="s">
        <v>4305</v>
      </c>
      <c r="AN212" s="2" t="s">
        <v>4306</v>
      </c>
      <c r="AO212" s="2"/>
      <c r="AP212" s="2"/>
      <c r="AQ212" s="2" t="s">
        <v>4307</v>
      </c>
      <c r="AR212" s="2"/>
      <c r="AS212" s="2"/>
      <c r="AT212" s="2"/>
      <c r="AU212" s="2">
        <v>2019.0</v>
      </c>
      <c r="AV212" s="2"/>
      <c r="AW212" s="2"/>
      <c r="AX212" s="2"/>
      <c r="AY212" s="2"/>
      <c r="AZ212" s="2"/>
      <c r="BA212" s="2"/>
      <c r="BB212" s="2">
        <v>325.0</v>
      </c>
      <c r="BC212" s="2">
        <v>332.0</v>
      </c>
      <c r="BD212" s="2"/>
      <c r="BE212" s="2" t="s">
        <v>4308</v>
      </c>
      <c r="BF212" s="3" t="str">
        <f>HYPERLINK("http://dx.doi.org/10.5220/0008353003250332","http://dx.doi.org/10.5220/0008353003250332")</f>
        <v>http://dx.doi.org/10.5220/0008353003250332</v>
      </c>
      <c r="BG212" s="2"/>
      <c r="BH212" s="2"/>
      <c r="BI212" s="2">
        <v>8.0</v>
      </c>
      <c r="BJ212" s="2" t="s">
        <v>4309</v>
      </c>
      <c r="BK212" s="2" t="s">
        <v>135</v>
      </c>
      <c r="BL212" s="2" t="s">
        <v>1402</v>
      </c>
      <c r="BM212" s="2" t="s">
        <v>4310</v>
      </c>
      <c r="BN212" s="2"/>
      <c r="BO212" s="2" t="s">
        <v>201</v>
      </c>
      <c r="BP212" s="2"/>
      <c r="BQ212" s="2"/>
      <c r="BR212" s="2" t="s">
        <v>99</v>
      </c>
      <c r="BS212" s="2" t="s">
        <v>4311</v>
      </c>
      <c r="BT212" s="2" t="str">
        <f>HYPERLINK("https%3A%2F%2Fwww.webofscience.com%2Fwos%2Fwoscc%2Ffull-record%2FWOS:000607176800035","View Full Record in Web of Science")</f>
        <v>View Full Record in Web of Science</v>
      </c>
    </row>
    <row r="213" ht="64.5" customHeight="1">
      <c r="A213" s="2" t="s">
        <v>72</v>
      </c>
      <c r="B213" s="2" t="s">
        <v>4312</v>
      </c>
      <c r="C213" s="2"/>
      <c r="D213" s="2"/>
      <c r="E213" s="2"/>
      <c r="F213" s="2" t="s">
        <v>4313</v>
      </c>
      <c r="G213" s="2"/>
      <c r="H213" s="2"/>
      <c r="I213" s="2" t="s">
        <v>4314</v>
      </c>
      <c r="J213" s="2" t="s">
        <v>370</v>
      </c>
      <c r="K213" s="2"/>
      <c r="L213" s="2"/>
      <c r="M213" s="2" t="s">
        <v>116</v>
      </c>
      <c r="N213" s="2" t="s">
        <v>78</v>
      </c>
      <c r="O213" s="2"/>
      <c r="P213" s="2"/>
      <c r="Q213" s="2"/>
      <c r="R213" s="2"/>
      <c r="S213" s="2"/>
      <c r="T213" s="2" t="s">
        <v>4315</v>
      </c>
      <c r="U213" s="2" t="s">
        <v>4316</v>
      </c>
      <c r="V213" s="2" t="s">
        <v>4317</v>
      </c>
      <c r="W213" s="2" t="s">
        <v>4318</v>
      </c>
      <c r="X213" s="2" t="s">
        <v>4319</v>
      </c>
      <c r="Y213" s="2" t="s">
        <v>4320</v>
      </c>
      <c r="Z213" s="2" t="s">
        <v>4321</v>
      </c>
      <c r="AA213" s="2" t="s">
        <v>4322</v>
      </c>
      <c r="AB213" s="2" t="s">
        <v>4323</v>
      </c>
      <c r="AC213" s="2" t="s">
        <v>4324</v>
      </c>
      <c r="AD213" s="2" t="s">
        <v>4325</v>
      </c>
      <c r="AE213" s="2" t="s">
        <v>4326</v>
      </c>
      <c r="AF213" s="2" t="s">
        <v>4327</v>
      </c>
      <c r="AG213" s="2">
        <v>78.0</v>
      </c>
      <c r="AH213" s="2">
        <v>1.0</v>
      </c>
      <c r="AI213" s="2">
        <v>1.0</v>
      </c>
      <c r="AJ213" s="2">
        <v>3.0</v>
      </c>
      <c r="AK213" s="2">
        <v>4.0</v>
      </c>
      <c r="AL213" s="2" t="s">
        <v>383</v>
      </c>
      <c r="AM213" s="2" t="s">
        <v>384</v>
      </c>
      <c r="AN213" s="2" t="s">
        <v>385</v>
      </c>
      <c r="AO213" s="2"/>
      <c r="AP213" s="2" t="s">
        <v>386</v>
      </c>
      <c r="AQ213" s="2"/>
      <c r="AR213" s="2" t="s">
        <v>387</v>
      </c>
      <c r="AS213" s="2" t="s">
        <v>388</v>
      </c>
      <c r="AT213" s="2" t="s">
        <v>751</v>
      </c>
      <c r="AU213" s="2">
        <v>2023.0</v>
      </c>
      <c r="AV213" s="2">
        <v>15.0</v>
      </c>
      <c r="AW213" s="2">
        <v>13.0</v>
      </c>
      <c r="AX213" s="2"/>
      <c r="AY213" s="2"/>
      <c r="AZ213" s="2"/>
      <c r="BA213" s="2"/>
      <c r="BB213" s="2"/>
      <c r="BC213" s="2"/>
      <c r="BD213" s="2">
        <v>10056.0</v>
      </c>
      <c r="BE213" s="2" t="s">
        <v>4328</v>
      </c>
      <c r="BF213" s="3" t="str">
        <f>HYPERLINK("http://dx.doi.org/10.3390/su151310056","http://dx.doi.org/10.3390/su151310056")</f>
        <v>http://dx.doi.org/10.3390/su151310056</v>
      </c>
      <c r="BG213" s="2"/>
      <c r="BH213" s="2"/>
      <c r="BI213" s="2">
        <v>25.0</v>
      </c>
      <c r="BJ213" s="2" t="s">
        <v>390</v>
      </c>
      <c r="BK213" s="2" t="s">
        <v>363</v>
      </c>
      <c r="BL213" s="2" t="s">
        <v>391</v>
      </c>
      <c r="BM213" s="2" t="s">
        <v>4329</v>
      </c>
      <c r="BN213" s="2"/>
      <c r="BO213" s="2" t="s">
        <v>601</v>
      </c>
      <c r="BP213" s="2"/>
      <c r="BQ213" s="2"/>
      <c r="BR213" s="2" t="s">
        <v>99</v>
      </c>
      <c r="BS213" s="2" t="s">
        <v>4330</v>
      </c>
      <c r="BT213" s="2" t="str">
        <f>HYPERLINK("https%3A%2F%2Fwww.webofscience.com%2Fwos%2Fwoscc%2Ffull-record%2FWOS:001028269500001","View Full Record in Web of Science")</f>
        <v>View Full Record in Web of Science</v>
      </c>
    </row>
    <row r="214" ht="64.5" customHeight="1">
      <c r="A214" s="2" t="s">
        <v>110</v>
      </c>
      <c r="B214" s="2" t="s">
        <v>1460</v>
      </c>
      <c r="C214" s="2"/>
      <c r="D214" s="2"/>
      <c r="E214" s="2" t="s">
        <v>129</v>
      </c>
      <c r="F214" s="2" t="s">
        <v>1461</v>
      </c>
      <c r="G214" s="2"/>
      <c r="H214" s="2"/>
      <c r="I214" s="2" t="s">
        <v>4331</v>
      </c>
      <c r="J214" s="2" t="s">
        <v>4332</v>
      </c>
      <c r="K214" s="2" t="s">
        <v>2389</v>
      </c>
      <c r="L214" s="2"/>
      <c r="M214" s="2" t="s">
        <v>116</v>
      </c>
      <c r="N214" s="2" t="s">
        <v>117</v>
      </c>
      <c r="O214" s="2" t="s">
        <v>4333</v>
      </c>
      <c r="P214" s="2" t="s">
        <v>4334</v>
      </c>
      <c r="Q214" s="2" t="s">
        <v>4335</v>
      </c>
      <c r="R214" s="2"/>
      <c r="S214" s="2"/>
      <c r="T214" s="2" t="s">
        <v>4336</v>
      </c>
      <c r="U214" s="2"/>
      <c r="V214" s="2" t="s">
        <v>4337</v>
      </c>
      <c r="W214" s="2" t="s">
        <v>4338</v>
      </c>
      <c r="X214" s="2" t="s">
        <v>3524</v>
      </c>
      <c r="Y214" s="2" t="s">
        <v>4339</v>
      </c>
      <c r="Z214" s="2" t="s">
        <v>2397</v>
      </c>
      <c r="AA214" s="2" t="s">
        <v>700</v>
      </c>
      <c r="AB214" s="2" t="s">
        <v>1470</v>
      </c>
      <c r="AC214" s="2" t="s">
        <v>3526</v>
      </c>
      <c r="AD214" s="2" t="s">
        <v>2726</v>
      </c>
      <c r="AE214" s="2" t="s">
        <v>3527</v>
      </c>
      <c r="AF214" s="2" t="s">
        <v>4340</v>
      </c>
      <c r="AG214" s="2">
        <v>8.0</v>
      </c>
      <c r="AH214" s="2">
        <v>0.0</v>
      </c>
      <c r="AI214" s="2">
        <v>0.0</v>
      </c>
      <c r="AJ214" s="2">
        <v>0.0</v>
      </c>
      <c r="AK214" s="2">
        <v>9.0</v>
      </c>
      <c r="AL214" s="2" t="s">
        <v>129</v>
      </c>
      <c r="AM214" s="2" t="s">
        <v>130</v>
      </c>
      <c r="AN214" s="2" t="s">
        <v>131</v>
      </c>
      <c r="AO214" s="2" t="s">
        <v>2399</v>
      </c>
      <c r="AP214" s="2"/>
      <c r="AQ214" s="2" t="s">
        <v>4341</v>
      </c>
      <c r="AR214" s="2" t="s">
        <v>2401</v>
      </c>
      <c r="AS214" s="2"/>
      <c r="AT214" s="2"/>
      <c r="AU214" s="2">
        <v>2006.0</v>
      </c>
      <c r="AV214" s="2"/>
      <c r="AW214" s="2"/>
      <c r="AX214" s="2"/>
      <c r="AY214" s="2"/>
      <c r="AZ214" s="2"/>
      <c r="BA214" s="2"/>
      <c r="BB214" s="2">
        <v>297.0</v>
      </c>
      <c r="BC214" s="2" t="s">
        <v>1458</v>
      </c>
      <c r="BD214" s="2"/>
      <c r="BE214" s="2"/>
      <c r="BF214" s="2"/>
      <c r="BG214" s="2"/>
      <c r="BH214" s="2"/>
      <c r="BI214" s="2">
        <v>2.0</v>
      </c>
      <c r="BJ214" s="2" t="s">
        <v>4342</v>
      </c>
      <c r="BK214" s="2" t="s">
        <v>1053</v>
      </c>
      <c r="BL214" s="2" t="s">
        <v>1054</v>
      </c>
      <c r="BM214" s="2" t="s">
        <v>4343</v>
      </c>
      <c r="BN214" s="2"/>
      <c r="BO214" s="2"/>
      <c r="BP214" s="2"/>
      <c r="BQ214" s="2"/>
      <c r="BR214" s="2" t="s">
        <v>99</v>
      </c>
      <c r="BS214" s="2" t="s">
        <v>4344</v>
      </c>
      <c r="BT214" s="2" t="str">
        <f>HYPERLINK("https%3A%2F%2Fwww.webofscience.com%2Fwos%2Fwoscc%2Ffull-record%2FWOS:000245981400066","View Full Record in Web of Science")</f>
        <v>View Full Record in Web of Science</v>
      </c>
    </row>
    <row r="215" ht="64.5" customHeight="1">
      <c r="A215" s="2" t="s">
        <v>110</v>
      </c>
      <c r="B215" s="2" t="s">
        <v>4345</v>
      </c>
      <c r="C215" s="2"/>
      <c r="D215" s="2"/>
      <c r="E215" s="2" t="s">
        <v>129</v>
      </c>
      <c r="F215" s="2" t="s">
        <v>4346</v>
      </c>
      <c r="G215" s="2"/>
      <c r="H215" s="2"/>
      <c r="I215" s="2" t="s">
        <v>4347</v>
      </c>
      <c r="J215" s="2" t="s">
        <v>1985</v>
      </c>
      <c r="K215" s="2" t="s">
        <v>115</v>
      </c>
      <c r="L215" s="2"/>
      <c r="M215" s="2" t="s">
        <v>116</v>
      </c>
      <c r="N215" s="2" t="s">
        <v>117</v>
      </c>
      <c r="O215" s="2" t="s">
        <v>1986</v>
      </c>
      <c r="P215" s="2" t="s">
        <v>1987</v>
      </c>
      <c r="Q215" s="2" t="s">
        <v>1988</v>
      </c>
      <c r="R215" s="2"/>
      <c r="S215" s="2"/>
      <c r="T215" s="4" t="s">
        <v>121</v>
      </c>
      <c r="U215" s="2"/>
      <c r="V215" s="2" t="s">
        <v>4348</v>
      </c>
      <c r="W215" s="2" t="s">
        <v>4349</v>
      </c>
      <c r="X215" s="2" t="s">
        <v>124</v>
      </c>
      <c r="Y215" s="2" t="s">
        <v>4350</v>
      </c>
      <c r="Z215" s="2"/>
      <c r="AA215" s="2"/>
      <c r="AB215" s="2"/>
      <c r="AC215" s="2"/>
      <c r="AD215" s="2"/>
      <c r="AE215" s="2"/>
      <c r="AF215" s="2"/>
      <c r="AG215" s="2">
        <v>0.0</v>
      </c>
      <c r="AH215" s="2">
        <v>0.0</v>
      </c>
      <c r="AI215" s="2">
        <v>0.0</v>
      </c>
      <c r="AJ215" s="2">
        <v>0.0</v>
      </c>
      <c r="AK215" s="2">
        <v>1.0</v>
      </c>
      <c r="AL215" s="2" t="s">
        <v>129</v>
      </c>
      <c r="AM215" s="2" t="s">
        <v>130</v>
      </c>
      <c r="AN215" s="2" t="s">
        <v>131</v>
      </c>
      <c r="AO215" s="2" t="s">
        <v>132</v>
      </c>
      <c r="AP215" s="2"/>
      <c r="AQ215" s="2" t="s">
        <v>1997</v>
      </c>
      <c r="AR215" s="2" t="s">
        <v>115</v>
      </c>
      <c r="AS215" s="2"/>
      <c r="AT215" s="2"/>
      <c r="AU215" s="2">
        <v>2007.0</v>
      </c>
      <c r="AV215" s="2"/>
      <c r="AW215" s="2"/>
      <c r="AX215" s="2"/>
      <c r="AY215" s="2"/>
      <c r="AZ215" s="2"/>
      <c r="BA215" s="2"/>
      <c r="BB215" s="2">
        <v>2019.0</v>
      </c>
      <c r="BC215" s="2" t="s">
        <v>1458</v>
      </c>
      <c r="BD215" s="2"/>
      <c r="BE215" s="2"/>
      <c r="BF215" s="2"/>
      <c r="BG215" s="2"/>
      <c r="BH215" s="2"/>
      <c r="BI215" s="2">
        <v>2.0</v>
      </c>
      <c r="BJ215" s="2" t="s">
        <v>1998</v>
      </c>
      <c r="BK215" s="2" t="s">
        <v>135</v>
      </c>
      <c r="BL215" s="2" t="s">
        <v>1999</v>
      </c>
      <c r="BM215" s="2" t="s">
        <v>2000</v>
      </c>
      <c r="BN215" s="2"/>
      <c r="BO215" s="2"/>
      <c r="BP215" s="2"/>
      <c r="BQ215" s="2"/>
      <c r="BR215" s="2" t="s">
        <v>99</v>
      </c>
      <c r="BS215" s="2" t="s">
        <v>4351</v>
      </c>
      <c r="BT215" s="2" t="str">
        <f>HYPERLINK("https%3A%2F%2Fwww.webofscience.com%2Fwos%2Fwoscc%2Ffull-record%2FWOS:000256526301115","View Full Record in Web of Science")</f>
        <v>View Full Record in Web of Science</v>
      </c>
    </row>
    <row r="216" ht="64.5" customHeight="1">
      <c r="A216" s="2" t="s">
        <v>72</v>
      </c>
      <c r="B216" s="2" t="s">
        <v>4352</v>
      </c>
      <c r="C216" s="2"/>
      <c r="D216" s="2"/>
      <c r="E216" s="2"/>
      <c r="F216" s="2" t="s">
        <v>4353</v>
      </c>
      <c r="G216" s="2"/>
      <c r="H216" s="2"/>
      <c r="I216" s="2" t="s">
        <v>4354</v>
      </c>
      <c r="J216" s="2" t="s">
        <v>2489</v>
      </c>
      <c r="K216" s="2"/>
      <c r="L216" s="2"/>
      <c r="M216" s="2" t="s">
        <v>116</v>
      </c>
      <c r="N216" s="2" t="s">
        <v>78</v>
      </c>
      <c r="O216" s="2"/>
      <c r="P216" s="2"/>
      <c r="Q216" s="2"/>
      <c r="R216" s="2"/>
      <c r="S216" s="2"/>
      <c r="T216" s="2" t="s">
        <v>4355</v>
      </c>
      <c r="U216" s="2" t="s">
        <v>4356</v>
      </c>
      <c r="V216" s="2" t="s">
        <v>4357</v>
      </c>
      <c r="W216" s="2" t="s">
        <v>4358</v>
      </c>
      <c r="X216" s="2" t="s">
        <v>4359</v>
      </c>
      <c r="Y216" s="2" t="s">
        <v>4360</v>
      </c>
      <c r="Z216" s="2" t="s">
        <v>4361</v>
      </c>
      <c r="AA216" s="2" t="s">
        <v>4362</v>
      </c>
      <c r="AB216" s="2" t="s">
        <v>4363</v>
      </c>
      <c r="AC216" s="2" t="s">
        <v>4364</v>
      </c>
      <c r="AD216" s="2" t="s">
        <v>4365</v>
      </c>
      <c r="AE216" s="2" t="s">
        <v>4366</v>
      </c>
      <c r="AF216" s="2" t="s">
        <v>4367</v>
      </c>
      <c r="AG216" s="2">
        <v>56.0</v>
      </c>
      <c r="AH216" s="2">
        <v>2.0</v>
      </c>
      <c r="AI216" s="2">
        <v>2.0</v>
      </c>
      <c r="AJ216" s="2">
        <v>2.0</v>
      </c>
      <c r="AK216" s="2">
        <v>11.0</v>
      </c>
      <c r="AL216" s="2" t="s">
        <v>188</v>
      </c>
      <c r="AM216" s="2" t="s">
        <v>189</v>
      </c>
      <c r="AN216" s="2" t="s">
        <v>190</v>
      </c>
      <c r="AO216" s="2" t="s">
        <v>2501</v>
      </c>
      <c r="AP216" s="2" t="s">
        <v>2502</v>
      </c>
      <c r="AQ216" s="2"/>
      <c r="AR216" s="2" t="s">
        <v>2503</v>
      </c>
      <c r="AS216" s="2" t="s">
        <v>2504</v>
      </c>
      <c r="AT216" s="2" t="s">
        <v>533</v>
      </c>
      <c r="AU216" s="2">
        <v>2023.0</v>
      </c>
      <c r="AV216" s="2">
        <v>180.0</v>
      </c>
      <c r="AW216" s="2"/>
      <c r="AX216" s="2"/>
      <c r="AY216" s="2"/>
      <c r="AZ216" s="2"/>
      <c r="BA216" s="2"/>
      <c r="BB216" s="2"/>
      <c r="BC216" s="2"/>
      <c r="BD216" s="2">
        <v>113650.0</v>
      </c>
      <c r="BE216" s="2" t="s">
        <v>4368</v>
      </c>
      <c r="BF216" s="3" t="str">
        <f>HYPERLINK("http://dx.doi.org/10.1016/j.enpol.2023.113650","http://dx.doi.org/10.1016/j.enpol.2023.113650")</f>
        <v>http://dx.doi.org/10.1016/j.enpol.2023.113650</v>
      </c>
      <c r="BG216" s="2"/>
      <c r="BH216" s="2" t="s">
        <v>224</v>
      </c>
      <c r="BI216" s="2">
        <v>12.0</v>
      </c>
      <c r="BJ216" s="2" t="s">
        <v>2506</v>
      </c>
      <c r="BK216" s="2" t="s">
        <v>363</v>
      </c>
      <c r="BL216" s="2" t="s">
        <v>2507</v>
      </c>
      <c r="BM216" s="2" t="s">
        <v>4369</v>
      </c>
      <c r="BN216" s="2"/>
      <c r="BO216" s="2"/>
      <c r="BP216" s="2"/>
      <c r="BQ216" s="2"/>
      <c r="BR216" s="2" t="s">
        <v>99</v>
      </c>
      <c r="BS216" s="2" t="s">
        <v>4370</v>
      </c>
      <c r="BT216" s="2" t="str">
        <f>HYPERLINK("https%3A%2F%2Fwww.webofscience.com%2Fwos%2Fwoscc%2Ffull-record%2FWOS:001019228000001","View Full Record in Web of Science")</f>
        <v>View Full Record in Web of Science</v>
      </c>
    </row>
    <row r="217" ht="64.5" customHeight="1">
      <c r="A217" s="2" t="s">
        <v>72</v>
      </c>
      <c r="B217" s="2" t="s">
        <v>4371</v>
      </c>
      <c r="C217" s="2"/>
      <c r="D217" s="2"/>
      <c r="E217" s="2"/>
      <c r="F217" s="2" t="s">
        <v>4372</v>
      </c>
      <c r="G217" s="2"/>
      <c r="H217" s="2"/>
      <c r="I217" s="2" t="s">
        <v>4373</v>
      </c>
      <c r="J217" s="2" t="s">
        <v>4374</v>
      </c>
      <c r="K217" s="2"/>
      <c r="L217" s="2"/>
      <c r="M217" s="2" t="s">
        <v>116</v>
      </c>
      <c r="N217" s="2" t="s">
        <v>4375</v>
      </c>
      <c r="O217" s="2"/>
      <c r="P217" s="2"/>
      <c r="Q217" s="2"/>
      <c r="R217" s="2"/>
      <c r="S217" s="2"/>
      <c r="T217" s="4" t="s">
        <v>121</v>
      </c>
      <c r="U217" s="2"/>
      <c r="V217" s="2"/>
      <c r="W217" s="2" t="s">
        <v>4376</v>
      </c>
      <c r="X217" s="2" t="s">
        <v>4377</v>
      </c>
      <c r="Y217" s="2" t="s">
        <v>4378</v>
      </c>
      <c r="Z217" s="2" t="s">
        <v>4379</v>
      </c>
      <c r="AA217" s="2" t="s">
        <v>4380</v>
      </c>
      <c r="AB217" s="2"/>
      <c r="AC217" s="2" t="s">
        <v>4381</v>
      </c>
      <c r="AD217" s="2" t="s">
        <v>4382</v>
      </c>
      <c r="AE217" s="2" t="s">
        <v>4383</v>
      </c>
      <c r="AF217" s="2" t="s">
        <v>4384</v>
      </c>
      <c r="AG217" s="2">
        <v>3.0</v>
      </c>
      <c r="AH217" s="2">
        <v>3.0</v>
      </c>
      <c r="AI217" s="2">
        <v>3.0</v>
      </c>
      <c r="AJ217" s="2">
        <v>1.0</v>
      </c>
      <c r="AK217" s="2">
        <v>6.0</v>
      </c>
      <c r="AL217" s="2" t="s">
        <v>4385</v>
      </c>
      <c r="AM217" s="2" t="s">
        <v>130</v>
      </c>
      <c r="AN217" s="2" t="s">
        <v>4386</v>
      </c>
      <c r="AO217" s="2" t="s">
        <v>4387</v>
      </c>
      <c r="AP217" s="2" t="s">
        <v>4388</v>
      </c>
      <c r="AQ217" s="2"/>
      <c r="AR217" s="2" t="s">
        <v>4389</v>
      </c>
      <c r="AS217" s="2" t="s">
        <v>4390</v>
      </c>
      <c r="AT217" s="2" t="s">
        <v>222</v>
      </c>
      <c r="AU217" s="2">
        <v>2015.0</v>
      </c>
      <c r="AV217" s="2">
        <v>8.0</v>
      </c>
      <c r="AW217" s="2">
        <v>8.0</v>
      </c>
      <c r="AX217" s="2"/>
      <c r="AY217" s="2"/>
      <c r="AZ217" s="2"/>
      <c r="BA217" s="2"/>
      <c r="BB217" s="2">
        <v>576.0</v>
      </c>
      <c r="BC217" s="2">
        <v>576.0</v>
      </c>
      <c r="BD217" s="2"/>
      <c r="BE217" s="2" t="s">
        <v>4391</v>
      </c>
      <c r="BF217" s="3" t="str">
        <f>HYPERLINK("http://dx.doi.org/10.1038/ngeo2499","http://dx.doi.org/10.1038/ngeo2499")</f>
        <v>http://dx.doi.org/10.1038/ngeo2499</v>
      </c>
      <c r="BG217" s="2"/>
      <c r="BH217" s="2"/>
      <c r="BI217" s="2">
        <v>1.0</v>
      </c>
      <c r="BJ217" s="2" t="s">
        <v>3181</v>
      </c>
      <c r="BK217" s="2" t="s">
        <v>226</v>
      </c>
      <c r="BL217" s="2" t="s">
        <v>3182</v>
      </c>
      <c r="BM217" s="2" t="s">
        <v>4392</v>
      </c>
      <c r="BN217" s="2"/>
      <c r="BO217" s="2" t="s">
        <v>2170</v>
      </c>
      <c r="BP217" s="2"/>
      <c r="BQ217" s="2"/>
      <c r="BR217" s="2" t="s">
        <v>99</v>
      </c>
      <c r="BS217" s="2" t="s">
        <v>4393</v>
      </c>
      <c r="BT217" s="2" t="str">
        <f>HYPERLINK("https%3A%2F%2Fwww.webofscience.com%2Fwos%2Fwoscc%2Ffull-record%2FWOS:000358735500002","View Full Record in Web of Science")</f>
        <v>View Full Record in Web of Science</v>
      </c>
    </row>
    <row r="218" ht="64.5" customHeight="1">
      <c r="A218" s="2" t="s">
        <v>110</v>
      </c>
      <c r="B218" s="2" t="s">
        <v>4394</v>
      </c>
      <c r="C218" s="2"/>
      <c r="D218" s="2" t="s">
        <v>1180</v>
      </c>
      <c r="E218" s="2"/>
      <c r="F218" s="2" t="s">
        <v>4395</v>
      </c>
      <c r="G218" s="2"/>
      <c r="H218" s="2"/>
      <c r="I218" s="2" t="s">
        <v>4396</v>
      </c>
      <c r="J218" s="2" t="s">
        <v>4397</v>
      </c>
      <c r="K218" s="2" t="s">
        <v>4398</v>
      </c>
      <c r="L218" s="2"/>
      <c r="M218" s="2" t="s">
        <v>116</v>
      </c>
      <c r="N218" s="2" t="s">
        <v>117</v>
      </c>
      <c r="O218" s="2" t="s">
        <v>4399</v>
      </c>
      <c r="P218" s="2" t="s">
        <v>4400</v>
      </c>
      <c r="Q218" s="2" t="s">
        <v>4401</v>
      </c>
      <c r="R218" s="2"/>
      <c r="S218" s="2"/>
      <c r="T218" s="2" t="s">
        <v>4402</v>
      </c>
      <c r="U218" s="2" t="s">
        <v>4403</v>
      </c>
      <c r="V218" s="2" t="s">
        <v>4404</v>
      </c>
      <c r="W218" s="2" t="s">
        <v>4405</v>
      </c>
      <c r="X218" s="2" t="s">
        <v>4406</v>
      </c>
      <c r="Y218" s="2" t="s">
        <v>4407</v>
      </c>
      <c r="Z218" s="2"/>
      <c r="AA218" s="2" t="s">
        <v>4408</v>
      </c>
      <c r="AB218" s="2" t="s">
        <v>4409</v>
      </c>
      <c r="AC218" s="2" t="s">
        <v>1196</v>
      </c>
      <c r="AD218" s="2" t="s">
        <v>1197</v>
      </c>
      <c r="AE218" s="2" t="s">
        <v>1198</v>
      </c>
      <c r="AF218" s="2" t="s">
        <v>4410</v>
      </c>
      <c r="AG218" s="2">
        <v>47.0</v>
      </c>
      <c r="AH218" s="2">
        <v>3.0</v>
      </c>
      <c r="AI218" s="2">
        <v>3.0</v>
      </c>
      <c r="AJ218" s="2">
        <v>1.0</v>
      </c>
      <c r="AK218" s="2">
        <v>11.0</v>
      </c>
      <c r="AL218" s="2" t="s">
        <v>1200</v>
      </c>
      <c r="AM218" s="2" t="s">
        <v>1201</v>
      </c>
      <c r="AN218" s="2" t="s">
        <v>1202</v>
      </c>
      <c r="AO218" s="2" t="s">
        <v>4411</v>
      </c>
      <c r="AP218" s="2"/>
      <c r="AQ218" s="2" t="s">
        <v>4412</v>
      </c>
      <c r="AR218" s="2" t="s">
        <v>4413</v>
      </c>
      <c r="AS218" s="2"/>
      <c r="AT218" s="2"/>
      <c r="AU218" s="2">
        <v>2019.0</v>
      </c>
      <c r="AV218" s="2"/>
      <c r="AW218" s="2"/>
      <c r="AX218" s="2"/>
      <c r="AY218" s="2"/>
      <c r="AZ218" s="2"/>
      <c r="BA218" s="2"/>
      <c r="BB218" s="2">
        <v>5381.0</v>
      </c>
      <c r="BC218" s="2">
        <v>5390.0</v>
      </c>
      <c r="BD218" s="2"/>
      <c r="BE218" s="2"/>
      <c r="BF218" s="2"/>
      <c r="BG218" s="2"/>
      <c r="BH218" s="2"/>
      <c r="BI218" s="2">
        <v>10.0</v>
      </c>
      <c r="BJ218" s="2" t="s">
        <v>331</v>
      </c>
      <c r="BK218" s="2" t="s">
        <v>434</v>
      </c>
      <c r="BL218" s="2" t="s">
        <v>331</v>
      </c>
      <c r="BM218" s="2" t="s">
        <v>4414</v>
      </c>
      <c r="BN218" s="2"/>
      <c r="BO218" s="2"/>
      <c r="BP218" s="2"/>
      <c r="BQ218" s="2"/>
      <c r="BR218" s="2" t="s">
        <v>99</v>
      </c>
      <c r="BS218" s="2" t="s">
        <v>4415</v>
      </c>
      <c r="BT218" s="2" t="str">
        <f>HYPERLINK("https%3A%2F%2Fwww.webofscience.com%2Fwos%2Fwoscc%2Ffull-record%2FWOS:000551093105076","View Full Record in Web of Science")</f>
        <v>View Full Record in Web of Science</v>
      </c>
    </row>
    <row r="219" ht="64.5" customHeight="1">
      <c r="A219" s="2" t="s">
        <v>72</v>
      </c>
      <c r="B219" s="2" t="s">
        <v>4416</v>
      </c>
      <c r="C219" s="2"/>
      <c r="D219" s="2"/>
      <c r="E219" s="2"/>
      <c r="F219" s="2" t="s">
        <v>4417</v>
      </c>
      <c r="G219" s="2"/>
      <c r="H219" s="2"/>
      <c r="I219" s="2" t="s">
        <v>4418</v>
      </c>
      <c r="J219" s="2" t="s">
        <v>540</v>
      </c>
      <c r="K219" s="2"/>
      <c r="L219" s="2"/>
      <c r="M219" s="2" t="s">
        <v>116</v>
      </c>
      <c r="N219" s="2" t="s">
        <v>78</v>
      </c>
      <c r="O219" s="2"/>
      <c r="P219" s="2"/>
      <c r="Q219" s="2"/>
      <c r="R219" s="2"/>
      <c r="S219" s="2"/>
      <c r="T219" s="2" t="s">
        <v>4419</v>
      </c>
      <c r="U219" s="2"/>
      <c r="V219" s="2" t="s">
        <v>4420</v>
      </c>
      <c r="W219" s="2" t="s">
        <v>4421</v>
      </c>
      <c r="X219" s="2" t="s">
        <v>4422</v>
      </c>
      <c r="Y219" s="2" t="s">
        <v>4423</v>
      </c>
      <c r="Z219" s="2" t="s">
        <v>4424</v>
      </c>
      <c r="AA219" s="2" t="s">
        <v>4425</v>
      </c>
      <c r="AB219" s="2" t="s">
        <v>4426</v>
      </c>
      <c r="AC219" s="2" t="s">
        <v>4427</v>
      </c>
      <c r="AD219" s="2" t="s">
        <v>4428</v>
      </c>
      <c r="AE219" s="2" t="s">
        <v>4429</v>
      </c>
      <c r="AF219" s="2" t="s">
        <v>4430</v>
      </c>
      <c r="AG219" s="2">
        <v>60.0</v>
      </c>
      <c r="AH219" s="2">
        <v>15.0</v>
      </c>
      <c r="AI219" s="2">
        <v>16.0</v>
      </c>
      <c r="AJ219" s="2">
        <v>1.0</v>
      </c>
      <c r="AK219" s="2">
        <v>20.0</v>
      </c>
      <c r="AL219" s="2" t="s">
        <v>383</v>
      </c>
      <c r="AM219" s="2" t="s">
        <v>384</v>
      </c>
      <c r="AN219" s="2" t="s">
        <v>385</v>
      </c>
      <c r="AO219" s="2"/>
      <c r="AP219" s="2" t="s">
        <v>554</v>
      </c>
      <c r="AQ219" s="2"/>
      <c r="AR219" s="2" t="s">
        <v>555</v>
      </c>
      <c r="AS219" s="2" t="s">
        <v>556</v>
      </c>
      <c r="AT219" s="2" t="s">
        <v>453</v>
      </c>
      <c r="AU219" s="2">
        <v>2020.0</v>
      </c>
      <c r="AV219" s="2">
        <v>12.0</v>
      </c>
      <c r="AW219" s="2">
        <v>1.0</v>
      </c>
      <c r="AX219" s="2"/>
      <c r="AY219" s="2"/>
      <c r="AZ219" s="2"/>
      <c r="BA219" s="2"/>
      <c r="BB219" s="2"/>
      <c r="BC219" s="2"/>
      <c r="BD219" s="2">
        <v>92.0</v>
      </c>
      <c r="BE219" s="2" t="s">
        <v>4431</v>
      </c>
      <c r="BF219" s="3" t="str">
        <f>HYPERLINK("http://dx.doi.org/10.3390/w12010092","http://dx.doi.org/10.3390/w12010092")</f>
        <v>http://dx.doi.org/10.3390/w12010092</v>
      </c>
      <c r="BG219" s="2"/>
      <c r="BH219" s="2"/>
      <c r="BI219" s="2">
        <v>33.0</v>
      </c>
      <c r="BJ219" s="2" t="s">
        <v>559</v>
      </c>
      <c r="BK219" s="2" t="s">
        <v>226</v>
      </c>
      <c r="BL219" s="2" t="s">
        <v>560</v>
      </c>
      <c r="BM219" s="2" t="s">
        <v>4432</v>
      </c>
      <c r="BN219" s="2"/>
      <c r="BO219" s="2" t="s">
        <v>4433</v>
      </c>
      <c r="BP219" s="2"/>
      <c r="BQ219" s="2"/>
      <c r="BR219" s="2" t="s">
        <v>99</v>
      </c>
      <c r="BS219" s="2" t="s">
        <v>4434</v>
      </c>
      <c r="BT219" s="2" t="str">
        <f>HYPERLINK("https%3A%2F%2Fwww.webofscience.com%2Fwos%2Fwoscc%2Ffull-record%2FWOS:000519847200092","View Full Record in Web of Science")</f>
        <v>View Full Record in Web of Science</v>
      </c>
    </row>
    <row r="220" ht="64.5" customHeight="1">
      <c r="A220" s="2" t="s">
        <v>72</v>
      </c>
      <c r="B220" s="2" t="s">
        <v>4435</v>
      </c>
      <c r="C220" s="2"/>
      <c r="D220" s="2"/>
      <c r="E220" s="2"/>
      <c r="F220" s="2" t="s">
        <v>4436</v>
      </c>
      <c r="G220" s="2"/>
      <c r="H220" s="2"/>
      <c r="I220" s="2" t="s">
        <v>4437</v>
      </c>
      <c r="J220" s="2" t="s">
        <v>1429</v>
      </c>
      <c r="K220" s="2"/>
      <c r="L220" s="2"/>
      <c r="M220" s="2" t="s">
        <v>116</v>
      </c>
      <c r="N220" s="2" t="s">
        <v>78</v>
      </c>
      <c r="O220" s="2"/>
      <c r="P220" s="2"/>
      <c r="Q220" s="2"/>
      <c r="R220" s="2"/>
      <c r="S220" s="2"/>
      <c r="T220" s="2" t="s">
        <v>4438</v>
      </c>
      <c r="U220" s="2" t="s">
        <v>4439</v>
      </c>
      <c r="V220" s="2" t="s">
        <v>4440</v>
      </c>
      <c r="W220" s="2" t="s">
        <v>4441</v>
      </c>
      <c r="X220" s="2" t="s">
        <v>319</v>
      </c>
      <c r="Y220" s="2" t="s">
        <v>4442</v>
      </c>
      <c r="Z220" s="2" t="s">
        <v>4443</v>
      </c>
      <c r="AA220" s="2" t="s">
        <v>3874</v>
      </c>
      <c r="AB220" s="2" t="s">
        <v>3875</v>
      </c>
      <c r="AC220" s="2"/>
      <c r="AD220" s="2"/>
      <c r="AE220" s="2"/>
      <c r="AF220" s="2" t="s">
        <v>4444</v>
      </c>
      <c r="AG220" s="2">
        <v>78.0</v>
      </c>
      <c r="AH220" s="2">
        <v>29.0</v>
      </c>
      <c r="AI220" s="2">
        <v>31.0</v>
      </c>
      <c r="AJ220" s="2">
        <v>3.0</v>
      </c>
      <c r="AK220" s="2">
        <v>34.0</v>
      </c>
      <c r="AL220" s="2" t="s">
        <v>156</v>
      </c>
      <c r="AM220" s="2" t="s">
        <v>157</v>
      </c>
      <c r="AN220" s="2" t="s">
        <v>158</v>
      </c>
      <c r="AO220" s="2" t="s">
        <v>1442</v>
      </c>
      <c r="AP220" s="2" t="s">
        <v>1443</v>
      </c>
      <c r="AQ220" s="2"/>
      <c r="AR220" s="2" t="s">
        <v>1444</v>
      </c>
      <c r="AS220" s="2" t="s">
        <v>1445</v>
      </c>
      <c r="AT220" s="2" t="s">
        <v>252</v>
      </c>
      <c r="AU220" s="2">
        <v>2015.0</v>
      </c>
      <c r="AV220" s="2">
        <v>46.0</v>
      </c>
      <c r="AW220" s="2">
        <v>4.0</v>
      </c>
      <c r="AX220" s="2"/>
      <c r="AY220" s="2"/>
      <c r="AZ220" s="2"/>
      <c r="BA220" s="2"/>
      <c r="BB220" s="2">
        <v>251.0</v>
      </c>
      <c r="BC220" s="2">
        <v>270.0</v>
      </c>
      <c r="BD220" s="2"/>
      <c r="BE220" s="2" t="s">
        <v>4445</v>
      </c>
      <c r="BF220" s="3" t="str">
        <f>HYPERLINK("http://dx.doi.org/10.1080/00958964.2015.1050955","http://dx.doi.org/10.1080/00958964.2015.1050955")</f>
        <v>http://dx.doi.org/10.1080/00958964.2015.1050955</v>
      </c>
      <c r="BG220" s="2"/>
      <c r="BH220" s="2"/>
      <c r="BI220" s="2">
        <v>20.0</v>
      </c>
      <c r="BJ220" s="2" t="s">
        <v>165</v>
      </c>
      <c r="BK220" s="2" t="s">
        <v>166</v>
      </c>
      <c r="BL220" s="2" t="s">
        <v>167</v>
      </c>
      <c r="BM220" s="2" t="s">
        <v>4446</v>
      </c>
      <c r="BN220" s="2"/>
      <c r="BO220" s="2"/>
      <c r="BP220" s="2"/>
      <c r="BQ220" s="2"/>
      <c r="BR220" s="2" t="s">
        <v>99</v>
      </c>
      <c r="BS220" s="2" t="s">
        <v>4447</v>
      </c>
      <c r="BT220" s="2" t="str">
        <f>HYPERLINK("https%3A%2F%2Fwww.webofscience.com%2Fwos%2Fwoscc%2Ffull-record%2FWOS:000361368300003","View Full Record in Web of Science")</f>
        <v>View Full Record in Web of Science</v>
      </c>
    </row>
    <row r="221" ht="64.5" customHeight="1">
      <c r="A221" s="2" t="s">
        <v>72</v>
      </c>
      <c r="B221" s="2" t="s">
        <v>4448</v>
      </c>
      <c r="C221" s="2"/>
      <c r="D221" s="2"/>
      <c r="E221" s="2"/>
      <c r="F221" s="2" t="s">
        <v>4449</v>
      </c>
      <c r="G221" s="2"/>
      <c r="H221" s="2"/>
      <c r="I221" s="2" t="s">
        <v>4450</v>
      </c>
      <c r="J221" s="2" t="s">
        <v>4451</v>
      </c>
      <c r="K221" s="2"/>
      <c r="L221" s="2"/>
      <c r="M221" s="2" t="s">
        <v>116</v>
      </c>
      <c r="N221" s="2" t="s">
        <v>4280</v>
      </c>
      <c r="O221" s="2"/>
      <c r="P221" s="2"/>
      <c r="Q221" s="2"/>
      <c r="R221" s="2"/>
      <c r="S221" s="2"/>
      <c r="T221" s="4" t="s">
        <v>121</v>
      </c>
      <c r="U221" s="2"/>
      <c r="V221" s="2"/>
      <c r="W221" s="2"/>
      <c r="X221" s="2"/>
      <c r="Y221" s="2"/>
      <c r="Z221" s="2" t="s">
        <v>4452</v>
      </c>
      <c r="AA221" s="2"/>
      <c r="AB221" s="2"/>
      <c r="AC221" s="2"/>
      <c r="AD221" s="2"/>
      <c r="AE221" s="2"/>
      <c r="AF221" s="2"/>
      <c r="AG221" s="2">
        <v>0.0</v>
      </c>
      <c r="AH221" s="2">
        <v>0.0</v>
      </c>
      <c r="AI221" s="2">
        <v>0.0</v>
      </c>
      <c r="AJ221" s="2">
        <v>0.0</v>
      </c>
      <c r="AK221" s="2">
        <v>8.0</v>
      </c>
      <c r="AL221" s="2" t="s">
        <v>4453</v>
      </c>
      <c r="AM221" s="2" t="s">
        <v>130</v>
      </c>
      <c r="AN221" s="2" t="s">
        <v>4454</v>
      </c>
      <c r="AO221" s="2" t="s">
        <v>4455</v>
      </c>
      <c r="AP221" s="2" t="s">
        <v>4456</v>
      </c>
      <c r="AQ221" s="2"/>
      <c r="AR221" s="2" t="s">
        <v>4457</v>
      </c>
      <c r="AS221" s="2" t="s">
        <v>4458</v>
      </c>
      <c r="AT221" s="2" t="s">
        <v>292</v>
      </c>
      <c r="AU221" s="2">
        <v>2013.0</v>
      </c>
      <c r="AV221" s="2">
        <v>109.0</v>
      </c>
      <c r="AW221" s="2">
        <v>11.0</v>
      </c>
      <c r="AX221" s="2"/>
      <c r="AY221" s="2"/>
      <c r="AZ221" s="2"/>
      <c r="BA221" s="2"/>
      <c r="BB221" s="2">
        <v>3.0</v>
      </c>
      <c r="BC221" s="2">
        <v>3.0</v>
      </c>
      <c r="BD221" s="2"/>
      <c r="BE221" s="2"/>
      <c r="BF221" s="2"/>
      <c r="BG221" s="2"/>
      <c r="BH221" s="2"/>
      <c r="BI221" s="2">
        <v>1.0</v>
      </c>
      <c r="BJ221" s="2" t="s">
        <v>4459</v>
      </c>
      <c r="BK221" s="2" t="s">
        <v>226</v>
      </c>
      <c r="BL221" s="2" t="s">
        <v>1721</v>
      </c>
      <c r="BM221" s="2" t="s">
        <v>4460</v>
      </c>
      <c r="BN221" s="2"/>
      <c r="BO221" s="2"/>
      <c r="BP221" s="2"/>
      <c r="BQ221" s="2"/>
      <c r="BR221" s="2" t="s">
        <v>99</v>
      </c>
      <c r="BS221" s="2" t="s">
        <v>4461</v>
      </c>
      <c r="BT221" s="2" t="str">
        <f>HYPERLINK("https%3A%2F%2Fwww.webofscience.com%2Fwos%2Fwoscc%2Ffull-record%2FWOS:000327046600001","View Full Record in Web of Science")</f>
        <v>View Full Record in Web of Science</v>
      </c>
    </row>
    <row r="222" ht="64.5" customHeight="1">
      <c r="A222" s="2" t="s">
        <v>72</v>
      </c>
      <c r="B222" s="2" t="s">
        <v>4462</v>
      </c>
      <c r="C222" s="2"/>
      <c r="D222" s="2"/>
      <c r="E222" s="2"/>
      <c r="F222" s="2" t="s">
        <v>4463</v>
      </c>
      <c r="G222" s="2"/>
      <c r="H222" s="2"/>
      <c r="I222" s="2" t="s">
        <v>4464</v>
      </c>
      <c r="J222" s="2" t="s">
        <v>4465</v>
      </c>
      <c r="K222" s="2"/>
      <c r="L222" s="2"/>
      <c r="M222" s="2" t="s">
        <v>116</v>
      </c>
      <c r="N222" s="2" t="s">
        <v>78</v>
      </c>
      <c r="O222" s="2"/>
      <c r="P222" s="2"/>
      <c r="Q222" s="2"/>
      <c r="R222" s="2"/>
      <c r="S222" s="2"/>
      <c r="T222" s="2" t="s">
        <v>4466</v>
      </c>
      <c r="U222" s="2" t="s">
        <v>4467</v>
      </c>
      <c r="V222" s="2" t="s">
        <v>4468</v>
      </c>
      <c r="W222" s="2" t="s">
        <v>4469</v>
      </c>
      <c r="X222" s="2" t="s">
        <v>4470</v>
      </c>
      <c r="Y222" s="2" t="s">
        <v>4471</v>
      </c>
      <c r="Z222" s="2" t="s">
        <v>4472</v>
      </c>
      <c r="AA222" s="2" t="s">
        <v>4473</v>
      </c>
      <c r="AB222" s="2" t="s">
        <v>4474</v>
      </c>
      <c r="AC222" s="2" t="s">
        <v>4475</v>
      </c>
      <c r="AD222" s="2" t="s">
        <v>4476</v>
      </c>
      <c r="AE222" s="2" t="s">
        <v>4477</v>
      </c>
      <c r="AF222" s="2" t="s">
        <v>4478</v>
      </c>
      <c r="AG222" s="2">
        <v>81.0</v>
      </c>
      <c r="AH222" s="2">
        <v>80.0</v>
      </c>
      <c r="AI222" s="2">
        <v>81.0</v>
      </c>
      <c r="AJ222" s="2">
        <v>5.0</v>
      </c>
      <c r="AK222" s="2">
        <v>90.0</v>
      </c>
      <c r="AL222" s="2" t="s">
        <v>188</v>
      </c>
      <c r="AM222" s="2" t="s">
        <v>189</v>
      </c>
      <c r="AN222" s="2" t="s">
        <v>190</v>
      </c>
      <c r="AO222" s="2" t="s">
        <v>4479</v>
      </c>
      <c r="AP222" s="2" t="s">
        <v>4480</v>
      </c>
      <c r="AQ222" s="2"/>
      <c r="AR222" s="2" t="s">
        <v>4481</v>
      </c>
      <c r="AS222" s="2" t="s">
        <v>4482</v>
      </c>
      <c r="AT222" s="2" t="s">
        <v>844</v>
      </c>
      <c r="AU222" s="2">
        <v>2015.0</v>
      </c>
      <c r="AV222" s="2">
        <v>54.0</v>
      </c>
      <c r="AW222" s="2"/>
      <c r="AX222" s="2"/>
      <c r="AY222" s="2"/>
      <c r="AZ222" s="2"/>
      <c r="BA222" s="2"/>
      <c r="BB222" s="2">
        <v>304.0</v>
      </c>
      <c r="BC222" s="2">
        <v>315.0</v>
      </c>
      <c r="BD222" s="2"/>
      <c r="BE222" s="2" t="s">
        <v>4483</v>
      </c>
      <c r="BF222" s="3" t="str">
        <f>HYPERLINK("http://dx.doi.org/10.1016/j.envsci.2015.07.011","http://dx.doi.org/10.1016/j.envsci.2015.07.011")</f>
        <v>http://dx.doi.org/10.1016/j.envsci.2015.07.011</v>
      </c>
      <c r="BG222" s="2"/>
      <c r="BH222" s="2"/>
      <c r="BI222" s="2">
        <v>12.0</v>
      </c>
      <c r="BJ222" s="2" t="s">
        <v>1570</v>
      </c>
      <c r="BK222" s="2" t="s">
        <v>363</v>
      </c>
      <c r="BL222" s="2" t="s">
        <v>97</v>
      </c>
      <c r="BM222" s="2" t="s">
        <v>4484</v>
      </c>
      <c r="BN222" s="2"/>
      <c r="BO222" s="2"/>
      <c r="BP222" s="2"/>
      <c r="BQ222" s="2"/>
      <c r="BR222" s="2" t="s">
        <v>99</v>
      </c>
      <c r="BS222" s="2" t="s">
        <v>4485</v>
      </c>
      <c r="BT222" s="2" t="str">
        <f>HYPERLINK("https%3A%2F%2Fwww.webofscience.com%2Fwos%2Fwoscc%2Ffull-record%2FWOS:000362603400033","View Full Record in Web of Science")</f>
        <v>View Full Record in Web of Science</v>
      </c>
    </row>
    <row r="223" ht="64.5" customHeight="1">
      <c r="A223" s="2" t="s">
        <v>72</v>
      </c>
      <c r="B223" s="2" t="s">
        <v>4486</v>
      </c>
      <c r="C223" s="2"/>
      <c r="D223" s="2"/>
      <c r="E223" s="2"/>
      <c r="F223" s="2" t="s">
        <v>4487</v>
      </c>
      <c r="G223" s="2"/>
      <c r="H223" s="2"/>
      <c r="I223" s="2" t="s">
        <v>4488</v>
      </c>
      <c r="J223" s="2" t="s">
        <v>1576</v>
      </c>
      <c r="K223" s="2"/>
      <c r="L223" s="2"/>
      <c r="M223" s="2" t="s">
        <v>116</v>
      </c>
      <c r="N223" s="2" t="s">
        <v>78</v>
      </c>
      <c r="O223" s="2"/>
      <c r="P223" s="2"/>
      <c r="Q223" s="2"/>
      <c r="R223" s="2"/>
      <c r="S223" s="2"/>
      <c r="T223" s="2" t="s">
        <v>4489</v>
      </c>
      <c r="U223" s="2" t="s">
        <v>4490</v>
      </c>
      <c r="V223" s="2" t="s">
        <v>4491</v>
      </c>
      <c r="W223" s="2" t="s">
        <v>4492</v>
      </c>
      <c r="X223" s="2" t="s">
        <v>4493</v>
      </c>
      <c r="Y223" s="2" t="s">
        <v>4494</v>
      </c>
      <c r="Z223" s="2" t="s">
        <v>4495</v>
      </c>
      <c r="AA223" s="2" t="s">
        <v>4496</v>
      </c>
      <c r="AB223" s="2" t="s">
        <v>4497</v>
      </c>
      <c r="AC223" s="2"/>
      <c r="AD223" s="2"/>
      <c r="AE223" s="2"/>
      <c r="AF223" s="2" t="s">
        <v>4498</v>
      </c>
      <c r="AG223" s="2">
        <v>133.0</v>
      </c>
      <c r="AH223" s="2">
        <v>19.0</v>
      </c>
      <c r="AI223" s="2">
        <v>19.0</v>
      </c>
      <c r="AJ223" s="2">
        <v>6.0</v>
      </c>
      <c r="AK223" s="2">
        <v>28.0</v>
      </c>
      <c r="AL223" s="2" t="s">
        <v>383</v>
      </c>
      <c r="AM223" s="2" t="s">
        <v>384</v>
      </c>
      <c r="AN223" s="2" t="s">
        <v>385</v>
      </c>
      <c r="AO223" s="2"/>
      <c r="AP223" s="2" t="s">
        <v>1589</v>
      </c>
      <c r="AQ223" s="2"/>
      <c r="AR223" s="2" t="s">
        <v>1576</v>
      </c>
      <c r="AS223" s="2" t="s">
        <v>1590</v>
      </c>
      <c r="AT223" s="2" t="s">
        <v>1017</v>
      </c>
      <c r="AU223" s="2">
        <v>2022.0</v>
      </c>
      <c r="AV223" s="2">
        <v>15.0</v>
      </c>
      <c r="AW223" s="2">
        <v>3.0</v>
      </c>
      <c r="AX223" s="2"/>
      <c r="AY223" s="2"/>
      <c r="AZ223" s="2"/>
      <c r="BA223" s="2"/>
      <c r="BB223" s="2"/>
      <c r="BC223" s="2"/>
      <c r="BD223" s="2">
        <v>1118.0</v>
      </c>
      <c r="BE223" s="2" t="s">
        <v>4499</v>
      </c>
      <c r="BF223" s="3" t="str">
        <f>HYPERLINK("http://dx.doi.org/10.3390/en15031118","http://dx.doi.org/10.3390/en15031118")</f>
        <v>http://dx.doi.org/10.3390/en15031118</v>
      </c>
      <c r="BG223" s="2"/>
      <c r="BH223" s="2"/>
      <c r="BI223" s="2">
        <v>18.0</v>
      </c>
      <c r="BJ223" s="2" t="s">
        <v>1592</v>
      </c>
      <c r="BK223" s="2" t="s">
        <v>363</v>
      </c>
      <c r="BL223" s="2" t="s">
        <v>1592</v>
      </c>
      <c r="BM223" s="2" t="s">
        <v>4500</v>
      </c>
      <c r="BN223" s="2"/>
      <c r="BO223" s="2" t="s">
        <v>601</v>
      </c>
      <c r="BP223" s="2"/>
      <c r="BQ223" s="2"/>
      <c r="BR223" s="2" t="s">
        <v>99</v>
      </c>
      <c r="BS223" s="2" t="s">
        <v>4501</v>
      </c>
      <c r="BT223" s="2" t="str">
        <f>HYPERLINK("https%3A%2F%2Fwww.webofscience.com%2Fwos%2Fwoscc%2Ffull-record%2FWOS:000754867800001","View Full Record in Web of Science")</f>
        <v>View Full Record in Web of Science</v>
      </c>
    </row>
    <row r="224" ht="64.5" customHeight="1">
      <c r="A224" s="2" t="s">
        <v>110</v>
      </c>
      <c r="B224" s="2" t="s">
        <v>4502</v>
      </c>
      <c r="C224" s="2"/>
      <c r="D224" s="2"/>
      <c r="E224" s="2" t="s">
        <v>129</v>
      </c>
      <c r="F224" s="2" t="s">
        <v>4503</v>
      </c>
      <c r="G224" s="2"/>
      <c r="H224" s="2"/>
      <c r="I224" s="2" t="s">
        <v>4504</v>
      </c>
      <c r="J224" s="2" t="s">
        <v>1985</v>
      </c>
      <c r="K224" s="2" t="s">
        <v>115</v>
      </c>
      <c r="L224" s="2"/>
      <c r="M224" s="2" t="s">
        <v>116</v>
      </c>
      <c r="N224" s="2" t="s">
        <v>117</v>
      </c>
      <c r="O224" s="2" t="s">
        <v>1986</v>
      </c>
      <c r="P224" s="2" t="s">
        <v>1987</v>
      </c>
      <c r="Q224" s="2" t="s">
        <v>1988</v>
      </c>
      <c r="R224" s="2"/>
      <c r="S224" s="2"/>
      <c r="T224" s="4" t="s">
        <v>121</v>
      </c>
      <c r="U224" s="2"/>
      <c r="V224" s="2" t="s">
        <v>4505</v>
      </c>
      <c r="W224" s="2" t="s">
        <v>4506</v>
      </c>
      <c r="X224" s="2" t="s">
        <v>4507</v>
      </c>
      <c r="Y224" s="2" t="s">
        <v>4508</v>
      </c>
      <c r="Z224" s="2"/>
      <c r="AA224" s="2"/>
      <c r="AB224" s="2"/>
      <c r="AC224" s="2"/>
      <c r="AD224" s="2"/>
      <c r="AE224" s="2"/>
      <c r="AF224" s="2" t="s">
        <v>4509</v>
      </c>
      <c r="AG224" s="2">
        <v>14.0</v>
      </c>
      <c r="AH224" s="2">
        <v>0.0</v>
      </c>
      <c r="AI224" s="2">
        <v>0.0</v>
      </c>
      <c r="AJ224" s="2">
        <v>0.0</v>
      </c>
      <c r="AK224" s="2">
        <v>6.0</v>
      </c>
      <c r="AL224" s="2" t="s">
        <v>129</v>
      </c>
      <c r="AM224" s="2" t="s">
        <v>130</v>
      </c>
      <c r="AN224" s="2" t="s">
        <v>131</v>
      </c>
      <c r="AO224" s="2" t="s">
        <v>132</v>
      </c>
      <c r="AP224" s="2"/>
      <c r="AQ224" s="2" t="s">
        <v>1997</v>
      </c>
      <c r="AR224" s="2" t="s">
        <v>115</v>
      </c>
      <c r="AS224" s="2"/>
      <c r="AT224" s="2"/>
      <c r="AU224" s="2">
        <v>2007.0</v>
      </c>
      <c r="AV224" s="2"/>
      <c r="AW224" s="2"/>
      <c r="AX224" s="2"/>
      <c r="AY224" s="2"/>
      <c r="AZ224" s="2"/>
      <c r="BA224" s="2"/>
      <c r="BB224" s="2">
        <v>1505.0</v>
      </c>
      <c r="BC224" s="2" t="s">
        <v>1458</v>
      </c>
      <c r="BD224" s="2"/>
      <c r="BE224" s="2"/>
      <c r="BF224" s="2"/>
      <c r="BG224" s="2"/>
      <c r="BH224" s="2"/>
      <c r="BI224" s="2">
        <v>2.0</v>
      </c>
      <c r="BJ224" s="2" t="s">
        <v>1998</v>
      </c>
      <c r="BK224" s="2" t="s">
        <v>135</v>
      </c>
      <c r="BL224" s="2" t="s">
        <v>1999</v>
      </c>
      <c r="BM224" s="2" t="s">
        <v>2000</v>
      </c>
      <c r="BN224" s="2"/>
      <c r="BO224" s="2"/>
      <c r="BP224" s="2"/>
      <c r="BQ224" s="2"/>
      <c r="BR224" s="2" t="s">
        <v>99</v>
      </c>
      <c r="BS224" s="2" t="s">
        <v>4510</v>
      </c>
      <c r="BT224" s="2" t="str">
        <f>HYPERLINK("https%3A%2F%2Fwww.webofscience.com%2Fwos%2Fwoscc%2Ffull-record%2FWOS:000256526301035","View Full Record in Web of Science")</f>
        <v>View Full Record in Web of Science</v>
      </c>
    </row>
    <row r="225" ht="64.5" customHeight="1">
      <c r="A225" s="2" t="s">
        <v>72</v>
      </c>
      <c r="B225" s="2" t="s">
        <v>4511</v>
      </c>
      <c r="C225" s="2"/>
      <c r="D225" s="2"/>
      <c r="E225" s="2"/>
      <c r="F225" s="2" t="s">
        <v>4512</v>
      </c>
      <c r="G225" s="2"/>
      <c r="H225" s="2"/>
      <c r="I225" s="2" t="s">
        <v>4513</v>
      </c>
      <c r="J225" s="2" t="s">
        <v>370</v>
      </c>
      <c r="K225" s="2"/>
      <c r="L225" s="2"/>
      <c r="M225" s="2" t="s">
        <v>116</v>
      </c>
      <c r="N225" s="2" t="s">
        <v>78</v>
      </c>
      <c r="O225" s="2"/>
      <c r="P225" s="2"/>
      <c r="Q225" s="2"/>
      <c r="R225" s="2"/>
      <c r="S225" s="2"/>
      <c r="T225" s="2" t="s">
        <v>4514</v>
      </c>
      <c r="U225" s="2"/>
      <c r="V225" s="2" t="s">
        <v>4515</v>
      </c>
      <c r="W225" s="2" t="s">
        <v>4516</v>
      </c>
      <c r="X225" s="2" t="s">
        <v>4517</v>
      </c>
      <c r="Y225" s="2" t="s">
        <v>4518</v>
      </c>
      <c r="Z225" s="2" t="s">
        <v>4519</v>
      </c>
      <c r="AA225" s="2" t="s">
        <v>4520</v>
      </c>
      <c r="AB225" s="2" t="s">
        <v>4521</v>
      </c>
      <c r="AC225" s="2"/>
      <c r="AD225" s="2"/>
      <c r="AE225" s="2"/>
      <c r="AF225" s="2" t="s">
        <v>4522</v>
      </c>
      <c r="AG225" s="2">
        <v>26.0</v>
      </c>
      <c r="AH225" s="2">
        <v>1.0</v>
      </c>
      <c r="AI225" s="2">
        <v>1.0</v>
      </c>
      <c r="AJ225" s="2">
        <v>2.0</v>
      </c>
      <c r="AK225" s="2">
        <v>11.0</v>
      </c>
      <c r="AL225" s="2" t="s">
        <v>383</v>
      </c>
      <c r="AM225" s="2" t="s">
        <v>384</v>
      </c>
      <c r="AN225" s="2" t="s">
        <v>385</v>
      </c>
      <c r="AO225" s="2"/>
      <c r="AP225" s="2" t="s">
        <v>386</v>
      </c>
      <c r="AQ225" s="2"/>
      <c r="AR225" s="2" t="s">
        <v>387</v>
      </c>
      <c r="AS225" s="2" t="s">
        <v>388</v>
      </c>
      <c r="AT225" s="2" t="s">
        <v>453</v>
      </c>
      <c r="AU225" s="2">
        <v>2022.0</v>
      </c>
      <c r="AV225" s="2">
        <v>14.0</v>
      </c>
      <c r="AW225" s="2">
        <v>2.0</v>
      </c>
      <c r="AX225" s="2"/>
      <c r="AY225" s="2"/>
      <c r="AZ225" s="2"/>
      <c r="BA225" s="2"/>
      <c r="BB225" s="2"/>
      <c r="BC225" s="2"/>
      <c r="BD225" s="2">
        <v>926.0</v>
      </c>
      <c r="BE225" s="2" t="s">
        <v>4523</v>
      </c>
      <c r="BF225" s="3" t="str">
        <f>HYPERLINK("http://dx.doi.org/10.3390/su14020926","http://dx.doi.org/10.3390/su14020926")</f>
        <v>http://dx.doi.org/10.3390/su14020926</v>
      </c>
      <c r="BG225" s="2"/>
      <c r="BH225" s="2"/>
      <c r="BI225" s="2">
        <v>11.0</v>
      </c>
      <c r="BJ225" s="2" t="s">
        <v>390</v>
      </c>
      <c r="BK225" s="2" t="s">
        <v>363</v>
      </c>
      <c r="BL225" s="2" t="s">
        <v>391</v>
      </c>
      <c r="BM225" s="2" t="s">
        <v>4524</v>
      </c>
      <c r="BN225" s="2"/>
      <c r="BO225" s="2" t="s">
        <v>272</v>
      </c>
      <c r="BP225" s="2"/>
      <c r="BQ225" s="2"/>
      <c r="BR225" s="2" t="s">
        <v>99</v>
      </c>
      <c r="BS225" s="2" t="s">
        <v>4525</v>
      </c>
      <c r="BT225" s="2" t="str">
        <f>HYPERLINK("https%3A%2F%2Fwww.webofscience.com%2Fwos%2Fwoscc%2Ffull-record%2FWOS:000748107100001","View Full Record in Web of Science")</f>
        <v>View Full Record in Web of Science</v>
      </c>
    </row>
    <row r="226" ht="64.5" customHeight="1">
      <c r="A226" s="2" t="s">
        <v>72</v>
      </c>
      <c r="B226" s="2" t="s">
        <v>4526</v>
      </c>
      <c r="C226" s="2"/>
      <c r="D226" s="2"/>
      <c r="E226" s="2"/>
      <c r="F226" s="2" t="s">
        <v>4527</v>
      </c>
      <c r="G226" s="2"/>
      <c r="H226" s="2"/>
      <c r="I226" s="2" t="s">
        <v>4528</v>
      </c>
      <c r="J226" s="2" t="s">
        <v>4529</v>
      </c>
      <c r="K226" s="2"/>
      <c r="L226" s="2"/>
      <c r="M226" s="2" t="s">
        <v>116</v>
      </c>
      <c r="N226" s="2" t="s">
        <v>78</v>
      </c>
      <c r="O226" s="2"/>
      <c r="P226" s="2"/>
      <c r="Q226" s="2"/>
      <c r="R226" s="2"/>
      <c r="S226" s="2"/>
      <c r="T226" s="2" t="s">
        <v>4530</v>
      </c>
      <c r="U226" s="2" t="s">
        <v>4531</v>
      </c>
      <c r="V226" s="2" t="s">
        <v>4532</v>
      </c>
      <c r="W226" s="2" t="s">
        <v>4533</v>
      </c>
      <c r="X226" s="2" t="s">
        <v>4534</v>
      </c>
      <c r="Y226" s="2" t="s">
        <v>4535</v>
      </c>
      <c r="Z226" s="2" t="s">
        <v>1666</v>
      </c>
      <c r="AA226" s="2" t="s">
        <v>1667</v>
      </c>
      <c r="AB226" s="2" t="s">
        <v>4536</v>
      </c>
      <c r="AC226" s="2" t="s">
        <v>4207</v>
      </c>
      <c r="AD226" s="2" t="s">
        <v>4208</v>
      </c>
      <c r="AE226" s="2" t="s">
        <v>4537</v>
      </c>
      <c r="AF226" s="2" t="s">
        <v>4538</v>
      </c>
      <c r="AG226" s="2">
        <v>56.0</v>
      </c>
      <c r="AH226" s="2">
        <v>11.0</v>
      </c>
      <c r="AI226" s="2">
        <v>11.0</v>
      </c>
      <c r="AJ226" s="2">
        <v>2.0</v>
      </c>
      <c r="AK226" s="2">
        <v>15.0</v>
      </c>
      <c r="AL226" s="2" t="s">
        <v>4539</v>
      </c>
      <c r="AM226" s="2" t="s">
        <v>4540</v>
      </c>
      <c r="AN226" s="2" t="s">
        <v>4541</v>
      </c>
      <c r="AO226" s="2"/>
      <c r="AP226" s="2" t="s">
        <v>4542</v>
      </c>
      <c r="AQ226" s="2"/>
      <c r="AR226" s="2" t="s">
        <v>4543</v>
      </c>
      <c r="AS226" s="2" t="s">
        <v>4544</v>
      </c>
      <c r="AT226" s="2"/>
      <c r="AU226" s="2">
        <v>2021.0</v>
      </c>
      <c r="AV226" s="2">
        <v>69.0</v>
      </c>
      <c r="AW226" s="2"/>
      <c r="AX226" s="2"/>
      <c r="AY226" s="2">
        <v>1.0</v>
      </c>
      <c r="AZ226" s="2"/>
      <c r="BA226" s="2"/>
      <c r="BB226" s="2"/>
      <c r="BC226" s="2"/>
      <c r="BD226" s="2"/>
      <c r="BE226" s="2" t="s">
        <v>4545</v>
      </c>
      <c r="BF226" s="3" t="str">
        <f>HYPERLINK("http://dx.doi.org/10.1590/2675-2824069.21008cep","http://dx.doi.org/10.1590/2675-2824069.21008cep")</f>
        <v>http://dx.doi.org/10.1590/2675-2824069.21008cep</v>
      </c>
      <c r="BG226" s="2"/>
      <c r="BH226" s="2"/>
      <c r="BI226" s="2">
        <v>14.0</v>
      </c>
      <c r="BJ226" s="2" t="s">
        <v>4546</v>
      </c>
      <c r="BK226" s="2" t="s">
        <v>363</v>
      </c>
      <c r="BL226" s="2" t="s">
        <v>4546</v>
      </c>
      <c r="BM226" s="2" t="s">
        <v>4547</v>
      </c>
      <c r="BN226" s="2"/>
      <c r="BO226" s="2" t="s">
        <v>255</v>
      </c>
      <c r="BP226" s="2"/>
      <c r="BQ226" s="2"/>
      <c r="BR226" s="2" t="s">
        <v>99</v>
      </c>
      <c r="BS226" s="2" t="s">
        <v>4548</v>
      </c>
      <c r="BT226" s="2" t="str">
        <f>HYPERLINK("https%3A%2F%2Fwww.webofscience.com%2Fwos%2Fwoscc%2Ffull-record%2FWOS:000754604000002","View Full Record in Web of Science")</f>
        <v>View Full Record in Web of Science</v>
      </c>
    </row>
    <row r="227" ht="64.5" customHeight="1">
      <c r="A227" s="2" t="s">
        <v>72</v>
      </c>
      <c r="B227" s="2" t="s">
        <v>4549</v>
      </c>
      <c r="C227" s="2"/>
      <c r="D227" s="2"/>
      <c r="E227" s="2"/>
      <c r="F227" s="2" t="s">
        <v>4550</v>
      </c>
      <c r="G227" s="2"/>
      <c r="H227" s="2"/>
      <c r="I227" s="2" t="s">
        <v>4551</v>
      </c>
      <c r="J227" s="2" t="s">
        <v>4552</v>
      </c>
      <c r="K227" s="2"/>
      <c r="L227" s="2"/>
      <c r="M227" s="2" t="s">
        <v>116</v>
      </c>
      <c r="N227" s="2" t="s">
        <v>78</v>
      </c>
      <c r="O227" s="2"/>
      <c r="P227" s="2"/>
      <c r="Q227" s="2"/>
      <c r="R227" s="2"/>
      <c r="S227" s="2"/>
      <c r="T227" s="2" t="s">
        <v>4553</v>
      </c>
      <c r="U227" s="2" t="s">
        <v>4554</v>
      </c>
      <c r="V227" s="2" t="s">
        <v>4555</v>
      </c>
      <c r="W227" s="2" t="s">
        <v>4556</v>
      </c>
      <c r="X227" s="2" t="s">
        <v>4557</v>
      </c>
      <c r="Y227" s="2" t="s">
        <v>4558</v>
      </c>
      <c r="Z227" s="2" t="s">
        <v>4559</v>
      </c>
      <c r="AA227" s="2" t="s">
        <v>4560</v>
      </c>
      <c r="AB227" s="2" t="s">
        <v>4561</v>
      </c>
      <c r="AC227" s="2" t="s">
        <v>4562</v>
      </c>
      <c r="AD227" s="2" t="s">
        <v>4563</v>
      </c>
      <c r="AE227" s="2" t="s">
        <v>4564</v>
      </c>
      <c r="AF227" s="2" t="s">
        <v>4565</v>
      </c>
      <c r="AG227" s="2">
        <v>105.0</v>
      </c>
      <c r="AH227" s="2">
        <v>0.0</v>
      </c>
      <c r="AI227" s="2">
        <v>0.0</v>
      </c>
      <c r="AJ227" s="2">
        <v>0.0</v>
      </c>
      <c r="AK227" s="2">
        <v>0.0</v>
      </c>
      <c r="AL227" s="2" t="s">
        <v>932</v>
      </c>
      <c r="AM227" s="2" t="s">
        <v>933</v>
      </c>
      <c r="AN227" s="2" t="s">
        <v>934</v>
      </c>
      <c r="AO227" s="2" t="s">
        <v>4566</v>
      </c>
      <c r="AP227" s="2" t="s">
        <v>4567</v>
      </c>
      <c r="AQ227" s="2"/>
      <c r="AR227" s="2" t="s">
        <v>4568</v>
      </c>
      <c r="AS227" s="2" t="s">
        <v>4569</v>
      </c>
      <c r="AT227" s="2" t="s">
        <v>844</v>
      </c>
      <c r="AU227" s="2">
        <v>2023.0</v>
      </c>
      <c r="AV227" s="2">
        <v>31.0</v>
      </c>
      <c r="AW227" s="2">
        <v>4.0</v>
      </c>
      <c r="AX227" s="2"/>
      <c r="AY227" s="2"/>
      <c r="AZ227" s="2"/>
      <c r="BA227" s="2"/>
      <c r="BB227" s="2">
        <v>941.0</v>
      </c>
      <c r="BC227" s="2">
        <v>975.0</v>
      </c>
      <c r="BD227" s="2"/>
      <c r="BE227" s="2" t="s">
        <v>4570</v>
      </c>
      <c r="BF227" s="3" t="str">
        <f>HYPERLINK("http://dx.doi.org/10.1163/15718182-3104000","http://dx.doi.org/10.1163/15718182-3104000")</f>
        <v>http://dx.doi.org/10.1163/15718182-3104000</v>
      </c>
      <c r="BG227" s="2"/>
      <c r="BH227" s="2"/>
      <c r="BI227" s="2">
        <v>35.0</v>
      </c>
      <c r="BJ227" s="2" t="s">
        <v>475</v>
      </c>
      <c r="BK227" s="2" t="s">
        <v>96</v>
      </c>
      <c r="BL227" s="2" t="s">
        <v>476</v>
      </c>
      <c r="BM227" s="2" t="s">
        <v>4571</v>
      </c>
      <c r="BN227" s="2"/>
      <c r="BO227" s="2" t="s">
        <v>1231</v>
      </c>
      <c r="BP227" s="2"/>
      <c r="BQ227" s="2"/>
      <c r="BR227" s="2" t="s">
        <v>99</v>
      </c>
      <c r="BS227" s="2" t="s">
        <v>4572</v>
      </c>
      <c r="BT227" s="2" t="str">
        <f>HYPERLINK("https%3A%2F%2Fwww.webofscience.com%2Fwos%2Fwoscc%2Ffull-record%2FWOS:001145836800002","View Full Record in Web of Science")</f>
        <v>View Full Record in Web of Science</v>
      </c>
    </row>
    <row r="228" ht="64.5" customHeight="1">
      <c r="A228" s="2" t="s">
        <v>72</v>
      </c>
      <c r="B228" s="2" t="s">
        <v>4573</v>
      </c>
      <c r="C228" s="2"/>
      <c r="D228" s="2"/>
      <c r="E228" s="2"/>
      <c r="F228" s="2" t="s">
        <v>4574</v>
      </c>
      <c r="G228" s="2"/>
      <c r="H228" s="2"/>
      <c r="I228" s="2" t="s">
        <v>4575</v>
      </c>
      <c r="J228" s="2" t="s">
        <v>4576</v>
      </c>
      <c r="K228" s="2"/>
      <c r="L228" s="2"/>
      <c r="M228" s="2" t="s">
        <v>116</v>
      </c>
      <c r="N228" s="2" t="s">
        <v>4280</v>
      </c>
      <c r="O228" s="2"/>
      <c r="P228" s="2"/>
      <c r="Q228" s="2"/>
      <c r="R228" s="2"/>
      <c r="S228" s="2"/>
      <c r="T228" s="4" t="s">
        <v>121</v>
      </c>
      <c r="U228" s="2"/>
      <c r="V228" s="2"/>
      <c r="W228" s="2" t="s">
        <v>4577</v>
      </c>
      <c r="X228" s="2"/>
      <c r="Y228" s="2" t="s">
        <v>4578</v>
      </c>
      <c r="Z228" s="2" t="s">
        <v>4579</v>
      </c>
      <c r="AA228" s="2"/>
      <c r="AB228" s="2"/>
      <c r="AC228" s="2"/>
      <c r="AD228" s="2"/>
      <c r="AE228" s="2"/>
      <c r="AF228" s="2"/>
      <c r="AG228" s="2">
        <v>0.0</v>
      </c>
      <c r="AH228" s="2">
        <v>1.0</v>
      </c>
      <c r="AI228" s="2">
        <v>1.0</v>
      </c>
      <c r="AJ228" s="2">
        <v>0.0</v>
      </c>
      <c r="AK228" s="2">
        <v>10.0</v>
      </c>
      <c r="AL228" s="2" t="s">
        <v>4580</v>
      </c>
      <c r="AM228" s="2" t="s">
        <v>4581</v>
      </c>
      <c r="AN228" s="2" t="s">
        <v>4582</v>
      </c>
      <c r="AO228" s="2" t="s">
        <v>4583</v>
      </c>
      <c r="AP228" s="2"/>
      <c r="AQ228" s="2"/>
      <c r="AR228" s="2" t="s">
        <v>4576</v>
      </c>
      <c r="AS228" s="2" t="s">
        <v>4584</v>
      </c>
      <c r="AT228" s="2" t="s">
        <v>358</v>
      </c>
      <c r="AU228" s="2">
        <v>2007.0</v>
      </c>
      <c r="AV228" s="2">
        <v>20.0</v>
      </c>
      <c r="AW228" s="2">
        <v>1.0</v>
      </c>
      <c r="AX228" s="2"/>
      <c r="AY228" s="2"/>
      <c r="AZ228" s="2"/>
      <c r="BA228" s="2"/>
      <c r="BB228" s="2">
        <v>198.0</v>
      </c>
      <c r="BC228" s="2">
        <v>199.0</v>
      </c>
      <c r="BD228" s="2"/>
      <c r="BE228" s="2" t="s">
        <v>4585</v>
      </c>
      <c r="BF228" s="3" t="str">
        <f>HYPERLINK("http://dx.doi.org/10.5670/oceanog.2007.96","http://dx.doi.org/10.5670/oceanog.2007.96")</f>
        <v>http://dx.doi.org/10.5670/oceanog.2007.96</v>
      </c>
      <c r="BG228" s="2"/>
      <c r="BH228" s="2"/>
      <c r="BI228" s="2">
        <v>2.0</v>
      </c>
      <c r="BJ228" s="2" t="s">
        <v>4584</v>
      </c>
      <c r="BK228" s="2" t="s">
        <v>226</v>
      </c>
      <c r="BL228" s="2" t="s">
        <v>4584</v>
      </c>
      <c r="BM228" s="2" t="s">
        <v>4586</v>
      </c>
      <c r="BN228" s="2"/>
      <c r="BO228" s="2" t="s">
        <v>2100</v>
      </c>
      <c r="BP228" s="2"/>
      <c r="BQ228" s="2"/>
      <c r="BR228" s="2" t="s">
        <v>99</v>
      </c>
      <c r="BS228" s="2" t="s">
        <v>4587</v>
      </c>
      <c r="BT228" s="2" t="str">
        <f>HYPERLINK("https%3A%2F%2Fwww.webofscience.com%2Fwos%2Fwoscc%2Ffull-record%2FWOS:000261589600025","View Full Record in Web of Science")</f>
        <v>View Full Record in Web of Science</v>
      </c>
    </row>
    <row r="229" ht="64.5" customHeight="1">
      <c r="A229" s="2" t="s">
        <v>72</v>
      </c>
      <c r="B229" s="2" t="s">
        <v>4588</v>
      </c>
      <c r="C229" s="2"/>
      <c r="D229" s="2"/>
      <c r="E229" s="2"/>
      <c r="F229" s="2" t="s">
        <v>4588</v>
      </c>
      <c r="G229" s="2"/>
      <c r="H229" s="2"/>
      <c r="I229" s="2" t="s">
        <v>4589</v>
      </c>
      <c r="J229" s="2" t="s">
        <v>1823</v>
      </c>
      <c r="K229" s="2"/>
      <c r="L229" s="2"/>
      <c r="M229" s="2" t="s">
        <v>116</v>
      </c>
      <c r="N229" s="2" t="s">
        <v>78</v>
      </c>
      <c r="O229" s="2"/>
      <c r="P229" s="2"/>
      <c r="Q229" s="2"/>
      <c r="R229" s="2"/>
      <c r="S229" s="2"/>
      <c r="T229" s="4" t="s">
        <v>121</v>
      </c>
      <c r="U229" s="2" t="s">
        <v>4590</v>
      </c>
      <c r="V229" s="2" t="s">
        <v>4591</v>
      </c>
      <c r="W229" s="2" t="s">
        <v>4592</v>
      </c>
      <c r="X229" s="2" t="s">
        <v>4593</v>
      </c>
      <c r="Y229" s="2" t="s">
        <v>4594</v>
      </c>
      <c r="Z229" s="2" t="s">
        <v>4595</v>
      </c>
      <c r="AA229" s="2"/>
      <c r="AB229" s="2"/>
      <c r="AC229" s="2"/>
      <c r="AD229" s="2"/>
      <c r="AE229" s="2"/>
      <c r="AF229" s="2" t="s">
        <v>4596</v>
      </c>
      <c r="AG229" s="2">
        <v>40.0</v>
      </c>
      <c r="AH229" s="2">
        <v>162.0</v>
      </c>
      <c r="AI229" s="2">
        <v>183.0</v>
      </c>
      <c r="AJ229" s="2">
        <v>1.0</v>
      </c>
      <c r="AK229" s="2">
        <v>50.0</v>
      </c>
      <c r="AL229" s="2" t="s">
        <v>188</v>
      </c>
      <c r="AM229" s="2" t="s">
        <v>189</v>
      </c>
      <c r="AN229" s="2" t="s">
        <v>190</v>
      </c>
      <c r="AO229" s="2" t="s">
        <v>1836</v>
      </c>
      <c r="AP229" s="2" t="s">
        <v>1837</v>
      </c>
      <c r="AQ229" s="2"/>
      <c r="AR229" s="2" t="s">
        <v>1838</v>
      </c>
      <c r="AS229" s="2" t="s">
        <v>1839</v>
      </c>
      <c r="AT229" s="2"/>
      <c r="AU229" s="2">
        <v>2005.0</v>
      </c>
      <c r="AV229" s="2">
        <v>48.0</v>
      </c>
      <c r="AW229" s="2">
        <v>2.0</v>
      </c>
      <c r="AX229" s="2"/>
      <c r="AY229" s="2"/>
      <c r="AZ229" s="2"/>
      <c r="BA229" s="2"/>
      <c r="BB229" s="2">
        <v>97.0</v>
      </c>
      <c r="BC229" s="2">
        <v>114.0</v>
      </c>
      <c r="BD229" s="2"/>
      <c r="BE229" s="2" t="s">
        <v>4597</v>
      </c>
      <c r="BF229" s="3" t="str">
        <f>HYPERLINK("http://dx.doi.org/10.1016/j.ocecoaman.2005.01.002","http://dx.doi.org/10.1016/j.ocecoaman.2005.01.002")</f>
        <v>http://dx.doi.org/10.1016/j.ocecoaman.2005.01.002</v>
      </c>
      <c r="BG229" s="2"/>
      <c r="BH229" s="2"/>
      <c r="BI229" s="2">
        <v>18.0</v>
      </c>
      <c r="BJ229" s="2" t="s">
        <v>1842</v>
      </c>
      <c r="BK229" s="2" t="s">
        <v>363</v>
      </c>
      <c r="BL229" s="2" t="s">
        <v>1842</v>
      </c>
      <c r="BM229" s="2" t="s">
        <v>4598</v>
      </c>
      <c r="BN229" s="2"/>
      <c r="BO229" s="2"/>
      <c r="BP229" s="2"/>
      <c r="BQ229" s="2"/>
      <c r="BR229" s="2" t="s">
        <v>99</v>
      </c>
      <c r="BS229" s="2" t="s">
        <v>4599</v>
      </c>
      <c r="BT229" s="2" t="str">
        <f>HYPERLINK("https%3A%2F%2Fwww.webofscience.com%2Fwos%2Fwoscc%2Ffull-record%2FWOS:000229921700001","View Full Record in Web of Science")</f>
        <v>View Full Record in Web of Science</v>
      </c>
    </row>
    <row r="230" ht="64.5" customHeight="1">
      <c r="A230" s="2" t="s">
        <v>72</v>
      </c>
      <c r="B230" s="2" t="s">
        <v>4600</v>
      </c>
      <c r="C230" s="2"/>
      <c r="D230" s="2"/>
      <c r="E230" s="2"/>
      <c r="F230" s="2" t="s">
        <v>4601</v>
      </c>
      <c r="G230" s="2"/>
      <c r="H230" s="2"/>
      <c r="I230" s="2" t="s">
        <v>4602</v>
      </c>
      <c r="J230" s="2" t="s">
        <v>4576</v>
      </c>
      <c r="K230" s="2"/>
      <c r="L230" s="2"/>
      <c r="M230" s="2" t="s">
        <v>116</v>
      </c>
      <c r="N230" s="2" t="s">
        <v>4280</v>
      </c>
      <c r="O230" s="2"/>
      <c r="P230" s="2"/>
      <c r="Q230" s="2"/>
      <c r="R230" s="2"/>
      <c r="S230" s="2"/>
      <c r="T230" s="4" t="s">
        <v>121</v>
      </c>
      <c r="U230" s="2"/>
      <c r="V230" s="2"/>
      <c r="W230" s="2" t="s">
        <v>4603</v>
      </c>
      <c r="X230" s="2" t="s">
        <v>4604</v>
      </c>
      <c r="Y230" s="2" t="s">
        <v>4605</v>
      </c>
      <c r="Z230" s="2" t="s">
        <v>4606</v>
      </c>
      <c r="AA230" s="2" t="s">
        <v>4607</v>
      </c>
      <c r="AB230" s="2"/>
      <c r="AC230" s="2"/>
      <c r="AD230" s="2"/>
      <c r="AE230" s="2"/>
      <c r="AF230" s="2" t="s">
        <v>4608</v>
      </c>
      <c r="AG230" s="2">
        <v>10.0</v>
      </c>
      <c r="AH230" s="2">
        <v>11.0</v>
      </c>
      <c r="AI230" s="2">
        <v>12.0</v>
      </c>
      <c r="AJ230" s="2">
        <v>0.0</v>
      </c>
      <c r="AK230" s="2">
        <v>6.0</v>
      </c>
      <c r="AL230" s="2" t="s">
        <v>4580</v>
      </c>
      <c r="AM230" s="2" t="s">
        <v>4581</v>
      </c>
      <c r="AN230" s="2" t="s">
        <v>4582</v>
      </c>
      <c r="AO230" s="2" t="s">
        <v>4583</v>
      </c>
      <c r="AP230" s="2"/>
      <c r="AQ230" s="2"/>
      <c r="AR230" s="2" t="s">
        <v>4576</v>
      </c>
      <c r="AS230" s="2" t="s">
        <v>4584</v>
      </c>
      <c r="AT230" s="2" t="s">
        <v>938</v>
      </c>
      <c r="AU230" s="2">
        <v>2009.0</v>
      </c>
      <c r="AV230" s="2">
        <v>22.0</v>
      </c>
      <c r="AW230" s="2">
        <v>2.0</v>
      </c>
      <c r="AX230" s="2"/>
      <c r="AY230" s="2"/>
      <c r="AZ230" s="2"/>
      <c r="BA230" s="2"/>
      <c r="BB230" s="2">
        <v>12.0</v>
      </c>
      <c r="BC230" s="2">
        <v>13.0</v>
      </c>
      <c r="BD230" s="2"/>
      <c r="BE230" s="2" t="s">
        <v>4609</v>
      </c>
      <c r="BF230" s="3" t="str">
        <f>HYPERLINK("http://dx.doi.org/10.5670/oceanog.2009.55","http://dx.doi.org/10.5670/oceanog.2009.55")</f>
        <v>http://dx.doi.org/10.5670/oceanog.2009.55</v>
      </c>
      <c r="BG230" s="2"/>
      <c r="BH230" s="2"/>
      <c r="BI230" s="2">
        <v>2.0</v>
      </c>
      <c r="BJ230" s="2" t="s">
        <v>4584</v>
      </c>
      <c r="BK230" s="2" t="s">
        <v>226</v>
      </c>
      <c r="BL230" s="2" t="s">
        <v>4584</v>
      </c>
      <c r="BM230" s="2" t="s">
        <v>4610</v>
      </c>
      <c r="BN230" s="2"/>
      <c r="BO230" s="2" t="s">
        <v>2100</v>
      </c>
      <c r="BP230" s="2"/>
      <c r="BQ230" s="2"/>
      <c r="BR230" s="2" t="s">
        <v>99</v>
      </c>
      <c r="BS230" s="2" t="s">
        <v>4611</v>
      </c>
      <c r="BT230" s="2" t="str">
        <f>HYPERLINK("https%3A%2F%2Fwww.webofscience.com%2Fwos%2Fwoscc%2Ffull-record%2FWOS:000266964200003","View Full Record in Web of Science")</f>
        <v>View Full Record in Web of Science</v>
      </c>
    </row>
    <row r="231" ht="64.5" customHeight="1">
      <c r="A231" s="2" t="s">
        <v>72</v>
      </c>
      <c r="B231" s="2" t="s">
        <v>4612</v>
      </c>
      <c r="C231" s="2"/>
      <c r="D231" s="2"/>
      <c r="E231" s="2"/>
      <c r="F231" s="2" t="s">
        <v>4613</v>
      </c>
      <c r="G231" s="2"/>
      <c r="H231" s="2"/>
      <c r="I231" s="2" t="s">
        <v>4614</v>
      </c>
      <c r="J231" s="2" t="s">
        <v>4615</v>
      </c>
      <c r="K231" s="2"/>
      <c r="L231" s="2"/>
      <c r="M231" s="2" t="s">
        <v>116</v>
      </c>
      <c r="N231" s="2" t="s">
        <v>52</v>
      </c>
      <c r="O231" s="2"/>
      <c r="P231" s="2"/>
      <c r="Q231" s="2"/>
      <c r="R231" s="2"/>
      <c r="S231" s="2"/>
      <c r="T231" s="4" t="s">
        <v>121</v>
      </c>
      <c r="U231" s="2"/>
      <c r="V231" s="2"/>
      <c r="W231" s="2" t="s">
        <v>4616</v>
      </c>
      <c r="X231" s="2" t="s">
        <v>4617</v>
      </c>
      <c r="Y231" s="2"/>
      <c r="Z231" s="2" t="s">
        <v>4618</v>
      </c>
      <c r="AA231" s="2"/>
      <c r="AB231" s="2"/>
      <c r="AC231" s="2"/>
      <c r="AD231" s="2"/>
      <c r="AE231" s="2"/>
      <c r="AF231" s="2"/>
      <c r="AG231" s="2">
        <v>0.0</v>
      </c>
      <c r="AH231" s="2">
        <v>0.0</v>
      </c>
      <c r="AI231" s="2">
        <v>0.0</v>
      </c>
      <c r="AJ231" s="2">
        <v>0.0</v>
      </c>
      <c r="AK231" s="2">
        <v>1.0</v>
      </c>
      <c r="AL231" s="2" t="s">
        <v>3440</v>
      </c>
      <c r="AM231" s="2" t="s">
        <v>3441</v>
      </c>
      <c r="AN231" s="2" t="s">
        <v>3442</v>
      </c>
      <c r="AO231" s="2" t="s">
        <v>4619</v>
      </c>
      <c r="AP231" s="2"/>
      <c r="AQ231" s="2"/>
      <c r="AR231" s="2" t="s">
        <v>4620</v>
      </c>
      <c r="AS231" s="2" t="s">
        <v>4621</v>
      </c>
      <c r="AT231" s="2" t="s">
        <v>4622</v>
      </c>
      <c r="AU231" s="2">
        <v>2016.0</v>
      </c>
      <c r="AV231" s="2">
        <v>251.0</v>
      </c>
      <c r="AW231" s="2"/>
      <c r="AX231" s="2"/>
      <c r="AY231" s="2"/>
      <c r="AZ231" s="2"/>
      <c r="BA231" s="2">
        <v>111.0</v>
      </c>
      <c r="BB231" s="2"/>
      <c r="BC231" s="2"/>
      <c r="BD231" s="2"/>
      <c r="BE231" s="2"/>
      <c r="BF231" s="2"/>
      <c r="BG231" s="2"/>
      <c r="BH231" s="2"/>
      <c r="BI231" s="2">
        <v>1.0</v>
      </c>
      <c r="BJ231" s="2" t="s">
        <v>3447</v>
      </c>
      <c r="BK231" s="2" t="s">
        <v>226</v>
      </c>
      <c r="BL231" s="2" t="s">
        <v>3448</v>
      </c>
      <c r="BM231" s="2" t="s">
        <v>4623</v>
      </c>
      <c r="BN231" s="2"/>
      <c r="BO231" s="2"/>
      <c r="BP231" s="2"/>
      <c r="BQ231" s="2"/>
      <c r="BR231" s="2" t="s">
        <v>99</v>
      </c>
      <c r="BS231" s="2" t="s">
        <v>4624</v>
      </c>
      <c r="BT231" s="2" t="str">
        <f>HYPERLINK("https%3A%2F%2Fwww.webofscience.com%2Fwos%2Fwoscc%2Ffull-record%2FWOS:000431903802785","View Full Record in Web of Science")</f>
        <v>View Full Record in Web of Science</v>
      </c>
    </row>
    <row r="232" ht="64.5" customHeight="1">
      <c r="A232" s="2" t="s">
        <v>72</v>
      </c>
      <c r="B232" s="2" t="s">
        <v>4625</v>
      </c>
      <c r="C232" s="2"/>
      <c r="D232" s="2"/>
      <c r="E232" s="2"/>
      <c r="F232" s="2" t="s">
        <v>4626</v>
      </c>
      <c r="G232" s="2"/>
      <c r="H232" s="2"/>
      <c r="I232" s="2" t="s">
        <v>4627</v>
      </c>
      <c r="J232" s="2" t="s">
        <v>712</v>
      </c>
      <c r="K232" s="2"/>
      <c r="L232" s="2"/>
      <c r="M232" s="2" t="s">
        <v>116</v>
      </c>
      <c r="N232" s="2" t="s">
        <v>78</v>
      </c>
      <c r="O232" s="2"/>
      <c r="P232" s="2"/>
      <c r="Q232" s="2"/>
      <c r="R232" s="2"/>
      <c r="S232" s="2"/>
      <c r="T232" s="2" t="s">
        <v>4628</v>
      </c>
      <c r="U232" s="2" t="s">
        <v>4629</v>
      </c>
      <c r="V232" s="2" t="s">
        <v>4630</v>
      </c>
      <c r="W232" s="2" t="s">
        <v>4631</v>
      </c>
      <c r="X232" s="2" t="s">
        <v>4632</v>
      </c>
      <c r="Y232" s="2" t="s">
        <v>4633</v>
      </c>
      <c r="Z232" s="2" t="s">
        <v>4634</v>
      </c>
      <c r="AA232" s="2" t="s">
        <v>4635</v>
      </c>
      <c r="AB232" s="2" t="s">
        <v>4636</v>
      </c>
      <c r="AC232" s="2"/>
      <c r="AD232" s="2"/>
      <c r="AE232" s="2"/>
      <c r="AF232" s="2" t="s">
        <v>4637</v>
      </c>
      <c r="AG232" s="2">
        <v>29.0</v>
      </c>
      <c r="AH232" s="2">
        <v>5.0</v>
      </c>
      <c r="AI232" s="2">
        <v>5.0</v>
      </c>
      <c r="AJ232" s="2">
        <v>2.0</v>
      </c>
      <c r="AK232" s="2">
        <v>3.0</v>
      </c>
      <c r="AL232" s="2" t="s">
        <v>726</v>
      </c>
      <c r="AM232" s="2" t="s">
        <v>727</v>
      </c>
      <c r="AN232" s="2" t="s">
        <v>728</v>
      </c>
      <c r="AO232" s="2" t="s">
        <v>729</v>
      </c>
      <c r="AP232" s="2"/>
      <c r="AQ232" s="2"/>
      <c r="AR232" s="2" t="s">
        <v>730</v>
      </c>
      <c r="AS232" s="2" t="s">
        <v>731</v>
      </c>
      <c r="AT232" s="2"/>
      <c r="AU232" s="2">
        <v>2022.0</v>
      </c>
      <c r="AV232" s="2">
        <v>23.0</v>
      </c>
      <c r="AW232" s="2">
        <v>2.0</v>
      </c>
      <c r="AX232" s="2"/>
      <c r="AY232" s="2"/>
      <c r="AZ232" s="2"/>
      <c r="BA232" s="2"/>
      <c r="BB232" s="2">
        <v>366.0</v>
      </c>
      <c r="BC232" s="2">
        <v>373.0</v>
      </c>
      <c r="BD232" s="2"/>
      <c r="BE232" s="2" t="s">
        <v>4638</v>
      </c>
      <c r="BF232" s="3" t="str">
        <f>HYPERLINK("http://dx.doi.org/10.12681/mms.26929","http://dx.doi.org/10.12681/mms.26929")</f>
        <v>http://dx.doi.org/10.12681/mms.26929</v>
      </c>
      <c r="BG232" s="2"/>
      <c r="BH232" s="2"/>
      <c r="BI232" s="2">
        <v>9.0</v>
      </c>
      <c r="BJ232" s="2" t="s">
        <v>733</v>
      </c>
      <c r="BK232" s="2" t="s">
        <v>226</v>
      </c>
      <c r="BL232" s="2" t="s">
        <v>734</v>
      </c>
      <c r="BM232" s="2" t="s">
        <v>735</v>
      </c>
      <c r="BN232" s="2"/>
      <c r="BO232" s="2" t="s">
        <v>272</v>
      </c>
      <c r="BP232" s="2"/>
      <c r="BQ232" s="2"/>
      <c r="BR232" s="2" t="s">
        <v>99</v>
      </c>
      <c r="BS232" s="2" t="s">
        <v>4639</v>
      </c>
      <c r="BT232" s="2" t="str">
        <f>HYPERLINK("https%3A%2F%2Fwww.webofscience.com%2Fwos%2Fwoscc%2Ffull-record%2FWOS:000782982600010","View Full Record in Web of Science")</f>
        <v>View Full Record in Web of Science</v>
      </c>
    </row>
    <row r="233" ht="64.5" customHeight="1">
      <c r="A233" s="2" t="s">
        <v>72</v>
      </c>
      <c r="B233" s="2" t="s">
        <v>4640</v>
      </c>
      <c r="C233" s="2"/>
      <c r="D233" s="2"/>
      <c r="E233" s="2"/>
      <c r="F233" s="2" t="s">
        <v>4641</v>
      </c>
      <c r="G233" s="2"/>
      <c r="H233" s="2"/>
      <c r="I233" s="2" t="s">
        <v>4642</v>
      </c>
      <c r="J233" s="2" t="s">
        <v>4643</v>
      </c>
      <c r="K233" s="2"/>
      <c r="L233" s="2"/>
      <c r="M233" s="2" t="s">
        <v>116</v>
      </c>
      <c r="N233" s="2" t="s">
        <v>1599</v>
      </c>
      <c r="O233" s="2"/>
      <c r="P233" s="2"/>
      <c r="Q233" s="2"/>
      <c r="R233" s="2"/>
      <c r="S233" s="2"/>
      <c r="T233" s="2" t="s">
        <v>4644</v>
      </c>
      <c r="U233" s="2" t="s">
        <v>4645</v>
      </c>
      <c r="V233" s="2" t="s">
        <v>4646</v>
      </c>
      <c r="W233" s="2" t="s">
        <v>4647</v>
      </c>
      <c r="X233" s="2" t="s">
        <v>4648</v>
      </c>
      <c r="Y233" s="2" t="s">
        <v>4649</v>
      </c>
      <c r="Z233" s="2" t="s">
        <v>4650</v>
      </c>
      <c r="AA233" s="2"/>
      <c r="AB233" s="2"/>
      <c r="AC233" s="2"/>
      <c r="AD233" s="2"/>
      <c r="AE233" s="2"/>
      <c r="AF233" s="2" t="s">
        <v>4651</v>
      </c>
      <c r="AG233" s="2">
        <v>47.0</v>
      </c>
      <c r="AH233" s="2">
        <v>0.0</v>
      </c>
      <c r="AI233" s="2">
        <v>0.0</v>
      </c>
      <c r="AJ233" s="2">
        <v>0.0</v>
      </c>
      <c r="AK233" s="2">
        <v>0.0</v>
      </c>
      <c r="AL233" s="2" t="s">
        <v>1329</v>
      </c>
      <c r="AM233" s="2" t="s">
        <v>157</v>
      </c>
      <c r="AN233" s="2" t="s">
        <v>1330</v>
      </c>
      <c r="AO233" s="2" t="s">
        <v>4652</v>
      </c>
      <c r="AP233" s="2" t="s">
        <v>4653</v>
      </c>
      <c r="AQ233" s="2"/>
      <c r="AR233" s="2" t="s">
        <v>4654</v>
      </c>
      <c r="AS233" s="2" t="s">
        <v>4655</v>
      </c>
      <c r="AT233" s="2" t="s">
        <v>4656</v>
      </c>
      <c r="AU233" s="2">
        <v>2024.0</v>
      </c>
      <c r="AV233" s="2"/>
      <c r="AW233" s="2"/>
      <c r="AX233" s="2"/>
      <c r="AY233" s="2"/>
      <c r="AZ233" s="2"/>
      <c r="BA233" s="2"/>
      <c r="BB233" s="2"/>
      <c r="BC233" s="2"/>
      <c r="BD233" s="2"/>
      <c r="BE233" s="2" t="s">
        <v>4657</v>
      </c>
      <c r="BF233" s="3" t="str">
        <f>HYPERLINK("http://dx.doi.org/10.1080/13614533.2024.2369503","http://dx.doi.org/10.1080/13614533.2024.2369503")</f>
        <v>http://dx.doi.org/10.1080/13614533.2024.2369503</v>
      </c>
      <c r="BG233" s="2"/>
      <c r="BH233" s="2" t="s">
        <v>4658</v>
      </c>
      <c r="BI233" s="2">
        <v>23.0</v>
      </c>
      <c r="BJ233" s="2" t="s">
        <v>4659</v>
      </c>
      <c r="BK233" s="2" t="s">
        <v>96</v>
      </c>
      <c r="BL233" s="2" t="s">
        <v>4659</v>
      </c>
      <c r="BM233" s="2" t="s">
        <v>4660</v>
      </c>
      <c r="BN233" s="2"/>
      <c r="BO233" s="2"/>
      <c r="BP233" s="2"/>
      <c r="BQ233" s="2"/>
      <c r="BR233" s="2" t="s">
        <v>99</v>
      </c>
      <c r="BS233" s="2" t="s">
        <v>4661</v>
      </c>
      <c r="BT233" s="2" t="str">
        <f>HYPERLINK("https%3A%2F%2Fwww.webofscience.com%2Fwos%2Fwoscc%2Ffull-record%2FWOS:001257377100001","View Full Record in Web of Science")</f>
        <v>View Full Record in Web of Science</v>
      </c>
    </row>
    <row r="234" ht="64.5" customHeight="1">
      <c r="A234" s="2" t="s">
        <v>72</v>
      </c>
      <c r="B234" s="2" t="s">
        <v>4662</v>
      </c>
      <c r="C234" s="2"/>
      <c r="D234" s="2"/>
      <c r="E234" s="2"/>
      <c r="F234" s="2" t="s">
        <v>4663</v>
      </c>
      <c r="G234" s="2"/>
      <c r="H234" s="2"/>
      <c r="I234" s="2" t="s">
        <v>4664</v>
      </c>
      <c r="J234" s="2" t="s">
        <v>4576</v>
      </c>
      <c r="K234" s="2"/>
      <c r="L234" s="2"/>
      <c r="M234" s="2" t="s">
        <v>116</v>
      </c>
      <c r="N234" s="2" t="s">
        <v>4280</v>
      </c>
      <c r="O234" s="2"/>
      <c r="P234" s="2"/>
      <c r="Q234" s="2"/>
      <c r="R234" s="2"/>
      <c r="S234" s="2"/>
      <c r="T234" s="4" t="s">
        <v>121</v>
      </c>
      <c r="U234" s="2"/>
      <c r="V234" s="2"/>
      <c r="W234" s="2"/>
      <c r="X234" s="2"/>
      <c r="Y234" s="2"/>
      <c r="Z234" s="2" t="s">
        <v>4665</v>
      </c>
      <c r="AA234" s="2"/>
      <c r="AB234" s="2"/>
      <c r="AC234" s="2"/>
      <c r="AD234" s="2"/>
      <c r="AE234" s="2"/>
      <c r="AF234" s="2" t="s">
        <v>4666</v>
      </c>
      <c r="AG234" s="2">
        <v>5.0</v>
      </c>
      <c r="AH234" s="2">
        <v>6.0</v>
      </c>
      <c r="AI234" s="2">
        <v>7.0</v>
      </c>
      <c r="AJ234" s="2">
        <v>0.0</v>
      </c>
      <c r="AK234" s="2">
        <v>10.0</v>
      </c>
      <c r="AL234" s="2" t="s">
        <v>4580</v>
      </c>
      <c r="AM234" s="2" t="s">
        <v>4581</v>
      </c>
      <c r="AN234" s="2" t="s">
        <v>4582</v>
      </c>
      <c r="AO234" s="2" t="s">
        <v>4583</v>
      </c>
      <c r="AP234" s="2"/>
      <c r="AQ234" s="2"/>
      <c r="AR234" s="2" t="s">
        <v>4576</v>
      </c>
      <c r="AS234" s="2" t="s">
        <v>4584</v>
      </c>
      <c r="AT234" s="2" t="s">
        <v>844</v>
      </c>
      <c r="AU234" s="2">
        <v>2008.0</v>
      </c>
      <c r="AV234" s="2">
        <v>21.0</v>
      </c>
      <c r="AW234" s="2">
        <v>4.0</v>
      </c>
      <c r="AX234" s="2"/>
      <c r="AY234" s="2"/>
      <c r="AZ234" s="2"/>
      <c r="BA234" s="2"/>
      <c r="BB234" s="2">
        <v>10.0</v>
      </c>
      <c r="BC234" s="2">
        <v>11.0</v>
      </c>
      <c r="BD234" s="2"/>
      <c r="BE234" s="2" t="s">
        <v>4667</v>
      </c>
      <c r="BF234" s="3" t="str">
        <f>HYPERLINK("http://dx.doi.org/10.5670/oceanog.2008.21","http://dx.doi.org/10.5670/oceanog.2008.21")</f>
        <v>http://dx.doi.org/10.5670/oceanog.2008.21</v>
      </c>
      <c r="BG234" s="2"/>
      <c r="BH234" s="2"/>
      <c r="BI234" s="2">
        <v>2.0</v>
      </c>
      <c r="BJ234" s="2" t="s">
        <v>4584</v>
      </c>
      <c r="BK234" s="2" t="s">
        <v>226</v>
      </c>
      <c r="BL234" s="2" t="s">
        <v>4584</v>
      </c>
      <c r="BM234" s="2" t="s">
        <v>4668</v>
      </c>
      <c r="BN234" s="2"/>
      <c r="BO234" s="2" t="s">
        <v>1594</v>
      </c>
      <c r="BP234" s="2"/>
      <c r="BQ234" s="2"/>
      <c r="BR234" s="2" t="s">
        <v>99</v>
      </c>
      <c r="BS234" s="2" t="s">
        <v>4669</v>
      </c>
      <c r="BT234" s="2" t="str">
        <f>HYPERLINK("https%3A%2F%2Fwww.webofscience.com%2Fwos%2Fwoscc%2Ffull-record%2FWOS:000261699100004","View Full Record in Web of Science")</f>
        <v>View Full Record in Web of Science</v>
      </c>
    </row>
    <row r="235" ht="64.5" customHeight="1">
      <c r="A235" s="2" t="s">
        <v>72</v>
      </c>
      <c r="B235" s="2" t="s">
        <v>4670</v>
      </c>
      <c r="C235" s="2"/>
      <c r="D235" s="2"/>
      <c r="E235" s="2"/>
      <c r="F235" s="2" t="s">
        <v>4671</v>
      </c>
      <c r="G235" s="2"/>
      <c r="H235" s="2"/>
      <c r="I235" s="2" t="s">
        <v>4672</v>
      </c>
      <c r="J235" s="2" t="s">
        <v>4673</v>
      </c>
      <c r="K235" s="2"/>
      <c r="L235" s="2"/>
      <c r="M235" s="2" t="s">
        <v>116</v>
      </c>
      <c r="N235" s="2" t="s">
        <v>4280</v>
      </c>
      <c r="O235" s="2"/>
      <c r="P235" s="2"/>
      <c r="Q235" s="2"/>
      <c r="R235" s="2"/>
      <c r="S235" s="2"/>
      <c r="T235" s="4" t="s">
        <v>121</v>
      </c>
      <c r="U235" s="2"/>
      <c r="V235" s="2"/>
      <c r="W235" s="2" t="s">
        <v>4674</v>
      </c>
      <c r="X235" s="2" t="s">
        <v>4675</v>
      </c>
      <c r="Y235" s="2" t="s">
        <v>4676</v>
      </c>
      <c r="Z235" s="2"/>
      <c r="AA235" s="2"/>
      <c r="AB235" s="2"/>
      <c r="AC235" s="2"/>
      <c r="AD235" s="2"/>
      <c r="AE235" s="2"/>
      <c r="AF235" s="2"/>
      <c r="AG235" s="2">
        <v>0.0</v>
      </c>
      <c r="AH235" s="2">
        <v>0.0</v>
      </c>
      <c r="AI235" s="2">
        <v>0.0</v>
      </c>
      <c r="AJ235" s="2">
        <v>0.0</v>
      </c>
      <c r="AK235" s="2">
        <v>5.0</v>
      </c>
      <c r="AL235" s="2" t="s">
        <v>4677</v>
      </c>
      <c r="AM235" s="2" t="s">
        <v>130</v>
      </c>
      <c r="AN235" s="2" t="s">
        <v>4678</v>
      </c>
      <c r="AO235" s="2" t="s">
        <v>4679</v>
      </c>
      <c r="AP235" s="2" t="s">
        <v>4680</v>
      </c>
      <c r="AQ235" s="2"/>
      <c r="AR235" s="2" t="s">
        <v>4681</v>
      </c>
      <c r="AS235" s="2" t="s">
        <v>4682</v>
      </c>
      <c r="AT235" s="2" t="s">
        <v>195</v>
      </c>
      <c r="AU235" s="2">
        <v>2014.0</v>
      </c>
      <c r="AV235" s="2">
        <v>136.0</v>
      </c>
      <c r="AW235" s="2">
        <v>4.0</v>
      </c>
      <c r="AX235" s="2"/>
      <c r="AY235" s="2"/>
      <c r="AZ235" s="2"/>
      <c r="BA235" s="2"/>
      <c r="BB235" s="2">
        <v>16.0</v>
      </c>
      <c r="BC235" s="2">
        <v>16.0</v>
      </c>
      <c r="BD235" s="2"/>
      <c r="BE235" s="2"/>
      <c r="BF235" s="2"/>
      <c r="BG235" s="2"/>
      <c r="BH235" s="2"/>
      <c r="BI235" s="2">
        <v>1.0</v>
      </c>
      <c r="BJ235" s="2" t="s">
        <v>4683</v>
      </c>
      <c r="BK235" s="2" t="s">
        <v>226</v>
      </c>
      <c r="BL235" s="2" t="s">
        <v>1721</v>
      </c>
      <c r="BM235" s="2" t="s">
        <v>4684</v>
      </c>
      <c r="BN235" s="2"/>
      <c r="BO235" s="2"/>
      <c r="BP235" s="2"/>
      <c r="BQ235" s="2"/>
      <c r="BR235" s="2" t="s">
        <v>99</v>
      </c>
      <c r="BS235" s="2" t="s">
        <v>4685</v>
      </c>
      <c r="BT235" s="2" t="str">
        <f>HYPERLINK("https%3A%2F%2Fwww.webofscience.com%2Fwos%2Fwoscc%2Ffull-record%2FWOS:000342485700012","View Full Record in Web of Science")</f>
        <v>View Full Record in Web of Science</v>
      </c>
    </row>
    <row r="236" ht="64.5" customHeight="1">
      <c r="A236" s="2" t="s">
        <v>72</v>
      </c>
      <c r="B236" s="2" t="s">
        <v>4686</v>
      </c>
      <c r="C236" s="2"/>
      <c r="D236" s="2"/>
      <c r="E236" s="2"/>
      <c r="F236" s="2" t="s">
        <v>4687</v>
      </c>
      <c r="G236" s="2"/>
      <c r="H236" s="2"/>
      <c r="I236" s="2" t="s">
        <v>4688</v>
      </c>
      <c r="J236" s="2" t="s">
        <v>4689</v>
      </c>
      <c r="K236" s="2"/>
      <c r="L236" s="2"/>
      <c r="M236" s="2" t="s">
        <v>116</v>
      </c>
      <c r="N236" s="2" t="s">
        <v>78</v>
      </c>
      <c r="O236" s="2"/>
      <c r="P236" s="2"/>
      <c r="Q236" s="2"/>
      <c r="R236" s="2"/>
      <c r="S236" s="2"/>
      <c r="T236" s="2" t="s">
        <v>4690</v>
      </c>
      <c r="U236" s="2" t="s">
        <v>4691</v>
      </c>
      <c r="V236" s="2" t="s">
        <v>4692</v>
      </c>
      <c r="W236" s="2" t="s">
        <v>4693</v>
      </c>
      <c r="X236" s="2" t="s">
        <v>4694</v>
      </c>
      <c r="Y236" s="2" t="s">
        <v>4695</v>
      </c>
      <c r="Z236" s="2" t="s">
        <v>4696</v>
      </c>
      <c r="AA236" s="2"/>
      <c r="AB236" s="2" t="s">
        <v>4697</v>
      </c>
      <c r="AC236" s="2" t="s">
        <v>4698</v>
      </c>
      <c r="AD236" s="2" t="s">
        <v>4698</v>
      </c>
      <c r="AE236" s="2" t="s">
        <v>4699</v>
      </c>
      <c r="AF236" s="2" t="s">
        <v>4700</v>
      </c>
      <c r="AG236" s="2">
        <v>60.0</v>
      </c>
      <c r="AH236" s="2">
        <v>54.0</v>
      </c>
      <c r="AI236" s="2">
        <v>75.0</v>
      </c>
      <c r="AJ236" s="2">
        <v>1.0</v>
      </c>
      <c r="AK236" s="2">
        <v>60.0</v>
      </c>
      <c r="AL236" s="2" t="s">
        <v>4701</v>
      </c>
      <c r="AM236" s="2" t="s">
        <v>189</v>
      </c>
      <c r="AN236" s="2" t="s">
        <v>4702</v>
      </c>
      <c r="AO236" s="2" t="s">
        <v>4703</v>
      </c>
      <c r="AP236" s="2" t="s">
        <v>4704</v>
      </c>
      <c r="AQ236" s="2"/>
      <c r="AR236" s="2" t="s">
        <v>4689</v>
      </c>
      <c r="AS236" s="2" t="s">
        <v>4705</v>
      </c>
      <c r="AT236" s="2" t="s">
        <v>358</v>
      </c>
      <c r="AU236" s="2">
        <v>2011.0</v>
      </c>
      <c r="AV236" s="2">
        <v>61.0</v>
      </c>
      <c r="AW236" s="2">
        <v>3.0</v>
      </c>
      <c r="AX236" s="2"/>
      <c r="AY236" s="2"/>
      <c r="AZ236" s="2"/>
      <c r="BA236" s="2"/>
      <c r="BB236" s="2">
        <v>231.0</v>
      </c>
      <c r="BC236" s="2">
        <v>237.0</v>
      </c>
      <c r="BD236" s="2"/>
      <c r="BE236" s="2" t="s">
        <v>4706</v>
      </c>
      <c r="BF236" s="3" t="str">
        <f>HYPERLINK("http://dx.doi.org/10.1525/bio.2011.61.3.8","http://dx.doi.org/10.1525/bio.2011.61.3.8")</f>
        <v>http://dx.doi.org/10.1525/bio.2011.61.3.8</v>
      </c>
      <c r="BG236" s="2"/>
      <c r="BH236" s="2"/>
      <c r="BI236" s="2">
        <v>7.0</v>
      </c>
      <c r="BJ236" s="2" t="s">
        <v>4707</v>
      </c>
      <c r="BK236" s="2" t="s">
        <v>363</v>
      </c>
      <c r="BL236" s="2" t="s">
        <v>4708</v>
      </c>
      <c r="BM236" s="2" t="s">
        <v>4709</v>
      </c>
      <c r="BN236" s="2"/>
      <c r="BO236" s="2"/>
      <c r="BP236" s="2"/>
      <c r="BQ236" s="2"/>
      <c r="BR236" s="2" t="s">
        <v>99</v>
      </c>
      <c r="BS236" s="2" t="s">
        <v>4710</v>
      </c>
      <c r="BT236" s="2" t="str">
        <f>HYPERLINK("https%3A%2F%2Fwww.webofscience.com%2Fwos%2Fwoscc%2Ffull-record%2FWOS:000288049600008","View Full Record in Web of Science")</f>
        <v>View Full Record in Web of Science</v>
      </c>
    </row>
    <row r="237" ht="64.5" customHeight="1">
      <c r="A237" s="2" t="s">
        <v>72</v>
      </c>
      <c r="B237" s="2" t="s">
        <v>4711</v>
      </c>
      <c r="C237" s="2"/>
      <c r="D237" s="2"/>
      <c r="E237" s="2"/>
      <c r="F237" s="2" t="s">
        <v>4712</v>
      </c>
      <c r="G237" s="2"/>
      <c r="H237" s="2"/>
      <c r="I237" s="2" t="s">
        <v>4713</v>
      </c>
      <c r="J237" s="2" t="s">
        <v>4465</v>
      </c>
      <c r="K237" s="2"/>
      <c r="L237" s="2"/>
      <c r="M237" s="2" t="s">
        <v>116</v>
      </c>
      <c r="N237" s="2" t="s">
        <v>78</v>
      </c>
      <c r="O237" s="2"/>
      <c r="P237" s="2"/>
      <c r="Q237" s="2"/>
      <c r="R237" s="2"/>
      <c r="S237" s="2"/>
      <c r="T237" s="2" t="s">
        <v>4714</v>
      </c>
      <c r="U237" s="2" t="s">
        <v>4715</v>
      </c>
      <c r="V237" s="2" t="s">
        <v>4716</v>
      </c>
      <c r="W237" s="2" t="s">
        <v>4717</v>
      </c>
      <c r="X237" s="2" t="s">
        <v>4718</v>
      </c>
      <c r="Y237" s="2" t="s">
        <v>4719</v>
      </c>
      <c r="Z237" s="2" t="s">
        <v>4720</v>
      </c>
      <c r="AA237" s="2" t="s">
        <v>4721</v>
      </c>
      <c r="AB237" s="2" t="s">
        <v>4722</v>
      </c>
      <c r="AC237" s="2" t="s">
        <v>4723</v>
      </c>
      <c r="AD237" s="2" t="s">
        <v>4724</v>
      </c>
      <c r="AE237" s="2" t="s">
        <v>4725</v>
      </c>
      <c r="AF237" s="2" t="s">
        <v>4726</v>
      </c>
      <c r="AG237" s="2">
        <v>42.0</v>
      </c>
      <c r="AH237" s="2">
        <v>64.0</v>
      </c>
      <c r="AI237" s="2">
        <v>70.0</v>
      </c>
      <c r="AJ237" s="2">
        <v>4.0</v>
      </c>
      <c r="AK237" s="2">
        <v>39.0</v>
      </c>
      <c r="AL237" s="2" t="s">
        <v>188</v>
      </c>
      <c r="AM237" s="2" t="s">
        <v>189</v>
      </c>
      <c r="AN237" s="2" t="s">
        <v>190</v>
      </c>
      <c r="AO237" s="2" t="s">
        <v>4479</v>
      </c>
      <c r="AP237" s="2" t="s">
        <v>4480</v>
      </c>
      <c r="AQ237" s="2"/>
      <c r="AR237" s="2" t="s">
        <v>4481</v>
      </c>
      <c r="AS237" s="2" t="s">
        <v>4482</v>
      </c>
      <c r="AT237" s="2" t="s">
        <v>938</v>
      </c>
      <c r="AU237" s="2">
        <v>2020.0</v>
      </c>
      <c r="AV237" s="2">
        <v>108.0</v>
      </c>
      <c r="AW237" s="2"/>
      <c r="AX237" s="2"/>
      <c r="AY237" s="2"/>
      <c r="AZ237" s="2"/>
      <c r="BA237" s="2"/>
      <c r="BB237" s="2">
        <v>85.0</v>
      </c>
      <c r="BC237" s="2">
        <v>92.0</v>
      </c>
      <c r="BD237" s="2"/>
      <c r="BE237" s="2" t="s">
        <v>4727</v>
      </c>
      <c r="BF237" s="3" t="str">
        <f>HYPERLINK("http://dx.doi.org/10.1016/j.envsci.2020.03.015","http://dx.doi.org/10.1016/j.envsci.2020.03.015")</f>
        <v>http://dx.doi.org/10.1016/j.envsci.2020.03.015</v>
      </c>
      <c r="BG237" s="2"/>
      <c r="BH237" s="2"/>
      <c r="BI237" s="2">
        <v>8.0</v>
      </c>
      <c r="BJ237" s="2" t="s">
        <v>1570</v>
      </c>
      <c r="BK237" s="2" t="s">
        <v>363</v>
      </c>
      <c r="BL237" s="2" t="s">
        <v>97</v>
      </c>
      <c r="BM237" s="2" t="s">
        <v>4728</v>
      </c>
      <c r="BN237" s="2"/>
      <c r="BO237" s="2" t="s">
        <v>4729</v>
      </c>
      <c r="BP237" s="2"/>
      <c r="BQ237" s="2"/>
      <c r="BR237" s="2" t="s">
        <v>99</v>
      </c>
      <c r="BS237" s="2" t="s">
        <v>4730</v>
      </c>
      <c r="BT237" s="2" t="str">
        <f>HYPERLINK("https%3A%2F%2Fwww.webofscience.com%2Fwos%2Fwoscc%2Ffull-record%2FWOS:000530702500009","View Full Record in Web of Science")</f>
        <v>View Full Record in Web of Science</v>
      </c>
    </row>
    <row r="238" ht="64.5" customHeight="1">
      <c r="A238" s="2" t="s">
        <v>72</v>
      </c>
      <c r="B238" s="2" t="s">
        <v>4731</v>
      </c>
      <c r="C238" s="2"/>
      <c r="D238" s="2"/>
      <c r="E238" s="2"/>
      <c r="F238" s="2" t="s">
        <v>4731</v>
      </c>
      <c r="G238" s="2"/>
      <c r="H238" s="2"/>
      <c r="I238" s="2" t="s">
        <v>4732</v>
      </c>
      <c r="J238" s="2" t="s">
        <v>623</v>
      </c>
      <c r="K238" s="2"/>
      <c r="L238" s="2"/>
      <c r="M238" s="2" t="s">
        <v>116</v>
      </c>
      <c r="N238" s="2" t="s">
        <v>4280</v>
      </c>
      <c r="O238" s="2"/>
      <c r="P238" s="2"/>
      <c r="Q238" s="2"/>
      <c r="R238" s="2"/>
      <c r="S238" s="2"/>
      <c r="T238" s="4" t="s">
        <v>121</v>
      </c>
      <c r="U238" s="2"/>
      <c r="V238" s="2"/>
      <c r="W238" s="2"/>
      <c r="X238" s="2"/>
      <c r="Y238" s="2"/>
      <c r="Z238" s="2"/>
      <c r="AA238" s="2"/>
      <c r="AB238" s="2"/>
      <c r="AC238" s="2"/>
      <c r="AD238" s="2"/>
      <c r="AE238" s="2"/>
      <c r="AF238" s="2" t="s">
        <v>4733</v>
      </c>
      <c r="AG238" s="2">
        <v>1.0</v>
      </c>
      <c r="AH238" s="2">
        <v>3.0</v>
      </c>
      <c r="AI238" s="2">
        <v>3.0</v>
      </c>
      <c r="AJ238" s="2">
        <v>0.0</v>
      </c>
      <c r="AK238" s="2">
        <v>15.0</v>
      </c>
      <c r="AL238" s="2" t="s">
        <v>629</v>
      </c>
      <c r="AM238" s="2" t="s">
        <v>630</v>
      </c>
      <c r="AN238" s="2" t="s">
        <v>631</v>
      </c>
      <c r="AO238" s="2" t="s">
        <v>632</v>
      </c>
      <c r="AP238" s="2"/>
      <c r="AQ238" s="2"/>
      <c r="AR238" s="2" t="s">
        <v>634</v>
      </c>
      <c r="AS238" s="2" t="s">
        <v>635</v>
      </c>
      <c r="AT238" s="2" t="s">
        <v>4734</v>
      </c>
      <c r="AU238" s="2">
        <v>2004.0</v>
      </c>
      <c r="AV238" s="2">
        <v>38.0</v>
      </c>
      <c r="AW238" s="2">
        <v>4.0</v>
      </c>
      <c r="AX238" s="2"/>
      <c r="AY238" s="2"/>
      <c r="AZ238" s="2"/>
      <c r="BA238" s="2"/>
      <c r="BB238" s="2">
        <v>68.0</v>
      </c>
      <c r="BC238" s="2">
        <v>69.0</v>
      </c>
      <c r="BD238" s="2"/>
      <c r="BE238" s="2"/>
      <c r="BF238" s="2"/>
      <c r="BG238" s="2"/>
      <c r="BH238" s="2"/>
      <c r="BI238" s="2">
        <v>2.0</v>
      </c>
      <c r="BJ238" s="2" t="s">
        <v>134</v>
      </c>
      <c r="BK238" s="2" t="s">
        <v>226</v>
      </c>
      <c r="BL238" s="2" t="s">
        <v>136</v>
      </c>
      <c r="BM238" s="2" t="s">
        <v>4735</v>
      </c>
      <c r="BN238" s="2"/>
      <c r="BO238" s="2"/>
      <c r="BP238" s="2"/>
      <c r="BQ238" s="2"/>
      <c r="BR238" s="2" t="s">
        <v>99</v>
      </c>
      <c r="BS238" s="2" t="s">
        <v>4736</v>
      </c>
      <c r="BT238" s="2" t="str">
        <f>HYPERLINK("https%3A%2F%2Fwww.webofscience.com%2Fwos%2Fwoscc%2Ffull-record%2FWOS:000227378500017","View Full Record in Web of Science")</f>
        <v>View Full Record in Web of Science</v>
      </c>
    </row>
    <row r="239" ht="64.5" customHeight="1">
      <c r="A239" s="2" t="s">
        <v>72</v>
      </c>
      <c r="B239" s="2" t="s">
        <v>4737</v>
      </c>
      <c r="C239" s="2"/>
      <c r="D239" s="2"/>
      <c r="E239" s="2"/>
      <c r="F239" s="2" t="s">
        <v>4738</v>
      </c>
      <c r="G239" s="2"/>
      <c r="H239" s="2"/>
      <c r="I239" s="2" t="s">
        <v>4739</v>
      </c>
      <c r="J239" s="2" t="s">
        <v>4740</v>
      </c>
      <c r="K239" s="2"/>
      <c r="L239" s="2"/>
      <c r="M239" s="2" t="s">
        <v>116</v>
      </c>
      <c r="N239" s="2" t="s">
        <v>1599</v>
      </c>
      <c r="O239" s="2"/>
      <c r="P239" s="2"/>
      <c r="Q239" s="2"/>
      <c r="R239" s="2"/>
      <c r="S239" s="2"/>
      <c r="T239" s="2" t="s">
        <v>4741</v>
      </c>
      <c r="U239" s="2" t="s">
        <v>4742</v>
      </c>
      <c r="V239" s="2" t="s">
        <v>4743</v>
      </c>
      <c r="W239" s="2" t="s">
        <v>4744</v>
      </c>
      <c r="X239" s="2" t="s">
        <v>4745</v>
      </c>
      <c r="Y239" s="2" t="s">
        <v>4746</v>
      </c>
      <c r="Z239" s="2" t="s">
        <v>4747</v>
      </c>
      <c r="AA239" s="2" t="s">
        <v>4748</v>
      </c>
      <c r="AB239" s="2" t="s">
        <v>4749</v>
      </c>
      <c r="AC239" s="2" t="s">
        <v>4750</v>
      </c>
      <c r="AD239" s="2" t="s">
        <v>4751</v>
      </c>
      <c r="AE239" s="2" t="s">
        <v>4752</v>
      </c>
      <c r="AF239" s="2" t="s">
        <v>4753</v>
      </c>
      <c r="AG239" s="2">
        <v>53.0</v>
      </c>
      <c r="AH239" s="2">
        <v>1.0</v>
      </c>
      <c r="AI239" s="2">
        <v>1.0</v>
      </c>
      <c r="AJ239" s="2">
        <v>2.0</v>
      </c>
      <c r="AK239" s="2">
        <v>12.0</v>
      </c>
      <c r="AL239" s="2" t="s">
        <v>156</v>
      </c>
      <c r="AM239" s="2" t="s">
        <v>157</v>
      </c>
      <c r="AN239" s="2" t="s">
        <v>158</v>
      </c>
      <c r="AO239" s="2" t="s">
        <v>4754</v>
      </c>
      <c r="AP239" s="2" t="s">
        <v>4755</v>
      </c>
      <c r="AQ239" s="2"/>
      <c r="AR239" s="2" t="s">
        <v>4756</v>
      </c>
      <c r="AS239" s="2" t="s">
        <v>4757</v>
      </c>
      <c r="AT239" s="2" t="s">
        <v>4758</v>
      </c>
      <c r="AU239" s="2">
        <v>2022.0</v>
      </c>
      <c r="AV239" s="2"/>
      <c r="AW239" s="2"/>
      <c r="AX239" s="2"/>
      <c r="AY239" s="2"/>
      <c r="AZ239" s="2"/>
      <c r="BA239" s="2"/>
      <c r="BB239" s="2"/>
      <c r="BC239" s="2"/>
      <c r="BD239" s="2"/>
      <c r="BE239" s="2" t="s">
        <v>4759</v>
      </c>
      <c r="BF239" s="3" t="str">
        <f>HYPERLINK("http://dx.doi.org/10.1080/00219266.2022.2159490","http://dx.doi.org/10.1080/00219266.2022.2159490")</f>
        <v>http://dx.doi.org/10.1080/00219266.2022.2159490</v>
      </c>
      <c r="BG239" s="2"/>
      <c r="BH239" s="2" t="s">
        <v>455</v>
      </c>
      <c r="BI239" s="2">
        <v>14.0</v>
      </c>
      <c r="BJ239" s="2" t="s">
        <v>4760</v>
      </c>
      <c r="BK239" s="2" t="s">
        <v>363</v>
      </c>
      <c r="BL239" s="2" t="s">
        <v>4761</v>
      </c>
      <c r="BM239" s="2" t="s">
        <v>4762</v>
      </c>
      <c r="BN239" s="2"/>
      <c r="BO239" s="2"/>
      <c r="BP239" s="2"/>
      <c r="BQ239" s="2"/>
      <c r="BR239" s="2" t="s">
        <v>99</v>
      </c>
      <c r="BS239" s="2" t="s">
        <v>4763</v>
      </c>
      <c r="BT239" s="2" t="str">
        <f>HYPERLINK("https%3A%2F%2Fwww.webofscience.com%2Fwos%2Fwoscc%2Ffull-record%2FWOS:000903830400001","View Full Record in Web of Science")</f>
        <v>View Full Record in Web of Science</v>
      </c>
    </row>
    <row r="240" ht="64.5" customHeight="1">
      <c r="A240" s="2" t="s">
        <v>72</v>
      </c>
      <c r="B240" s="2" t="s">
        <v>4764</v>
      </c>
      <c r="C240" s="2"/>
      <c r="D240" s="2"/>
      <c r="E240" s="2"/>
      <c r="F240" s="2" t="s">
        <v>4765</v>
      </c>
      <c r="G240" s="2"/>
      <c r="H240" s="2"/>
      <c r="I240" s="2" t="s">
        <v>4766</v>
      </c>
      <c r="J240" s="2" t="s">
        <v>4767</v>
      </c>
      <c r="K240" s="2"/>
      <c r="L240" s="2"/>
      <c r="M240" s="2" t="s">
        <v>116</v>
      </c>
      <c r="N240" s="2" t="s">
        <v>78</v>
      </c>
      <c r="O240" s="2"/>
      <c r="P240" s="2"/>
      <c r="Q240" s="2"/>
      <c r="R240" s="2"/>
      <c r="S240" s="2"/>
      <c r="T240" s="2" t="s">
        <v>4768</v>
      </c>
      <c r="U240" s="2" t="s">
        <v>4769</v>
      </c>
      <c r="V240" s="2" t="s">
        <v>4770</v>
      </c>
      <c r="W240" s="2" t="s">
        <v>4771</v>
      </c>
      <c r="X240" s="2" t="s">
        <v>4772</v>
      </c>
      <c r="Y240" s="2" t="s">
        <v>4773</v>
      </c>
      <c r="Z240" s="2" t="s">
        <v>4774</v>
      </c>
      <c r="AA240" s="2" t="s">
        <v>4775</v>
      </c>
      <c r="AB240" s="2" t="s">
        <v>4776</v>
      </c>
      <c r="AC240" s="2" t="s">
        <v>4777</v>
      </c>
      <c r="AD240" s="2" t="s">
        <v>4778</v>
      </c>
      <c r="AE240" s="2" t="s">
        <v>4779</v>
      </c>
      <c r="AF240" s="2" t="s">
        <v>4780</v>
      </c>
      <c r="AG240" s="2">
        <v>47.0</v>
      </c>
      <c r="AH240" s="2">
        <v>35.0</v>
      </c>
      <c r="AI240" s="2">
        <v>41.0</v>
      </c>
      <c r="AJ240" s="2">
        <v>2.0</v>
      </c>
      <c r="AK240" s="2">
        <v>31.0</v>
      </c>
      <c r="AL240" s="2" t="s">
        <v>4781</v>
      </c>
      <c r="AM240" s="2" t="s">
        <v>4782</v>
      </c>
      <c r="AN240" s="2" t="s">
        <v>4783</v>
      </c>
      <c r="AO240" s="2" t="s">
        <v>4784</v>
      </c>
      <c r="AP240" s="2" t="s">
        <v>4785</v>
      </c>
      <c r="AQ240" s="2"/>
      <c r="AR240" s="2" t="s">
        <v>4786</v>
      </c>
      <c r="AS240" s="2" t="s">
        <v>4787</v>
      </c>
      <c r="AT240" s="2"/>
      <c r="AU240" s="2">
        <v>2009.0</v>
      </c>
      <c r="AV240" s="2">
        <v>40.0</v>
      </c>
      <c r="AW240" s="2">
        <v>1.0</v>
      </c>
      <c r="AX240" s="2"/>
      <c r="AY240" s="2"/>
      <c r="AZ240" s="2"/>
      <c r="BA240" s="2"/>
      <c r="BB240" s="2">
        <v>103.0</v>
      </c>
      <c r="BC240" s="2">
        <v>119.0</v>
      </c>
      <c r="BD240" s="2"/>
      <c r="BE240" s="2" t="s">
        <v>4788</v>
      </c>
      <c r="BF240" s="3" t="str">
        <f>HYPERLINK("http://dx.doi.org/10.3354/cr00827","http://dx.doi.org/10.3354/cr00827")</f>
        <v>http://dx.doi.org/10.3354/cr00827</v>
      </c>
      <c r="BG240" s="2"/>
      <c r="BH240" s="2"/>
      <c r="BI240" s="2">
        <v>17.0</v>
      </c>
      <c r="BJ240" s="2" t="s">
        <v>2781</v>
      </c>
      <c r="BK240" s="2" t="s">
        <v>363</v>
      </c>
      <c r="BL240" s="2" t="s">
        <v>1376</v>
      </c>
      <c r="BM240" s="2" t="s">
        <v>4789</v>
      </c>
      <c r="BN240" s="2"/>
      <c r="BO240" s="2" t="s">
        <v>2170</v>
      </c>
      <c r="BP240" s="2"/>
      <c r="BQ240" s="2"/>
      <c r="BR240" s="2" t="s">
        <v>99</v>
      </c>
      <c r="BS240" s="2" t="s">
        <v>4790</v>
      </c>
      <c r="BT240" s="2" t="str">
        <f>HYPERLINK("https%3A%2F%2Fwww.webofscience.com%2Fwos%2Fwoscc%2Ffull-record%2FWOS:000272135600008","View Full Record in Web of Science")</f>
        <v>View Full Record in Web of Science</v>
      </c>
    </row>
    <row r="241" ht="64.5" customHeight="1">
      <c r="A241" s="2" t="s">
        <v>110</v>
      </c>
      <c r="B241" s="2" t="s">
        <v>4791</v>
      </c>
      <c r="C241" s="2"/>
      <c r="D241" s="2" t="s">
        <v>4792</v>
      </c>
      <c r="E241" s="2"/>
      <c r="F241" s="2" t="s">
        <v>4793</v>
      </c>
      <c r="G241" s="2"/>
      <c r="H241" s="2"/>
      <c r="I241" s="2" t="s">
        <v>4794</v>
      </c>
      <c r="J241" s="2" t="s">
        <v>4795</v>
      </c>
      <c r="K241" s="2"/>
      <c r="L241" s="2"/>
      <c r="M241" s="2" t="s">
        <v>116</v>
      </c>
      <c r="N241" s="2" t="s">
        <v>117</v>
      </c>
      <c r="O241" s="2" t="s">
        <v>4796</v>
      </c>
      <c r="P241" s="2" t="s">
        <v>4797</v>
      </c>
      <c r="Q241" s="2" t="s">
        <v>4798</v>
      </c>
      <c r="R241" s="2"/>
      <c r="S241" s="2"/>
      <c r="T241" s="2" t="s">
        <v>4799</v>
      </c>
      <c r="U241" s="2"/>
      <c r="V241" s="2" t="s">
        <v>4800</v>
      </c>
      <c r="W241" s="2" t="s">
        <v>4801</v>
      </c>
      <c r="X241" s="2" t="s">
        <v>4802</v>
      </c>
      <c r="Y241" s="2" t="s">
        <v>4803</v>
      </c>
      <c r="Z241" s="2" t="s">
        <v>4804</v>
      </c>
      <c r="AA241" s="2"/>
      <c r="AB241" s="2"/>
      <c r="AC241" s="2" t="s">
        <v>4805</v>
      </c>
      <c r="AD241" s="2" t="s">
        <v>4806</v>
      </c>
      <c r="AE241" s="2" t="s">
        <v>4807</v>
      </c>
      <c r="AF241" s="2" t="s">
        <v>4808</v>
      </c>
      <c r="AG241" s="2">
        <v>11.0</v>
      </c>
      <c r="AH241" s="2">
        <v>0.0</v>
      </c>
      <c r="AI241" s="2">
        <v>0.0</v>
      </c>
      <c r="AJ241" s="2">
        <v>0.0</v>
      </c>
      <c r="AK241" s="2">
        <v>1.0</v>
      </c>
      <c r="AL241" s="2" t="s">
        <v>4809</v>
      </c>
      <c r="AM241" s="2" t="s">
        <v>4810</v>
      </c>
      <c r="AN241" s="2" t="s">
        <v>4811</v>
      </c>
      <c r="AO241" s="2"/>
      <c r="AP241" s="2"/>
      <c r="AQ241" s="2" t="s">
        <v>4812</v>
      </c>
      <c r="AR241" s="2"/>
      <c r="AS241" s="2"/>
      <c r="AT241" s="2"/>
      <c r="AU241" s="2">
        <v>2018.0</v>
      </c>
      <c r="AV241" s="2"/>
      <c r="AW241" s="2"/>
      <c r="AX241" s="2"/>
      <c r="AY241" s="2"/>
      <c r="AZ241" s="2"/>
      <c r="BA241" s="2"/>
      <c r="BB241" s="2">
        <v>78.0</v>
      </c>
      <c r="BC241" s="2">
        <v>81.0</v>
      </c>
      <c r="BD241" s="2"/>
      <c r="BE241" s="2"/>
      <c r="BF241" s="2"/>
      <c r="BG241" s="2"/>
      <c r="BH241" s="2"/>
      <c r="BI241" s="2">
        <v>4.0</v>
      </c>
      <c r="BJ241" s="2" t="s">
        <v>2353</v>
      </c>
      <c r="BK241" s="2" t="s">
        <v>135</v>
      </c>
      <c r="BL241" s="2" t="s">
        <v>2354</v>
      </c>
      <c r="BM241" s="2" t="s">
        <v>4813</v>
      </c>
      <c r="BN241" s="2"/>
      <c r="BO241" s="2"/>
      <c r="BP241" s="2"/>
      <c r="BQ241" s="2"/>
      <c r="BR241" s="2" t="s">
        <v>99</v>
      </c>
      <c r="BS241" s="2" t="s">
        <v>4814</v>
      </c>
      <c r="BT241" s="2" t="str">
        <f>HYPERLINK("https%3A%2F%2Fwww.webofscience.com%2Fwos%2Fwoscc%2Ffull-record%2FWOS:000485101200016","View Full Record in Web of Science")</f>
        <v>View Full Record in Web of Science</v>
      </c>
    </row>
    <row r="242" ht="64.5" customHeight="1">
      <c r="A242" s="2" t="s">
        <v>72</v>
      </c>
      <c r="B242" s="2" t="s">
        <v>4815</v>
      </c>
      <c r="C242" s="2"/>
      <c r="D242" s="2"/>
      <c r="E242" s="2"/>
      <c r="F242" s="2" t="s">
        <v>4816</v>
      </c>
      <c r="G242" s="2"/>
      <c r="H242" s="2"/>
      <c r="I242" s="2" t="s">
        <v>4817</v>
      </c>
      <c r="J242" s="2" t="s">
        <v>370</v>
      </c>
      <c r="K242" s="2"/>
      <c r="L242" s="2"/>
      <c r="M242" s="2" t="s">
        <v>116</v>
      </c>
      <c r="N242" s="2" t="s">
        <v>78</v>
      </c>
      <c r="O242" s="2"/>
      <c r="P242" s="2"/>
      <c r="Q242" s="2"/>
      <c r="R242" s="2"/>
      <c r="S242" s="2"/>
      <c r="T242" s="2" t="s">
        <v>4818</v>
      </c>
      <c r="U242" s="2"/>
      <c r="V242" s="2" t="s">
        <v>4819</v>
      </c>
      <c r="W242" s="2" t="s">
        <v>4820</v>
      </c>
      <c r="X242" s="2" t="s">
        <v>4821</v>
      </c>
      <c r="Y242" s="2" t="s">
        <v>4822</v>
      </c>
      <c r="Z242" s="2" t="s">
        <v>4823</v>
      </c>
      <c r="AA242" s="2"/>
      <c r="AB242" s="2" t="s">
        <v>4824</v>
      </c>
      <c r="AC242" s="2" t="s">
        <v>4825</v>
      </c>
      <c r="AD242" s="2" t="s">
        <v>4826</v>
      </c>
      <c r="AE242" s="2" t="s">
        <v>4827</v>
      </c>
      <c r="AF242" s="2" t="s">
        <v>4828</v>
      </c>
      <c r="AG242" s="2">
        <v>119.0</v>
      </c>
      <c r="AH242" s="2">
        <v>8.0</v>
      </c>
      <c r="AI242" s="2">
        <v>8.0</v>
      </c>
      <c r="AJ242" s="2">
        <v>5.0</v>
      </c>
      <c r="AK242" s="2">
        <v>33.0</v>
      </c>
      <c r="AL242" s="2" t="s">
        <v>383</v>
      </c>
      <c r="AM242" s="2" t="s">
        <v>384</v>
      </c>
      <c r="AN242" s="2" t="s">
        <v>385</v>
      </c>
      <c r="AO242" s="2"/>
      <c r="AP242" s="2" t="s">
        <v>386</v>
      </c>
      <c r="AQ242" s="2"/>
      <c r="AR242" s="2" t="s">
        <v>387</v>
      </c>
      <c r="AS242" s="2" t="s">
        <v>388</v>
      </c>
      <c r="AT242" s="2" t="s">
        <v>1017</v>
      </c>
      <c r="AU242" s="2">
        <v>2021.0</v>
      </c>
      <c r="AV242" s="2">
        <v>13.0</v>
      </c>
      <c r="AW242" s="2">
        <v>3.0</v>
      </c>
      <c r="AX242" s="2"/>
      <c r="AY242" s="2"/>
      <c r="AZ242" s="2"/>
      <c r="BA242" s="2"/>
      <c r="BB242" s="2"/>
      <c r="BC242" s="2"/>
      <c r="BD242" s="2">
        <v>1449.0</v>
      </c>
      <c r="BE242" s="2" t="s">
        <v>4829</v>
      </c>
      <c r="BF242" s="3" t="str">
        <f>HYPERLINK("http://dx.doi.org/10.3390/su13031449","http://dx.doi.org/10.3390/su13031449")</f>
        <v>http://dx.doi.org/10.3390/su13031449</v>
      </c>
      <c r="BG242" s="2"/>
      <c r="BH242" s="2"/>
      <c r="BI242" s="2">
        <v>32.0</v>
      </c>
      <c r="BJ242" s="2" t="s">
        <v>390</v>
      </c>
      <c r="BK242" s="2" t="s">
        <v>363</v>
      </c>
      <c r="BL242" s="2" t="s">
        <v>391</v>
      </c>
      <c r="BM242" s="2" t="s">
        <v>4830</v>
      </c>
      <c r="BN242" s="2"/>
      <c r="BO242" s="2" t="s">
        <v>272</v>
      </c>
      <c r="BP242" s="2"/>
      <c r="BQ242" s="2"/>
      <c r="BR242" s="2" t="s">
        <v>99</v>
      </c>
      <c r="BS242" s="2" t="s">
        <v>4831</v>
      </c>
      <c r="BT242" s="2" t="str">
        <f>HYPERLINK("https%3A%2F%2Fwww.webofscience.com%2Fwos%2Fwoscc%2Ffull-record%2FWOS:000615646200001","View Full Record in Web of Science")</f>
        <v>View Full Record in Web of Science</v>
      </c>
    </row>
    <row r="243" ht="64.5" customHeight="1">
      <c r="A243" s="2" t="s">
        <v>72</v>
      </c>
      <c r="B243" s="2" t="s">
        <v>4832</v>
      </c>
      <c r="C243" s="2"/>
      <c r="D243" s="2"/>
      <c r="E243" s="2"/>
      <c r="F243" s="2" t="s">
        <v>4833</v>
      </c>
      <c r="G243" s="2"/>
      <c r="H243" s="2"/>
      <c r="I243" s="2" t="s">
        <v>4834</v>
      </c>
      <c r="J243" s="2" t="s">
        <v>623</v>
      </c>
      <c r="K243" s="2"/>
      <c r="L243" s="2"/>
      <c r="M243" s="2" t="s">
        <v>116</v>
      </c>
      <c r="N243" s="2" t="s">
        <v>78</v>
      </c>
      <c r="O243" s="2"/>
      <c r="P243" s="2"/>
      <c r="Q243" s="2"/>
      <c r="R243" s="2"/>
      <c r="S243" s="2"/>
      <c r="T243" s="2" t="s">
        <v>4835</v>
      </c>
      <c r="U243" s="2"/>
      <c r="V243" s="2" t="s">
        <v>4836</v>
      </c>
      <c r="W243" s="2" t="s">
        <v>4837</v>
      </c>
      <c r="X243" s="2" t="s">
        <v>4838</v>
      </c>
      <c r="Y243" s="2" t="s">
        <v>4839</v>
      </c>
      <c r="Z243" s="2" t="s">
        <v>4285</v>
      </c>
      <c r="AA243" s="2"/>
      <c r="AB243" s="2"/>
      <c r="AC243" s="2" t="s">
        <v>4840</v>
      </c>
      <c r="AD243" s="2" t="s">
        <v>4841</v>
      </c>
      <c r="AE243" s="2" t="s">
        <v>4842</v>
      </c>
      <c r="AF243" s="2" t="s">
        <v>4843</v>
      </c>
      <c r="AG243" s="2">
        <v>12.0</v>
      </c>
      <c r="AH243" s="2">
        <v>0.0</v>
      </c>
      <c r="AI243" s="2">
        <v>0.0</v>
      </c>
      <c r="AJ243" s="2">
        <v>1.0</v>
      </c>
      <c r="AK243" s="2">
        <v>20.0</v>
      </c>
      <c r="AL243" s="2" t="s">
        <v>629</v>
      </c>
      <c r="AM243" s="2" t="s">
        <v>630</v>
      </c>
      <c r="AN243" s="2" t="s">
        <v>631</v>
      </c>
      <c r="AO243" s="2" t="s">
        <v>632</v>
      </c>
      <c r="AP243" s="2" t="s">
        <v>633</v>
      </c>
      <c r="AQ243" s="2"/>
      <c r="AR243" s="2" t="s">
        <v>634</v>
      </c>
      <c r="AS243" s="2" t="s">
        <v>635</v>
      </c>
      <c r="AT243" s="2" t="s">
        <v>4844</v>
      </c>
      <c r="AU243" s="2">
        <v>2015.0</v>
      </c>
      <c r="AV243" s="2">
        <v>49.0</v>
      </c>
      <c r="AW243" s="2">
        <v>4.0</v>
      </c>
      <c r="AX243" s="2"/>
      <c r="AY243" s="2"/>
      <c r="AZ243" s="2"/>
      <c r="BA243" s="2"/>
      <c r="BB243" s="2">
        <v>86.0</v>
      </c>
      <c r="BC243" s="2">
        <v>98.0</v>
      </c>
      <c r="BD243" s="2"/>
      <c r="BE243" s="2" t="s">
        <v>4845</v>
      </c>
      <c r="BF243" s="3" t="str">
        <f>HYPERLINK("http://dx.doi.org/10.4031/MTSJ.49.4.7","http://dx.doi.org/10.4031/MTSJ.49.4.7")</f>
        <v>http://dx.doi.org/10.4031/MTSJ.49.4.7</v>
      </c>
      <c r="BG243" s="2"/>
      <c r="BH243" s="2"/>
      <c r="BI243" s="2">
        <v>13.0</v>
      </c>
      <c r="BJ243" s="2" t="s">
        <v>134</v>
      </c>
      <c r="BK243" s="2" t="s">
        <v>226</v>
      </c>
      <c r="BL243" s="2" t="s">
        <v>136</v>
      </c>
      <c r="BM243" s="2" t="s">
        <v>4846</v>
      </c>
      <c r="BN243" s="2"/>
      <c r="BO243" s="2" t="s">
        <v>201</v>
      </c>
      <c r="BP243" s="2"/>
      <c r="BQ243" s="2"/>
      <c r="BR243" s="2" t="s">
        <v>99</v>
      </c>
      <c r="BS243" s="2" t="s">
        <v>4847</v>
      </c>
      <c r="BT243" s="2" t="str">
        <f>HYPERLINK("https%3A%2F%2Fwww.webofscience.com%2Fwos%2Fwoscc%2Ffull-record%2FWOS:000361344000013","View Full Record in Web of Science")</f>
        <v>View Full Record in Web of Science</v>
      </c>
    </row>
    <row r="244" ht="64.5" customHeight="1">
      <c r="A244" s="2" t="s">
        <v>72</v>
      </c>
      <c r="B244" s="2" t="s">
        <v>4848</v>
      </c>
      <c r="C244" s="2"/>
      <c r="D244" s="2"/>
      <c r="E244" s="2"/>
      <c r="F244" s="2" t="s">
        <v>4849</v>
      </c>
      <c r="G244" s="2"/>
      <c r="H244" s="2"/>
      <c r="I244" s="2" t="s">
        <v>4850</v>
      </c>
      <c r="J244" s="2" t="s">
        <v>4851</v>
      </c>
      <c r="K244" s="2"/>
      <c r="L244" s="2"/>
      <c r="M244" s="2" t="s">
        <v>116</v>
      </c>
      <c r="N244" s="2" t="s">
        <v>78</v>
      </c>
      <c r="O244" s="2"/>
      <c r="P244" s="2"/>
      <c r="Q244" s="2"/>
      <c r="R244" s="2"/>
      <c r="S244" s="2"/>
      <c r="T244" s="4" t="s">
        <v>121</v>
      </c>
      <c r="U244" s="2" t="s">
        <v>4852</v>
      </c>
      <c r="V244" s="2" t="s">
        <v>4853</v>
      </c>
      <c r="W244" s="2" t="s">
        <v>4854</v>
      </c>
      <c r="X244" s="2" t="s">
        <v>4855</v>
      </c>
      <c r="Y244" s="2" t="s">
        <v>4856</v>
      </c>
      <c r="Z244" s="2" t="s">
        <v>4857</v>
      </c>
      <c r="AA244" s="2" t="s">
        <v>4858</v>
      </c>
      <c r="AB244" s="2" t="s">
        <v>4859</v>
      </c>
      <c r="AC244" s="2" t="s">
        <v>4860</v>
      </c>
      <c r="AD244" s="2" t="s">
        <v>4861</v>
      </c>
      <c r="AE244" s="2" t="s">
        <v>4862</v>
      </c>
      <c r="AF244" s="2" t="s">
        <v>4863</v>
      </c>
      <c r="AG244" s="2">
        <v>108.0</v>
      </c>
      <c r="AH244" s="2">
        <v>33.0</v>
      </c>
      <c r="AI244" s="2">
        <v>33.0</v>
      </c>
      <c r="AJ244" s="2">
        <v>7.0</v>
      </c>
      <c r="AK244" s="2">
        <v>58.0</v>
      </c>
      <c r="AL244" s="2" t="s">
        <v>4864</v>
      </c>
      <c r="AM244" s="2" t="s">
        <v>4865</v>
      </c>
      <c r="AN244" s="2" t="s">
        <v>4866</v>
      </c>
      <c r="AO244" s="2" t="s">
        <v>4867</v>
      </c>
      <c r="AP244" s="2" t="s">
        <v>4868</v>
      </c>
      <c r="AQ244" s="2"/>
      <c r="AR244" s="2" t="s">
        <v>4869</v>
      </c>
      <c r="AS244" s="2" t="s">
        <v>4870</v>
      </c>
      <c r="AT244" s="2" t="s">
        <v>292</v>
      </c>
      <c r="AU244" s="2">
        <v>2021.0</v>
      </c>
      <c r="AV244" s="2">
        <v>11.0</v>
      </c>
      <c r="AW244" s="2">
        <v>11.0</v>
      </c>
      <c r="AX244" s="2"/>
      <c r="AY244" s="2"/>
      <c r="AZ244" s="2"/>
      <c r="BA244" s="2"/>
      <c r="BB244" s="2">
        <v>937.0</v>
      </c>
      <c r="BC244" s="2" t="s">
        <v>1458</v>
      </c>
      <c r="BD244" s="2"/>
      <c r="BE244" s="2" t="s">
        <v>4871</v>
      </c>
      <c r="BF244" s="3" t="str">
        <f>HYPERLINK("http://dx.doi.org/10.1038/s41558-021-01171-x","http://dx.doi.org/10.1038/s41558-021-01171-x")</f>
        <v>http://dx.doi.org/10.1038/s41558-021-01171-x</v>
      </c>
      <c r="BG244" s="2"/>
      <c r="BH244" s="2" t="s">
        <v>4872</v>
      </c>
      <c r="BI244" s="2">
        <v>12.0</v>
      </c>
      <c r="BJ244" s="2" t="s">
        <v>1375</v>
      </c>
      <c r="BK244" s="2" t="s">
        <v>363</v>
      </c>
      <c r="BL244" s="2" t="s">
        <v>1376</v>
      </c>
      <c r="BM244" s="2" t="s">
        <v>4873</v>
      </c>
      <c r="BN244" s="2"/>
      <c r="BO244" s="2"/>
      <c r="BP244" s="2"/>
      <c r="BQ244" s="2"/>
      <c r="BR244" s="2" t="s">
        <v>99</v>
      </c>
      <c r="BS244" s="2" t="s">
        <v>4874</v>
      </c>
      <c r="BT244" s="2" t="str">
        <f>HYPERLINK("https%3A%2F%2Fwww.webofscience.com%2Fwos%2Fwoscc%2Ffull-record%2FWOS:000705748000003","View Full Record in Web of Science")</f>
        <v>View Full Record in Web of Science</v>
      </c>
    </row>
    <row r="245" ht="64.5" customHeight="1">
      <c r="A245" s="2" t="s">
        <v>72</v>
      </c>
      <c r="B245" s="2" t="s">
        <v>4875</v>
      </c>
      <c r="C245" s="2"/>
      <c r="D245" s="2"/>
      <c r="E245" s="2"/>
      <c r="F245" s="2" t="s">
        <v>4876</v>
      </c>
      <c r="G245" s="2"/>
      <c r="H245" s="2"/>
      <c r="I245" s="2" t="s">
        <v>4877</v>
      </c>
      <c r="J245" s="2" t="s">
        <v>4020</v>
      </c>
      <c r="K245" s="2"/>
      <c r="L245" s="2"/>
      <c r="M245" s="2" t="s">
        <v>116</v>
      </c>
      <c r="N245" s="2" t="s">
        <v>78</v>
      </c>
      <c r="O245" s="2"/>
      <c r="P245" s="2"/>
      <c r="Q245" s="2"/>
      <c r="R245" s="2"/>
      <c r="S245" s="2"/>
      <c r="T245" s="2" t="s">
        <v>4878</v>
      </c>
      <c r="U245" s="2" t="s">
        <v>4879</v>
      </c>
      <c r="V245" s="2" t="s">
        <v>4880</v>
      </c>
      <c r="W245" s="2" t="s">
        <v>4881</v>
      </c>
      <c r="X245" s="2" t="s">
        <v>4882</v>
      </c>
      <c r="Y245" s="2" t="s">
        <v>4883</v>
      </c>
      <c r="Z245" s="2" t="s">
        <v>4884</v>
      </c>
      <c r="AA245" s="2"/>
      <c r="AB245" s="2" t="s">
        <v>4885</v>
      </c>
      <c r="AC245" s="2"/>
      <c r="AD245" s="2"/>
      <c r="AE245" s="2"/>
      <c r="AF245" s="2" t="s">
        <v>4886</v>
      </c>
      <c r="AG245" s="2">
        <v>34.0</v>
      </c>
      <c r="AH245" s="2">
        <v>0.0</v>
      </c>
      <c r="AI245" s="2">
        <v>0.0</v>
      </c>
      <c r="AJ245" s="2">
        <v>0.0</v>
      </c>
      <c r="AK245" s="2">
        <v>0.0</v>
      </c>
      <c r="AL245" s="2" t="s">
        <v>4027</v>
      </c>
      <c r="AM245" s="2" t="s">
        <v>4028</v>
      </c>
      <c r="AN245" s="2" t="s">
        <v>4887</v>
      </c>
      <c r="AO245" s="2" t="s">
        <v>4030</v>
      </c>
      <c r="AP245" s="2" t="s">
        <v>4031</v>
      </c>
      <c r="AQ245" s="2"/>
      <c r="AR245" s="2" t="s">
        <v>4032</v>
      </c>
      <c r="AS245" s="2" t="s">
        <v>4033</v>
      </c>
      <c r="AT245" s="2" t="s">
        <v>453</v>
      </c>
      <c r="AU245" s="2">
        <v>2023.0</v>
      </c>
      <c r="AV245" s="2">
        <v>104.0</v>
      </c>
      <c r="AW245" s="2">
        <v>1.0</v>
      </c>
      <c r="AX245" s="2"/>
      <c r="AY245" s="2"/>
      <c r="AZ245" s="2"/>
      <c r="BA245" s="2"/>
      <c r="BB245" s="2" t="s">
        <v>4888</v>
      </c>
      <c r="BC245" s="2" t="s">
        <v>4889</v>
      </c>
      <c r="BD245" s="2"/>
      <c r="BE245" s="2" t="s">
        <v>4890</v>
      </c>
      <c r="BF245" s="3" t="str">
        <f>HYPERLINK("http://dx.doi.org/10.1175/BAMS-D-22-0003.1","http://dx.doi.org/10.1175/BAMS-D-22-0003.1")</f>
        <v>http://dx.doi.org/10.1175/BAMS-D-22-0003.1</v>
      </c>
      <c r="BG245" s="2"/>
      <c r="BH245" s="2"/>
      <c r="BI245" s="2">
        <v>8.0</v>
      </c>
      <c r="BJ245" s="2" t="s">
        <v>4037</v>
      </c>
      <c r="BK245" s="2" t="s">
        <v>226</v>
      </c>
      <c r="BL245" s="2" t="s">
        <v>4037</v>
      </c>
      <c r="BM245" s="2" t="s">
        <v>4891</v>
      </c>
      <c r="BN245" s="2"/>
      <c r="BO245" s="2" t="s">
        <v>2170</v>
      </c>
      <c r="BP245" s="2"/>
      <c r="BQ245" s="2"/>
      <c r="BR245" s="2" t="s">
        <v>99</v>
      </c>
      <c r="BS245" s="2" t="s">
        <v>4892</v>
      </c>
      <c r="BT245" s="2" t="str">
        <f>HYPERLINK("https%3A%2F%2Fwww.webofscience.com%2Fwos%2Fwoscc%2Ffull-record%2FWOS:000941335600015","View Full Record in Web of Science")</f>
        <v>View Full Record in Web of Science</v>
      </c>
    </row>
    <row r="246" ht="64.5" customHeight="1">
      <c r="A246" s="2" t="s">
        <v>110</v>
      </c>
      <c r="B246" s="2" t="s">
        <v>4893</v>
      </c>
      <c r="C246" s="2"/>
      <c r="D246" s="2"/>
      <c r="E246" s="2" t="s">
        <v>129</v>
      </c>
      <c r="F246" s="2" t="s">
        <v>4894</v>
      </c>
      <c r="G246" s="2"/>
      <c r="H246" s="2"/>
      <c r="I246" s="2" t="s">
        <v>4895</v>
      </c>
      <c r="J246" s="2" t="s">
        <v>4896</v>
      </c>
      <c r="K246" s="2" t="s">
        <v>115</v>
      </c>
      <c r="L246" s="2"/>
      <c r="M246" s="2" t="s">
        <v>116</v>
      </c>
      <c r="N246" s="2" t="s">
        <v>117</v>
      </c>
      <c r="O246" s="2" t="s">
        <v>4897</v>
      </c>
      <c r="P246" s="2" t="s">
        <v>4898</v>
      </c>
      <c r="Q246" s="2" t="s">
        <v>120</v>
      </c>
      <c r="R246" s="2"/>
      <c r="S246" s="2"/>
      <c r="T246" s="4" t="s">
        <v>121</v>
      </c>
      <c r="U246" s="2" t="s">
        <v>4899</v>
      </c>
      <c r="V246" s="2" t="s">
        <v>4900</v>
      </c>
      <c r="W246" s="2" t="s">
        <v>4901</v>
      </c>
      <c r="X246" s="2" t="s">
        <v>4902</v>
      </c>
      <c r="Y246" s="2" t="s">
        <v>4903</v>
      </c>
      <c r="Z246" s="2"/>
      <c r="AA246" s="2"/>
      <c r="AB246" s="2"/>
      <c r="AC246" s="2"/>
      <c r="AD246" s="2"/>
      <c r="AE246" s="2"/>
      <c r="AF246" s="2" t="s">
        <v>4904</v>
      </c>
      <c r="AG246" s="2">
        <v>52.0</v>
      </c>
      <c r="AH246" s="2">
        <v>2.0</v>
      </c>
      <c r="AI246" s="2">
        <v>2.0</v>
      </c>
      <c r="AJ246" s="2">
        <v>0.0</v>
      </c>
      <c r="AK246" s="2">
        <v>0.0</v>
      </c>
      <c r="AL246" s="2" t="s">
        <v>129</v>
      </c>
      <c r="AM246" s="2" t="s">
        <v>130</v>
      </c>
      <c r="AN246" s="2" t="s">
        <v>131</v>
      </c>
      <c r="AO246" s="2" t="s">
        <v>132</v>
      </c>
      <c r="AP246" s="2"/>
      <c r="AQ246" s="2" t="s">
        <v>4905</v>
      </c>
      <c r="AR246" s="2" t="s">
        <v>115</v>
      </c>
      <c r="AS246" s="2"/>
      <c r="AT246" s="2"/>
      <c r="AU246" s="2">
        <v>2015.0</v>
      </c>
      <c r="AV246" s="2"/>
      <c r="AW246" s="2"/>
      <c r="AX246" s="2"/>
      <c r="AY246" s="2"/>
      <c r="AZ246" s="2"/>
      <c r="BA246" s="2"/>
      <c r="BB246" s="2"/>
      <c r="BC246" s="2"/>
      <c r="BD246" s="2"/>
      <c r="BE246" s="2"/>
      <c r="BF246" s="2"/>
      <c r="BG246" s="2"/>
      <c r="BH246" s="2"/>
      <c r="BI246" s="2">
        <v>9.0</v>
      </c>
      <c r="BJ246" s="2" t="s">
        <v>4906</v>
      </c>
      <c r="BK246" s="2" t="s">
        <v>135</v>
      </c>
      <c r="BL246" s="2" t="s">
        <v>136</v>
      </c>
      <c r="BM246" s="2" t="s">
        <v>4907</v>
      </c>
      <c r="BN246" s="2"/>
      <c r="BO246" s="2"/>
      <c r="BP246" s="2"/>
      <c r="BQ246" s="2"/>
      <c r="BR246" s="2" t="s">
        <v>99</v>
      </c>
      <c r="BS246" s="2" t="s">
        <v>4908</v>
      </c>
      <c r="BT246" s="2" t="str">
        <f>HYPERLINK("https%3A%2F%2Fwww.webofscience.com%2Fwos%2Fwoscc%2Ffull-record%2FWOS:000380550000425","View Full Record in Web of Science")</f>
        <v>View Full Record in Web of Science</v>
      </c>
    </row>
    <row r="247" ht="64.5" customHeight="1">
      <c r="A247" s="2" t="s">
        <v>72</v>
      </c>
      <c r="B247" s="2" t="s">
        <v>4909</v>
      </c>
      <c r="C247" s="2"/>
      <c r="D247" s="2"/>
      <c r="E247" s="2"/>
      <c r="F247" s="2" t="s">
        <v>4910</v>
      </c>
      <c r="G247" s="2"/>
      <c r="H247" s="2"/>
      <c r="I247" s="2" t="s">
        <v>4911</v>
      </c>
      <c r="J247" s="2" t="s">
        <v>370</v>
      </c>
      <c r="K247" s="2"/>
      <c r="L247" s="2"/>
      <c r="M247" s="2" t="s">
        <v>116</v>
      </c>
      <c r="N247" s="2" t="s">
        <v>643</v>
      </c>
      <c r="O247" s="2"/>
      <c r="P247" s="2"/>
      <c r="Q247" s="2"/>
      <c r="R247" s="2"/>
      <c r="S247" s="2"/>
      <c r="T247" s="2" t="s">
        <v>4912</v>
      </c>
      <c r="U247" s="2" t="s">
        <v>4913</v>
      </c>
      <c r="V247" s="2" t="s">
        <v>4914</v>
      </c>
      <c r="W247" s="2" t="s">
        <v>4915</v>
      </c>
      <c r="X247" s="2" t="s">
        <v>4916</v>
      </c>
      <c r="Y247" s="2" t="s">
        <v>4917</v>
      </c>
      <c r="Z247" s="2" t="s">
        <v>4918</v>
      </c>
      <c r="AA247" s="2" t="s">
        <v>4919</v>
      </c>
      <c r="AB247" s="2" t="s">
        <v>4920</v>
      </c>
      <c r="AC247" s="2"/>
      <c r="AD247" s="2"/>
      <c r="AE247" s="2"/>
      <c r="AF247" s="2" t="s">
        <v>4921</v>
      </c>
      <c r="AG247" s="2">
        <v>214.0</v>
      </c>
      <c r="AH247" s="2">
        <v>14.0</v>
      </c>
      <c r="AI247" s="2">
        <v>15.0</v>
      </c>
      <c r="AJ247" s="2">
        <v>11.0</v>
      </c>
      <c r="AK247" s="2">
        <v>46.0</v>
      </c>
      <c r="AL247" s="2" t="s">
        <v>383</v>
      </c>
      <c r="AM247" s="2" t="s">
        <v>384</v>
      </c>
      <c r="AN247" s="2" t="s">
        <v>385</v>
      </c>
      <c r="AO247" s="2"/>
      <c r="AP247" s="2" t="s">
        <v>386</v>
      </c>
      <c r="AQ247" s="2"/>
      <c r="AR247" s="2" t="s">
        <v>387</v>
      </c>
      <c r="AS247" s="2" t="s">
        <v>388</v>
      </c>
      <c r="AT247" s="2" t="s">
        <v>195</v>
      </c>
      <c r="AU247" s="2">
        <v>2022.0</v>
      </c>
      <c r="AV247" s="2">
        <v>14.0</v>
      </c>
      <c r="AW247" s="2">
        <v>7.0</v>
      </c>
      <c r="AX247" s="2"/>
      <c r="AY247" s="2"/>
      <c r="AZ247" s="2"/>
      <c r="BA247" s="2"/>
      <c r="BB247" s="2"/>
      <c r="BC247" s="2"/>
      <c r="BD247" s="2">
        <v>4194.0</v>
      </c>
      <c r="BE247" s="2" t="s">
        <v>4922</v>
      </c>
      <c r="BF247" s="3" t="str">
        <f>HYPERLINK("http://dx.doi.org/10.3390/su14074194","http://dx.doi.org/10.3390/su14074194")</f>
        <v>http://dx.doi.org/10.3390/su14074194</v>
      </c>
      <c r="BG247" s="2"/>
      <c r="BH247" s="2"/>
      <c r="BI247" s="2">
        <v>44.0</v>
      </c>
      <c r="BJ247" s="2" t="s">
        <v>390</v>
      </c>
      <c r="BK247" s="2" t="s">
        <v>363</v>
      </c>
      <c r="BL247" s="2" t="s">
        <v>391</v>
      </c>
      <c r="BM247" s="2" t="s">
        <v>4923</v>
      </c>
      <c r="BN247" s="2"/>
      <c r="BO247" s="2" t="s">
        <v>272</v>
      </c>
      <c r="BP247" s="2"/>
      <c r="BQ247" s="2"/>
      <c r="BR247" s="2" t="s">
        <v>99</v>
      </c>
      <c r="BS247" s="2" t="s">
        <v>4924</v>
      </c>
      <c r="BT247" s="2" t="str">
        <f>HYPERLINK("https%3A%2F%2Fwww.webofscience.com%2Fwos%2Fwoscc%2Ffull-record%2FWOS:000780600500001","View Full Record in Web of Science")</f>
        <v>View Full Record in Web of Science</v>
      </c>
    </row>
    <row r="248" ht="64.5" customHeight="1">
      <c r="A248" s="2" t="s">
        <v>72</v>
      </c>
      <c r="B248" s="2" t="s">
        <v>4925</v>
      </c>
      <c r="C248" s="2"/>
      <c r="D248" s="2"/>
      <c r="E248" s="2"/>
      <c r="F248" s="2" t="s">
        <v>4926</v>
      </c>
      <c r="G248" s="2"/>
      <c r="H248" s="2"/>
      <c r="I248" s="2" t="s">
        <v>4927</v>
      </c>
      <c r="J248" s="2" t="s">
        <v>4928</v>
      </c>
      <c r="K248" s="2"/>
      <c r="L248" s="2"/>
      <c r="M248" s="2" t="s">
        <v>116</v>
      </c>
      <c r="N248" s="2" t="s">
        <v>78</v>
      </c>
      <c r="O248" s="2"/>
      <c r="P248" s="2"/>
      <c r="Q248" s="2"/>
      <c r="R248" s="2"/>
      <c r="S248" s="2"/>
      <c r="T248" s="2" t="s">
        <v>4929</v>
      </c>
      <c r="U248" s="2" t="s">
        <v>4930</v>
      </c>
      <c r="V248" s="2" t="s">
        <v>4931</v>
      </c>
      <c r="W248" s="2" t="s">
        <v>4932</v>
      </c>
      <c r="X248" s="2" t="s">
        <v>4933</v>
      </c>
      <c r="Y248" s="2" t="s">
        <v>4934</v>
      </c>
      <c r="Z248" s="2" t="s">
        <v>4935</v>
      </c>
      <c r="AA248" s="2" t="s">
        <v>4936</v>
      </c>
      <c r="AB248" s="2" t="s">
        <v>4937</v>
      </c>
      <c r="AC248" s="2" t="s">
        <v>4938</v>
      </c>
      <c r="AD248" s="2" t="s">
        <v>4939</v>
      </c>
      <c r="AE248" s="2" t="s">
        <v>4940</v>
      </c>
      <c r="AF248" s="2" t="s">
        <v>4941</v>
      </c>
      <c r="AG248" s="2">
        <v>34.0</v>
      </c>
      <c r="AH248" s="2">
        <v>2.0</v>
      </c>
      <c r="AI248" s="2">
        <v>2.0</v>
      </c>
      <c r="AJ248" s="2">
        <v>1.0</v>
      </c>
      <c r="AK248" s="2">
        <v>2.0</v>
      </c>
      <c r="AL248" s="2" t="s">
        <v>216</v>
      </c>
      <c r="AM248" s="2" t="s">
        <v>189</v>
      </c>
      <c r="AN248" s="2" t="s">
        <v>217</v>
      </c>
      <c r="AO248" s="2" t="s">
        <v>4942</v>
      </c>
      <c r="AP248" s="2" t="s">
        <v>4943</v>
      </c>
      <c r="AQ248" s="2"/>
      <c r="AR248" s="2" t="s">
        <v>4944</v>
      </c>
      <c r="AS248" s="2" t="s">
        <v>4945</v>
      </c>
      <c r="AT248" s="2" t="s">
        <v>4946</v>
      </c>
      <c r="AU248" s="2">
        <v>2022.0</v>
      </c>
      <c r="AV248" s="2">
        <v>244.0</v>
      </c>
      <c r="AW248" s="2"/>
      <c r="AX248" s="2"/>
      <c r="AY248" s="2"/>
      <c r="AZ248" s="2"/>
      <c r="BA248" s="2"/>
      <c r="BB248" s="2"/>
      <c r="BC248" s="2"/>
      <c r="BD248" s="2">
        <v>104805.0</v>
      </c>
      <c r="BE248" s="2" t="s">
        <v>4947</v>
      </c>
      <c r="BF248" s="3" t="str">
        <f>HYPERLINK("http://dx.doi.org/10.1016/j.csr.2022.104805","http://dx.doi.org/10.1016/j.csr.2022.104805")</f>
        <v>http://dx.doi.org/10.1016/j.csr.2022.104805</v>
      </c>
      <c r="BG248" s="2"/>
      <c r="BH248" s="2" t="s">
        <v>2244</v>
      </c>
      <c r="BI248" s="2">
        <v>7.0</v>
      </c>
      <c r="BJ248" s="2" t="s">
        <v>4584</v>
      </c>
      <c r="BK248" s="2" t="s">
        <v>226</v>
      </c>
      <c r="BL248" s="2" t="s">
        <v>4584</v>
      </c>
      <c r="BM248" s="2" t="s">
        <v>4948</v>
      </c>
      <c r="BN248" s="2"/>
      <c r="BO248" s="2"/>
      <c r="BP248" s="2"/>
      <c r="BQ248" s="2"/>
      <c r="BR248" s="2" t="s">
        <v>99</v>
      </c>
      <c r="BS248" s="2" t="s">
        <v>4949</v>
      </c>
      <c r="BT248" s="2" t="str">
        <f>HYPERLINK("https%3A%2F%2Fwww.webofscience.com%2Fwos%2Fwoscc%2Ffull-record%2FWOS:000834013300001","View Full Record in Web of Science")</f>
        <v>View Full Record in Web of Science</v>
      </c>
    </row>
    <row r="249" ht="64.5" customHeight="1">
      <c r="A249" s="2" t="s">
        <v>72</v>
      </c>
      <c r="B249" s="2" t="s">
        <v>4950</v>
      </c>
      <c r="C249" s="2"/>
      <c r="D249" s="2"/>
      <c r="E249" s="2"/>
      <c r="F249" s="2" t="s">
        <v>4951</v>
      </c>
      <c r="G249" s="2"/>
      <c r="H249" s="2"/>
      <c r="I249" s="2" t="s">
        <v>4952</v>
      </c>
      <c r="J249" s="2" t="s">
        <v>4529</v>
      </c>
      <c r="K249" s="2"/>
      <c r="L249" s="2"/>
      <c r="M249" s="2" t="s">
        <v>116</v>
      </c>
      <c r="N249" s="2" t="s">
        <v>78</v>
      </c>
      <c r="O249" s="2"/>
      <c r="P249" s="2"/>
      <c r="Q249" s="2"/>
      <c r="R249" s="2"/>
      <c r="S249" s="2"/>
      <c r="T249" s="2" t="s">
        <v>4953</v>
      </c>
      <c r="U249" s="2"/>
      <c r="V249" s="2" t="s">
        <v>4954</v>
      </c>
      <c r="W249" s="2" t="s">
        <v>4955</v>
      </c>
      <c r="X249" s="2" t="s">
        <v>4956</v>
      </c>
      <c r="Y249" s="2" t="s">
        <v>4957</v>
      </c>
      <c r="Z249" s="2" t="s">
        <v>4958</v>
      </c>
      <c r="AA249" s="2"/>
      <c r="AB249" s="2" t="s">
        <v>4959</v>
      </c>
      <c r="AC249" s="2"/>
      <c r="AD249" s="2"/>
      <c r="AE249" s="2"/>
      <c r="AF249" s="2" t="s">
        <v>4960</v>
      </c>
      <c r="AG249" s="2">
        <v>61.0</v>
      </c>
      <c r="AH249" s="2">
        <v>0.0</v>
      </c>
      <c r="AI249" s="2">
        <v>0.0</v>
      </c>
      <c r="AJ249" s="2">
        <v>3.0</v>
      </c>
      <c r="AK249" s="2">
        <v>14.0</v>
      </c>
      <c r="AL249" s="2" t="s">
        <v>4539</v>
      </c>
      <c r="AM249" s="2" t="s">
        <v>4540</v>
      </c>
      <c r="AN249" s="2" t="s">
        <v>4541</v>
      </c>
      <c r="AO249" s="2"/>
      <c r="AP249" s="2" t="s">
        <v>4542</v>
      </c>
      <c r="AQ249" s="2"/>
      <c r="AR249" s="2" t="s">
        <v>4543</v>
      </c>
      <c r="AS249" s="2" t="s">
        <v>4544</v>
      </c>
      <c r="AT249" s="2"/>
      <c r="AU249" s="2">
        <v>2023.0</v>
      </c>
      <c r="AV249" s="2">
        <v>71.0</v>
      </c>
      <c r="AW249" s="2"/>
      <c r="AX249" s="2"/>
      <c r="AY249" s="2"/>
      <c r="AZ249" s="2"/>
      <c r="BA249" s="2"/>
      <c r="BB249" s="2"/>
      <c r="BC249" s="2"/>
      <c r="BD249" s="2" t="s">
        <v>4961</v>
      </c>
      <c r="BE249" s="2" t="s">
        <v>4962</v>
      </c>
      <c r="BF249" s="3" t="str">
        <f>HYPERLINK("http://dx.doi.org/10.1590/2675-2824071.22113cc","http://dx.doi.org/10.1590/2675-2824071.22113cc")</f>
        <v>http://dx.doi.org/10.1590/2675-2824071.22113cc</v>
      </c>
      <c r="BG249" s="2"/>
      <c r="BH249" s="2"/>
      <c r="BI249" s="2">
        <v>14.0</v>
      </c>
      <c r="BJ249" s="2" t="s">
        <v>4546</v>
      </c>
      <c r="BK249" s="2" t="s">
        <v>226</v>
      </c>
      <c r="BL249" s="2" t="s">
        <v>4546</v>
      </c>
      <c r="BM249" s="2" t="s">
        <v>4963</v>
      </c>
      <c r="BN249" s="2"/>
      <c r="BO249" s="2" t="s">
        <v>255</v>
      </c>
      <c r="BP249" s="2"/>
      <c r="BQ249" s="2"/>
      <c r="BR249" s="2" t="s">
        <v>99</v>
      </c>
      <c r="BS249" s="2" t="s">
        <v>4964</v>
      </c>
      <c r="BT249" s="2" t="str">
        <f>HYPERLINK("https%3A%2F%2Fwww.webofscience.com%2Fwos%2Fwoscc%2Ffull-record%2FWOS:000969961000001","View Full Record in Web of Science")</f>
        <v>View Full Record in Web of Science</v>
      </c>
    </row>
    <row r="250" ht="64.5" customHeight="1">
      <c r="A250" s="2" t="s">
        <v>72</v>
      </c>
      <c r="B250" s="2" t="s">
        <v>4965</v>
      </c>
      <c r="C250" s="2"/>
      <c r="D250" s="2"/>
      <c r="E250" s="2"/>
      <c r="F250" s="2" t="s">
        <v>4966</v>
      </c>
      <c r="G250" s="2"/>
      <c r="H250" s="2"/>
      <c r="I250" s="2" t="s">
        <v>4967</v>
      </c>
      <c r="J250" s="2" t="s">
        <v>142</v>
      </c>
      <c r="K250" s="2"/>
      <c r="L250" s="2"/>
      <c r="M250" s="2" t="s">
        <v>116</v>
      </c>
      <c r="N250" s="2" t="s">
        <v>78</v>
      </c>
      <c r="O250" s="2"/>
      <c r="P250" s="2"/>
      <c r="Q250" s="2"/>
      <c r="R250" s="2"/>
      <c r="S250" s="2"/>
      <c r="T250" s="2" t="s">
        <v>4968</v>
      </c>
      <c r="U250" s="2" t="s">
        <v>4969</v>
      </c>
      <c r="V250" s="2" t="s">
        <v>4970</v>
      </c>
      <c r="W250" s="2" t="s">
        <v>4971</v>
      </c>
      <c r="X250" s="2" t="s">
        <v>4972</v>
      </c>
      <c r="Y250" s="2" t="s">
        <v>4973</v>
      </c>
      <c r="Z250" s="2" t="s">
        <v>4974</v>
      </c>
      <c r="AA250" s="2" t="s">
        <v>2269</v>
      </c>
      <c r="AB250" s="2" t="s">
        <v>2270</v>
      </c>
      <c r="AC250" s="2" t="s">
        <v>4975</v>
      </c>
      <c r="AD250" s="2" t="s">
        <v>4976</v>
      </c>
      <c r="AE250" s="2" t="s">
        <v>4977</v>
      </c>
      <c r="AF250" s="2" t="s">
        <v>4978</v>
      </c>
      <c r="AG250" s="2">
        <v>42.0</v>
      </c>
      <c r="AH250" s="2">
        <v>15.0</v>
      </c>
      <c r="AI250" s="2">
        <v>15.0</v>
      </c>
      <c r="AJ250" s="2">
        <v>3.0</v>
      </c>
      <c r="AK250" s="2">
        <v>18.0</v>
      </c>
      <c r="AL250" s="2" t="s">
        <v>156</v>
      </c>
      <c r="AM250" s="2" t="s">
        <v>157</v>
      </c>
      <c r="AN250" s="2" t="s">
        <v>158</v>
      </c>
      <c r="AO250" s="2" t="s">
        <v>159</v>
      </c>
      <c r="AP250" s="2" t="s">
        <v>160</v>
      </c>
      <c r="AQ250" s="2"/>
      <c r="AR250" s="2" t="s">
        <v>161</v>
      </c>
      <c r="AS250" s="2" t="s">
        <v>162</v>
      </c>
      <c r="AT250" s="2"/>
      <c r="AU250" s="2">
        <v>2017.0</v>
      </c>
      <c r="AV250" s="2">
        <v>23.0</v>
      </c>
      <c r="AW250" s="2">
        <v>6.0</v>
      </c>
      <c r="AX250" s="2"/>
      <c r="AY250" s="2"/>
      <c r="AZ250" s="2"/>
      <c r="BA250" s="2"/>
      <c r="BB250" s="2">
        <v>855.0</v>
      </c>
      <c r="BC250" s="2">
        <v>873.0</v>
      </c>
      <c r="BD250" s="2"/>
      <c r="BE250" s="2" t="s">
        <v>4979</v>
      </c>
      <c r="BF250" s="3" t="str">
        <f>HYPERLINK("http://dx.doi.org/10.1080/13504622.2015.1068276","http://dx.doi.org/10.1080/13504622.2015.1068276")</f>
        <v>http://dx.doi.org/10.1080/13504622.2015.1068276</v>
      </c>
      <c r="BG250" s="2"/>
      <c r="BH250" s="2"/>
      <c r="BI250" s="2">
        <v>19.0</v>
      </c>
      <c r="BJ250" s="2" t="s">
        <v>165</v>
      </c>
      <c r="BK250" s="2" t="s">
        <v>166</v>
      </c>
      <c r="BL250" s="2" t="s">
        <v>167</v>
      </c>
      <c r="BM250" s="2" t="s">
        <v>3712</v>
      </c>
      <c r="BN250" s="2"/>
      <c r="BO250" s="2"/>
      <c r="BP250" s="2"/>
      <c r="BQ250" s="2"/>
      <c r="BR250" s="2" t="s">
        <v>99</v>
      </c>
      <c r="BS250" s="2" t="s">
        <v>4980</v>
      </c>
      <c r="BT250" s="2" t="str">
        <f>HYPERLINK("https%3A%2F%2Fwww.webofscience.com%2Fwos%2Fwoscc%2Ffull-record%2FWOS:000402603700006","View Full Record in Web of Science")</f>
        <v>View Full Record in Web of Science</v>
      </c>
    </row>
    <row r="251" ht="64.5" customHeight="1">
      <c r="A251" s="2" t="s">
        <v>72</v>
      </c>
      <c r="B251" s="2" t="s">
        <v>4981</v>
      </c>
      <c r="C251" s="2"/>
      <c r="D251" s="2"/>
      <c r="E251" s="2"/>
      <c r="F251" s="2" t="s">
        <v>4982</v>
      </c>
      <c r="G251" s="2"/>
      <c r="H251" s="2"/>
      <c r="I251" s="2" t="s">
        <v>4983</v>
      </c>
      <c r="J251" s="2" t="s">
        <v>4615</v>
      </c>
      <c r="K251" s="2"/>
      <c r="L251" s="2"/>
      <c r="M251" s="2" t="s">
        <v>116</v>
      </c>
      <c r="N251" s="2" t="s">
        <v>52</v>
      </c>
      <c r="O251" s="2" t="s">
        <v>4984</v>
      </c>
      <c r="P251" s="2" t="s">
        <v>4985</v>
      </c>
      <c r="Q251" s="2" t="s">
        <v>4986</v>
      </c>
      <c r="R251" s="2"/>
      <c r="S251" s="2"/>
      <c r="T251" s="4" t="s">
        <v>121</v>
      </c>
      <c r="U251" s="2"/>
      <c r="V251" s="2"/>
      <c r="W251" s="2" t="s">
        <v>4987</v>
      </c>
      <c r="X251" s="2" t="s">
        <v>4988</v>
      </c>
      <c r="Y251" s="2"/>
      <c r="Z251" s="2" t="s">
        <v>4989</v>
      </c>
      <c r="AA251" s="2"/>
      <c r="AB251" s="2"/>
      <c r="AC251" s="2"/>
      <c r="AD251" s="2"/>
      <c r="AE251" s="2"/>
      <c r="AF251" s="2"/>
      <c r="AG251" s="2">
        <v>0.0</v>
      </c>
      <c r="AH251" s="2">
        <v>0.0</v>
      </c>
      <c r="AI251" s="2">
        <v>0.0</v>
      </c>
      <c r="AJ251" s="2">
        <v>0.0</v>
      </c>
      <c r="AK251" s="2">
        <v>0.0</v>
      </c>
      <c r="AL251" s="2" t="s">
        <v>3440</v>
      </c>
      <c r="AM251" s="2" t="s">
        <v>3441</v>
      </c>
      <c r="AN251" s="2" t="s">
        <v>3442</v>
      </c>
      <c r="AO251" s="2" t="s">
        <v>4619</v>
      </c>
      <c r="AP251" s="2"/>
      <c r="AQ251" s="2"/>
      <c r="AR251" s="2" t="s">
        <v>4620</v>
      </c>
      <c r="AS251" s="2" t="s">
        <v>4621</v>
      </c>
      <c r="AT251" s="2" t="s">
        <v>2733</v>
      </c>
      <c r="AU251" s="2">
        <v>2019.0</v>
      </c>
      <c r="AV251" s="2">
        <v>257.0</v>
      </c>
      <c r="AW251" s="2"/>
      <c r="AX251" s="2"/>
      <c r="AY251" s="2"/>
      <c r="AZ251" s="2"/>
      <c r="BA251" s="2">
        <v>1736.0</v>
      </c>
      <c r="BB251" s="2"/>
      <c r="BC251" s="2"/>
      <c r="BD251" s="2"/>
      <c r="BE251" s="2"/>
      <c r="BF251" s="2"/>
      <c r="BG251" s="2"/>
      <c r="BH251" s="2"/>
      <c r="BI251" s="2">
        <v>1.0</v>
      </c>
      <c r="BJ251" s="2" t="s">
        <v>3447</v>
      </c>
      <c r="BK251" s="2" t="s">
        <v>2701</v>
      </c>
      <c r="BL251" s="2" t="s">
        <v>3448</v>
      </c>
      <c r="BM251" s="2" t="s">
        <v>4990</v>
      </c>
      <c r="BN251" s="2"/>
      <c r="BO251" s="2"/>
      <c r="BP251" s="2"/>
      <c r="BQ251" s="2"/>
      <c r="BR251" s="2" t="s">
        <v>99</v>
      </c>
      <c r="BS251" s="2" t="s">
        <v>4991</v>
      </c>
      <c r="BT251" s="2" t="str">
        <f>HYPERLINK("https%3A%2F%2Fwww.webofscience.com%2Fwos%2Fwoscc%2Ffull-record%2FWOS:000478860503579","View Full Record in Web of Science")</f>
        <v>View Full Record in Web of Science</v>
      </c>
    </row>
    <row r="252" ht="64.5" customHeight="1">
      <c r="A252" s="2" t="s">
        <v>72</v>
      </c>
      <c r="B252" s="2" t="s">
        <v>4992</v>
      </c>
      <c r="C252" s="2"/>
      <c r="D252" s="2"/>
      <c r="E252" s="2"/>
      <c r="F252" s="2" t="s">
        <v>4993</v>
      </c>
      <c r="G252" s="2"/>
      <c r="H252" s="2"/>
      <c r="I252" s="2" t="s">
        <v>4994</v>
      </c>
      <c r="J252" s="2" t="s">
        <v>4995</v>
      </c>
      <c r="K252" s="2"/>
      <c r="L252" s="2"/>
      <c r="M252" s="2" t="s">
        <v>116</v>
      </c>
      <c r="N252" s="2" t="s">
        <v>78</v>
      </c>
      <c r="O252" s="2"/>
      <c r="P252" s="2"/>
      <c r="Q252" s="2"/>
      <c r="R252" s="2"/>
      <c r="S252" s="2"/>
      <c r="T252" s="2" t="s">
        <v>4996</v>
      </c>
      <c r="U252" s="2"/>
      <c r="V252" s="2" t="s">
        <v>4997</v>
      </c>
      <c r="W252" s="2" t="s">
        <v>4998</v>
      </c>
      <c r="X252" s="2" t="s">
        <v>4999</v>
      </c>
      <c r="Y252" s="2" t="s">
        <v>5000</v>
      </c>
      <c r="Z252" s="2" t="s">
        <v>5001</v>
      </c>
      <c r="AA252" s="2"/>
      <c r="AB252" s="2"/>
      <c r="AC252" s="2"/>
      <c r="AD252" s="2"/>
      <c r="AE252" s="2"/>
      <c r="AF252" s="2" t="s">
        <v>5002</v>
      </c>
      <c r="AG252" s="2">
        <v>32.0</v>
      </c>
      <c r="AH252" s="2">
        <v>0.0</v>
      </c>
      <c r="AI252" s="2">
        <v>0.0</v>
      </c>
      <c r="AJ252" s="2">
        <v>0.0</v>
      </c>
      <c r="AK252" s="2">
        <v>0.0</v>
      </c>
      <c r="AL252" s="2" t="s">
        <v>5003</v>
      </c>
      <c r="AM252" s="2" t="s">
        <v>5004</v>
      </c>
      <c r="AN252" s="2" t="s">
        <v>5005</v>
      </c>
      <c r="AO252" s="2" t="s">
        <v>5006</v>
      </c>
      <c r="AP252" s="2"/>
      <c r="AQ252" s="2"/>
      <c r="AR252" s="2" t="s">
        <v>5007</v>
      </c>
      <c r="AS252" s="2" t="s">
        <v>5008</v>
      </c>
      <c r="AT252" s="2"/>
      <c r="AU252" s="2">
        <v>2024.0</v>
      </c>
      <c r="AV252" s="2">
        <v>17.0</v>
      </c>
      <c r="AW252" s="2">
        <v>1.0</v>
      </c>
      <c r="AX252" s="2"/>
      <c r="AY252" s="2"/>
      <c r="AZ252" s="2"/>
      <c r="BA252" s="2"/>
      <c r="BB252" s="2">
        <v>141.0</v>
      </c>
      <c r="BC252" s="2">
        <v>157.0</v>
      </c>
      <c r="BD252" s="2"/>
      <c r="BE252" s="2" t="s">
        <v>5009</v>
      </c>
      <c r="BF252" s="3" t="str">
        <f>HYPERLINK("http://dx.doi.org/10.14571/brajets.v17.n1.141-157","http://dx.doi.org/10.14571/brajets.v17.n1.141-157")</f>
        <v>http://dx.doi.org/10.14571/brajets.v17.n1.141-157</v>
      </c>
      <c r="BG252" s="2"/>
      <c r="BH252" s="2"/>
      <c r="BI252" s="2">
        <v>17.0</v>
      </c>
      <c r="BJ252" s="2" t="s">
        <v>331</v>
      </c>
      <c r="BK252" s="2" t="s">
        <v>96</v>
      </c>
      <c r="BL252" s="2" t="s">
        <v>331</v>
      </c>
      <c r="BM252" s="2" t="s">
        <v>5010</v>
      </c>
      <c r="BN252" s="2"/>
      <c r="BO252" s="2" t="s">
        <v>255</v>
      </c>
      <c r="BP252" s="2"/>
      <c r="BQ252" s="2"/>
      <c r="BR252" s="2" t="s">
        <v>99</v>
      </c>
      <c r="BS252" s="2" t="s">
        <v>5011</v>
      </c>
      <c r="BT252" s="2" t="str">
        <f>HYPERLINK("https%3A%2F%2Fwww.webofscience.com%2Fwos%2Fwoscc%2Ffull-record%2FWOS:001250186700011","View Full Record in Web of Science")</f>
        <v>View Full Record in Web of Science</v>
      </c>
    </row>
    <row r="253" ht="64.5" customHeight="1">
      <c r="A253" s="2" t="s">
        <v>110</v>
      </c>
      <c r="B253" s="2" t="s">
        <v>5012</v>
      </c>
      <c r="C253" s="2"/>
      <c r="D253" s="2"/>
      <c r="E253" s="2" t="s">
        <v>5013</v>
      </c>
      <c r="F253" s="2" t="s">
        <v>5014</v>
      </c>
      <c r="G253" s="2"/>
      <c r="H253" s="2"/>
      <c r="I253" s="2" t="s">
        <v>5015</v>
      </c>
      <c r="J253" s="2" t="s">
        <v>5016</v>
      </c>
      <c r="K253" s="2"/>
      <c r="L253" s="2"/>
      <c r="M253" s="2" t="s">
        <v>116</v>
      </c>
      <c r="N253" s="2" t="s">
        <v>117</v>
      </c>
      <c r="O253" s="2" t="s">
        <v>5017</v>
      </c>
      <c r="P253" s="2" t="s">
        <v>5018</v>
      </c>
      <c r="Q253" s="2" t="s">
        <v>5019</v>
      </c>
      <c r="R253" s="2"/>
      <c r="S253" s="2" t="s">
        <v>5020</v>
      </c>
      <c r="T253" s="2" t="s">
        <v>5021</v>
      </c>
      <c r="U253" s="2" t="s">
        <v>5022</v>
      </c>
      <c r="V253" s="2" t="s">
        <v>5023</v>
      </c>
      <c r="W253" s="2" t="s">
        <v>5024</v>
      </c>
      <c r="X253" s="2" t="s">
        <v>5025</v>
      </c>
      <c r="Y253" s="2" t="s">
        <v>5026</v>
      </c>
      <c r="Z253" s="2" t="s">
        <v>5027</v>
      </c>
      <c r="AA253" s="2" t="s">
        <v>5028</v>
      </c>
      <c r="AB253" s="2" t="s">
        <v>5029</v>
      </c>
      <c r="AC253" s="2" t="s">
        <v>5030</v>
      </c>
      <c r="AD253" s="2" t="s">
        <v>5030</v>
      </c>
      <c r="AE253" s="2" t="s">
        <v>5031</v>
      </c>
      <c r="AF253" s="2" t="s">
        <v>5032</v>
      </c>
      <c r="AG253" s="2">
        <v>26.0</v>
      </c>
      <c r="AH253" s="2">
        <v>1.0</v>
      </c>
      <c r="AI253" s="2">
        <v>1.0</v>
      </c>
      <c r="AJ253" s="2">
        <v>0.0</v>
      </c>
      <c r="AK253" s="2">
        <v>0.0</v>
      </c>
      <c r="AL253" s="2" t="s">
        <v>1397</v>
      </c>
      <c r="AM253" s="2" t="s">
        <v>130</v>
      </c>
      <c r="AN253" s="2" t="s">
        <v>1398</v>
      </c>
      <c r="AO253" s="2"/>
      <c r="AP253" s="2"/>
      <c r="AQ253" s="2" t="s">
        <v>5033</v>
      </c>
      <c r="AR253" s="2"/>
      <c r="AS253" s="2"/>
      <c r="AT253" s="2"/>
      <c r="AU253" s="2">
        <v>2020.0</v>
      </c>
      <c r="AV253" s="2"/>
      <c r="AW253" s="2"/>
      <c r="AX253" s="2"/>
      <c r="AY253" s="2"/>
      <c r="AZ253" s="2"/>
      <c r="BA253" s="2"/>
      <c r="BB253" s="2">
        <v>397.0</v>
      </c>
      <c r="BC253" s="2">
        <v>401.0</v>
      </c>
      <c r="BD253" s="2"/>
      <c r="BE253" s="2" t="s">
        <v>5034</v>
      </c>
      <c r="BF253" s="3" t="str">
        <f>HYPERLINK("http://dx.doi.org/10.1145/3369457.3369501","http://dx.doi.org/10.1145/3369457.3369501")</f>
        <v>http://dx.doi.org/10.1145/3369457.3369501</v>
      </c>
      <c r="BG253" s="2"/>
      <c r="BH253" s="2"/>
      <c r="BI253" s="2">
        <v>5.0</v>
      </c>
      <c r="BJ253" s="2" t="s">
        <v>5035</v>
      </c>
      <c r="BK253" s="2" t="s">
        <v>1053</v>
      </c>
      <c r="BL253" s="2" t="s">
        <v>2852</v>
      </c>
      <c r="BM253" s="2" t="s">
        <v>5036</v>
      </c>
      <c r="BN253" s="2"/>
      <c r="BO253" s="2"/>
      <c r="BP253" s="2"/>
      <c r="BQ253" s="2"/>
      <c r="BR253" s="2" t="s">
        <v>99</v>
      </c>
      <c r="BS253" s="2" t="s">
        <v>5037</v>
      </c>
      <c r="BT253" s="2" t="str">
        <f>HYPERLINK("https%3A%2F%2Fwww.webofscience.com%2Fwos%2Fwoscc%2Ffull-record%2FWOS:000555452200051","View Full Record in Web of Science")</f>
        <v>View Full Record in Web of Science</v>
      </c>
    </row>
    <row r="254" ht="64.5" customHeight="1">
      <c r="A254" s="2" t="s">
        <v>72</v>
      </c>
      <c r="B254" s="2" t="s">
        <v>5038</v>
      </c>
      <c r="C254" s="2"/>
      <c r="D254" s="2"/>
      <c r="E254" s="2"/>
      <c r="F254" s="2" t="s">
        <v>5038</v>
      </c>
      <c r="G254" s="2"/>
      <c r="H254" s="2"/>
      <c r="I254" s="2" t="s">
        <v>5039</v>
      </c>
      <c r="J254" s="2" t="s">
        <v>5040</v>
      </c>
      <c r="K254" s="2"/>
      <c r="L254" s="2"/>
      <c r="M254" s="2" t="s">
        <v>116</v>
      </c>
      <c r="N254" s="2" t="s">
        <v>52</v>
      </c>
      <c r="O254" s="2"/>
      <c r="P254" s="2"/>
      <c r="Q254" s="2"/>
      <c r="R254" s="2"/>
      <c r="S254" s="2"/>
      <c r="T254" s="4" t="s">
        <v>121</v>
      </c>
      <c r="U254" s="2"/>
      <c r="V254" s="2"/>
      <c r="W254" s="2" t="s">
        <v>5041</v>
      </c>
      <c r="X254" s="2" t="s">
        <v>5042</v>
      </c>
      <c r="Y254" s="2"/>
      <c r="Z254" s="2"/>
      <c r="AA254" s="2"/>
      <c r="AB254" s="2"/>
      <c r="AC254" s="2"/>
      <c r="AD254" s="2"/>
      <c r="AE254" s="2"/>
      <c r="AF254" s="2"/>
      <c r="AG254" s="2">
        <v>0.0</v>
      </c>
      <c r="AH254" s="2">
        <v>0.0</v>
      </c>
      <c r="AI254" s="2">
        <v>0.0</v>
      </c>
      <c r="AJ254" s="2">
        <v>0.0</v>
      </c>
      <c r="AK254" s="2">
        <v>2.0</v>
      </c>
      <c r="AL254" s="2" t="s">
        <v>5043</v>
      </c>
      <c r="AM254" s="2" t="s">
        <v>5044</v>
      </c>
      <c r="AN254" s="2" t="s">
        <v>5045</v>
      </c>
      <c r="AO254" s="2" t="s">
        <v>5046</v>
      </c>
      <c r="AP254" s="2"/>
      <c r="AQ254" s="2"/>
      <c r="AR254" s="2" t="s">
        <v>5047</v>
      </c>
      <c r="AS254" s="2"/>
      <c r="AT254" s="2"/>
      <c r="AU254" s="2">
        <v>1983.0</v>
      </c>
      <c r="AV254" s="2">
        <v>45.0</v>
      </c>
      <c r="AW254" s="2"/>
      <c r="AX254" s="2"/>
      <c r="AY254" s="2"/>
      <c r="AZ254" s="2"/>
      <c r="BA254" s="2"/>
      <c r="BB254" s="2">
        <v>584.0</v>
      </c>
      <c r="BC254" s="2">
        <v>585.0</v>
      </c>
      <c r="BD254" s="2"/>
      <c r="BE254" s="2"/>
      <c r="BF254" s="2"/>
      <c r="BG254" s="2"/>
      <c r="BH254" s="2"/>
      <c r="BI254" s="2">
        <v>2.0</v>
      </c>
      <c r="BJ254" s="2" t="s">
        <v>1902</v>
      </c>
      <c r="BK254" s="2" t="s">
        <v>226</v>
      </c>
      <c r="BL254" s="2" t="s">
        <v>1902</v>
      </c>
      <c r="BM254" s="2" t="s">
        <v>5048</v>
      </c>
      <c r="BN254" s="2"/>
      <c r="BO254" s="2"/>
      <c r="BP254" s="2"/>
      <c r="BQ254" s="2"/>
      <c r="BR254" s="2" t="s">
        <v>99</v>
      </c>
      <c r="BS254" s="2" t="s">
        <v>5049</v>
      </c>
      <c r="BT254" s="2" t="str">
        <f>HYPERLINK("https%3A%2F%2Fwww.webofscience.com%2Fwos%2Fwoscc%2Ffull-record%2FWOS:A1983RP93500471","View Full Record in Web of Science")</f>
        <v>View Full Record in Web of Science</v>
      </c>
    </row>
    <row r="255" ht="64.5" customHeight="1">
      <c r="A255" s="2" t="s">
        <v>72</v>
      </c>
      <c r="B255" s="2" t="s">
        <v>5050</v>
      </c>
      <c r="C255" s="2"/>
      <c r="D255" s="2"/>
      <c r="E255" s="2"/>
      <c r="F255" s="2" t="s">
        <v>5051</v>
      </c>
      <c r="G255" s="2"/>
      <c r="H255" s="2"/>
      <c r="I255" s="2" t="s">
        <v>5052</v>
      </c>
      <c r="J255" s="2" t="s">
        <v>2767</v>
      </c>
      <c r="K255" s="2"/>
      <c r="L255" s="2"/>
      <c r="M255" s="2" t="s">
        <v>116</v>
      </c>
      <c r="N255" s="2" t="s">
        <v>78</v>
      </c>
      <c r="O255" s="2"/>
      <c r="P255" s="2"/>
      <c r="Q255" s="2"/>
      <c r="R255" s="2"/>
      <c r="S255" s="2"/>
      <c r="T255" s="4" t="s">
        <v>121</v>
      </c>
      <c r="U255" s="2" t="s">
        <v>5053</v>
      </c>
      <c r="V255" s="2" t="s">
        <v>5054</v>
      </c>
      <c r="W255" s="2" t="s">
        <v>5055</v>
      </c>
      <c r="X255" s="2" t="s">
        <v>5056</v>
      </c>
      <c r="Y255" s="2" t="s">
        <v>5057</v>
      </c>
      <c r="Z255" s="2" t="s">
        <v>5058</v>
      </c>
      <c r="AA255" s="2" t="s">
        <v>5059</v>
      </c>
      <c r="AB255" s="2" t="s">
        <v>5060</v>
      </c>
      <c r="AC255" s="2" t="s">
        <v>5061</v>
      </c>
      <c r="AD255" s="2" t="s">
        <v>5062</v>
      </c>
      <c r="AE255" s="2" t="s">
        <v>5063</v>
      </c>
      <c r="AF255" s="2" t="s">
        <v>5064</v>
      </c>
      <c r="AG255" s="2">
        <v>46.0</v>
      </c>
      <c r="AH255" s="2">
        <v>164.0</v>
      </c>
      <c r="AI255" s="2">
        <v>197.0</v>
      </c>
      <c r="AJ255" s="2">
        <v>5.0</v>
      </c>
      <c r="AK255" s="2">
        <v>127.0</v>
      </c>
      <c r="AL255" s="2" t="s">
        <v>351</v>
      </c>
      <c r="AM255" s="2" t="s">
        <v>352</v>
      </c>
      <c r="AN255" s="2" t="s">
        <v>353</v>
      </c>
      <c r="AO255" s="2" t="s">
        <v>2777</v>
      </c>
      <c r="AP255" s="2" t="s">
        <v>2778</v>
      </c>
      <c r="AQ255" s="2"/>
      <c r="AR255" s="2" t="s">
        <v>2767</v>
      </c>
      <c r="AS255" s="2" t="s">
        <v>2779</v>
      </c>
      <c r="AT255" s="2" t="s">
        <v>596</v>
      </c>
      <c r="AU255" s="2">
        <v>2014.0</v>
      </c>
      <c r="AV255" s="2">
        <v>126.0</v>
      </c>
      <c r="AW255" s="2" t="s">
        <v>2420</v>
      </c>
      <c r="AX255" s="2"/>
      <c r="AY255" s="2"/>
      <c r="AZ255" s="2"/>
      <c r="BA255" s="2"/>
      <c r="BB255" s="2">
        <v>293.0</v>
      </c>
      <c r="BC255" s="2">
        <v>304.0</v>
      </c>
      <c r="BD255" s="2"/>
      <c r="BE255" s="2" t="s">
        <v>5065</v>
      </c>
      <c r="BF255" s="3" t="str">
        <f>HYPERLINK("http://dx.doi.org/10.1007/s10584-014-1228-7","http://dx.doi.org/10.1007/s10584-014-1228-7")</f>
        <v>http://dx.doi.org/10.1007/s10584-014-1228-7</v>
      </c>
      <c r="BG255" s="2"/>
      <c r="BH255" s="2"/>
      <c r="BI255" s="2">
        <v>12.0</v>
      </c>
      <c r="BJ255" s="2" t="s">
        <v>2781</v>
      </c>
      <c r="BK255" s="2" t="s">
        <v>363</v>
      </c>
      <c r="BL255" s="2" t="s">
        <v>1376</v>
      </c>
      <c r="BM255" s="2" t="s">
        <v>5066</v>
      </c>
      <c r="BN255" s="2"/>
      <c r="BO255" s="2"/>
      <c r="BP255" s="2"/>
      <c r="BQ255" s="2"/>
      <c r="BR255" s="2" t="s">
        <v>99</v>
      </c>
      <c r="BS255" s="2" t="s">
        <v>5067</v>
      </c>
      <c r="BT255" s="2" t="str">
        <f>HYPERLINK("https%3A%2F%2Fwww.webofscience.com%2Fwos%2Fwoscc%2Ffull-record%2FWOS:000342428000002","View Full Record in Web of Science")</f>
        <v>View Full Record in Web of Science</v>
      </c>
    </row>
    <row r="256" ht="64.5" customHeight="1">
      <c r="A256" s="2" t="s">
        <v>72</v>
      </c>
      <c r="B256" s="2" t="s">
        <v>5068</v>
      </c>
      <c r="C256" s="2"/>
      <c r="D256" s="2"/>
      <c r="E256" s="2"/>
      <c r="F256" s="2" t="s">
        <v>5069</v>
      </c>
      <c r="G256" s="2"/>
      <c r="H256" s="2"/>
      <c r="I256" s="2" t="s">
        <v>5070</v>
      </c>
      <c r="J256" s="2" t="s">
        <v>1429</v>
      </c>
      <c r="K256" s="2"/>
      <c r="L256" s="2"/>
      <c r="M256" s="2" t="s">
        <v>116</v>
      </c>
      <c r="N256" s="2" t="s">
        <v>643</v>
      </c>
      <c r="O256" s="2"/>
      <c r="P256" s="2"/>
      <c r="Q256" s="2"/>
      <c r="R256" s="2"/>
      <c r="S256" s="2"/>
      <c r="T256" s="2" t="s">
        <v>5071</v>
      </c>
      <c r="U256" s="2" t="s">
        <v>5072</v>
      </c>
      <c r="V256" s="2" t="s">
        <v>5073</v>
      </c>
      <c r="W256" s="2" t="s">
        <v>5074</v>
      </c>
      <c r="X256" s="2" t="s">
        <v>2362</v>
      </c>
      <c r="Y256" s="2" t="s">
        <v>5075</v>
      </c>
      <c r="Z256" s="2" t="s">
        <v>1666</v>
      </c>
      <c r="AA256" s="2" t="s">
        <v>1667</v>
      </c>
      <c r="AB256" s="2" t="s">
        <v>1668</v>
      </c>
      <c r="AC256" s="2" t="s">
        <v>5076</v>
      </c>
      <c r="AD256" s="2" t="s">
        <v>5076</v>
      </c>
      <c r="AE256" s="2" t="s">
        <v>5077</v>
      </c>
      <c r="AF256" s="2" t="s">
        <v>5078</v>
      </c>
      <c r="AG256" s="2">
        <v>81.0</v>
      </c>
      <c r="AH256" s="2">
        <v>3.0</v>
      </c>
      <c r="AI256" s="2">
        <v>3.0</v>
      </c>
      <c r="AJ256" s="2">
        <v>7.0</v>
      </c>
      <c r="AK256" s="2">
        <v>15.0</v>
      </c>
      <c r="AL256" s="2" t="s">
        <v>156</v>
      </c>
      <c r="AM256" s="2" t="s">
        <v>157</v>
      </c>
      <c r="AN256" s="2" t="s">
        <v>158</v>
      </c>
      <c r="AO256" s="2" t="s">
        <v>1442</v>
      </c>
      <c r="AP256" s="2" t="s">
        <v>1443</v>
      </c>
      <c r="AQ256" s="2"/>
      <c r="AR256" s="2" t="s">
        <v>1444</v>
      </c>
      <c r="AS256" s="2" t="s">
        <v>1445</v>
      </c>
      <c r="AT256" s="2" t="s">
        <v>2623</v>
      </c>
      <c r="AU256" s="2">
        <v>2023.0</v>
      </c>
      <c r="AV256" s="2">
        <v>54.0</v>
      </c>
      <c r="AW256" s="2">
        <v>2.0</v>
      </c>
      <c r="AX256" s="2"/>
      <c r="AY256" s="2"/>
      <c r="AZ256" s="2"/>
      <c r="BA256" s="2"/>
      <c r="BB256" s="2">
        <v>99.0</v>
      </c>
      <c r="BC256" s="2">
        <v>113.0</v>
      </c>
      <c r="BD256" s="2"/>
      <c r="BE256" s="2" t="s">
        <v>5079</v>
      </c>
      <c r="BF256" s="3" t="str">
        <f>HYPERLINK("http://dx.doi.org/10.1080/00958964.2022.2161979","http://dx.doi.org/10.1080/00958964.2022.2161979")</f>
        <v>http://dx.doi.org/10.1080/00958964.2022.2161979</v>
      </c>
      <c r="BG256" s="2"/>
      <c r="BH256" s="2" t="s">
        <v>455</v>
      </c>
      <c r="BI256" s="2">
        <v>15.0</v>
      </c>
      <c r="BJ256" s="2" t="s">
        <v>165</v>
      </c>
      <c r="BK256" s="2" t="s">
        <v>166</v>
      </c>
      <c r="BL256" s="2" t="s">
        <v>167</v>
      </c>
      <c r="BM256" s="2" t="s">
        <v>5080</v>
      </c>
      <c r="BN256" s="2"/>
      <c r="BO256" s="2"/>
      <c r="BP256" s="2"/>
      <c r="BQ256" s="2"/>
      <c r="BR256" s="2" t="s">
        <v>99</v>
      </c>
      <c r="BS256" s="2" t="s">
        <v>5081</v>
      </c>
      <c r="BT256" s="2" t="str">
        <f>HYPERLINK("https%3A%2F%2Fwww.webofscience.com%2Fwos%2Fwoscc%2Ffull-record%2FWOS:000911904700001","View Full Record in Web of Science")</f>
        <v>View Full Record in Web of Science</v>
      </c>
    </row>
    <row r="257" ht="64.5" customHeight="1">
      <c r="A257" s="2" t="s">
        <v>72</v>
      </c>
      <c r="B257" s="2" t="s">
        <v>5082</v>
      </c>
      <c r="C257" s="2"/>
      <c r="D257" s="2"/>
      <c r="E257" s="2"/>
      <c r="F257" s="2" t="s">
        <v>5083</v>
      </c>
      <c r="G257" s="2"/>
      <c r="H257" s="2"/>
      <c r="I257" s="2" t="s">
        <v>5084</v>
      </c>
      <c r="J257" s="2" t="s">
        <v>233</v>
      </c>
      <c r="K257" s="2"/>
      <c r="L257" s="2"/>
      <c r="M257" s="2" t="s">
        <v>116</v>
      </c>
      <c r="N257" s="2" t="s">
        <v>4280</v>
      </c>
      <c r="O257" s="2"/>
      <c r="P257" s="2"/>
      <c r="Q257" s="2"/>
      <c r="R257" s="2"/>
      <c r="S257" s="2"/>
      <c r="T257" s="2" t="s">
        <v>5085</v>
      </c>
      <c r="U257" s="2"/>
      <c r="V257" s="2"/>
      <c r="W257" s="2" t="s">
        <v>5086</v>
      </c>
      <c r="X257" s="2" t="s">
        <v>5087</v>
      </c>
      <c r="Y257" s="2" t="s">
        <v>5088</v>
      </c>
      <c r="Z257" s="2" t="s">
        <v>5089</v>
      </c>
      <c r="AA257" s="2" t="s">
        <v>5090</v>
      </c>
      <c r="AB257" s="2" t="s">
        <v>5091</v>
      </c>
      <c r="AC257" s="2" t="s">
        <v>5092</v>
      </c>
      <c r="AD257" s="2" t="s">
        <v>5093</v>
      </c>
      <c r="AE257" s="2" t="s">
        <v>5094</v>
      </c>
      <c r="AF257" s="2" t="s">
        <v>5095</v>
      </c>
      <c r="AG257" s="2">
        <v>11.0</v>
      </c>
      <c r="AH257" s="2">
        <v>14.0</v>
      </c>
      <c r="AI257" s="2">
        <v>14.0</v>
      </c>
      <c r="AJ257" s="2">
        <v>0.0</v>
      </c>
      <c r="AK257" s="2">
        <v>12.0</v>
      </c>
      <c r="AL257" s="2" t="s">
        <v>246</v>
      </c>
      <c r="AM257" s="2" t="s">
        <v>247</v>
      </c>
      <c r="AN257" s="2" t="s">
        <v>248</v>
      </c>
      <c r="AO257" s="2"/>
      <c r="AP257" s="2" t="s">
        <v>249</v>
      </c>
      <c r="AQ257" s="2"/>
      <c r="AR257" s="2" t="s">
        <v>250</v>
      </c>
      <c r="AS257" s="2" t="s">
        <v>251</v>
      </c>
      <c r="AT257" s="2" t="s">
        <v>5096</v>
      </c>
      <c r="AU257" s="2">
        <v>2020.0</v>
      </c>
      <c r="AV257" s="2">
        <v>6.0</v>
      </c>
      <c r="AW257" s="2"/>
      <c r="AX257" s="2"/>
      <c r="AY257" s="2"/>
      <c r="AZ257" s="2"/>
      <c r="BA257" s="2"/>
      <c r="BB257" s="2"/>
      <c r="BC257" s="2"/>
      <c r="BD257" s="2">
        <v>837.0</v>
      </c>
      <c r="BE257" s="2" t="s">
        <v>5097</v>
      </c>
      <c r="BF257" s="3" t="str">
        <f>HYPERLINK("http://dx.doi.org/10.3389/fmars.2019.00837","http://dx.doi.org/10.3389/fmars.2019.00837")</f>
        <v>http://dx.doi.org/10.3389/fmars.2019.00837</v>
      </c>
      <c r="BG257" s="2"/>
      <c r="BH257" s="2"/>
      <c r="BI257" s="2">
        <v>2.0</v>
      </c>
      <c r="BJ257" s="2" t="s">
        <v>225</v>
      </c>
      <c r="BK257" s="2" t="s">
        <v>226</v>
      </c>
      <c r="BL257" s="2" t="s">
        <v>227</v>
      </c>
      <c r="BM257" s="2" t="s">
        <v>5098</v>
      </c>
      <c r="BN257" s="2"/>
      <c r="BO257" s="2" t="s">
        <v>601</v>
      </c>
      <c r="BP257" s="2"/>
      <c r="BQ257" s="2"/>
      <c r="BR257" s="2" t="s">
        <v>99</v>
      </c>
      <c r="BS257" s="2" t="s">
        <v>5099</v>
      </c>
      <c r="BT257" s="2" t="str">
        <f>HYPERLINK("https%3A%2F%2Fwww.webofscience.com%2Fwos%2Fwoscc%2Ffull-record%2FWOS:000508610200001","View Full Record in Web of Science")</f>
        <v>View Full Record in Web of Science</v>
      </c>
    </row>
    <row r="258" ht="64.5" customHeight="1">
      <c r="A258" s="2" t="s">
        <v>72</v>
      </c>
      <c r="B258" s="2" t="s">
        <v>5100</v>
      </c>
      <c r="C258" s="2"/>
      <c r="D258" s="2"/>
      <c r="E258" s="2"/>
      <c r="F258" s="2" t="s">
        <v>5101</v>
      </c>
      <c r="G258" s="2"/>
      <c r="H258" s="2"/>
      <c r="I258" s="2" t="s">
        <v>5102</v>
      </c>
      <c r="J258" s="2" t="s">
        <v>5103</v>
      </c>
      <c r="K258" s="2"/>
      <c r="L258" s="2"/>
      <c r="M258" s="2" t="s">
        <v>116</v>
      </c>
      <c r="N258" s="2" t="s">
        <v>4280</v>
      </c>
      <c r="O258" s="2"/>
      <c r="P258" s="2"/>
      <c r="Q258" s="2"/>
      <c r="R258" s="2"/>
      <c r="S258" s="2"/>
      <c r="T258" s="2" t="s">
        <v>5104</v>
      </c>
      <c r="U258" s="2"/>
      <c r="V258" s="2" t="s">
        <v>5105</v>
      </c>
      <c r="W258" s="2"/>
      <c r="X258" s="2"/>
      <c r="Y258" s="2"/>
      <c r="Z258" s="2" t="s">
        <v>5106</v>
      </c>
      <c r="AA258" s="2"/>
      <c r="AB258" s="2"/>
      <c r="AC258" s="2"/>
      <c r="AD258" s="2"/>
      <c r="AE258" s="2"/>
      <c r="AF258" s="2" t="s">
        <v>5107</v>
      </c>
      <c r="AG258" s="2">
        <v>6.0</v>
      </c>
      <c r="AH258" s="2">
        <v>1.0</v>
      </c>
      <c r="AI258" s="2">
        <v>1.0</v>
      </c>
      <c r="AJ258" s="2">
        <v>1.0</v>
      </c>
      <c r="AK258" s="2">
        <v>4.0</v>
      </c>
      <c r="AL258" s="2" t="s">
        <v>156</v>
      </c>
      <c r="AM258" s="2" t="s">
        <v>157</v>
      </c>
      <c r="AN258" s="2" t="s">
        <v>158</v>
      </c>
      <c r="AO258" s="2" t="s">
        <v>5108</v>
      </c>
      <c r="AP258" s="2" t="s">
        <v>5109</v>
      </c>
      <c r="AQ258" s="2"/>
      <c r="AR258" s="2" t="s">
        <v>5110</v>
      </c>
      <c r="AS258" s="2" t="s">
        <v>5111</v>
      </c>
      <c r="AT258" s="2" t="s">
        <v>5112</v>
      </c>
      <c r="AU258" s="2">
        <v>2019.0</v>
      </c>
      <c r="AV258" s="2">
        <v>75.0</v>
      </c>
      <c r="AW258" s="2">
        <v>4.0</v>
      </c>
      <c r="AX258" s="2"/>
      <c r="AY258" s="2"/>
      <c r="AZ258" s="2" t="s">
        <v>359</v>
      </c>
      <c r="BA258" s="2"/>
      <c r="BB258" s="2">
        <v>205.0</v>
      </c>
      <c r="BC258" s="2">
        <v>209.0</v>
      </c>
      <c r="BD258" s="2"/>
      <c r="BE258" s="2" t="s">
        <v>5113</v>
      </c>
      <c r="BF258" s="3" t="str">
        <f>HYPERLINK("http://dx.doi.org/10.1080/00963402.2019.1628517","http://dx.doi.org/10.1080/00963402.2019.1628517")</f>
        <v>http://dx.doi.org/10.1080/00963402.2019.1628517</v>
      </c>
      <c r="BG258" s="2"/>
      <c r="BH258" s="2"/>
      <c r="BI258" s="2">
        <v>5.0</v>
      </c>
      <c r="BJ258" s="2" t="s">
        <v>5114</v>
      </c>
      <c r="BK258" s="2" t="s">
        <v>166</v>
      </c>
      <c r="BL258" s="2" t="s">
        <v>5114</v>
      </c>
      <c r="BM258" s="2" t="s">
        <v>5115</v>
      </c>
      <c r="BN258" s="2"/>
      <c r="BO258" s="2"/>
      <c r="BP258" s="2"/>
      <c r="BQ258" s="2"/>
      <c r="BR258" s="2" t="s">
        <v>99</v>
      </c>
      <c r="BS258" s="2" t="s">
        <v>5116</v>
      </c>
      <c r="BT258" s="2" t="str">
        <f>HYPERLINK("https%3A%2F%2Fwww.webofscience.com%2Fwos%2Fwoscc%2Ffull-record%2FWOS:000474738700011","View Full Record in Web of Science")</f>
        <v>View Full Record in Web of Science</v>
      </c>
    </row>
    <row r="259" ht="64.5" customHeight="1">
      <c r="A259" s="2" t="s">
        <v>110</v>
      </c>
      <c r="B259" s="2" t="s">
        <v>5117</v>
      </c>
      <c r="C259" s="2"/>
      <c r="D259" s="2" t="s">
        <v>5118</v>
      </c>
      <c r="E259" s="2"/>
      <c r="F259" s="2" t="s">
        <v>5119</v>
      </c>
      <c r="G259" s="2"/>
      <c r="H259" s="2"/>
      <c r="I259" s="2" t="s">
        <v>5120</v>
      </c>
      <c r="J259" s="2" t="s">
        <v>5121</v>
      </c>
      <c r="K259" s="2" t="s">
        <v>5122</v>
      </c>
      <c r="L259" s="2"/>
      <c r="M259" s="2" t="s">
        <v>116</v>
      </c>
      <c r="N259" s="2" t="s">
        <v>117</v>
      </c>
      <c r="O259" s="2" t="s">
        <v>5123</v>
      </c>
      <c r="P259" s="2" t="s">
        <v>5124</v>
      </c>
      <c r="Q259" s="2" t="s">
        <v>5125</v>
      </c>
      <c r="R259" s="2"/>
      <c r="S259" s="2"/>
      <c r="T259" s="4" t="s">
        <v>121</v>
      </c>
      <c r="U259" s="2" t="s">
        <v>5126</v>
      </c>
      <c r="V259" s="2" t="s">
        <v>5127</v>
      </c>
      <c r="W259" s="2" t="s">
        <v>5128</v>
      </c>
      <c r="X259" s="2" t="s">
        <v>5129</v>
      </c>
      <c r="Y259" s="2" t="s">
        <v>5130</v>
      </c>
      <c r="Z259" s="2" t="s">
        <v>5131</v>
      </c>
      <c r="AA259" s="2" t="s">
        <v>5132</v>
      </c>
      <c r="AB259" s="2" t="s">
        <v>5133</v>
      </c>
      <c r="AC259" s="2"/>
      <c r="AD259" s="2"/>
      <c r="AE259" s="2"/>
      <c r="AF259" s="2" t="s">
        <v>5134</v>
      </c>
      <c r="AG259" s="2">
        <v>29.0</v>
      </c>
      <c r="AH259" s="2">
        <v>3.0</v>
      </c>
      <c r="AI259" s="2">
        <v>3.0</v>
      </c>
      <c r="AJ259" s="2">
        <v>0.0</v>
      </c>
      <c r="AK259" s="2">
        <v>3.0</v>
      </c>
      <c r="AL259" s="2" t="s">
        <v>3440</v>
      </c>
      <c r="AM259" s="2" t="s">
        <v>3441</v>
      </c>
      <c r="AN259" s="2" t="s">
        <v>5135</v>
      </c>
      <c r="AO259" s="2" t="s">
        <v>5136</v>
      </c>
      <c r="AP259" s="2"/>
      <c r="AQ259" s="2" t="s">
        <v>5137</v>
      </c>
      <c r="AR259" s="2" t="s">
        <v>5138</v>
      </c>
      <c r="AS259" s="2" t="s">
        <v>5139</v>
      </c>
      <c r="AT259" s="2"/>
      <c r="AU259" s="2">
        <v>2013.0</v>
      </c>
      <c r="AV259" s="2">
        <v>1142.0</v>
      </c>
      <c r="AW259" s="2"/>
      <c r="AX259" s="2"/>
      <c r="AY259" s="2"/>
      <c r="AZ259" s="2"/>
      <c r="BA259" s="2"/>
      <c r="BB259" s="2">
        <v>411.0</v>
      </c>
      <c r="BC259" s="2">
        <v>440.0</v>
      </c>
      <c r="BD259" s="2"/>
      <c r="BE259" s="2"/>
      <c r="BF259" s="2"/>
      <c r="BG259" s="2"/>
      <c r="BH259" s="2"/>
      <c r="BI259" s="2">
        <v>30.0</v>
      </c>
      <c r="BJ259" s="2" t="s">
        <v>5140</v>
      </c>
      <c r="BK259" s="2" t="s">
        <v>135</v>
      </c>
      <c r="BL259" s="2" t="s">
        <v>5141</v>
      </c>
      <c r="BM259" s="2" t="s">
        <v>5142</v>
      </c>
      <c r="BN259" s="2"/>
      <c r="BO259" s="2"/>
      <c r="BP259" s="2"/>
      <c r="BQ259" s="2"/>
      <c r="BR259" s="2" t="s">
        <v>99</v>
      </c>
      <c r="BS259" s="2" t="s">
        <v>5143</v>
      </c>
      <c r="BT259" s="2" t="str">
        <f>HYPERLINK("https%3A%2F%2Fwww.webofscience.com%2Fwos%2Fwoscc%2Ffull-record%2FWOS:000325730800017","View Full Record in Web of Science")</f>
        <v>View Full Record in Web of Science</v>
      </c>
    </row>
    <row r="260" ht="64.5" customHeight="1">
      <c r="A260" s="2" t="s">
        <v>110</v>
      </c>
      <c r="B260" s="2" t="s">
        <v>5144</v>
      </c>
      <c r="C260" s="2"/>
      <c r="D260" s="2"/>
      <c r="E260" s="2" t="s">
        <v>129</v>
      </c>
      <c r="F260" s="2" t="s">
        <v>5145</v>
      </c>
      <c r="G260" s="2"/>
      <c r="H260" s="2"/>
      <c r="I260" s="2" t="s">
        <v>5146</v>
      </c>
      <c r="J260" s="2" t="s">
        <v>5147</v>
      </c>
      <c r="K260" s="2" t="s">
        <v>115</v>
      </c>
      <c r="L260" s="2"/>
      <c r="M260" s="2" t="s">
        <v>116</v>
      </c>
      <c r="N260" s="2" t="s">
        <v>117</v>
      </c>
      <c r="O260" s="2" t="s">
        <v>5148</v>
      </c>
      <c r="P260" s="2" t="s">
        <v>5149</v>
      </c>
      <c r="Q260" s="2" t="s">
        <v>5150</v>
      </c>
      <c r="R260" s="2"/>
      <c r="S260" s="2"/>
      <c r="T260" s="4" t="s">
        <v>121</v>
      </c>
      <c r="U260" s="2"/>
      <c r="V260" s="2" t="s">
        <v>5151</v>
      </c>
      <c r="W260" s="2" t="s">
        <v>5152</v>
      </c>
      <c r="X260" s="2" t="s">
        <v>4838</v>
      </c>
      <c r="Y260" s="2" t="s">
        <v>5153</v>
      </c>
      <c r="Z260" s="2"/>
      <c r="AA260" s="2"/>
      <c r="AB260" s="2"/>
      <c r="AC260" s="2"/>
      <c r="AD260" s="2"/>
      <c r="AE260" s="2"/>
      <c r="AF260" s="2" t="s">
        <v>5154</v>
      </c>
      <c r="AG260" s="2">
        <v>3.0</v>
      </c>
      <c r="AH260" s="2">
        <v>0.0</v>
      </c>
      <c r="AI260" s="2">
        <v>0.0</v>
      </c>
      <c r="AJ260" s="2">
        <v>0.0</v>
      </c>
      <c r="AK260" s="2">
        <v>7.0</v>
      </c>
      <c r="AL260" s="2" t="s">
        <v>129</v>
      </c>
      <c r="AM260" s="2" t="s">
        <v>130</v>
      </c>
      <c r="AN260" s="2" t="s">
        <v>131</v>
      </c>
      <c r="AO260" s="2" t="s">
        <v>132</v>
      </c>
      <c r="AP260" s="2"/>
      <c r="AQ260" s="2" t="s">
        <v>5155</v>
      </c>
      <c r="AR260" s="2" t="s">
        <v>115</v>
      </c>
      <c r="AS260" s="2"/>
      <c r="AT260" s="2"/>
      <c r="AU260" s="2">
        <v>2009.0</v>
      </c>
      <c r="AV260" s="2"/>
      <c r="AW260" s="2"/>
      <c r="AX260" s="2"/>
      <c r="AY260" s="2"/>
      <c r="AZ260" s="2"/>
      <c r="BA260" s="2"/>
      <c r="BB260" s="2">
        <v>1166.0</v>
      </c>
      <c r="BC260" s="2" t="s">
        <v>1458</v>
      </c>
      <c r="BD260" s="2"/>
      <c r="BE260" s="2"/>
      <c r="BF260" s="2"/>
      <c r="BG260" s="2"/>
      <c r="BH260" s="2"/>
      <c r="BI260" s="2">
        <v>2.0</v>
      </c>
      <c r="BJ260" s="2" t="s">
        <v>5156</v>
      </c>
      <c r="BK260" s="2" t="s">
        <v>135</v>
      </c>
      <c r="BL260" s="2" t="s">
        <v>5157</v>
      </c>
      <c r="BM260" s="2" t="s">
        <v>5158</v>
      </c>
      <c r="BN260" s="2"/>
      <c r="BO260" s="2"/>
      <c r="BP260" s="2"/>
      <c r="BQ260" s="2"/>
      <c r="BR260" s="2" t="s">
        <v>99</v>
      </c>
      <c r="BS260" s="2" t="s">
        <v>5159</v>
      </c>
      <c r="BT260" s="2" t="str">
        <f>HYPERLINK("https%3A%2F%2Fwww.webofscience.com%2Fwos%2Fwoscc%2Ffull-record%2FWOS:000280322600172","View Full Record in Web of Science")</f>
        <v>View Full Record in Web of Science</v>
      </c>
    </row>
    <row r="261" ht="64.5" customHeight="1">
      <c r="A261" s="2" t="s">
        <v>72</v>
      </c>
      <c r="B261" s="2" t="s">
        <v>5160</v>
      </c>
      <c r="C261" s="2"/>
      <c r="D261" s="2"/>
      <c r="E261" s="2"/>
      <c r="F261" s="2" t="s">
        <v>5161</v>
      </c>
      <c r="G261" s="2"/>
      <c r="H261" s="2"/>
      <c r="I261" s="2" t="s">
        <v>5162</v>
      </c>
      <c r="J261" s="2" t="s">
        <v>5163</v>
      </c>
      <c r="K261" s="2"/>
      <c r="L261" s="2"/>
      <c r="M261" s="2" t="s">
        <v>116</v>
      </c>
      <c r="N261" s="2" t="s">
        <v>78</v>
      </c>
      <c r="O261" s="2"/>
      <c r="P261" s="2"/>
      <c r="Q261" s="2"/>
      <c r="R261" s="2"/>
      <c r="S261" s="2"/>
      <c r="T261" s="2" t="s">
        <v>5164</v>
      </c>
      <c r="U261" s="2" t="s">
        <v>5165</v>
      </c>
      <c r="V261" s="2" t="s">
        <v>5166</v>
      </c>
      <c r="W261" s="2" t="s">
        <v>5167</v>
      </c>
      <c r="X261" s="2" t="s">
        <v>2412</v>
      </c>
      <c r="Y261" s="2" t="s">
        <v>5168</v>
      </c>
      <c r="Z261" s="2" t="s">
        <v>5169</v>
      </c>
      <c r="AA261" s="2" t="s">
        <v>488</v>
      </c>
      <c r="AB261" s="2" t="s">
        <v>489</v>
      </c>
      <c r="AC261" s="2" t="s">
        <v>5170</v>
      </c>
      <c r="AD261" s="2" t="s">
        <v>5171</v>
      </c>
      <c r="AE261" s="2" t="s">
        <v>5172</v>
      </c>
      <c r="AF261" s="2" t="s">
        <v>5173</v>
      </c>
      <c r="AG261" s="2">
        <v>17.0</v>
      </c>
      <c r="AH261" s="2">
        <v>0.0</v>
      </c>
      <c r="AI261" s="2">
        <v>0.0</v>
      </c>
      <c r="AJ261" s="2">
        <v>5.0</v>
      </c>
      <c r="AK261" s="2">
        <v>5.0</v>
      </c>
      <c r="AL261" s="2" t="s">
        <v>351</v>
      </c>
      <c r="AM261" s="2" t="s">
        <v>130</v>
      </c>
      <c r="AN261" s="2" t="s">
        <v>2328</v>
      </c>
      <c r="AO261" s="2" t="s">
        <v>5174</v>
      </c>
      <c r="AP261" s="2" t="s">
        <v>5175</v>
      </c>
      <c r="AQ261" s="2"/>
      <c r="AR261" s="2" t="s">
        <v>5176</v>
      </c>
      <c r="AS261" s="2" t="s">
        <v>5177</v>
      </c>
      <c r="AT261" s="2" t="s">
        <v>195</v>
      </c>
      <c r="AU261" s="2">
        <v>2024.0</v>
      </c>
      <c r="AV261" s="2">
        <v>28.0</v>
      </c>
      <c r="AW261" s="2">
        <v>2.0</v>
      </c>
      <c r="AX261" s="2"/>
      <c r="AY261" s="2"/>
      <c r="AZ261" s="2"/>
      <c r="BA261" s="2"/>
      <c r="BB261" s="2"/>
      <c r="BC261" s="2"/>
      <c r="BD261" s="2">
        <v>42.0</v>
      </c>
      <c r="BE261" s="2" t="s">
        <v>5178</v>
      </c>
      <c r="BF261" s="3" t="str">
        <f>HYPERLINK("http://dx.doi.org/10.1007/s11852-024-01044-3","http://dx.doi.org/10.1007/s11852-024-01044-3")</f>
        <v>http://dx.doi.org/10.1007/s11852-024-01044-3</v>
      </c>
      <c r="BG261" s="2"/>
      <c r="BH261" s="2"/>
      <c r="BI261" s="2">
        <v>8.0</v>
      </c>
      <c r="BJ261" s="2" t="s">
        <v>5179</v>
      </c>
      <c r="BK261" s="2" t="s">
        <v>226</v>
      </c>
      <c r="BL261" s="2" t="s">
        <v>5180</v>
      </c>
      <c r="BM261" s="2" t="s">
        <v>5181</v>
      </c>
      <c r="BN261" s="2"/>
      <c r="BO261" s="2" t="s">
        <v>201</v>
      </c>
      <c r="BP261" s="2"/>
      <c r="BQ261" s="2"/>
      <c r="BR261" s="2" t="s">
        <v>99</v>
      </c>
      <c r="BS261" s="2" t="s">
        <v>5182</v>
      </c>
      <c r="BT261" s="2" t="str">
        <f>HYPERLINK("https%3A%2F%2Fwww.webofscience.com%2Fwos%2Fwoscc%2Ffull-record%2FWOS:001171611100001","View Full Record in Web of Science")</f>
        <v>View Full Record in Web of Science</v>
      </c>
    </row>
    <row r="262" ht="64.5" customHeight="1">
      <c r="A262" s="2" t="s">
        <v>72</v>
      </c>
      <c r="B262" s="2" t="s">
        <v>5183</v>
      </c>
      <c r="C262" s="2"/>
      <c r="D262" s="2"/>
      <c r="E262" s="2"/>
      <c r="F262" s="2" t="s">
        <v>5184</v>
      </c>
      <c r="G262" s="2"/>
      <c r="H262" s="2"/>
      <c r="I262" s="2" t="s">
        <v>5185</v>
      </c>
      <c r="J262" s="2" t="s">
        <v>5186</v>
      </c>
      <c r="K262" s="2"/>
      <c r="L262" s="2"/>
      <c r="M262" s="2" t="s">
        <v>116</v>
      </c>
      <c r="N262" s="2" t="s">
        <v>78</v>
      </c>
      <c r="O262" s="2"/>
      <c r="P262" s="2"/>
      <c r="Q262" s="2"/>
      <c r="R262" s="2"/>
      <c r="S262" s="2"/>
      <c r="T262" s="4" t="s">
        <v>121</v>
      </c>
      <c r="U262" s="2" t="s">
        <v>5187</v>
      </c>
      <c r="V262" s="2" t="s">
        <v>5188</v>
      </c>
      <c r="W262" s="2" t="s">
        <v>5189</v>
      </c>
      <c r="X262" s="2" t="s">
        <v>5190</v>
      </c>
      <c r="Y262" s="2" t="s">
        <v>5191</v>
      </c>
      <c r="Z262" s="2" t="s">
        <v>5192</v>
      </c>
      <c r="AA262" s="2"/>
      <c r="AB262" s="2"/>
      <c r="AC262" s="2"/>
      <c r="AD262" s="2"/>
      <c r="AE262" s="2"/>
      <c r="AF262" s="2" t="s">
        <v>5193</v>
      </c>
      <c r="AG262" s="2">
        <v>64.0</v>
      </c>
      <c r="AH262" s="2">
        <v>2.0</v>
      </c>
      <c r="AI262" s="2">
        <v>3.0</v>
      </c>
      <c r="AJ262" s="2">
        <v>2.0</v>
      </c>
      <c r="AK262" s="2">
        <v>15.0</v>
      </c>
      <c r="AL262" s="2" t="s">
        <v>5194</v>
      </c>
      <c r="AM262" s="2" t="s">
        <v>5195</v>
      </c>
      <c r="AN262" s="2" t="s">
        <v>5196</v>
      </c>
      <c r="AO262" s="2" t="s">
        <v>5197</v>
      </c>
      <c r="AP262" s="2"/>
      <c r="AQ262" s="2"/>
      <c r="AR262" s="2" t="s">
        <v>5186</v>
      </c>
      <c r="AS262" s="2" t="s">
        <v>5198</v>
      </c>
      <c r="AT262" s="2" t="s">
        <v>195</v>
      </c>
      <c r="AU262" s="2">
        <v>2018.0</v>
      </c>
      <c r="AV262" s="2">
        <v>14.0</v>
      </c>
      <c r="AW262" s="2">
        <v>2.0</v>
      </c>
      <c r="AX262" s="2"/>
      <c r="AY262" s="2"/>
      <c r="AZ262" s="2"/>
      <c r="BA262" s="2"/>
      <c r="BB262" s="2">
        <v>642.0</v>
      </c>
      <c r="BC262" s="2">
        <v>650.0</v>
      </c>
      <c r="BD262" s="2"/>
      <c r="BE262" s="2" t="s">
        <v>5199</v>
      </c>
      <c r="BF262" s="3" t="str">
        <f>HYPERLINK("http://dx.doi.org/10.1130/GES01461.1","http://dx.doi.org/10.1130/GES01461.1")</f>
        <v>http://dx.doi.org/10.1130/GES01461.1</v>
      </c>
      <c r="BG262" s="2"/>
      <c r="BH262" s="2"/>
      <c r="BI262" s="2">
        <v>9.0</v>
      </c>
      <c r="BJ262" s="2" t="s">
        <v>3181</v>
      </c>
      <c r="BK262" s="2" t="s">
        <v>363</v>
      </c>
      <c r="BL262" s="2" t="s">
        <v>3182</v>
      </c>
      <c r="BM262" s="2" t="s">
        <v>5200</v>
      </c>
      <c r="BN262" s="2"/>
      <c r="BO262" s="2" t="s">
        <v>2100</v>
      </c>
      <c r="BP262" s="2"/>
      <c r="BQ262" s="2"/>
      <c r="BR262" s="2" t="s">
        <v>99</v>
      </c>
      <c r="BS262" s="2" t="s">
        <v>5201</v>
      </c>
      <c r="BT262" s="2" t="str">
        <f>HYPERLINK("https%3A%2F%2Fwww.webofscience.com%2Fwos%2Fwoscc%2Ffull-record%2FWOS:000433391400013","View Full Record in Web of Science")</f>
        <v>View Full Record in Web of Science</v>
      </c>
    </row>
    <row r="263" ht="64.5" customHeight="1">
      <c r="A263" s="2" t="s">
        <v>72</v>
      </c>
      <c r="B263" s="2" t="s">
        <v>5202</v>
      </c>
      <c r="C263" s="2"/>
      <c r="D263" s="2"/>
      <c r="E263" s="2"/>
      <c r="F263" s="2" t="s">
        <v>5203</v>
      </c>
      <c r="G263" s="2"/>
      <c r="H263" s="2"/>
      <c r="I263" s="2" t="s">
        <v>5204</v>
      </c>
      <c r="J263" s="2" t="s">
        <v>5205</v>
      </c>
      <c r="K263" s="2"/>
      <c r="L263" s="2"/>
      <c r="M263" s="2" t="s">
        <v>116</v>
      </c>
      <c r="N263" s="2" t="s">
        <v>78</v>
      </c>
      <c r="O263" s="2"/>
      <c r="P263" s="2"/>
      <c r="Q263" s="2"/>
      <c r="R263" s="2"/>
      <c r="S263" s="2"/>
      <c r="T263" s="2" t="s">
        <v>5206</v>
      </c>
      <c r="U263" s="2"/>
      <c r="V263" s="2" t="s">
        <v>5207</v>
      </c>
      <c r="W263" s="2" t="s">
        <v>5208</v>
      </c>
      <c r="X263" s="2" t="s">
        <v>5209</v>
      </c>
      <c r="Y263" s="2" t="s">
        <v>5210</v>
      </c>
      <c r="Z263" s="2" t="s">
        <v>5211</v>
      </c>
      <c r="AA263" s="2"/>
      <c r="AB263" s="2" t="s">
        <v>5212</v>
      </c>
      <c r="AC263" s="2" t="s">
        <v>5213</v>
      </c>
      <c r="AD263" s="2" t="s">
        <v>5214</v>
      </c>
      <c r="AE263" s="2" t="s">
        <v>5215</v>
      </c>
      <c r="AF263" s="2" t="s">
        <v>5216</v>
      </c>
      <c r="AG263" s="2">
        <v>29.0</v>
      </c>
      <c r="AH263" s="2">
        <v>6.0</v>
      </c>
      <c r="AI263" s="2">
        <v>7.0</v>
      </c>
      <c r="AJ263" s="2">
        <v>0.0</v>
      </c>
      <c r="AK263" s="2">
        <v>17.0</v>
      </c>
      <c r="AL263" s="2" t="s">
        <v>4027</v>
      </c>
      <c r="AM263" s="2" t="s">
        <v>4028</v>
      </c>
      <c r="AN263" s="2" t="s">
        <v>4029</v>
      </c>
      <c r="AO263" s="2" t="s">
        <v>5217</v>
      </c>
      <c r="AP263" s="2" t="s">
        <v>5218</v>
      </c>
      <c r="AQ263" s="2"/>
      <c r="AR263" s="2" t="s">
        <v>5219</v>
      </c>
      <c r="AS263" s="2" t="s">
        <v>5220</v>
      </c>
      <c r="AT263" s="2" t="s">
        <v>596</v>
      </c>
      <c r="AU263" s="2">
        <v>2013.0</v>
      </c>
      <c r="AV263" s="2">
        <v>5.0</v>
      </c>
      <c r="AW263" s="2">
        <v>4.0</v>
      </c>
      <c r="AX263" s="2"/>
      <c r="AY263" s="2"/>
      <c r="AZ263" s="2"/>
      <c r="BA263" s="2"/>
      <c r="BB263" s="2">
        <v>293.0</v>
      </c>
      <c r="BC263" s="2">
        <v>308.0</v>
      </c>
      <c r="BD263" s="2"/>
      <c r="BE263" s="2" t="s">
        <v>5221</v>
      </c>
      <c r="BF263" s="3" t="str">
        <f>HYPERLINK("http://dx.doi.org/10.1175/WCAS-D-12-00039.1","http://dx.doi.org/10.1175/WCAS-D-12-00039.1")</f>
        <v>http://dx.doi.org/10.1175/WCAS-D-12-00039.1</v>
      </c>
      <c r="BG263" s="2"/>
      <c r="BH263" s="2"/>
      <c r="BI263" s="2">
        <v>16.0</v>
      </c>
      <c r="BJ263" s="2" t="s">
        <v>5222</v>
      </c>
      <c r="BK263" s="2" t="s">
        <v>363</v>
      </c>
      <c r="BL263" s="2" t="s">
        <v>1376</v>
      </c>
      <c r="BM263" s="2" t="s">
        <v>5223</v>
      </c>
      <c r="BN263" s="2"/>
      <c r="BO263" s="2" t="s">
        <v>2170</v>
      </c>
      <c r="BP263" s="2"/>
      <c r="BQ263" s="2"/>
      <c r="BR263" s="2" t="s">
        <v>99</v>
      </c>
      <c r="BS263" s="2" t="s">
        <v>5224</v>
      </c>
      <c r="BT263" s="2" t="str">
        <f>HYPERLINK("https%3A%2F%2Fwww.webofscience.com%2Fwos%2Fwoscc%2Ffull-record%2FWOS:000325480100002","View Full Record in Web of Science")</f>
        <v>View Full Record in Web of Science</v>
      </c>
    </row>
    <row r="264" ht="64.5" customHeight="1">
      <c r="A264" s="2" t="s">
        <v>72</v>
      </c>
      <c r="B264" s="2" t="s">
        <v>5225</v>
      </c>
      <c r="C264" s="2"/>
      <c r="D264" s="2"/>
      <c r="E264" s="2"/>
      <c r="F264" s="2" t="s">
        <v>5226</v>
      </c>
      <c r="G264" s="2"/>
      <c r="H264" s="2"/>
      <c r="I264" s="2" t="s">
        <v>5227</v>
      </c>
      <c r="J264" s="2" t="s">
        <v>5228</v>
      </c>
      <c r="K264" s="2"/>
      <c r="L264" s="2"/>
      <c r="M264" s="2" t="s">
        <v>116</v>
      </c>
      <c r="N264" s="2" t="s">
        <v>78</v>
      </c>
      <c r="O264" s="2"/>
      <c r="P264" s="2"/>
      <c r="Q264" s="2"/>
      <c r="R264" s="2"/>
      <c r="S264" s="2"/>
      <c r="T264" s="2" t="s">
        <v>5229</v>
      </c>
      <c r="U264" s="2" t="s">
        <v>5230</v>
      </c>
      <c r="V264" s="2" t="s">
        <v>5231</v>
      </c>
      <c r="W264" s="2" t="s">
        <v>5232</v>
      </c>
      <c r="X264" s="2" t="s">
        <v>5233</v>
      </c>
      <c r="Y264" s="2" t="s">
        <v>5234</v>
      </c>
      <c r="Z264" s="2" t="s">
        <v>5235</v>
      </c>
      <c r="AA264" s="2"/>
      <c r="AB264" s="2"/>
      <c r="AC264" s="2"/>
      <c r="AD264" s="2"/>
      <c r="AE264" s="2"/>
      <c r="AF264" s="2" t="s">
        <v>5236</v>
      </c>
      <c r="AG264" s="2">
        <v>55.0</v>
      </c>
      <c r="AH264" s="2">
        <v>0.0</v>
      </c>
      <c r="AI264" s="2">
        <v>0.0</v>
      </c>
      <c r="AJ264" s="2">
        <v>0.0</v>
      </c>
      <c r="AK264" s="2">
        <v>0.0</v>
      </c>
      <c r="AL264" s="2" t="s">
        <v>156</v>
      </c>
      <c r="AM264" s="2" t="s">
        <v>157</v>
      </c>
      <c r="AN264" s="2" t="s">
        <v>158</v>
      </c>
      <c r="AO264" s="2" t="s">
        <v>5237</v>
      </c>
      <c r="AP264" s="2" t="s">
        <v>5238</v>
      </c>
      <c r="AQ264" s="2"/>
      <c r="AR264" s="2" t="s">
        <v>5239</v>
      </c>
      <c r="AS264" s="2" t="s">
        <v>5240</v>
      </c>
      <c r="AT264" s="2" t="s">
        <v>2224</v>
      </c>
      <c r="AU264" s="2">
        <v>2023.0</v>
      </c>
      <c r="AV264" s="2">
        <v>26.0</v>
      </c>
      <c r="AW264" s="2">
        <v>1.0</v>
      </c>
      <c r="AX264" s="2"/>
      <c r="AY264" s="2"/>
      <c r="AZ264" s="2"/>
      <c r="BA264" s="2"/>
      <c r="BB264" s="2">
        <v>121.0</v>
      </c>
      <c r="BC264" s="2">
        <v>138.0</v>
      </c>
      <c r="BD264" s="2"/>
      <c r="BE264" s="2" t="s">
        <v>5241</v>
      </c>
      <c r="BF264" s="3" t="str">
        <f>HYPERLINK("http://dx.doi.org/10.1080/21550085.2022.2133944","http://dx.doi.org/10.1080/21550085.2022.2133944")</f>
        <v>http://dx.doi.org/10.1080/21550085.2022.2133944</v>
      </c>
      <c r="BG264" s="2"/>
      <c r="BH264" s="2" t="s">
        <v>2625</v>
      </c>
      <c r="BI264" s="2">
        <v>18.0</v>
      </c>
      <c r="BJ264" s="2" t="s">
        <v>95</v>
      </c>
      <c r="BK264" s="2" t="s">
        <v>96</v>
      </c>
      <c r="BL264" s="2" t="s">
        <v>97</v>
      </c>
      <c r="BM264" s="2" t="s">
        <v>5242</v>
      </c>
      <c r="BN264" s="2"/>
      <c r="BO264" s="2"/>
      <c r="BP264" s="2"/>
      <c r="BQ264" s="2"/>
      <c r="BR264" s="2" t="s">
        <v>99</v>
      </c>
      <c r="BS264" s="2" t="s">
        <v>5243</v>
      </c>
      <c r="BT264" s="2" t="str">
        <f>HYPERLINK("https%3A%2F%2Fwww.webofscience.com%2Fwos%2Fwoscc%2Ffull-record%2FWOS:000871348800001","View Full Record in Web of Science")</f>
        <v>View Full Record in Web of Science</v>
      </c>
    </row>
    <row r="265" ht="64.5" customHeight="1">
      <c r="A265" s="2" t="s">
        <v>72</v>
      </c>
      <c r="B265" s="2" t="s">
        <v>5244</v>
      </c>
      <c r="C265" s="2"/>
      <c r="D265" s="2"/>
      <c r="E265" s="2"/>
      <c r="F265" s="2" t="s">
        <v>5245</v>
      </c>
      <c r="G265" s="2"/>
      <c r="H265" s="2"/>
      <c r="I265" s="2" t="s">
        <v>5246</v>
      </c>
      <c r="J265" s="2" t="s">
        <v>206</v>
      </c>
      <c r="K265" s="2"/>
      <c r="L265" s="2"/>
      <c r="M265" s="2" t="s">
        <v>116</v>
      </c>
      <c r="N265" s="2" t="s">
        <v>4280</v>
      </c>
      <c r="O265" s="2"/>
      <c r="P265" s="2"/>
      <c r="Q265" s="2"/>
      <c r="R265" s="2"/>
      <c r="S265" s="2"/>
      <c r="T265" s="4" t="s">
        <v>121</v>
      </c>
      <c r="U265" s="2"/>
      <c r="V265" s="2"/>
      <c r="W265" s="2" t="s">
        <v>5247</v>
      </c>
      <c r="X265" s="2" t="s">
        <v>5248</v>
      </c>
      <c r="Y265" s="2" t="s">
        <v>5249</v>
      </c>
      <c r="Z265" s="2" t="s">
        <v>5250</v>
      </c>
      <c r="AA265" s="2" t="s">
        <v>5251</v>
      </c>
      <c r="AB265" s="2" t="s">
        <v>5252</v>
      </c>
      <c r="AC265" s="2"/>
      <c r="AD265" s="2"/>
      <c r="AE265" s="2"/>
      <c r="AF265" s="2" t="s">
        <v>5253</v>
      </c>
      <c r="AG265" s="2">
        <v>10.0</v>
      </c>
      <c r="AH265" s="2">
        <v>26.0</v>
      </c>
      <c r="AI265" s="2">
        <v>28.0</v>
      </c>
      <c r="AJ265" s="2">
        <v>1.0</v>
      </c>
      <c r="AK265" s="2">
        <v>32.0</v>
      </c>
      <c r="AL265" s="2" t="s">
        <v>216</v>
      </c>
      <c r="AM265" s="2" t="s">
        <v>189</v>
      </c>
      <c r="AN265" s="2" t="s">
        <v>217</v>
      </c>
      <c r="AO265" s="2" t="s">
        <v>218</v>
      </c>
      <c r="AP265" s="2" t="s">
        <v>219</v>
      </c>
      <c r="AQ265" s="2"/>
      <c r="AR265" s="2" t="s">
        <v>220</v>
      </c>
      <c r="AS265" s="2" t="s">
        <v>221</v>
      </c>
      <c r="AT265" s="2" t="s">
        <v>1840</v>
      </c>
      <c r="AU265" s="2">
        <v>2016.0</v>
      </c>
      <c r="AV265" s="2">
        <v>104.0</v>
      </c>
      <c r="AW265" s="2" t="s">
        <v>5254</v>
      </c>
      <c r="AX265" s="2"/>
      <c r="AY265" s="2"/>
      <c r="AZ265" s="2"/>
      <c r="BA265" s="2"/>
      <c r="BB265" s="2">
        <v>1.0</v>
      </c>
      <c r="BC265" s="2">
        <v>2.0</v>
      </c>
      <c r="BD265" s="2"/>
      <c r="BE265" s="2" t="s">
        <v>5255</v>
      </c>
      <c r="BF265" s="3" t="str">
        <f>HYPERLINK("http://dx.doi.org/10.1016/j.marpolbul.2016.02.060","http://dx.doi.org/10.1016/j.marpolbul.2016.02.060")</f>
        <v>http://dx.doi.org/10.1016/j.marpolbul.2016.02.060</v>
      </c>
      <c r="BG265" s="2"/>
      <c r="BH265" s="2"/>
      <c r="BI265" s="2">
        <v>2.0</v>
      </c>
      <c r="BJ265" s="2" t="s">
        <v>225</v>
      </c>
      <c r="BK265" s="2" t="s">
        <v>363</v>
      </c>
      <c r="BL265" s="2" t="s">
        <v>227</v>
      </c>
      <c r="BM265" s="2" t="s">
        <v>5256</v>
      </c>
      <c r="BN265" s="2">
        <v>2.6987419E7</v>
      </c>
      <c r="BO265" s="2"/>
      <c r="BP265" s="2"/>
      <c r="BQ265" s="2"/>
      <c r="BR265" s="2" t="s">
        <v>99</v>
      </c>
      <c r="BS265" s="2" t="s">
        <v>5257</v>
      </c>
      <c r="BT265" s="2" t="str">
        <f>HYPERLINK("https%3A%2F%2Fwww.webofscience.com%2Fwos%2Fwoscc%2Ffull-record%2FWOS:000374198100001","View Full Record in Web of Science")</f>
        <v>View Full Record in Web of Science</v>
      </c>
    </row>
    <row r="266" ht="64.5" customHeight="1">
      <c r="A266" s="2" t="s">
        <v>72</v>
      </c>
      <c r="B266" s="2" t="s">
        <v>5258</v>
      </c>
      <c r="C266" s="2"/>
      <c r="D266" s="2"/>
      <c r="E266" s="2"/>
      <c r="F266" s="2" t="s">
        <v>5259</v>
      </c>
      <c r="G266" s="2"/>
      <c r="H266" s="2"/>
      <c r="I266" s="2" t="s">
        <v>5260</v>
      </c>
      <c r="J266" s="2" t="s">
        <v>3537</v>
      </c>
      <c r="K266" s="2"/>
      <c r="L266" s="2"/>
      <c r="M266" s="2" t="s">
        <v>116</v>
      </c>
      <c r="N266" s="2" t="s">
        <v>52</v>
      </c>
      <c r="O266" s="2" t="s">
        <v>5261</v>
      </c>
      <c r="P266" s="2" t="s">
        <v>5262</v>
      </c>
      <c r="Q266" s="2" t="s">
        <v>5263</v>
      </c>
      <c r="R266" s="2"/>
      <c r="S266" s="2"/>
      <c r="T266" s="4" t="s">
        <v>121</v>
      </c>
      <c r="U266" s="2"/>
      <c r="V266" s="2"/>
      <c r="W266" s="2" t="s">
        <v>5264</v>
      </c>
      <c r="X266" s="2" t="s">
        <v>5265</v>
      </c>
      <c r="Y266" s="2"/>
      <c r="Z266" s="2" t="s">
        <v>5266</v>
      </c>
      <c r="AA266" s="2"/>
      <c r="AB266" s="2"/>
      <c r="AC266" s="2"/>
      <c r="AD266" s="2"/>
      <c r="AE266" s="2"/>
      <c r="AF266" s="2"/>
      <c r="AG266" s="2">
        <v>0.0</v>
      </c>
      <c r="AH266" s="2">
        <v>0.0</v>
      </c>
      <c r="AI266" s="2">
        <v>0.0</v>
      </c>
      <c r="AJ266" s="2">
        <v>0.0</v>
      </c>
      <c r="AK266" s="2">
        <v>4.0</v>
      </c>
      <c r="AL266" s="2" t="s">
        <v>3551</v>
      </c>
      <c r="AM266" s="2" t="s">
        <v>3552</v>
      </c>
      <c r="AN266" s="2" t="s">
        <v>3553</v>
      </c>
      <c r="AO266" s="2" t="s">
        <v>3554</v>
      </c>
      <c r="AP266" s="2"/>
      <c r="AQ266" s="2"/>
      <c r="AR266" s="2" t="s">
        <v>3556</v>
      </c>
      <c r="AS266" s="2" t="s">
        <v>3557</v>
      </c>
      <c r="AT266" s="2" t="s">
        <v>751</v>
      </c>
      <c r="AU266" s="2">
        <v>2010.0</v>
      </c>
      <c r="AV266" s="2">
        <v>50.0</v>
      </c>
      <c r="AW266" s="2"/>
      <c r="AX266" s="2"/>
      <c r="AY266" s="2">
        <v>1.0</v>
      </c>
      <c r="AZ266" s="2"/>
      <c r="BA266" s="2"/>
      <c r="BB266" s="2" t="s">
        <v>5267</v>
      </c>
      <c r="BC266" s="2" t="s">
        <v>5267</v>
      </c>
      <c r="BD266" s="2"/>
      <c r="BE266" s="2"/>
      <c r="BF266" s="2"/>
      <c r="BG266" s="2"/>
      <c r="BH266" s="2"/>
      <c r="BI266" s="2">
        <v>1.0</v>
      </c>
      <c r="BJ266" s="2" t="s">
        <v>3560</v>
      </c>
      <c r="BK266" s="2" t="s">
        <v>2701</v>
      </c>
      <c r="BL266" s="2" t="s">
        <v>3560</v>
      </c>
      <c r="BM266" s="2" t="s">
        <v>5268</v>
      </c>
      <c r="BN266" s="2"/>
      <c r="BO266" s="2"/>
      <c r="BP266" s="2"/>
      <c r="BQ266" s="2"/>
      <c r="BR266" s="2" t="s">
        <v>99</v>
      </c>
      <c r="BS266" s="2" t="s">
        <v>5269</v>
      </c>
      <c r="BT266" s="2" t="str">
        <f>HYPERLINK("https%3A%2F%2Fwww.webofscience.com%2Fwos%2Fwoscc%2Ffull-record%2FWOS:000280297001058","View Full Record in Web of Science")</f>
        <v>View Full Record in Web of Science</v>
      </c>
    </row>
    <row r="267" ht="64.5" customHeight="1">
      <c r="A267" s="2" t="s">
        <v>72</v>
      </c>
      <c r="B267" s="2" t="s">
        <v>5270</v>
      </c>
      <c r="C267" s="2"/>
      <c r="D267" s="2"/>
      <c r="E267" s="2"/>
      <c r="F267" s="2" t="s">
        <v>5271</v>
      </c>
      <c r="G267" s="2"/>
      <c r="H267" s="2"/>
      <c r="I267" s="2" t="s">
        <v>5272</v>
      </c>
      <c r="J267" s="2" t="s">
        <v>2105</v>
      </c>
      <c r="K267" s="2"/>
      <c r="L267" s="2"/>
      <c r="M267" s="2" t="s">
        <v>116</v>
      </c>
      <c r="N267" s="2" t="s">
        <v>78</v>
      </c>
      <c r="O267" s="2"/>
      <c r="P267" s="2"/>
      <c r="Q267" s="2"/>
      <c r="R267" s="2"/>
      <c r="S267" s="2"/>
      <c r="T267" s="2" t="s">
        <v>5273</v>
      </c>
      <c r="U267" s="2" t="s">
        <v>5274</v>
      </c>
      <c r="V267" s="2" t="s">
        <v>5275</v>
      </c>
      <c r="W267" s="2" t="s">
        <v>5276</v>
      </c>
      <c r="X267" s="2" t="s">
        <v>5277</v>
      </c>
      <c r="Y267" s="2" t="s">
        <v>5278</v>
      </c>
      <c r="Z267" s="2" t="s">
        <v>5279</v>
      </c>
      <c r="AA267" s="2" t="s">
        <v>5280</v>
      </c>
      <c r="AB267" s="2" t="s">
        <v>5281</v>
      </c>
      <c r="AC267" s="2" t="s">
        <v>5282</v>
      </c>
      <c r="AD267" s="2" t="s">
        <v>5282</v>
      </c>
      <c r="AE267" s="2" t="s">
        <v>5283</v>
      </c>
      <c r="AF267" s="2" t="s">
        <v>5284</v>
      </c>
      <c r="AG267" s="2">
        <v>56.0</v>
      </c>
      <c r="AH267" s="2">
        <v>8.0</v>
      </c>
      <c r="AI267" s="2">
        <v>8.0</v>
      </c>
      <c r="AJ267" s="2">
        <v>3.0</v>
      </c>
      <c r="AK267" s="2">
        <v>11.0</v>
      </c>
      <c r="AL267" s="2" t="s">
        <v>2116</v>
      </c>
      <c r="AM267" s="2" t="s">
        <v>2117</v>
      </c>
      <c r="AN267" s="2" t="s">
        <v>2118</v>
      </c>
      <c r="AO267" s="2" t="s">
        <v>2119</v>
      </c>
      <c r="AP267" s="2" t="s">
        <v>2120</v>
      </c>
      <c r="AQ267" s="2"/>
      <c r="AR267" s="2" t="s">
        <v>2121</v>
      </c>
      <c r="AS267" s="2" t="s">
        <v>2122</v>
      </c>
      <c r="AT267" s="2" t="s">
        <v>5285</v>
      </c>
      <c r="AU267" s="2">
        <v>2020.0</v>
      </c>
      <c r="AV267" s="2">
        <v>21.0</v>
      </c>
      <c r="AW267" s="2">
        <v>7.0</v>
      </c>
      <c r="AX267" s="2"/>
      <c r="AY267" s="2"/>
      <c r="AZ267" s="2"/>
      <c r="BA267" s="2"/>
      <c r="BB267" s="2">
        <v>1277.0</v>
      </c>
      <c r="BC267" s="2">
        <v>1296.0</v>
      </c>
      <c r="BD267" s="2"/>
      <c r="BE267" s="2" t="s">
        <v>5286</v>
      </c>
      <c r="BF267" s="3" t="str">
        <f>HYPERLINK("http://dx.doi.org/10.1108/IJSHE-12-2019-0363","http://dx.doi.org/10.1108/IJSHE-12-2019-0363")</f>
        <v>http://dx.doi.org/10.1108/IJSHE-12-2019-0363</v>
      </c>
      <c r="BG267" s="2"/>
      <c r="BH267" s="2" t="s">
        <v>5287</v>
      </c>
      <c r="BI267" s="2">
        <v>20.0</v>
      </c>
      <c r="BJ267" s="2" t="s">
        <v>2124</v>
      </c>
      <c r="BK267" s="2" t="s">
        <v>166</v>
      </c>
      <c r="BL267" s="2" t="s">
        <v>2125</v>
      </c>
      <c r="BM267" s="2" t="s">
        <v>5288</v>
      </c>
      <c r="BN267" s="2"/>
      <c r="BO267" s="2"/>
      <c r="BP267" s="2"/>
      <c r="BQ267" s="2"/>
      <c r="BR267" s="2" t="s">
        <v>99</v>
      </c>
      <c r="BS267" s="2" t="s">
        <v>5289</v>
      </c>
      <c r="BT267" s="2" t="str">
        <f>HYPERLINK("https%3A%2F%2Fwww.webofscience.com%2Fwos%2Fwoscc%2Ffull-record%2FWOS:000570669400001","View Full Record in Web of Science")</f>
        <v>View Full Record in Web of Science</v>
      </c>
    </row>
    <row r="268" ht="64.5" customHeight="1">
      <c r="A268" s="2" t="s">
        <v>72</v>
      </c>
      <c r="B268" s="2" t="s">
        <v>5290</v>
      </c>
      <c r="C268" s="2"/>
      <c r="D268" s="2"/>
      <c r="E268" s="2"/>
      <c r="F268" s="2" t="s">
        <v>5291</v>
      </c>
      <c r="G268" s="2"/>
      <c r="H268" s="2"/>
      <c r="I268" s="2" t="s">
        <v>5292</v>
      </c>
      <c r="J268" s="2" t="s">
        <v>4576</v>
      </c>
      <c r="K268" s="2"/>
      <c r="L268" s="2"/>
      <c r="M268" s="2" t="s">
        <v>116</v>
      </c>
      <c r="N268" s="2" t="s">
        <v>4280</v>
      </c>
      <c r="O268" s="2"/>
      <c r="P268" s="2"/>
      <c r="Q268" s="2"/>
      <c r="R268" s="2"/>
      <c r="S268" s="2"/>
      <c r="T268" s="4" t="s">
        <v>121</v>
      </c>
      <c r="U268" s="2"/>
      <c r="V268" s="2"/>
      <c r="W268" s="2" t="s">
        <v>5293</v>
      </c>
      <c r="X268" s="2" t="s">
        <v>5294</v>
      </c>
      <c r="Y268" s="2" t="s">
        <v>5295</v>
      </c>
      <c r="Z268" s="2"/>
      <c r="AA268" s="2"/>
      <c r="AB268" s="2"/>
      <c r="AC268" s="2"/>
      <c r="AD268" s="2"/>
      <c r="AE268" s="2"/>
      <c r="AF268" s="2"/>
      <c r="AG268" s="2">
        <v>0.0</v>
      </c>
      <c r="AH268" s="2">
        <v>0.0</v>
      </c>
      <c r="AI268" s="2">
        <v>0.0</v>
      </c>
      <c r="AJ268" s="2">
        <v>0.0</v>
      </c>
      <c r="AK268" s="2">
        <v>2.0</v>
      </c>
      <c r="AL268" s="2" t="s">
        <v>4580</v>
      </c>
      <c r="AM268" s="2" t="s">
        <v>4581</v>
      </c>
      <c r="AN268" s="2" t="s">
        <v>4582</v>
      </c>
      <c r="AO268" s="2" t="s">
        <v>4583</v>
      </c>
      <c r="AP268" s="2"/>
      <c r="AQ268" s="2"/>
      <c r="AR268" s="2" t="s">
        <v>4576</v>
      </c>
      <c r="AS268" s="2" t="s">
        <v>4584</v>
      </c>
      <c r="AT268" s="2" t="s">
        <v>358</v>
      </c>
      <c r="AU268" s="2">
        <v>2012.0</v>
      </c>
      <c r="AV268" s="2">
        <v>25.0</v>
      </c>
      <c r="AW268" s="2">
        <v>1.0</v>
      </c>
      <c r="AX268" s="2"/>
      <c r="AY268" s="2" t="s">
        <v>5296</v>
      </c>
      <c r="AZ268" s="2"/>
      <c r="BA268" s="2"/>
      <c r="BB268" s="2">
        <v>2.0</v>
      </c>
      <c r="BC268" s="2">
        <v>5.0</v>
      </c>
      <c r="BD268" s="2"/>
      <c r="BE268" s="2"/>
      <c r="BF268" s="2"/>
      <c r="BG268" s="2"/>
      <c r="BH268" s="2"/>
      <c r="BI268" s="2">
        <v>4.0</v>
      </c>
      <c r="BJ268" s="2" t="s">
        <v>4584</v>
      </c>
      <c r="BK268" s="2" t="s">
        <v>226</v>
      </c>
      <c r="BL268" s="2" t="s">
        <v>4584</v>
      </c>
      <c r="BM268" s="2" t="s">
        <v>5297</v>
      </c>
      <c r="BN268" s="2"/>
      <c r="BO268" s="2"/>
      <c r="BP268" s="2"/>
      <c r="BQ268" s="2"/>
      <c r="BR268" s="2" t="s">
        <v>99</v>
      </c>
      <c r="BS268" s="2" t="s">
        <v>5298</v>
      </c>
      <c r="BT268" s="2" t="str">
        <f>HYPERLINK("https%3A%2F%2Fwww.webofscience.com%2Fwos%2Fwoscc%2Ffull-record%2FWOS:000444353400002","View Full Record in Web of Science")</f>
        <v>View Full Record in Web of Science</v>
      </c>
    </row>
    <row r="269" ht="64.5" customHeight="1">
      <c r="A269" s="2" t="s">
        <v>72</v>
      </c>
      <c r="B269" s="2" t="s">
        <v>5299</v>
      </c>
      <c r="C269" s="2"/>
      <c r="D269" s="2"/>
      <c r="E269" s="2"/>
      <c r="F269" s="2" t="s">
        <v>5300</v>
      </c>
      <c r="G269" s="2"/>
      <c r="H269" s="2"/>
      <c r="I269" s="2" t="s">
        <v>5301</v>
      </c>
      <c r="J269" s="2" t="s">
        <v>5302</v>
      </c>
      <c r="K269" s="2"/>
      <c r="L269" s="2"/>
      <c r="M269" s="2" t="s">
        <v>116</v>
      </c>
      <c r="N269" s="2" t="s">
        <v>78</v>
      </c>
      <c r="O269" s="2"/>
      <c r="P269" s="2"/>
      <c r="Q269" s="2"/>
      <c r="R269" s="2"/>
      <c r="S269" s="2"/>
      <c r="T269" s="2" t="s">
        <v>5303</v>
      </c>
      <c r="U269" s="2" t="s">
        <v>5304</v>
      </c>
      <c r="V269" s="2" t="s">
        <v>5305</v>
      </c>
      <c r="W269" s="2" t="s">
        <v>5306</v>
      </c>
      <c r="X269" s="2" t="s">
        <v>5307</v>
      </c>
      <c r="Y269" s="2" t="s">
        <v>1343</v>
      </c>
      <c r="Z269" s="2" t="s">
        <v>5308</v>
      </c>
      <c r="AA269" s="2"/>
      <c r="AB269" s="2" t="s">
        <v>5309</v>
      </c>
      <c r="AC269" s="2"/>
      <c r="AD269" s="2"/>
      <c r="AE269" s="2"/>
      <c r="AF269" s="2" t="s">
        <v>5310</v>
      </c>
      <c r="AG269" s="2">
        <v>30.0</v>
      </c>
      <c r="AH269" s="2">
        <v>12.0</v>
      </c>
      <c r="AI269" s="2">
        <v>14.0</v>
      </c>
      <c r="AJ269" s="2">
        <v>5.0</v>
      </c>
      <c r="AK269" s="2">
        <v>12.0</v>
      </c>
      <c r="AL269" s="2" t="s">
        <v>5311</v>
      </c>
      <c r="AM269" s="2" t="s">
        <v>1513</v>
      </c>
      <c r="AN269" s="2" t="s">
        <v>5312</v>
      </c>
      <c r="AO269" s="2" t="s">
        <v>5313</v>
      </c>
      <c r="AP269" s="2"/>
      <c r="AQ269" s="2"/>
      <c r="AR269" s="2" t="s">
        <v>5314</v>
      </c>
      <c r="AS269" s="2" t="s">
        <v>5315</v>
      </c>
      <c r="AT269" s="2" t="s">
        <v>195</v>
      </c>
      <c r="AU269" s="2">
        <v>2019.0</v>
      </c>
      <c r="AV269" s="2">
        <v>62.0</v>
      </c>
      <c r="AW269" s="2"/>
      <c r="AX269" s="2"/>
      <c r="AY269" s="2"/>
      <c r="AZ269" s="2"/>
      <c r="BA269" s="2"/>
      <c r="BB269" s="2">
        <v>95.0</v>
      </c>
      <c r="BC269" s="2">
        <v>104.0</v>
      </c>
      <c r="BD269" s="2"/>
      <c r="BE269" s="2" t="s">
        <v>5316</v>
      </c>
      <c r="BF269" s="3" t="str">
        <f>HYPERLINK("http://dx.doi.org/10.1016/j.jenvp.2019.02.008","http://dx.doi.org/10.1016/j.jenvp.2019.02.008")</f>
        <v>http://dx.doi.org/10.1016/j.jenvp.2019.02.008</v>
      </c>
      <c r="BG269" s="2"/>
      <c r="BH269" s="2"/>
      <c r="BI269" s="2">
        <v>10.0</v>
      </c>
      <c r="BJ269" s="2" t="s">
        <v>5317</v>
      </c>
      <c r="BK269" s="2" t="s">
        <v>166</v>
      </c>
      <c r="BL269" s="2" t="s">
        <v>5318</v>
      </c>
      <c r="BM269" s="2" t="s">
        <v>5319</v>
      </c>
      <c r="BN269" s="2"/>
      <c r="BO269" s="2"/>
      <c r="BP269" s="2"/>
      <c r="BQ269" s="2"/>
      <c r="BR269" s="2" t="s">
        <v>99</v>
      </c>
      <c r="BS269" s="2" t="s">
        <v>5320</v>
      </c>
      <c r="BT269" s="2" t="str">
        <f>HYPERLINK("https%3A%2F%2Fwww.webofscience.com%2Fwos%2Fwoscc%2Ffull-record%2FWOS:000466252500011","View Full Record in Web of Science")</f>
        <v>View Full Record in Web of Science</v>
      </c>
    </row>
    <row r="270" ht="64.5" customHeight="1">
      <c r="A270" s="2" t="s">
        <v>72</v>
      </c>
      <c r="B270" s="2" t="s">
        <v>5321</v>
      </c>
      <c r="C270" s="2"/>
      <c r="D270" s="2"/>
      <c r="E270" s="2"/>
      <c r="F270" s="2" t="s">
        <v>5322</v>
      </c>
      <c r="G270" s="2"/>
      <c r="H270" s="2"/>
      <c r="I270" s="2" t="s">
        <v>5323</v>
      </c>
      <c r="J270" s="2" t="s">
        <v>5324</v>
      </c>
      <c r="K270" s="2"/>
      <c r="L270" s="2"/>
      <c r="M270" s="2" t="s">
        <v>116</v>
      </c>
      <c r="N270" s="2" t="s">
        <v>78</v>
      </c>
      <c r="O270" s="2"/>
      <c r="P270" s="2"/>
      <c r="Q270" s="2"/>
      <c r="R270" s="2"/>
      <c r="S270" s="2"/>
      <c r="T270" s="2" t="s">
        <v>5325</v>
      </c>
      <c r="U270" s="2" t="s">
        <v>5326</v>
      </c>
      <c r="V270" s="2" t="s">
        <v>5327</v>
      </c>
      <c r="W270" s="2" t="s">
        <v>5328</v>
      </c>
      <c r="X270" s="2" t="s">
        <v>5329</v>
      </c>
      <c r="Y270" s="2" t="s">
        <v>5330</v>
      </c>
      <c r="Z270" s="2" t="s">
        <v>5331</v>
      </c>
      <c r="AA270" s="2" t="s">
        <v>5332</v>
      </c>
      <c r="AB270" s="2" t="s">
        <v>5333</v>
      </c>
      <c r="AC270" s="2" t="s">
        <v>5334</v>
      </c>
      <c r="AD270" s="2" t="s">
        <v>5335</v>
      </c>
      <c r="AE270" s="2" t="s">
        <v>5336</v>
      </c>
      <c r="AF270" s="2" t="s">
        <v>5337</v>
      </c>
      <c r="AG270" s="2">
        <v>43.0</v>
      </c>
      <c r="AH270" s="2">
        <v>0.0</v>
      </c>
      <c r="AI270" s="2">
        <v>0.0</v>
      </c>
      <c r="AJ270" s="2">
        <v>4.0</v>
      </c>
      <c r="AK270" s="2">
        <v>4.0</v>
      </c>
      <c r="AL270" s="2" t="s">
        <v>5338</v>
      </c>
      <c r="AM270" s="2" t="s">
        <v>1513</v>
      </c>
      <c r="AN270" s="2" t="s">
        <v>5339</v>
      </c>
      <c r="AO270" s="2" t="s">
        <v>5340</v>
      </c>
      <c r="AP270" s="2" t="s">
        <v>5341</v>
      </c>
      <c r="AQ270" s="2"/>
      <c r="AR270" s="2" t="s">
        <v>5342</v>
      </c>
      <c r="AS270" s="2" t="s">
        <v>5343</v>
      </c>
      <c r="AT270" s="2" t="s">
        <v>533</v>
      </c>
      <c r="AU270" s="2">
        <v>2023.0</v>
      </c>
      <c r="AV270" s="2">
        <v>21.0</v>
      </c>
      <c r="AW270" s="2">
        <v>3.0</v>
      </c>
      <c r="AX270" s="2"/>
      <c r="AY270" s="2"/>
      <c r="AZ270" s="2" t="s">
        <v>359</v>
      </c>
      <c r="BA270" s="2"/>
      <c r="BB270" s="2">
        <v>462.0</v>
      </c>
      <c r="BC270" s="2">
        <v>477.0</v>
      </c>
      <c r="BD270" s="2"/>
      <c r="BE270" s="2" t="s">
        <v>5344</v>
      </c>
      <c r="BF270" s="3" t="str">
        <f>HYPERLINK("http://dx.doi.org/10.1177/14780771231180256","http://dx.doi.org/10.1177/14780771231180256")</f>
        <v>http://dx.doi.org/10.1177/14780771231180256</v>
      </c>
      <c r="BG270" s="2"/>
      <c r="BH270" s="2" t="s">
        <v>224</v>
      </c>
      <c r="BI270" s="2">
        <v>16.0</v>
      </c>
      <c r="BJ270" s="2" t="s">
        <v>5345</v>
      </c>
      <c r="BK270" s="2" t="s">
        <v>96</v>
      </c>
      <c r="BL270" s="2" t="s">
        <v>5345</v>
      </c>
      <c r="BM270" s="2" t="s">
        <v>5346</v>
      </c>
      <c r="BN270" s="2"/>
      <c r="BO270" s="2"/>
      <c r="BP270" s="2"/>
      <c r="BQ270" s="2"/>
      <c r="BR270" s="2" t="s">
        <v>99</v>
      </c>
      <c r="BS270" s="2" t="s">
        <v>5347</v>
      </c>
      <c r="BT270" s="2" t="str">
        <f>HYPERLINK("https%3A%2F%2Fwww.webofscience.com%2Fwos%2Fwoscc%2Ffull-record%2FWOS:001084019500001","View Full Record in Web of Science")</f>
        <v>View Full Record in Web of Science</v>
      </c>
    </row>
    <row r="271" ht="64.5" customHeight="1">
      <c r="A271" s="2" t="s">
        <v>72</v>
      </c>
      <c r="B271" s="2" t="s">
        <v>5348</v>
      </c>
      <c r="C271" s="2"/>
      <c r="D271" s="2"/>
      <c r="E271" s="2"/>
      <c r="F271" s="2" t="s">
        <v>5349</v>
      </c>
      <c r="G271" s="2"/>
      <c r="H271" s="2"/>
      <c r="I271" s="2" t="s">
        <v>5350</v>
      </c>
      <c r="J271" s="2" t="s">
        <v>5351</v>
      </c>
      <c r="K271" s="2"/>
      <c r="L271" s="2"/>
      <c r="M271" s="2" t="s">
        <v>116</v>
      </c>
      <c r="N271" s="2" t="s">
        <v>78</v>
      </c>
      <c r="O271" s="2"/>
      <c r="P271" s="2"/>
      <c r="Q271" s="2"/>
      <c r="R271" s="2"/>
      <c r="S271" s="2"/>
      <c r="T271" s="4" t="s">
        <v>121</v>
      </c>
      <c r="U271" s="2" t="s">
        <v>5352</v>
      </c>
      <c r="V271" s="2" t="s">
        <v>5353</v>
      </c>
      <c r="W271" s="2" t="s">
        <v>5354</v>
      </c>
      <c r="X271" s="2" t="s">
        <v>5355</v>
      </c>
      <c r="Y271" s="2" t="s">
        <v>5356</v>
      </c>
      <c r="Z271" s="2" t="s">
        <v>5357</v>
      </c>
      <c r="AA271" s="2" t="s">
        <v>5358</v>
      </c>
      <c r="AB271" s="2" t="s">
        <v>5359</v>
      </c>
      <c r="AC271" s="2" t="s">
        <v>5360</v>
      </c>
      <c r="AD271" s="2" t="s">
        <v>5360</v>
      </c>
      <c r="AE271" s="2" t="s">
        <v>5361</v>
      </c>
      <c r="AF271" s="2" t="s">
        <v>5362</v>
      </c>
      <c r="AG271" s="2">
        <v>42.0</v>
      </c>
      <c r="AH271" s="2">
        <v>152.0</v>
      </c>
      <c r="AI271" s="2">
        <v>155.0</v>
      </c>
      <c r="AJ271" s="2">
        <v>8.0</v>
      </c>
      <c r="AK271" s="2">
        <v>55.0</v>
      </c>
      <c r="AL271" s="2" t="s">
        <v>3255</v>
      </c>
      <c r="AM271" s="2" t="s">
        <v>1221</v>
      </c>
      <c r="AN271" s="2" t="s">
        <v>3256</v>
      </c>
      <c r="AO271" s="2" t="s">
        <v>5363</v>
      </c>
      <c r="AP271" s="2" t="s">
        <v>5364</v>
      </c>
      <c r="AQ271" s="2"/>
      <c r="AR271" s="2" t="s">
        <v>5351</v>
      </c>
      <c r="AS271" s="2" t="s">
        <v>5365</v>
      </c>
      <c r="AT271" s="2" t="s">
        <v>5366</v>
      </c>
      <c r="AU271" s="2">
        <v>2020.0</v>
      </c>
      <c r="AV271" s="2">
        <v>2.0</v>
      </c>
      <c r="AW271" s="2">
        <v>1.0</v>
      </c>
      <c r="AX271" s="2"/>
      <c r="AY271" s="2"/>
      <c r="AZ271" s="2"/>
      <c r="BA271" s="2"/>
      <c r="BB271" s="2">
        <v>34.0</v>
      </c>
      <c r="BC271" s="2">
        <v>42.0</v>
      </c>
      <c r="BD271" s="2"/>
      <c r="BE271" s="2" t="s">
        <v>5367</v>
      </c>
      <c r="BF271" s="3" t="str">
        <f>HYPERLINK("http://dx.doi.org/10.1016/j.oneear.2019.10.012","http://dx.doi.org/10.1016/j.oneear.2019.10.012")</f>
        <v>http://dx.doi.org/10.1016/j.oneear.2019.10.012</v>
      </c>
      <c r="BG271" s="2"/>
      <c r="BH271" s="2"/>
      <c r="BI271" s="2">
        <v>9.0</v>
      </c>
      <c r="BJ271" s="2" t="s">
        <v>390</v>
      </c>
      <c r="BK271" s="2" t="s">
        <v>363</v>
      </c>
      <c r="BL271" s="2" t="s">
        <v>391</v>
      </c>
      <c r="BM271" s="2" t="s">
        <v>5368</v>
      </c>
      <c r="BN271" s="2"/>
      <c r="BO271" s="2" t="s">
        <v>5369</v>
      </c>
      <c r="BP271" s="2"/>
      <c r="BQ271" s="2"/>
      <c r="BR271" s="2" t="s">
        <v>99</v>
      </c>
      <c r="BS271" s="2" t="s">
        <v>5370</v>
      </c>
      <c r="BT271" s="2" t="str">
        <f>HYPERLINK("https%3A%2F%2Fwww.webofscience.com%2Fwos%2Fwoscc%2Ffull-record%2FWOS:000645242000010","View Full Record in Web of Science")</f>
        <v>View Full Record in Web of Science</v>
      </c>
    </row>
    <row r="272" ht="64.5" customHeight="1">
      <c r="A272" s="2" t="s">
        <v>72</v>
      </c>
      <c r="B272" s="2" t="s">
        <v>5371</v>
      </c>
      <c r="C272" s="2"/>
      <c r="D272" s="2"/>
      <c r="E272" s="2"/>
      <c r="F272" s="2" t="s">
        <v>5372</v>
      </c>
      <c r="G272" s="2"/>
      <c r="H272" s="2"/>
      <c r="I272" s="2" t="s">
        <v>5373</v>
      </c>
      <c r="J272" s="2" t="s">
        <v>3316</v>
      </c>
      <c r="K272" s="2"/>
      <c r="L272" s="2"/>
      <c r="M272" s="2" t="s">
        <v>116</v>
      </c>
      <c r="N272" s="2" t="s">
        <v>78</v>
      </c>
      <c r="O272" s="2"/>
      <c r="P272" s="2"/>
      <c r="Q272" s="2"/>
      <c r="R272" s="2"/>
      <c r="S272" s="2"/>
      <c r="T272" s="2" t="s">
        <v>5374</v>
      </c>
      <c r="U272" s="2" t="s">
        <v>5375</v>
      </c>
      <c r="V272" s="2" t="s">
        <v>5376</v>
      </c>
      <c r="W272" s="2" t="s">
        <v>5377</v>
      </c>
      <c r="X272" s="2" t="s">
        <v>5378</v>
      </c>
      <c r="Y272" s="2" t="s">
        <v>5379</v>
      </c>
      <c r="Z272" s="2" t="s">
        <v>5380</v>
      </c>
      <c r="AA272" s="2" t="s">
        <v>5381</v>
      </c>
      <c r="AB272" s="2" t="s">
        <v>5382</v>
      </c>
      <c r="AC272" s="2"/>
      <c r="AD272" s="2"/>
      <c r="AE272" s="2"/>
      <c r="AF272" s="2" t="s">
        <v>5383</v>
      </c>
      <c r="AG272" s="2">
        <v>67.0</v>
      </c>
      <c r="AH272" s="2">
        <v>0.0</v>
      </c>
      <c r="AI272" s="2">
        <v>0.0</v>
      </c>
      <c r="AJ272" s="2">
        <v>0.0</v>
      </c>
      <c r="AK272" s="2">
        <v>0.0</v>
      </c>
      <c r="AL272" s="2" t="s">
        <v>216</v>
      </c>
      <c r="AM272" s="2" t="s">
        <v>189</v>
      </c>
      <c r="AN272" s="2" t="s">
        <v>217</v>
      </c>
      <c r="AO272" s="2" t="s">
        <v>3330</v>
      </c>
      <c r="AP272" s="2" t="s">
        <v>3331</v>
      </c>
      <c r="AQ272" s="2"/>
      <c r="AR272" s="2" t="s">
        <v>3332</v>
      </c>
      <c r="AS272" s="2" t="s">
        <v>3333</v>
      </c>
      <c r="AT272" s="2" t="s">
        <v>195</v>
      </c>
      <c r="AU272" s="2">
        <v>2024.0</v>
      </c>
      <c r="AV272" s="2">
        <v>224.0</v>
      </c>
      <c r="AW272" s="2"/>
      <c r="AX272" s="2"/>
      <c r="AY272" s="2"/>
      <c r="AZ272" s="2"/>
      <c r="BA272" s="2"/>
      <c r="BB272" s="2"/>
      <c r="BC272" s="2"/>
      <c r="BD272" s="2">
        <v>120148.0</v>
      </c>
      <c r="BE272" s="2" t="s">
        <v>5384</v>
      </c>
      <c r="BF272" s="3" t="str">
        <f>HYPERLINK("http://dx.doi.org/10.1016/j.renene.2024.120148","http://dx.doi.org/10.1016/j.renene.2024.120148")</f>
        <v>http://dx.doi.org/10.1016/j.renene.2024.120148</v>
      </c>
      <c r="BG272" s="2"/>
      <c r="BH272" s="2" t="s">
        <v>1374</v>
      </c>
      <c r="BI272" s="2">
        <v>8.0</v>
      </c>
      <c r="BJ272" s="2" t="s">
        <v>3335</v>
      </c>
      <c r="BK272" s="2" t="s">
        <v>226</v>
      </c>
      <c r="BL272" s="2" t="s">
        <v>3336</v>
      </c>
      <c r="BM272" s="2" t="s">
        <v>5385</v>
      </c>
      <c r="BN272" s="2"/>
      <c r="BO272" s="2"/>
      <c r="BP272" s="2"/>
      <c r="BQ272" s="2"/>
      <c r="BR272" s="2" t="s">
        <v>99</v>
      </c>
      <c r="BS272" s="2" t="s">
        <v>5386</v>
      </c>
      <c r="BT272" s="2" t="str">
        <f>HYPERLINK("https%3A%2F%2Fwww.webofscience.com%2Fwos%2Fwoscc%2Ffull-record%2FWOS:001202331800001","View Full Record in Web of Science")</f>
        <v>View Full Record in Web of Science</v>
      </c>
    </row>
    <row r="273" ht="64.5" customHeight="1">
      <c r="A273" s="2" t="s">
        <v>72</v>
      </c>
      <c r="B273" s="2" t="s">
        <v>5387</v>
      </c>
      <c r="C273" s="2"/>
      <c r="D273" s="2"/>
      <c r="E273" s="2"/>
      <c r="F273" s="2" t="s">
        <v>5388</v>
      </c>
      <c r="G273" s="2"/>
      <c r="H273" s="2"/>
      <c r="I273" s="2" t="s">
        <v>5389</v>
      </c>
      <c r="J273" s="2" t="s">
        <v>4020</v>
      </c>
      <c r="K273" s="2"/>
      <c r="L273" s="2"/>
      <c r="M273" s="2" t="s">
        <v>116</v>
      </c>
      <c r="N273" s="2" t="s">
        <v>4280</v>
      </c>
      <c r="O273" s="2"/>
      <c r="P273" s="2"/>
      <c r="Q273" s="2"/>
      <c r="R273" s="2"/>
      <c r="S273" s="2"/>
      <c r="T273" s="4" t="s">
        <v>121</v>
      </c>
      <c r="U273" s="2"/>
      <c r="V273" s="2"/>
      <c r="W273" s="2" t="s">
        <v>5390</v>
      </c>
      <c r="X273" s="2" t="s">
        <v>5391</v>
      </c>
      <c r="Y273" s="2" t="s">
        <v>5392</v>
      </c>
      <c r="Z273" s="2" t="s">
        <v>5393</v>
      </c>
      <c r="AA273" s="2"/>
      <c r="AB273" s="2"/>
      <c r="AC273" s="2"/>
      <c r="AD273" s="2"/>
      <c r="AE273" s="2"/>
      <c r="AF273" s="2"/>
      <c r="AG273" s="2">
        <v>0.0</v>
      </c>
      <c r="AH273" s="2">
        <v>2.0</v>
      </c>
      <c r="AI273" s="2">
        <v>3.0</v>
      </c>
      <c r="AJ273" s="2">
        <v>0.0</v>
      </c>
      <c r="AK273" s="2">
        <v>15.0</v>
      </c>
      <c r="AL273" s="2" t="s">
        <v>4027</v>
      </c>
      <c r="AM273" s="2" t="s">
        <v>4028</v>
      </c>
      <c r="AN273" s="2" t="s">
        <v>4029</v>
      </c>
      <c r="AO273" s="2" t="s">
        <v>4030</v>
      </c>
      <c r="AP273" s="2"/>
      <c r="AQ273" s="2"/>
      <c r="AR273" s="2" t="s">
        <v>4032</v>
      </c>
      <c r="AS273" s="2" t="s">
        <v>4033</v>
      </c>
      <c r="AT273" s="2" t="s">
        <v>844</v>
      </c>
      <c r="AU273" s="2">
        <v>2012.0</v>
      </c>
      <c r="AV273" s="2">
        <v>93.0</v>
      </c>
      <c r="AW273" s="2">
        <v>12.0</v>
      </c>
      <c r="AX273" s="2"/>
      <c r="AY273" s="2"/>
      <c r="AZ273" s="2"/>
      <c r="BA273" s="2"/>
      <c r="BB273" s="2">
        <v>1813.0</v>
      </c>
      <c r="BC273" s="2">
        <v>1814.0</v>
      </c>
      <c r="BD273" s="2"/>
      <c r="BE273" s="2" t="s">
        <v>5394</v>
      </c>
      <c r="BF273" s="3" t="str">
        <f>HYPERLINK("http://dx.doi.org/10.1175/BAMS-93-12-1813","http://dx.doi.org/10.1175/BAMS-93-12-1813")</f>
        <v>http://dx.doi.org/10.1175/BAMS-93-12-1813</v>
      </c>
      <c r="BG273" s="2"/>
      <c r="BH273" s="2"/>
      <c r="BI273" s="2">
        <v>2.0</v>
      </c>
      <c r="BJ273" s="2" t="s">
        <v>4037</v>
      </c>
      <c r="BK273" s="2" t="s">
        <v>226</v>
      </c>
      <c r="BL273" s="2" t="s">
        <v>4037</v>
      </c>
      <c r="BM273" s="2" t="s">
        <v>5395</v>
      </c>
      <c r="BN273" s="2"/>
      <c r="BO273" s="2" t="s">
        <v>2170</v>
      </c>
      <c r="BP273" s="2"/>
      <c r="BQ273" s="2"/>
      <c r="BR273" s="2" t="s">
        <v>99</v>
      </c>
      <c r="BS273" s="2" t="s">
        <v>5396</v>
      </c>
      <c r="BT273" s="2" t="str">
        <f>HYPERLINK("https%3A%2F%2Fwww.webofscience.com%2Fwos%2Fwoscc%2Ffull-record%2FWOS:000312441200002","View Full Record in Web of Science")</f>
        <v>View Full Record in Web of Science</v>
      </c>
    </row>
    <row r="274" ht="64.5" customHeight="1">
      <c r="A274" s="2" t="s">
        <v>72</v>
      </c>
      <c r="B274" s="2" t="s">
        <v>5397</v>
      </c>
      <c r="C274" s="2"/>
      <c r="D274" s="2"/>
      <c r="E274" s="2"/>
      <c r="F274" s="2" t="s">
        <v>5398</v>
      </c>
      <c r="G274" s="2"/>
      <c r="H274" s="2"/>
      <c r="I274" s="2" t="s">
        <v>5399</v>
      </c>
      <c r="J274" s="2" t="s">
        <v>206</v>
      </c>
      <c r="K274" s="2"/>
      <c r="L274" s="2"/>
      <c r="M274" s="2" t="s">
        <v>116</v>
      </c>
      <c r="N274" s="2" t="s">
        <v>78</v>
      </c>
      <c r="O274" s="2"/>
      <c r="P274" s="2"/>
      <c r="Q274" s="2"/>
      <c r="R274" s="2"/>
      <c r="S274" s="2"/>
      <c r="T274" s="2" t="s">
        <v>5400</v>
      </c>
      <c r="U274" s="2" t="s">
        <v>5401</v>
      </c>
      <c r="V274" s="2" t="s">
        <v>5402</v>
      </c>
      <c r="W274" s="2" t="s">
        <v>5403</v>
      </c>
      <c r="X274" s="2" t="s">
        <v>5404</v>
      </c>
      <c r="Y274" s="2" t="s">
        <v>5405</v>
      </c>
      <c r="Z274" s="2" t="s">
        <v>5406</v>
      </c>
      <c r="AA274" s="2"/>
      <c r="AB274" s="2" t="s">
        <v>5407</v>
      </c>
      <c r="AC274" s="2" t="s">
        <v>5408</v>
      </c>
      <c r="AD274" s="2" t="s">
        <v>5408</v>
      </c>
      <c r="AE274" s="2" t="s">
        <v>5409</v>
      </c>
      <c r="AF274" s="2" t="s">
        <v>5410</v>
      </c>
      <c r="AG274" s="2">
        <v>29.0</v>
      </c>
      <c r="AH274" s="2">
        <v>40.0</v>
      </c>
      <c r="AI274" s="2">
        <v>40.0</v>
      </c>
      <c r="AJ274" s="2">
        <v>5.0</v>
      </c>
      <c r="AK274" s="2">
        <v>77.0</v>
      </c>
      <c r="AL274" s="2" t="s">
        <v>216</v>
      </c>
      <c r="AM274" s="2" t="s">
        <v>189</v>
      </c>
      <c r="AN274" s="2" t="s">
        <v>217</v>
      </c>
      <c r="AO274" s="2" t="s">
        <v>218</v>
      </c>
      <c r="AP274" s="2" t="s">
        <v>219</v>
      </c>
      <c r="AQ274" s="2"/>
      <c r="AR274" s="2" t="s">
        <v>220</v>
      </c>
      <c r="AS274" s="2" t="s">
        <v>221</v>
      </c>
      <c r="AT274" s="2" t="s">
        <v>3030</v>
      </c>
      <c r="AU274" s="2">
        <v>2016.0</v>
      </c>
      <c r="AV274" s="2">
        <v>111.0</v>
      </c>
      <c r="AW274" s="2" t="s">
        <v>5254</v>
      </c>
      <c r="AX274" s="2"/>
      <c r="AY274" s="2"/>
      <c r="AZ274" s="2"/>
      <c r="BA274" s="2"/>
      <c r="BB274" s="2">
        <v>231.0</v>
      </c>
      <c r="BC274" s="2">
        <v>236.0</v>
      </c>
      <c r="BD274" s="2"/>
      <c r="BE274" s="2" t="s">
        <v>5411</v>
      </c>
      <c r="BF274" s="3" t="str">
        <f>HYPERLINK("http://dx.doi.org/10.1016/j.marpolbul.2016.07.003","http://dx.doi.org/10.1016/j.marpolbul.2016.07.003")</f>
        <v>http://dx.doi.org/10.1016/j.marpolbul.2016.07.003</v>
      </c>
      <c r="BG274" s="2"/>
      <c r="BH274" s="2"/>
      <c r="BI274" s="2">
        <v>6.0</v>
      </c>
      <c r="BJ274" s="2" t="s">
        <v>225</v>
      </c>
      <c r="BK274" s="2" t="s">
        <v>363</v>
      </c>
      <c r="BL274" s="2" t="s">
        <v>227</v>
      </c>
      <c r="BM274" s="2" t="s">
        <v>5412</v>
      </c>
      <c r="BN274" s="2">
        <v>2.7393214E7</v>
      </c>
      <c r="BO274" s="2" t="s">
        <v>1177</v>
      </c>
      <c r="BP274" s="2"/>
      <c r="BQ274" s="2"/>
      <c r="BR274" s="2" t="s">
        <v>99</v>
      </c>
      <c r="BS274" s="2" t="s">
        <v>5413</v>
      </c>
      <c r="BT274" s="2" t="str">
        <f>HYPERLINK("https%3A%2F%2Fwww.webofscience.com%2Fwos%2Fwoscc%2Ffull-record%2FWOS:000384854100035","View Full Record in Web of Science")</f>
        <v>View Full Record in Web of Science</v>
      </c>
    </row>
    <row r="275" ht="64.5" customHeight="1">
      <c r="A275" s="2" t="s">
        <v>72</v>
      </c>
      <c r="B275" s="2" t="s">
        <v>5414</v>
      </c>
      <c r="C275" s="2"/>
      <c r="D275" s="2"/>
      <c r="E275" s="2"/>
      <c r="F275" s="2" t="s">
        <v>5415</v>
      </c>
      <c r="G275" s="2"/>
      <c r="H275" s="2"/>
      <c r="I275" s="2" t="s">
        <v>5416</v>
      </c>
      <c r="J275" s="2" t="s">
        <v>5417</v>
      </c>
      <c r="K275" s="2"/>
      <c r="L275" s="2"/>
      <c r="M275" s="2" t="s">
        <v>116</v>
      </c>
      <c r="N275" s="2" t="s">
        <v>1599</v>
      </c>
      <c r="O275" s="2"/>
      <c r="P275" s="2"/>
      <c r="Q275" s="2"/>
      <c r="R275" s="2"/>
      <c r="S275" s="2"/>
      <c r="T275" s="2" t="s">
        <v>5418</v>
      </c>
      <c r="U275" s="2"/>
      <c r="V275" s="2" t="s">
        <v>5419</v>
      </c>
      <c r="W275" s="2" t="s">
        <v>5420</v>
      </c>
      <c r="X275" s="2" t="s">
        <v>4300</v>
      </c>
      <c r="Y275" s="2" t="s">
        <v>5421</v>
      </c>
      <c r="Z275" s="2" t="s">
        <v>5422</v>
      </c>
      <c r="AA275" s="2"/>
      <c r="AB275" s="2" t="s">
        <v>5423</v>
      </c>
      <c r="AC275" s="2" t="s">
        <v>5424</v>
      </c>
      <c r="AD275" s="2" t="s">
        <v>5424</v>
      </c>
      <c r="AE275" s="2" t="s">
        <v>5425</v>
      </c>
      <c r="AF275" s="2" t="s">
        <v>5426</v>
      </c>
      <c r="AG275" s="2">
        <v>11.0</v>
      </c>
      <c r="AH275" s="2">
        <v>0.0</v>
      </c>
      <c r="AI275" s="2">
        <v>0.0</v>
      </c>
      <c r="AJ275" s="2">
        <v>3.0</v>
      </c>
      <c r="AK275" s="2">
        <v>3.0</v>
      </c>
      <c r="AL275" s="2" t="s">
        <v>2116</v>
      </c>
      <c r="AM275" s="2" t="s">
        <v>5427</v>
      </c>
      <c r="AN275" s="2" t="s">
        <v>5428</v>
      </c>
      <c r="AO275" s="2" t="s">
        <v>5429</v>
      </c>
      <c r="AP275" s="2" t="s">
        <v>5430</v>
      </c>
      <c r="AQ275" s="2"/>
      <c r="AR275" s="2" t="s">
        <v>5431</v>
      </c>
      <c r="AS275" s="2" t="s">
        <v>5432</v>
      </c>
      <c r="AT275" s="2" t="s">
        <v>5433</v>
      </c>
      <c r="AU275" s="2">
        <v>2023.0</v>
      </c>
      <c r="AV275" s="2"/>
      <c r="AW275" s="2"/>
      <c r="AX275" s="2"/>
      <c r="AY275" s="2"/>
      <c r="AZ275" s="2"/>
      <c r="BA275" s="2"/>
      <c r="BB275" s="2"/>
      <c r="BC275" s="2"/>
      <c r="BD275" s="2"/>
      <c r="BE275" s="2" t="s">
        <v>5434</v>
      </c>
      <c r="BF275" s="3" t="str">
        <f>HYPERLINK("http://dx.doi.org/10.1108/EJM-05-2023-0414","http://dx.doi.org/10.1108/EJM-05-2023-0414")</f>
        <v>http://dx.doi.org/10.1108/EJM-05-2023-0414</v>
      </c>
      <c r="BG275" s="2"/>
      <c r="BH275" s="2" t="s">
        <v>5435</v>
      </c>
      <c r="BI275" s="2">
        <v>24.0</v>
      </c>
      <c r="BJ275" s="2" t="s">
        <v>5436</v>
      </c>
      <c r="BK275" s="2" t="s">
        <v>166</v>
      </c>
      <c r="BL275" s="2" t="s">
        <v>2894</v>
      </c>
      <c r="BM275" s="2" t="s">
        <v>5437</v>
      </c>
      <c r="BN275" s="2"/>
      <c r="BO275" s="2" t="s">
        <v>201</v>
      </c>
      <c r="BP275" s="2"/>
      <c r="BQ275" s="2"/>
      <c r="BR275" s="2" t="s">
        <v>99</v>
      </c>
      <c r="BS275" s="2" t="s">
        <v>5438</v>
      </c>
      <c r="BT275" s="2" t="str">
        <f>HYPERLINK("https%3A%2F%2Fwww.webofscience.com%2Fwos%2Fwoscc%2Ffull-record%2FWOS:001129367600001","View Full Record in Web of Science")</f>
        <v>View Full Record in Web of Science</v>
      </c>
    </row>
    <row r="276" ht="64.5" customHeight="1">
      <c r="A276" s="2" t="s">
        <v>72</v>
      </c>
      <c r="B276" s="2" t="s">
        <v>5439</v>
      </c>
      <c r="C276" s="2"/>
      <c r="D276" s="2"/>
      <c r="E276" s="2"/>
      <c r="F276" s="2" t="s">
        <v>5440</v>
      </c>
      <c r="G276" s="2"/>
      <c r="H276" s="2"/>
      <c r="I276" s="2" t="s">
        <v>5441</v>
      </c>
      <c r="J276" s="2" t="s">
        <v>5442</v>
      </c>
      <c r="K276" s="2"/>
      <c r="L276" s="2"/>
      <c r="M276" s="2" t="s">
        <v>116</v>
      </c>
      <c r="N276" s="2" t="s">
        <v>78</v>
      </c>
      <c r="O276" s="2"/>
      <c r="P276" s="2"/>
      <c r="Q276" s="2"/>
      <c r="R276" s="2"/>
      <c r="S276" s="2"/>
      <c r="T276" s="2" t="s">
        <v>5443</v>
      </c>
      <c r="U276" s="2"/>
      <c r="V276" s="2" t="s">
        <v>5444</v>
      </c>
      <c r="W276" s="2" t="s">
        <v>5445</v>
      </c>
      <c r="X276" s="2" t="s">
        <v>5446</v>
      </c>
      <c r="Y276" s="2" t="s">
        <v>5447</v>
      </c>
      <c r="Z276" s="2" t="s">
        <v>5448</v>
      </c>
      <c r="AA276" s="2" t="s">
        <v>5449</v>
      </c>
      <c r="AB276" s="2" t="s">
        <v>5450</v>
      </c>
      <c r="AC276" s="2" t="s">
        <v>5451</v>
      </c>
      <c r="AD276" s="2" t="s">
        <v>5451</v>
      </c>
      <c r="AE276" s="2" t="s">
        <v>5452</v>
      </c>
      <c r="AF276" s="2" t="s">
        <v>5453</v>
      </c>
      <c r="AG276" s="2">
        <v>42.0</v>
      </c>
      <c r="AH276" s="2">
        <v>2.0</v>
      </c>
      <c r="AI276" s="2">
        <v>2.0</v>
      </c>
      <c r="AJ276" s="2">
        <v>3.0</v>
      </c>
      <c r="AK276" s="2">
        <v>26.0</v>
      </c>
      <c r="AL276" s="2" t="s">
        <v>2116</v>
      </c>
      <c r="AM276" s="2" t="s">
        <v>2117</v>
      </c>
      <c r="AN276" s="2" t="s">
        <v>2118</v>
      </c>
      <c r="AO276" s="2" t="s">
        <v>5454</v>
      </c>
      <c r="AP276" s="2" t="s">
        <v>5455</v>
      </c>
      <c r="AQ276" s="2"/>
      <c r="AR276" s="2" t="s">
        <v>5456</v>
      </c>
      <c r="AS276" s="2" t="s">
        <v>5457</v>
      </c>
      <c r="AT276" s="2" t="s">
        <v>5458</v>
      </c>
      <c r="AU276" s="2">
        <v>2021.0</v>
      </c>
      <c r="AV276" s="2">
        <v>12.0</v>
      </c>
      <c r="AW276" s="2">
        <v>5.0</v>
      </c>
      <c r="AX276" s="2"/>
      <c r="AY276" s="2"/>
      <c r="AZ276" s="2"/>
      <c r="BA276" s="2"/>
      <c r="BB276" s="2">
        <v>515.0</v>
      </c>
      <c r="BC276" s="2">
        <v>527.0</v>
      </c>
      <c r="BD276" s="2"/>
      <c r="BE276" s="2" t="s">
        <v>5459</v>
      </c>
      <c r="BF276" s="3" t="str">
        <f>HYPERLINK("http://dx.doi.org/10.1108/IJDRBE-07-2020-0074","http://dx.doi.org/10.1108/IJDRBE-07-2020-0074")</f>
        <v>http://dx.doi.org/10.1108/IJDRBE-07-2020-0074</v>
      </c>
      <c r="BG276" s="2"/>
      <c r="BH276" s="2" t="s">
        <v>330</v>
      </c>
      <c r="BI276" s="2">
        <v>13.0</v>
      </c>
      <c r="BJ276" s="2" t="s">
        <v>95</v>
      </c>
      <c r="BK276" s="2" t="s">
        <v>96</v>
      </c>
      <c r="BL276" s="2" t="s">
        <v>97</v>
      </c>
      <c r="BM276" s="2" t="s">
        <v>5460</v>
      </c>
      <c r="BN276" s="2"/>
      <c r="BO276" s="2"/>
      <c r="BP276" s="2"/>
      <c r="BQ276" s="2"/>
      <c r="BR276" s="2" t="s">
        <v>99</v>
      </c>
      <c r="BS276" s="2" t="s">
        <v>5461</v>
      </c>
      <c r="BT276" s="2" t="str">
        <f>HYPERLINK("https%3A%2F%2Fwww.webofscience.com%2Fwos%2Fwoscc%2Ffull-record%2FWOS:000604725200001","View Full Record in Web of Science")</f>
        <v>View Full Record in Web of Science</v>
      </c>
    </row>
    <row r="277" ht="64.5" customHeight="1">
      <c r="A277" s="2" t="s">
        <v>72</v>
      </c>
      <c r="B277" s="2" t="s">
        <v>5462</v>
      </c>
      <c r="C277" s="2"/>
      <c r="D277" s="2"/>
      <c r="E277" s="2"/>
      <c r="F277" s="2" t="s">
        <v>5463</v>
      </c>
      <c r="G277" s="2"/>
      <c r="H277" s="2"/>
      <c r="I277" s="2" t="s">
        <v>5464</v>
      </c>
      <c r="J277" s="2" t="s">
        <v>370</v>
      </c>
      <c r="K277" s="2"/>
      <c r="L277" s="2"/>
      <c r="M277" s="2" t="s">
        <v>116</v>
      </c>
      <c r="N277" s="2" t="s">
        <v>78</v>
      </c>
      <c r="O277" s="2"/>
      <c r="P277" s="2"/>
      <c r="Q277" s="2"/>
      <c r="R277" s="2"/>
      <c r="S277" s="2"/>
      <c r="T277" s="2" t="s">
        <v>5465</v>
      </c>
      <c r="U277" s="2"/>
      <c r="V277" s="2" t="s">
        <v>5466</v>
      </c>
      <c r="W277" s="2" t="s">
        <v>5467</v>
      </c>
      <c r="X277" s="2" t="s">
        <v>5468</v>
      </c>
      <c r="Y277" s="2" t="s">
        <v>5469</v>
      </c>
      <c r="Z277" s="2" t="s">
        <v>5470</v>
      </c>
      <c r="AA277" s="2" t="s">
        <v>5471</v>
      </c>
      <c r="AB277" s="2" t="s">
        <v>5472</v>
      </c>
      <c r="AC277" s="2" t="s">
        <v>5473</v>
      </c>
      <c r="AD277" s="2" t="s">
        <v>5474</v>
      </c>
      <c r="AE277" s="2" t="s">
        <v>5475</v>
      </c>
      <c r="AF277" s="2" t="s">
        <v>5476</v>
      </c>
      <c r="AG277" s="2">
        <v>44.0</v>
      </c>
      <c r="AH277" s="2">
        <v>1.0</v>
      </c>
      <c r="AI277" s="2">
        <v>1.0</v>
      </c>
      <c r="AJ277" s="2">
        <v>1.0</v>
      </c>
      <c r="AK277" s="2">
        <v>2.0</v>
      </c>
      <c r="AL277" s="2" t="s">
        <v>383</v>
      </c>
      <c r="AM277" s="2" t="s">
        <v>384</v>
      </c>
      <c r="AN277" s="2" t="s">
        <v>385</v>
      </c>
      <c r="AO277" s="2"/>
      <c r="AP277" s="2" t="s">
        <v>386</v>
      </c>
      <c r="AQ277" s="2"/>
      <c r="AR277" s="2" t="s">
        <v>387</v>
      </c>
      <c r="AS277" s="2" t="s">
        <v>388</v>
      </c>
      <c r="AT277" s="2" t="s">
        <v>751</v>
      </c>
      <c r="AU277" s="2">
        <v>2023.0</v>
      </c>
      <c r="AV277" s="2">
        <v>15.0</v>
      </c>
      <c r="AW277" s="2">
        <v>14.0</v>
      </c>
      <c r="AX277" s="2"/>
      <c r="AY277" s="2"/>
      <c r="AZ277" s="2"/>
      <c r="BA277" s="2"/>
      <c r="BB277" s="2"/>
      <c r="BC277" s="2"/>
      <c r="BD277" s="2">
        <v>11410.0</v>
      </c>
      <c r="BE277" s="2" t="s">
        <v>5477</v>
      </c>
      <c r="BF277" s="3" t="str">
        <f>HYPERLINK("http://dx.doi.org/10.3390/su151411410","http://dx.doi.org/10.3390/su151411410")</f>
        <v>http://dx.doi.org/10.3390/su151411410</v>
      </c>
      <c r="BG277" s="2"/>
      <c r="BH277" s="2"/>
      <c r="BI277" s="2">
        <v>14.0</v>
      </c>
      <c r="BJ277" s="2" t="s">
        <v>390</v>
      </c>
      <c r="BK277" s="2" t="s">
        <v>363</v>
      </c>
      <c r="BL277" s="2" t="s">
        <v>391</v>
      </c>
      <c r="BM277" s="2" t="s">
        <v>5478</v>
      </c>
      <c r="BN277" s="2"/>
      <c r="BO277" s="2" t="s">
        <v>272</v>
      </c>
      <c r="BP277" s="2"/>
      <c r="BQ277" s="2"/>
      <c r="BR277" s="2" t="s">
        <v>99</v>
      </c>
      <c r="BS277" s="2" t="s">
        <v>5479</v>
      </c>
      <c r="BT277" s="2" t="str">
        <f>HYPERLINK("https%3A%2F%2Fwww.webofscience.com%2Fwos%2Fwoscc%2Ffull-record%2FWOS:001036509900001","View Full Record in Web of Science")</f>
        <v>View Full Record in Web of Science</v>
      </c>
    </row>
    <row r="278" ht="64.5" customHeight="1">
      <c r="A278" s="2" t="s">
        <v>72</v>
      </c>
      <c r="B278" s="2" t="s">
        <v>5480</v>
      </c>
      <c r="C278" s="2"/>
      <c r="D278" s="2"/>
      <c r="E278" s="2"/>
      <c r="F278" s="2" t="s">
        <v>5481</v>
      </c>
      <c r="G278" s="2"/>
      <c r="H278" s="2"/>
      <c r="I278" s="2" t="s">
        <v>5482</v>
      </c>
      <c r="J278" s="2" t="s">
        <v>2767</v>
      </c>
      <c r="K278" s="2"/>
      <c r="L278" s="2"/>
      <c r="M278" s="2" t="s">
        <v>116</v>
      </c>
      <c r="N278" s="2" t="s">
        <v>78</v>
      </c>
      <c r="O278" s="2"/>
      <c r="P278" s="2"/>
      <c r="Q278" s="2"/>
      <c r="R278" s="2"/>
      <c r="S278" s="2"/>
      <c r="T278" s="4" t="s">
        <v>121</v>
      </c>
      <c r="U278" s="2" t="s">
        <v>5483</v>
      </c>
      <c r="V278" s="2" t="s">
        <v>5484</v>
      </c>
      <c r="W278" s="2" t="s">
        <v>5485</v>
      </c>
      <c r="X278" s="2" t="s">
        <v>5486</v>
      </c>
      <c r="Y278" s="2" t="s">
        <v>5487</v>
      </c>
      <c r="Z278" s="2" t="s">
        <v>5488</v>
      </c>
      <c r="AA278" s="2" t="s">
        <v>5489</v>
      </c>
      <c r="AB278" s="2" t="s">
        <v>5490</v>
      </c>
      <c r="AC278" s="2" t="s">
        <v>5491</v>
      </c>
      <c r="AD278" s="2" t="s">
        <v>5492</v>
      </c>
      <c r="AE278" s="2" t="s">
        <v>5493</v>
      </c>
      <c r="AF278" s="2" t="s">
        <v>5494</v>
      </c>
      <c r="AG278" s="2">
        <v>44.0</v>
      </c>
      <c r="AH278" s="2">
        <v>85.0</v>
      </c>
      <c r="AI278" s="2">
        <v>109.0</v>
      </c>
      <c r="AJ278" s="2">
        <v>1.0</v>
      </c>
      <c r="AK278" s="2">
        <v>66.0</v>
      </c>
      <c r="AL278" s="2" t="s">
        <v>351</v>
      </c>
      <c r="AM278" s="2" t="s">
        <v>352</v>
      </c>
      <c r="AN278" s="2" t="s">
        <v>353</v>
      </c>
      <c r="AO278" s="2" t="s">
        <v>2777</v>
      </c>
      <c r="AP278" s="2" t="s">
        <v>2778</v>
      </c>
      <c r="AQ278" s="2"/>
      <c r="AR278" s="2" t="s">
        <v>2767</v>
      </c>
      <c r="AS278" s="2" t="s">
        <v>2779</v>
      </c>
      <c r="AT278" s="2" t="s">
        <v>1017</v>
      </c>
      <c r="AU278" s="2">
        <v>2011.0</v>
      </c>
      <c r="AV278" s="2">
        <v>104.0</v>
      </c>
      <c r="AW278" s="2" t="s">
        <v>2420</v>
      </c>
      <c r="AX278" s="2"/>
      <c r="AY278" s="2"/>
      <c r="AZ278" s="2"/>
      <c r="BA278" s="2"/>
      <c r="BB278" s="2">
        <v>481.0</v>
      </c>
      <c r="BC278" s="2">
        <v>507.0</v>
      </c>
      <c r="BD278" s="2"/>
      <c r="BE278" s="2" t="s">
        <v>5495</v>
      </c>
      <c r="BF278" s="3" t="str">
        <f>HYPERLINK("http://dx.doi.org/10.1007/s10584-009-9786-9","http://dx.doi.org/10.1007/s10584-009-9786-9")</f>
        <v>http://dx.doi.org/10.1007/s10584-009-9786-9</v>
      </c>
      <c r="BG278" s="2"/>
      <c r="BH278" s="2"/>
      <c r="BI278" s="2">
        <v>27.0</v>
      </c>
      <c r="BJ278" s="2" t="s">
        <v>2781</v>
      </c>
      <c r="BK278" s="2" t="s">
        <v>363</v>
      </c>
      <c r="BL278" s="2" t="s">
        <v>1376</v>
      </c>
      <c r="BM278" s="2" t="s">
        <v>5496</v>
      </c>
      <c r="BN278" s="2"/>
      <c r="BO278" s="2"/>
      <c r="BP278" s="2"/>
      <c r="BQ278" s="2"/>
      <c r="BR278" s="2" t="s">
        <v>99</v>
      </c>
      <c r="BS278" s="2" t="s">
        <v>5497</v>
      </c>
      <c r="BT278" s="2" t="str">
        <f>HYPERLINK("https%3A%2F%2Fwww.webofscience.com%2Fwos%2Fwoscc%2Ffull-record%2FWOS:000286204300005","View Full Record in Web of Science")</f>
        <v>View Full Record in Web of Science</v>
      </c>
    </row>
    <row r="279" ht="64.5" customHeight="1">
      <c r="A279" s="2" t="s">
        <v>110</v>
      </c>
      <c r="B279" s="2" t="s">
        <v>5498</v>
      </c>
      <c r="C279" s="2"/>
      <c r="D279" s="2" t="s">
        <v>5499</v>
      </c>
      <c r="E279" s="2"/>
      <c r="F279" s="2" t="s">
        <v>5500</v>
      </c>
      <c r="G279" s="2"/>
      <c r="H279" s="2"/>
      <c r="I279" s="2" t="s">
        <v>5501</v>
      </c>
      <c r="J279" s="2" t="s">
        <v>5502</v>
      </c>
      <c r="K279" s="2" t="s">
        <v>5503</v>
      </c>
      <c r="L279" s="2"/>
      <c r="M279" s="2" t="s">
        <v>116</v>
      </c>
      <c r="N279" s="2" t="s">
        <v>117</v>
      </c>
      <c r="O279" s="2" t="s">
        <v>5504</v>
      </c>
      <c r="P279" s="2" t="s">
        <v>5505</v>
      </c>
      <c r="Q279" s="2" t="s">
        <v>5506</v>
      </c>
      <c r="R279" s="2"/>
      <c r="S279" s="2"/>
      <c r="T279" s="2" t="s">
        <v>5507</v>
      </c>
      <c r="U279" s="2" t="s">
        <v>5508</v>
      </c>
      <c r="V279" s="2" t="s">
        <v>5509</v>
      </c>
      <c r="W279" s="2" t="s">
        <v>5510</v>
      </c>
      <c r="X279" s="2" t="s">
        <v>5511</v>
      </c>
      <c r="Y279" s="2" t="s">
        <v>5512</v>
      </c>
      <c r="Z279" s="2" t="s">
        <v>5513</v>
      </c>
      <c r="AA279" s="2" t="s">
        <v>2458</v>
      </c>
      <c r="AB279" s="2"/>
      <c r="AC279" s="2"/>
      <c r="AD279" s="2"/>
      <c r="AE279" s="2"/>
      <c r="AF279" s="2" t="s">
        <v>5514</v>
      </c>
      <c r="AG279" s="2">
        <v>13.0</v>
      </c>
      <c r="AH279" s="2">
        <v>1.0</v>
      </c>
      <c r="AI279" s="2">
        <v>1.0</v>
      </c>
      <c r="AJ279" s="2">
        <v>0.0</v>
      </c>
      <c r="AK279" s="2">
        <v>6.0</v>
      </c>
      <c r="AL279" s="2" t="s">
        <v>5515</v>
      </c>
      <c r="AM279" s="2" t="s">
        <v>5516</v>
      </c>
      <c r="AN279" s="2" t="s">
        <v>5517</v>
      </c>
      <c r="AO279" s="2" t="s">
        <v>5518</v>
      </c>
      <c r="AP279" s="2"/>
      <c r="AQ279" s="2" t="s">
        <v>5519</v>
      </c>
      <c r="AR279" s="2" t="s">
        <v>5520</v>
      </c>
      <c r="AS279" s="2"/>
      <c r="AT279" s="2"/>
      <c r="AU279" s="2">
        <v>2013.0</v>
      </c>
      <c r="AV279" s="2">
        <v>41.0</v>
      </c>
      <c r="AW279" s="2"/>
      <c r="AX279" s="2"/>
      <c r="AY279" s="2"/>
      <c r="AZ279" s="2"/>
      <c r="BA279" s="2"/>
      <c r="BB279" s="2">
        <v>403.0</v>
      </c>
      <c r="BC279" s="2">
        <v>407.0</v>
      </c>
      <c r="BD279" s="2"/>
      <c r="BE279" s="2"/>
      <c r="BF279" s="2"/>
      <c r="BG279" s="2"/>
      <c r="BH279" s="2"/>
      <c r="BI279" s="2">
        <v>5.0</v>
      </c>
      <c r="BJ279" s="2" t="s">
        <v>4309</v>
      </c>
      <c r="BK279" s="2" t="s">
        <v>135</v>
      </c>
      <c r="BL279" s="2" t="s">
        <v>1402</v>
      </c>
      <c r="BM279" s="2" t="s">
        <v>5521</v>
      </c>
      <c r="BN279" s="2"/>
      <c r="BO279" s="2"/>
      <c r="BP279" s="2"/>
      <c r="BQ279" s="2"/>
      <c r="BR279" s="2" t="s">
        <v>99</v>
      </c>
      <c r="BS279" s="2" t="s">
        <v>5522</v>
      </c>
      <c r="BT279" s="2" t="str">
        <f>HYPERLINK("https%3A%2F%2Fwww.webofscience.com%2Fwos%2Fwoscc%2Ffull-record%2FWOS:000327726600101","View Full Record in Web of Science")</f>
        <v>View Full Record in Web of Science</v>
      </c>
    </row>
    <row r="280" ht="64.5" customHeight="1">
      <c r="A280" s="2" t="s">
        <v>72</v>
      </c>
      <c r="B280" s="2" t="s">
        <v>5523</v>
      </c>
      <c r="C280" s="2"/>
      <c r="D280" s="2"/>
      <c r="E280" s="2"/>
      <c r="F280" s="2" t="s">
        <v>5524</v>
      </c>
      <c r="G280" s="2"/>
      <c r="H280" s="2"/>
      <c r="I280" s="2" t="s">
        <v>5525</v>
      </c>
      <c r="J280" s="2" t="s">
        <v>5526</v>
      </c>
      <c r="K280" s="2"/>
      <c r="L280" s="2"/>
      <c r="M280" s="2" t="s">
        <v>116</v>
      </c>
      <c r="N280" s="2" t="s">
        <v>78</v>
      </c>
      <c r="O280" s="2"/>
      <c r="P280" s="2"/>
      <c r="Q280" s="2"/>
      <c r="R280" s="2"/>
      <c r="S280" s="2"/>
      <c r="T280" s="2" t="s">
        <v>5527</v>
      </c>
      <c r="U280" s="2" t="s">
        <v>5528</v>
      </c>
      <c r="V280" s="2" t="s">
        <v>5529</v>
      </c>
      <c r="W280" s="2" t="s">
        <v>5530</v>
      </c>
      <c r="X280" s="2" t="s">
        <v>5531</v>
      </c>
      <c r="Y280" s="2" t="s">
        <v>5532</v>
      </c>
      <c r="Z280" s="2" t="s">
        <v>5533</v>
      </c>
      <c r="AA280" s="2"/>
      <c r="AB280" s="2"/>
      <c r="AC280" s="2"/>
      <c r="AD280" s="2"/>
      <c r="AE280" s="2"/>
      <c r="AF280" s="2" t="s">
        <v>5534</v>
      </c>
      <c r="AG280" s="2">
        <v>68.0</v>
      </c>
      <c r="AH280" s="2">
        <v>4.0</v>
      </c>
      <c r="AI280" s="2">
        <v>5.0</v>
      </c>
      <c r="AJ280" s="2">
        <v>0.0</v>
      </c>
      <c r="AK280" s="2">
        <v>22.0</v>
      </c>
      <c r="AL280" s="2" t="s">
        <v>5535</v>
      </c>
      <c r="AM280" s="2" t="s">
        <v>5536</v>
      </c>
      <c r="AN280" s="2" t="s">
        <v>5537</v>
      </c>
      <c r="AO280" s="2" t="s">
        <v>5538</v>
      </c>
      <c r="AP280" s="2"/>
      <c r="AQ280" s="2"/>
      <c r="AR280" s="2" t="s">
        <v>5539</v>
      </c>
      <c r="AS280" s="2" t="s">
        <v>5540</v>
      </c>
      <c r="AT280" s="2"/>
      <c r="AU280" s="2">
        <v>2019.0</v>
      </c>
      <c r="AV280" s="2">
        <v>18.0</v>
      </c>
      <c r="AW280" s="2">
        <v>4.0</v>
      </c>
      <c r="AX280" s="2"/>
      <c r="AY280" s="2"/>
      <c r="AZ280" s="2"/>
      <c r="BA280" s="2"/>
      <c r="BB280" s="2"/>
      <c r="BC280" s="2"/>
      <c r="BD280" s="2" t="s">
        <v>5541</v>
      </c>
      <c r="BE280" s="2" t="s">
        <v>5542</v>
      </c>
      <c r="BF280" s="3" t="str">
        <f>HYPERLINK("http://dx.doi.org/10.22323/2.18040202","http://dx.doi.org/10.22323/2.18040202")</f>
        <v>http://dx.doi.org/10.22323/2.18040202</v>
      </c>
      <c r="BG280" s="2"/>
      <c r="BH280" s="2"/>
      <c r="BI280" s="2">
        <v>22.0</v>
      </c>
      <c r="BJ280" s="2" t="s">
        <v>5543</v>
      </c>
      <c r="BK280" s="2" t="s">
        <v>96</v>
      </c>
      <c r="BL280" s="2" t="s">
        <v>5543</v>
      </c>
      <c r="BM280" s="2" t="s">
        <v>5544</v>
      </c>
      <c r="BN280" s="2"/>
      <c r="BO280" s="2" t="s">
        <v>2100</v>
      </c>
      <c r="BP280" s="2"/>
      <c r="BQ280" s="2"/>
      <c r="BR280" s="2" t="s">
        <v>99</v>
      </c>
      <c r="BS280" s="2" t="s">
        <v>5545</v>
      </c>
      <c r="BT280" s="2" t="str">
        <f>HYPERLINK("https%3A%2F%2Fwww.webofscience.com%2Fwos%2Fwoscc%2Ffull-record%2FWOS:000482887300002","View Full Record in Web of Science")</f>
        <v>View Full Record in Web of Science</v>
      </c>
    </row>
    <row r="281" ht="64.5" customHeight="1">
      <c r="A281" s="2" t="s">
        <v>72</v>
      </c>
      <c r="B281" s="2" t="s">
        <v>5546</v>
      </c>
      <c r="C281" s="2"/>
      <c r="D281" s="2"/>
      <c r="E281" s="2"/>
      <c r="F281" s="2" t="s">
        <v>5547</v>
      </c>
      <c r="G281" s="2"/>
      <c r="H281" s="2"/>
      <c r="I281" s="2" t="s">
        <v>5548</v>
      </c>
      <c r="J281" s="2" t="s">
        <v>5549</v>
      </c>
      <c r="K281" s="2"/>
      <c r="L281" s="2"/>
      <c r="M281" s="2" t="s">
        <v>116</v>
      </c>
      <c r="N281" s="2" t="s">
        <v>78</v>
      </c>
      <c r="O281" s="2"/>
      <c r="P281" s="2"/>
      <c r="Q281" s="2"/>
      <c r="R281" s="2"/>
      <c r="S281" s="2"/>
      <c r="T281" s="2" t="s">
        <v>5550</v>
      </c>
      <c r="U281" s="2" t="s">
        <v>5551</v>
      </c>
      <c r="V281" s="2" t="s">
        <v>5552</v>
      </c>
      <c r="W281" s="2" t="s">
        <v>5553</v>
      </c>
      <c r="X281" s="2" t="s">
        <v>5554</v>
      </c>
      <c r="Y281" s="2" t="s">
        <v>5555</v>
      </c>
      <c r="Z281" s="2" t="s">
        <v>5556</v>
      </c>
      <c r="AA281" s="2"/>
      <c r="AB281" s="2"/>
      <c r="AC281" s="2" t="s">
        <v>5557</v>
      </c>
      <c r="AD281" s="2" t="s">
        <v>2726</v>
      </c>
      <c r="AE281" s="2" t="s">
        <v>5558</v>
      </c>
      <c r="AF281" s="2" t="s">
        <v>5559</v>
      </c>
      <c r="AG281" s="2">
        <v>28.0</v>
      </c>
      <c r="AH281" s="2">
        <v>8.0</v>
      </c>
      <c r="AI281" s="2">
        <v>8.0</v>
      </c>
      <c r="AJ281" s="2">
        <v>0.0</v>
      </c>
      <c r="AK281" s="2">
        <v>4.0</v>
      </c>
      <c r="AL281" s="2" t="s">
        <v>156</v>
      </c>
      <c r="AM281" s="2" t="s">
        <v>157</v>
      </c>
      <c r="AN281" s="2" t="s">
        <v>158</v>
      </c>
      <c r="AO281" s="2" t="s">
        <v>5560</v>
      </c>
      <c r="AP281" s="2" t="s">
        <v>5561</v>
      </c>
      <c r="AQ281" s="2"/>
      <c r="AR281" s="2" t="s">
        <v>5562</v>
      </c>
      <c r="AS281" s="2" t="s">
        <v>5563</v>
      </c>
      <c r="AT281" s="2"/>
      <c r="AU281" s="2">
        <v>2020.0</v>
      </c>
      <c r="AV281" s="2">
        <v>51.0</v>
      </c>
      <c r="AW281" s="2">
        <v>2.0</v>
      </c>
      <c r="AX281" s="2"/>
      <c r="AY281" s="2"/>
      <c r="AZ281" s="2"/>
      <c r="BA281" s="2"/>
      <c r="BB281" s="2">
        <v>143.0</v>
      </c>
      <c r="BC281" s="2">
        <v>158.0</v>
      </c>
      <c r="BD281" s="2"/>
      <c r="BE281" s="2" t="s">
        <v>5564</v>
      </c>
      <c r="BF281" s="3" t="str">
        <f>HYPERLINK("http://dx.doi.org/10.1080/00220485.2020.1731383","http://dx.doi.org/10.1080/00220485.2020.1731383")</f>
        <v>http://dx.doi.org/10.1080/00220485.2020.1731383</v>
      </c>
      <c r="BG281" s="2"/>
      <c r="BH281" s="2"/>
      <c r="BI281" s="2">
        <v>16.0</v>
      </c>
      <c r="BJ281" s="2" t="s">
        <v>5565</v>
      </c>
      <c r="BK281" s="2" t="s">
        <v>166</v>
      </c>
      <c r="BL281" s="2" t="s">
        <v>5566</v>
      </c>
      <c r="BM281" s="2" t="s">
        <v>5567</v>
      </c>
      <c r="BN281" s="2"/>
      <c r="BO281" s="2"/>
      <c r="BP281" s="2"/>
      <c r="BQ281" s="2"/>
      <c r="BR281" s="2" t="s">
        <v>99</v>
      </c>
      <c r="BS281" s="2" t="s">
        <v>5568</v>
      </c>
      <c r="BT281" s="2" t="str">
        <f>HYPERLINK("https%3A%2F%2Fwww.webofscience.com%2Fwos%2Fwoscc%2Ffull-record%2FWOS:000534596500004","View Full Record in Web of Science")</f>
        <v>View Full Record in Web of Science</v>
      </c>
    </row>
    <row r="282" ht="64.5" customHeight="1">
      <c r="A282" s="2" t="s">
        <v>72</v>
      </c>
      <c r="B282" s="2" t="s">
        <v>5569</v>
      </c>
      <c r="C282" s="2"/>
      <c r="D282" s="2"/>
      <c r="E282" s="2"/>
      <c r="F282" s="2" t="s">
        <v>5570</v>
      </c>
      <c r="G282" s="2"/>
      <c r="H282" s="2"/>
      <c r="I282" s="2" t="s">
        <v>5571</v>
      </c>
      <c r="J282" s="2" t="s">
        <v>5572</v>
      </c>
      <c r="K282" s="2"/>
      <c r="L282" s="2"/>
      <c r="M282" s="2" t="s">
        <v>116</v>
      </c>
      <c r="N282" s="2" t="s">
        <v>78</v>
      </c>
      <c r="O282" s="2"/>
      <c r="P282" s="2"/>
      <c r="Q282" s="2"/>
      <c r="R282" s="2"/>
      <c r="S282" s="2"/>
      <c r="T282" s="2" t="s">
        <v>5573</v>
      </c>
      <c r="U282" s="2"/>
      <c r="V282" s="2" t="s">
        <v>5574</v>
      </c>
      <c r="W282" s="2" t="s">
        <v>5575</v>
      </c>
      <c r="X282" s="2" t="s">
        <v>5576</v>
      </c>
      <c r="Y282" s="2" t="s">
        <v>5577</v>
      </c>
      <c r="Z282" s="2" t="s">
        <v>5578</v>
      </c>
      <c r="AA282" s="2" t="s">
        <v>5579</v>
      </c>
      <c r="AB282" s="2" t="s">
        <v>5580</v>
      </c>
      <c r="AC282" s="2" t="s">
        <v>5581</v>
      </c>
      <c r="AD282" s="2" t="s">
        <v>5582</v>
      </c>
      <c r="AE282" s="2" t="s">
        <v>5583</v>
      </c>
      <c r="AF282" s="2" t="s">
        <v>5584</v>
      </c>
      <c r="AG282" s="2">
        <v>19.0</v>
      </c>
      <c r="AH282" s="2">
        <v>1.0</v>
      </c>
      <c r="AI282" s="2">
        <v>1.0</v>
      </c>
      <c r="AJ282" s="2">
        <v>7.0</v>
      </c>
      <c r="AK282" s="2">
        <v>7.0</v>
      </c>
      <c r="AL282" s="2" t="s">
        <v>1329</v>
      </c>
      <c r="AM282" s="2" t="s">
        <v>157</v>
      </c>
      <c r="AN282" s="2" t="s">
        <v>1330</v>
      </c>
      <c r="AO282" s="2" t="s">
        <v>5585</v>
      </c>
      <c r="AP282" s="2" t="s">
        <v>5586</v>
      </c>
      <c r="AQ282" s="2"/>
      <c r="AR282" s="2" t="s">
        <v>5572</v>
      </c>
      <c r="AS282" s="2" t="s">
        <v>2023</v>
      </c>
      <c r="AT282" s="2" t="s">
        <v>2224</v>
      </c>
      <c r="AU282" s="2">
        <v>2024.0</v>
      </c>
      <c r="AV282" s="2">
        <v>109.0</v>
      </c>
      <c r="AW282" s="2">
        <v>1.0</v>
      </c>
      <c r="AX282" s="2"/>
      <c r="AY282" s="2"/>
      <c r="AZ282" s="2"/>
      <c r="BA282" s="2"/>
      <c r="BB282" s="2">
        <v>27.0</v>
      </c>
      <c r="BC282" s="2">
        <v>35.0</v>
      </c>
      <c r="BD282" s="2"/>
      <c r="BE282" s="2" t="s">
        <v>5587</v>
      </c>
      <c r="BF282" s="3" t="str">
        <f>HYPERLINK("http://dx.doi.org/10.1080/00167487.2024.2297611","http://dx.doi.org/10.1080/00167487.2024.2297611")</f>
        <v>http://dx.doi.org/10.1080/00167487.2024.2297611</v>
      </c>
      <c r="BG282" s="2"/>
      <c r="BH282" s="2"/>
      <c r="BI282" s="2">
        <v>9.0</v>
      </c>
      <c r="BJ282" s="2" t="s">
        <v>2023</v>
      </c>
      <c r="BK282" s="2" t="s">
        <v>166</v>
      </c>
      <c r="BL282" s="2" t="s">
        <v>2023</v>
      </c>
      <c r="BM282" s="2" t="s">
        <v>5588</v>
      </c>
      <c r="BN282" s="2"/>
      <c r="BO282" s="2" t="s">
        <v>1177</v>
      </c>
      <c r="BP282" s="2"/>
      <c r="BQ282" s="2"/>
      <c r="BR282" s="2" t="s">
        <v>99</v>
      </c>
      <c r="BS282" s="2" t="s">
        <v>5589</v>
      </c>
      <c r="BT282" s="2" t="str">
        <f>HYPERLINK("https%3A%2F%2Fwww.webofscience.com%2Fwos%2Fwoscc%2Ffull-record%2FWOS:001155993800006","View Full Record in Web of Science")</f>
        <v>View Full Record in Web of Science</v>
      </c>
    </row>
    <row r="283" ht="64.5" customHeight="1">
      <c r="A283" s="2" t="s">
        <v>72</v>
      </c>
      <c r="B283" s="2" t="s">
        <v>5590</v>
      </c>
      <c r="C283" s="2"/>
      <c r="D283" s="2"/>
      <c r="E283" s="2"/>
      <c r="F283" s="2" t="s">
        <v>5591</v>
      </c>
      <c r="G283" s="2"/>
      <c r="H283" s="2"/>
      <c r="I283" s="2" t="s">
        <v>5592</v>
      </c>
      <c r="J283" s="2" t="s">
        <v>5593</v>
      </c>
      <c r="K283" s="2"/>
      <c r="L283" s="2"/>
      <c r="M283" s="2" t="s">
        <v>116</v>
      </c>
      <c r="N283" s="2" t="s">
        <v>78</v>
      </c>
      <c r="O283" s="2"/>
      <c r="P283" s="2"/>
      <c r="Q283" s="2"/>
      <c r="R283" s="2"/>
      <c r="S283" s="2"/>
      <c r="T283" s="4" t="s">
        <v>121</v>
      </c>
      <c r="U283" s="2" t="s">
        <v>5594</v>
      </c>
      <c r="V283" s="2" t="s">
        <v>5595</v>
      </c>
      <c r="W283" s="2" t="s">
        <v>5596</v>
      </c>
      <c r="X283" s="2" t="s">
        <v>5597</v>
      </c>
      <c r="Y283" s="2" t="s">
        <v>5598</v>
      </c>
      <c r="Z283" s="2" t="s">
        <v>4720</v>
      </c>
      <c r="AA283" s="2"/>
      <c r="AB283" s="2" t="s">
        <v>5599</v>
      </c>
      <c r="AC283" s="2"/>
      <c r="AD283" s="2"/>
      <c r="AE283" s="2"/>
      <c r="AF283" s="2" t="s">
        <v>5600</v>
      </c>
      <c r="AG283" s="2">
        <v>63.0</v>
      </c>
      <c r="AH283" s="2">
        <v>17.0</v>
      </c>
      <c r="AI283" s="2">
        <v>17.0</v>
      </c>
      <c r="AJ283" s="2">
        <v>0.0</v>
      </c>
      <c r="AK283" s="2">
        <v>13.0</v>
      </c>
      <c r="AL283" s="2" t="s">
        <v>3255</v>
      </c>
      <c r="AM283" s="2" t="s">
        <v>1221</v>
      </c>
      <c r="AN283" s="2" t="s">
        <v>3256</v>
      </c>
      <c r="AO283" s="2"/>
      <c r="AP283" s="2" t="s">
        <v>5601</v>
      </c>
      <c r="AQ283" s="2"/>
      <c r="AR283" s="2" t="s">
        <v>5593</v>
      </c>
      <c r="AS283" s="2" t="s">
        <v>5602</v>
      </c>
      <c r="AT283" s="2" t="s">
        <v>5603</v>
      </c>
      <c r="AU283" s="2">
        <v>2022.0</v>
      </c>
      <c r="AV283" s="2">
        <v>25.0</v>
      </c>
      <c r="AW283" s="2">
        <v>8.0</v>
      </c>
      <c r="AX283" s="2"/>
      <c r="AY283" s="2"/>
      <c r="AZ283" s="2"/>
      <c r="BA283" s="2"/>
      <c r="BB283" s="2"/>
      <c r="BC283" s="2"/>
      <c r="BD283" s="2">
        <v>104735.0</v>
      </c>
      <c r="BE283" s="2" t="s">
        <v>5604</v>
      </c>
      <c r="BF283" s="3" t="str">
        <f>HYPERLINK("http://dx.doi.org/10.1016/j.isci.2022.104735","http://dx.doi.org/10.1016/j.isci.2022.104735")</f>
        <v>http://dx.doi.org/10.1016/j.isci.2022.104735</v>
      </c>
      <c r="BG283" s="2"/>
      <c r="BH283" s="2" t="s">
        <v>2244</v>
      </c>
      <c r="BI283" s="2">
        <v>21.0</v>
      </c>
      <c r="BJ283" s="2" t="s">
        <v>2066</v>
      </c>
      <c r="BK283" s="2" t="s">
        <v>226</v>
      </c>
      <c r="BL283" s="2" t="s">
        <v>2067</v>
      </c>
      <c r="BM283" s="2" t="s">
        <v>5605</v>
      </c>
      <c r="BN283" s="2">
        <v>3.5942098E7</v>
      </c>
      <c r="BO283" s="2" t="s">
        <v>601</v>
      </c>
      <c r="BP283" s="2"/>
      <c r="BQ283" s="2"/>
      <c r="BR283" s="2" t="s">
        <v>99</v>
      </c>
      <c r="BS283" s="2" t="s">
        <v>5606</v>
      </c>
      <c r="BT283" s="2" t="str">
        <f>HYPERLINK("https%3A%2F%2Fwww.webofscience.com%2Fwos%2Fwoscc%2Ffull-record%2FWOS:000844469300005","View Full Record in Web of Science")</f>
        <v>View Full Record in Web of Science</v>
      </c>
    </row>
    <row r="284" ht="64.5" customHeight="1">
      <c r="A284" s="2" t="s">
        <v>72</v>
      </c>
      <c r="B284" s="2" t="s">
        <v>5607</v>
      </c>
      <c r="C284" s="2"/>
      <c r="D284" s="2"/>
      <c r="E284" s="2"/>
      <c r="F284" s="2" t="s">
        <v>5608</v>
      </c>
      <c r="G284" s="2"/>
      <c r="H284" s="2"/>
      <c r="I284" s="2" t="s">
        <v>5609</v>
      </c>
      <c r="J284" s="2" t="s">
        <v>5610</v>
      </c>
      <c r="K284" s="2"/>
      <c r="L284" s="2"/>
      <c r="M284" s="2" t="s">
        <v>2567</v>
      </c>
      <c r="N284" s="2" t="s">
        <v>78</v>
      </c>
      <c r="O284" s="2"/>
      <c r="P284" s="2"/>
      <c r="Q284" s="2"/>
      <c r="R284" s="2"/>
      <c r="S284" s="2"/>
      <c r="T284" s="2" t="s">
        <v>5611</v>
      </c>
      <c r="U284" s="2" t="s">
        <v>5612</v>
      </c>
      <c r="V284" s="2" t="s">
        <v>5613</v>
      </c>
      <c r="W284" s="2" t="s">
        <v>5614</v>
      </c>
      <c r="X284" s="2" t="s">
        <v>5615</v>
      </c>
      <c r="Y284" s="2" t="s">
        <v>5616</v>
      </c>
      <c r="Z284" s="2" t="s">
        <v>5617</v>
      </c>
      <c r="AA284" s="2" t="s">
        <v>5618</v>
      </c>
      <c r="AB284" s="2" t="s">
        <v>5619</v>
      </c>
      <c r="AC284" s="2"/>
      <c r="AD284" s="2"/>
      <c r="AE284" s="2"/>
      <c r="AF284" s="2" t="s">
        <v>5620</v>
      </c>
      <c r="AG284" s="2">
        <v>51.0</v>
      </c>
      <c r="AH284" s="2">
        <v>0.0</v>
      </c>
      <c r="AI284" s="2">
        <v>0.0</v>
      </c>
      <c r="AJ284" s="2">
        <v>0.0</v>
      </c>
      <c r="AK284" s="2">
        <v>4.0</v>
      </c>
      <c r="AL284" s="2" t="s">
        <v>5621</v>
      </c>
      <c r="AM284" s="2" t="s">
        <v>5622</v>
      </c>
      <c r="AN284" s="2" t="s">
        <v>5623</v>
      </c>
      <c r="AO284" s="2" t="s">
        <v>5624</v>
      </c>
      <c r="AP284" s="2"/>
      <c r="AQ284" s="2"/>
      <c r="AR284" s="2" t="s">
        <v>5625</v>
      </c>
      <c r="AS284" s="2" t="s">
        <v>5626</v>
      </c>
      <c r="AT284" s="2" t="s">
        <v>751</v>
      </c>
      <c r="AU284" s="2">
        <v>2021.0</v>
      </c>
      <c r="AV284" s="2">
        <v>21.0</v>
      </c>
      <c r="AW284" s="2">
        <v>2.0</v>
      </c>
      <c r="AX284" s="2"/>
      <c r="AY284" s="2"/>
      <c r="AZ284" s="2"/>
      <c r="BA284" s="2"/>
      <c r="BB284" s="2"/>
      <c r="BC284" s="2"/>
      <c r="BD284" s="2" t="s">
        <v>5627</v>
      </c>
      <c r="BE284" s="2" t="s">
        <v>5628</v>
      </c>
      <c r="BF284" s="3" t="str">
        <f>HYPERLINK("http://dx.doi.org/10.5565/rev/athenea.2293","http://dx.doi.org/10.5565/rev/athenea.2293")</f>
        <v>http://dx.doi.org/10.5565/rev/athenea.2293</v>
      </c>
      <c r="BG284" s="2"/>
      <c r="BH284" s="2"/>
      <c r="BI284" s="2">
        <v>26.0</v>
      </c>
      <c r="BJ284" s="2" t="s">
        <v>475</v>
      </c>
      <c r="BK284" s="2" t="s">
        <v>96</v>
      </c>
      <c r="BL284" s="2" t="s">
        <v>476</v>
      </c>
      <c r="BM284" s="2" t="s">
        <v>5629</v>
      </c>
      <c r="BN284" s="2"/>
      <c r="BO284" s="2" t="s">
        <v>2100</v>
      </c>
      <c r="BP284" s="2"/>
      <c r="BQ284" s="2"/>
      <c r="BR284" s="2" t="s">
        <v>99</v>
      </c>
      <c r="BS284" s="2" t="s">
        <v>5630</v>
      </c>
      <c r="BT284" s="2" t="str">
        <f>HYPERLINK("https%3A%2F%2Fwww.webofscience.com%2Fwos%2Fwoscc%2Ffull-record%2FWOS:000748290700007","View Full Record in Web of Science")</f>
        <v>View Full Record in Web of Science</v>
      </c>
    </row>
    <row r="285" ht="64.5" customHeight="1">
      <c r="A285" s="2" t="s">
        <v>72</v>
      </c>
      <c r="B285" s="2" t="s">
        <v>5631</v>
      </c>
      <c r="C285" s="2"/>
      <c r="D285" s="2"/>
      <c r="E285" s="2"/>
      <c r="F285" s="2" t="s">
        <v>5632</v>
      </c>
      <c r="G285" s="2"/>
      <c r="H285" s="2"/>
      <c r="I285" s="2" t="s">
        <v>5633</v>
      </c>
      <c r="J285" s="2" t="s">
        <v>370</v>
      </c>
      <c r="K285" s="2"/>
      <c r="L285" s="2"/>
      <c r="M285" s="2" t="s">
        <v>116</v>
      </c>
      <c r="N285" s="2" t="s">
        <v>78</v>
      </c>
      <c r="O285" s="2"/>
      <c r="P285" s="2"/>
      <c r="Q285" s="2"/>
      <c r="R285" s="2"/>
      <c r="S285" s="2"/>
      <c r="T285" s="2" t="s">
        <v>5634</v>
      </c>
      <c r="U285" s="2" t="s">
        <v>5635</v>
      </c>
      <c r="V285" s="2" t="s">
        <v>5636</v>
      </c>
      <c r="W285" s="2" t="s">
        <v>5637</v>
      </c>
      <c r="X285" s="2" t="s">
        <v>4745</v>
      </c>
      <c r="Y285" s="2" t="s">
        <v>5638</v>
      </c>
      <c r="Z285" s="2" t="s">
        <v>5639</v>
      </c>
      <c r="AA285" s="2" t="s">
        <v>5640</v>
      </c>
      <c r="AB285" s="2" t="s">
        <v>5641</v>
      </c>
      <c r="AC285" s="2" t="s">
        <v>5642</v>
      </c>
      <c r="AD285" s="2" t="s">
        <v>5642</v>
      </c>
      <c r="AE285" s="2" t="s">
        <v>5643</v>
      </c>
      <c r="AF285" s="2" t="s">
        <v>5644</v>
      </c>
      <c r="AG285" s="2">
        <v>79.0</v>
      </c>
      <c r="AH285" s="2">
        <v>0.0</v>
      </c>
      <c r="AI285" s="2">
        <v>0.0</v>
      </c>
      <c r="AJ285" s="2">
        <v>3.0</v>
      </c>
      <c r="AK285" s="2">
        <v>3.0</v>
      </c>
      <c r="AL285" s="2" t="s">
        <v>383</v>
      </c>
      <c r="AM285" s="2" t="s">
        <v>384</v>
      </c>
      <c r="AN285" s="2" t="s">
        <v>385</v>
      </c>
      <c r="AO285" s="2"/>
      <c r="AP285" s="2" t="s">
        <v>386</v>
      </c>
      <c r="AQ285" s="2"/>
      <c r="AR285" s="2" t="s">
        <v>387</v>
      </c>
      <c r="AS285" s="2" t="s">
        <v>388</v>
      </c>
      <c r="AT285" s="2" t="s">
        <v>1017</v>
      </c>
      <c r="AU285" s="2">
        <v>2024.0</v>
      </c>
      <c r="AV285" s="2">
        <v>16.0</v>
      </c>
      <c r="AW285" s="2">
        <v>3.0</v>
      </c>
      <c r="AX285" s="2"/>
      <c r="AY285" s="2"/>
      <c r="AZ285" s="2"/>
      <c r="BA285" s="2"/>
      <c r="BB285" s="2"/>
      <c r="BC285" s="2"/>
      <c r="BD285" s="2">
        <v>967.0</v>
      </c>
      <c r="BE285" s="2" t="s">
        <v>5645</v>
      </c>
      <c r="BF285" s="3" t="str">
        <f>HYPERLINK("http://dx.doi.org/10.3390/su16030967","http://dx.doi.org/10.3390/su16030967")</f>
        <v>http://dx.doi.org/10.3390/su16030967</v>
      </c>
      <c r="BG285" s="2"/>
      <c r="BH285" s="2"/>
      <c r="BI285" s="2">
        <v>20.0</v>
      </c>
      <c r="BJ285" s="2" t="s">
        <v>390</v>
      </c>
      <c r="BK285" s="2" t="s">
        <v>363</v>
      </c>
      <c r="BL285" s="2" t="s">
        <v>391</v>
      </c>
      <c r="BM285" s="2" t="s">
        <v>5646</v>
      </c>
      <c r="BN285" s="2"/>
      <c r="BO285" s="2" t="s">
        <v>272</v>
      </c>
      <c r="BP285" s="2"/>
      <c r="BQ285" s="2"/>
      <c r="BR285" s="2" t="s">
        <v>99</v>
      </c>
      <c r="BS285" s="2" t="s">
        <v>5647</v>
      </c>
      <c r="BT285" s="2" t="str">
        <f>HYPERLINK("https%3A%2F%2Fwww.webofscience.com%2Fwos%2Fwoscc%2Ffull-record%2FWOS:001160178900001","View Full Record in Web of Science")</f>
        <v>View Full Record in Web of Science</v>
      </c>
    </row>
    <row r="286" ht="64.5" customHeight="1">
      <c r="A286" s="2" t="s">
        <v>72</v>
      </c>
      <c r="B286" s="2" t="s">
        <v>5648</v>
      </c>
      <c r="C286" s="2"/>
      <c r="D286" s="2"/>
      <c r="E286" s="2"/>
      <c r="F286" s="2" t="s">
        <v>5649</v>
      </c>
      <c r="G286" s="2"/>
      <c r="H286" s="2"/>
      <c r="I286" s="2" t="s">
        <v>5650</v>
      </c>
      <c r="J286" s="2" t="s">
        <v>5651</v>
      </c>
      <c r="K286" s="2"/>
      <c r="L286" s="2"/>
      <c r="M286" s="2" t="s">
        <v>116</v>
      </c>
      <c r="N286" s="2" t="s">
        <v>78</v>
      </c>
      <c r="O286" s="2"/>
      <c r="P286" s="2"/>
      <c r="Q286" s="2"/>
      <c r="R286" s="2"/>
      <c r="S286" s="2"/>
      <c r="T286" s="2" t="s">
        <v>5652</v>
      </c>
      <c r="U286" s="2" t="s">
        <v>5653</v>
      </c>
      <c r="V286" s="2" t="s">
        <v>5654</v>
      </c>
      <c r="W286" s="2" t="s">
        <v>5655</v>
      </c>
      <c r="X286" s="2" t="s">
        <v>5656</v>
      </c>
      <c r="Y286" s="2" t="s">
        <v>5657</v>
      </c>
      <c r="Z286" s="2" t="s">
        <v>5658</v>
      </c>
      <c r="AA286" s="2" t="s">
        <v>5659</v>
      </c>
      <c r="AB286" s="2" t="s">
        <v>5660</v>
      </c>
      <c r="AC286" s="2" t="s">
        <v>5661</v>
      </c>
      <c r="AD286" s="2" t="s">
        <v>5662</v>
      </c>
      <c r="AE286" s="2" t="s">
        <v>5663</v>
      </c>
      <c r="AF286" s="2" t="s">
        <v>5664</v>
      </c>
      <c r="AG286" s="2">
        <v>60.0</v>
      </c>
      <c r="AH286" s="2">
        <v>0.0</v>
      </c>
      <c r="AI286" s="2">
        <v>0.0</v>
      </c>
      <c r="AJ286" s="2">
        <v>5.0</v>
      </c>
      <c r="AK286" s="2">
        <v>25.0</v>
      </c>
      <c r="AL286" s="2" t="s">
        <v>351</v>
      </c>
      <c r="AM286" s="2" t="s">
        <v>352</v>
      </c>
      <c r="AN286" s="2" t="s">
        <v>353</v>
      </c>
      <c r="AO286" s="2" t="s">
        <v>5665</v>
      </c>
      <c r="AP286" s="2" t="s">
        <v>5666</v>
      </c>
      <c r="AQ286" s="2"/>
      <c r="AR286" s="2" t="s">
        <v>5667</v>
      </c>
      <c r="AS286" s="2" t="s">
        <v>5668</v>
      </c>
      <c r="AT286" s="2" t="s">
        <v>195</v>
      </c>
      <c r="AU286" s="2">
        <v>2023.0</v>
      </c>
      <c r="AV286" s="2">
        <v>33.0</v>
      </c>
      <c r="AW286" s="2">
        <v>2.0</v>
      </c>
      <c r="AX286" s="2"/>
      <c r="AY286" s="2"/>
      <c r="AZ286" s="2"/>
      <c r="BA286" s="2"/>
      <c r="BB286" s="2">
        <v>317.0</v>
      </c>
      <c r="BC286" s="2">
        <v>336.0</v>
      </c>
      <c r="BD286" s="2"/>
      <c r="BE286" s="2" t="s">
        <v>5669</v>
      </c>
      <c r="BF286" s="3" t="str">
        <f>HYPERLINK("http://dx.doi.org/10.1007/s10798-021-09720-3","http://dx.doi.org/10.1007/s10798-021-09720-3")</f>
        <v>http://dx.doi.org/10.1007/s10798-021-09720-3</v>
      </c>
      <c r="BG286" s="2"/>
      <c r="BH286" s="2" t="s">
        <v>2334</v>
      </c>
      <c r="BI286" s="2">
        <v>20.0</v>
      </c>
      <c r="BJ286" s="2" t="s">
        <v>5670</v>
      </c>
      <c r="BK286" s="2" t="s">
        <v>363</v>
      </c>
      <c r="BL286" s="2" t="s">
        <v>1795</v>
      </c>
      <c r="BM286" s="2" t="s">
        <v>5671</v>
      </c>
      <c r="BN286" s="2"/>
      <c r="BO286" s="2"/>
      <c r="BP286" s="2"/>
      <c r="BQ286" s="2"/>
      <c r="BR286" s="2" t="s">
        <v>99</v>
      </c>
      <c r="BS286" s="2" t="s">
        <v>5672</v>
      </c>
      <c r="BT286" s="2" t="str">
        <f>HYPERLINK("https%3A%2F%2Fwww.webofscience.com%2Fwos%2Fwoscc%2Ffull-record%2FWOS:000774847400002","View Full Record in Web of Science")</f>
        <v>View Full Record in Web of Science</v>
      </c>
    </row>
    <row r="287" ht="64.5" customHeight="1">
      <c r="A287" s="2" t="s">
        <v>72</v>
      </c>
      <c r="B287" s="2" t="s">
        <v>5673</v>
      </c>
      <c r="C287" s="2"/>
      <c r="D287" s="2"/>
      <c r="E287" s="2"/>
      <c r="F287" s="2" t="s">
        <v>5674</v>
      </c>
      <c r="G287" s="2"/>
      <c r="H287" s="2"/>
      <c r="I287" s="2" t="s">
        <v>5675</v>
      </c>
      <c r="J287" s="2" t="s">
        <v>5676</v>
      </c>
      <c r="K287" s="2"/>
      <c r="L287" s="2"/>
      <c r="M287" s="2" t="s">
        <v>116</v>
      </c>
      <c r="N287" s="2" t="s">
        <v>78</v>
      </c>
      <c r="O287" s="2"/>
      <c r="P287" s="2"/>
      <c r="Q287" s="2"/>
      <c r="R287" s="2"/>
      <c r="S287" s="2"/>
      <c r="T287" s="2" t="s">
        <v>5677</v>
      </c>
      <c r="U287" s="2" t="s">
        <v>5678</v>
      </c>
      <c r="V287" s="2" t="s">
        <v>5679</v>
      </c>
      <c r="W287" s="2" t="s">
        <v>5680</v>
      </c>
      <c r="X287" s="2" t="s">
        <v>5681</v>
      </c>
      <c r="Y287" s="2" t="s">
        <v>5682</v>
      </c>
      <c r="Z287" s="2" t="s">
        <v>5683</v>
      </c>
      <c r="AA287" s="2" t="s">
        <v>5684</v>
      </c>
      <c r="AB287" s="2" t="s">
        <v>5685</v>
      </c>
      <c r="AC287" s="2"/>
      <c r="AD287" s="2"/>
      <c r="AE287" s="2"/>
      <c r="AF287" s="2" t="s">
        <v>5686</v>
      </c>
      <c r="AG287" s="2">
        <v>44.0</v>
      </c>
      <c r="AH287" s="2">
        <v>23.0</v>
      </c>
      <c r="AI287" s="2">
        <v>24.0</v>
      </c>
      <c r="AJ287" s="2">
        <v>10.0</v>
      </c>
      <c r="AK287" s="2">
        <v>56.0</v>
      </c>
      <c r="AL287" s="2" t="s">
        <v>156</v>
      </c>
      <c r="AM287" s="2" t="s">
        <v>157</v>
      </c>
      <c r="AN287" s="2" t="s">
        <v>158</v>
      </c>
      <c r="AO287" s="2" t="s">
        <v>5687</v>
      </c>
      <c r="AP287" s="2" t="s">
        <v>5688</v>
      </c>
      <c r="AQ287" s="2"/>
      <c r="AR287" s="2" t="s">
        <v>5689</v>
      </c>
      <c r="AS287" s="2" t="s">
        <v>5690</v>
      </c>
      <c r="AT287" s="2" t="s">
        <v>5691</v>
      </c>
      <c r="AU287" s="2">
        <v>2021.0</v>
      </c>
      <c r="AV287" s="2">
        <v>23.0</v>
      </c>
      <c r="AW287" s="2" t="s">
        <v>5692</v>
      </c>
      <c r="AX287" s="2"/>
      <c r="AY287" s="2"/>
      <c r="AZ287" s="2"/>
      <c r="BA287" s="2"/>
      <c r="BB287" s="2">
        <v>985.0</v>
      </c>
      <c r="BC287" s="2">
        <v>1000.0</v>
      </c>
      <c r="BD287" s="2"/>
      <c r="BE287" s="2" t="s">
        <v>5693</v>
      </c>
      <c r="BF287" s="3" t="str">
        <f>HYPERLINK("http://dx.doi.org/10.1080/14616688.2019.1696884","http://dx.doi.org/10.1080/14616688.2019.1696884")</f>
        <v>http://dx.doi.org/10.1080/14616688.2019.1696884</v>
      </c>
      <c r="BG287" s="2"/>
      <c r="BH287" s="2" t="s">
        <v>5694</v>
      </c>
      <c r="BI287" s="2">
        <v>16.0</v>
      </c>
      <c r="BJ287" s="2" t="s">
        <v>3762</v>
      </c>
      <c r="BK287" s="2" t="s">
        <v>166</v>
      </c>
      <c r="BL287" s="2" t="s">
        <v>476</v>
      </c>
      <c r="BM287" s="2" t="s">
        <v>5695</v>
      </c>
      <c r="BN287" s="2"/>
      <c r="BO287" s="2" t="s">
        <v>1177</v>
      </c>
      <c r="BP287" s="2"/>
      <c r="BQ287" s="2"/>
      <c r="BR287" s="2" t="s">
        <v>99</v>
      </c>
      <c r="BS287" s="2" t="s">
        <v>5696</v>
      </c>
      <c r="BT287" s="2" t="str">
        <f>HYPERLINK("https%3A%2F%2Fwww.webofscience.com%2Fwos%2Fwoscc%2Ffull-record%2FWOS:000499605100001","View Full Record in Web of Science")</f>
        <v>View Full Record in Web of Science</v>
      </c>
    </row>
    <row r="288" ht="64.5" customHeight="1">
      <c r="A288" s="2" t="s">
        <v>72</v>
      </c>
      <c r="B288" s="2" t="s">
        <v>5697</v>
      </c>
      <c r="C288" s="2"/>
      <c r="D288" s="2"/>
      <c r="E288" s="2"/>
      <c r="F288" s="2" t="s">
        <v>5698</v>
      </c>
      <c r="G288" s="2"/>
      <c r="H288" s="2"/>
      <c r="I288" s="2" t="s">
        <v>5699</v>
      </c>
      <c r="J288" s="2" t="s">
        <v>482</v>
      </c>
      <c r="K288" s="2"/>
      <c r="L288" s="2"/>
      <c r="M288" s="2" t="s">
        <v>77</v>
      </c>
      <c r="N288" s="2" t="s">
        <v>78</v>
      </c>
      <c r="O288" s="2"/>
      <c r="P288" s="2"/>
      <c r="Q288" s="2"/>
      <c r="R288" s="2"/>
      <c r="S288" s="2"/>
      <c r="T288" s="2" t="s">
        <v>5700</v>
      </c>
      <c r="U288" s="2"/>
      <c r="V288" s="2" t="s">
        <v>5701</v>
      </c>
      <c r="W288" s="2" t="s">
        <v>5702</v>
      </c>
      <c r="X288" s="2" t="s">
        <v>5703</v>
      </c>
      <c r="Y288" s="2" t="s">
        <v>5704</v>
      </c>
      <c r="Z288" s="2" t="s">
        <v>5705</v>
      </c>
      <c r="AA288" s="2"/>
      <c r="AB288" s="2"/>
      <c r="AC288" s="2"/>
      <c r="AD288" s="2"/>
      <c r="AE288" s="2"/>
      <c r="AF288" s="2" t="s">
        <v>5706</v>
      </c>
      <c r="AG288" s="2">
        <v>26.0</v>
      </c>
      <c r="AH288" s="2">
        <v>0.0</v>
      </c>
      <c r="AI288" s="2">
        <v>0.0</v>
      </c>
      <c r="AJ288" s="2">
        <v>4.0</v>
      </c>
      <c r="AK288" s="2">
        <v>7.0</v>
      </c>
      <c r="AL288" s="2" t="s">
        <v>491</v>
      </c>
      <c r="AM288" s="2" t="s">
        <v>492</v>
      </c>
      <c r="AN288" s="2" t="s">
        <v>493</v>
      </c>
      <c r="AO288" s="2" t="s">
        <v>494</v>
      </c>
      <c r="AP288" s="2" t="s">
        <v>495</v>
      </c>
      <c r="AQ288" s="2"/>
      <c r="AR288" s="2" t="s">
        <v>496</v>
      </c>
      <c r="AS288" s="2" t="s">
        <v>497</v>
      </c>
      <c r="AT288" s="2" t="s">
        <v>498</v>
      </c>
      <c r="AU288" s="2">
        <v>2022.0</v>
      </c>
      <c r="AV288" s="2">
        <v>39.0</v>
      </c>
      <c r="AW288" s="2">
        <v>2.0</v>
      </c>
      <c r="AX288" s="2"/>
      <c r="AY288" s="2"/>
      <c r="AZ288" s="2"/>
      <c r="BA288" s="2"/>
      <c r="BB288" s="2">
        <v>385.0</v>
      </c>
      <c r="BC288" s="2">
        <v>405.0</v>
      </c>
      <c r="BD288" s="2"/>
      <c r="BE288" s="2"/>
      <c r="BF288" s="2"/>
      <c r="BG288" s="2"/>
      <c r="BH288" s="2"/>
      <c r="BI288" s="2">
        <v>21.0</v>
      </c>
      <c r="BJ288" s="2" t="s">
        <v>331</v>
      </c>
      <c r="BK288" s="2" t="s">
        <v>96</v>
      </c>
      <c r="BL288" s="2" t="s">
        <v>331</v>
      </c>
      <c r="BM288" s="2" t="s">
        <v>499</v>
      </c>
      <c r="BN288" s="2"/>
      <c r="BO288" s="2"/>
      <c r="BP288" s="2"/>
      <c r="BQ288" s="2"/>
      <c r="BR288" s="2" t="s">
        <v>99</v>
      </c>
      <c r="BS288" s="2" t="s">
        <v>5707</v>
      </c>
      <c r="BT288" s="2" t="str">
        <f>HYPERLINK("https%3A%2F%2Fwww.webofscience.com%2Fwos%2Fwoscc%2Ffull-record%2FWOS:000880810000019","View Full Record in Web of Science")</f>
        <v>View Full Record in Web of Science</v>
      </c>
    </row>
    <row r="289" ht="64.5" customHeight="1">
      <c r="A289" s="2" t="s">
        <v>110</v>
      </c>
      <c r="B289" s="2" t="s">
        <v>5708</v>
      </c>
      <c r="C289" s="2"/>
      <c r="D289" s="2" t="s">
        <v>5709</v>
      </c>
      <c r="E289" s="2"/>
      <c r="F289" s="2" t="s">
        <v>5710</v>
      </c>
      <c r="G289" s="2"/>
      <c r="H289" s="2"/>
      <c r="I289" s="2" t="s">
        <v>5711</v>
      </c>
      <c r="J289" s="2" t="s">
        <v>5712</v>
      </c>
      <c r="K289" s="2" t="s">
        <v>5713</v>
      </c>
      <c r="L289" s="2"/>
      <c r="M289" s="2" t="s">
        <v>116</v>
      </c>
      <c r="N289" s="2" t="s">
        <v>117</v>
      </c>
      <c r="O289" s="2" t="s">
        <v>5714</v>
      </c>
      <c r="P289" s="2" t="s">
        <v>1029</v>
      </c>
      <c r="Q289" s="2" t="s">
        <v>5715</v>
      </c>
      <c r="R289" s="2"/>
      <c r="S289" s="2" t="s">
        <v>5716</v>
      </c>
      <c r="T289" s="2" t="s">
        <v>5717</v>
      </c>
      <c r="U289" s="2"/>
      <c r="V289" s="2" t="s">
        <v>5718</v>
      </c>
      <c r="W289" s="2" t="s">
        <v>5719</v>
      </c>
      <c r="X289" s="2" t="s">
        <v>5720</v>
      </c>
      <c r="Y289" s="2" t="s">
        <v>5721</v>
      </c>
      <c r="Z289" s="2" t="s">
        <v>5722</v>
      </c>
      <c r="AA289" s="2" t="s">
        <v>5723</v>
      </c>
      <c r="AB289" s="2" t="s">
        <v>5724</v>
      </c>
      <c r="AC289" s="2" t="s">
        <v>5725</v>
      </c>
      <c r="AD289" s="2" t="s">
        <v>5726</v>
      </c>
      <c r="AE289" s="2" t="s">
        <v>5727</v>
      </c>
      <c r="AF289" s="2" t="s">
        <v>5728</v>
      </c>
      <c r="AG289" s="2">
        <v>21.0</v>
      </c>
      <c r="AH289" s="2">
        <v>2.0</v>
      </c>
      <c r="AI289" s="2">
        <v>2.0</v>
      </c>
      <c r="AJ289" s="2">
        <v>0.0</v>
      </c>
      <c r="AK289" s="2">
        <v>5.0</v>
      </c>
      <c r="AL289" s="2" t="s">
        <v>1044</v>
      </c>
      <c r="AM289" s="2" t="s">
        <v>1045</v>
      </c>
      <c r="AN289" s="2" t="s">
        <v>1046</v>
      </c>
      <c r="AO289" s="2" t="s">
        <v>5729</v>
      </c>
      <c r="AP289" s="2" t="s">
        <v>5730</v>
      </c>
      <c r="AQ289" s="2" t="s">
        <v>5731</v>
      </c>
      <c r="AR289" s="2" t="s">
        <v>5732</v>
      </c>
      <c r="AS289" s="2"/>
      <c r="AT289" s="2"/>
      <c r="AU289" s="2">
        <v>2022.0</v>
      </c>
      <c r="AV289" s="2">
        <v>13566.0</v>
      </c>
      <c r="AW289" s="2"/>
      <c r="AX289" s="2"/>
      <c r="AY289" s="2"/>
      <c r="AZ289" s="2"/>
      <c r="BA289" s="2"/>
      <c r="BB289" s="2">
        <v>751.0</v>
      </c>
      <c r="BC289" s="2">
        <v>763.0</v>
      </c>
      <c r="BD289" s="2"/>
      <c r="BE289" s="2" t="s">
        <v>5733</v>
      </c>
      <c r="BF289" s="3" t="str">
        <f>HYPERLINK("http://dx.doi.org/10.1007/978-3-031-16474-3_61","http://dx.doi.org/10.1007/978-3-031-16474-3_61")</f>
        <v>http://dx.doi.org/10.1007/978-3-031-16474-3_61</v>
      </c>
      <c r="BG289" s="2"/>
      <c r="BH289" s="2"/>
      <c r="BI289" s="2">
        <v>13.0</v>
      </c>
      <c r="BJ289" s="2" t="s">
        <v>5734</v>
      </c>
      <c r="BK289" s="2" t="s">
        <v>135</v>
      </c>
      <c r="BL289" s="2" t="s">
        <v>1402</v>
      </c>
      <c r="BM289" s="2" t="s">
        <v>5735</v>
      </c>
      <c r="BN289" s="2"/>
      <c r="BO289" s="2" t="s">
        <v>169</v>
      </c>
      <c r="BP289" s="2"/>
      <c r="BQ289" s="2"/>
      <c r="BR289" s="2" t="s">
        <v>99</v>
      </c>
      <c r="BS289" s="2" t="s">
        <v>5736</v>
      </c>
      <c r="BT289" s="2" t="str">
        <f>HYPERLINK("https%3A%2F%2Fwww.webofscience.com%2Fwos%2Fwoscc%2Ffull-record%2FWOS:000869745400061","View Full Record in Web of Science")</f>
        <v>View Full Record in Web of Science</v>
      </c>
    </row>
    <row r="290" ht="64.5" customHeight="1">
      <c r="A290" s="2" t="s">
        <v>72</v>
      </c>
      <c r="B290" s="2" t="s">
        <v>5737</v>
      </c>
      <c r="C290" s="2"/>
      <c r="D290" s="2"/>
      <c r="E290" s="2"/>
      <c r="F290" s="2" t="s">
        <v>5738</v>
      </c>
      <c r="G290" s="2"/>
      <c r="H290" s="2"/>
      <c r="I290" s="2" t="s">
        <v>5739</v>
      </c>
      <c r="J290" s="2" t="s">
        <v>5740</v>
      </c>
      <c r="K290" s="2"/>
      <c r="L290" s="2"/>
      <c r="M290" s="2" t="s">
        <v>5741</v>
      </c>
      <c r="N290" s="2" t="s">
        <v>4280</v>
      </c>
      <c r="O290" s="2"/>
      <c r="P290" s="2"/>
      <c r="Q290" s="2"/>
      <c r="R290" s="2"/>
      <c r="S290" s="2"/>
      <c r="T290" s="4" t="s">
        <v>121</v>
      </c>
      <c r="U290" s="2"/>
      <c r="V290" s="2"/>
      <c r="W290" s="2" t="s">
        <v>5742</v>
      </c>
      <c r="X290" s="2" t="s">
        <v>5743</v>
      </c>
      <c r="Y290" s="2" t="s">
        <v>5744</v>
      </c>
      <c r="Z290" s="2"/>
      <c r="AA290" s="2"/>
      <c r="AB290" s="2"/>
      <c r="AC290" s="2"/>
      <c r="AD290" s="2"/>
      <c r="AE290" s="2"/>
      <c r="AF290" s="2"/>
      <c r="AG290" s="2">
        <v>0.0</v>
      </c>
      <c r="AH290" s="2">
        <v>0.0</v>
      </c>
      <c r="AI290" s="2">
        <v>0.0</v>
      </c>
      <c r="AJ290" s="2">
        <v>0.0</v>
      </c>
      <c r="AK290" s="2">
        <v>9.0</v>
      </c>
      <c r="AL290" s="2" t="s">
        <v>5745</v>
      </c>
      <c r="AM290" s="2" t="s">
        <v>5746</v>
      </c>
      <c r="AN290" s="2" t="s">
        <v>5747</v>
      </c>
      <c r="AO290" s="2" t="s">
        <v>5748</v>
      </c>
      <c r="AP290" s="2" t="s">
        <v>5749</v>
      </c>
      <c r="AQ290" s="2"/>
      <c r="AR290" s="2" t="s">
        <v>5750</v>
      </c>
      <c r="AS290" s="2" t="s">
        <v>5751</v>
      </c>
      <c r="AT290" s="2"/>
      <c r="AU290" s="2">
        <v>2017.0</v>
      </c>
      <c r="AV290" s="2">
        <v>83.0</v>
      </c>
      <c r="AW290" s="2">
        <v>2.0</v>
      </c>
      <c r="AX290" s="2"/>
      <c r="AY290" s="2"/>
      <c r="AZ290" s="2"/>
      <c r="BA290" s="2"/>
      <c r="BB290" s="2">
        <v>240.0</v>
      </c>
      <c r="BC290" s="2">
        <v>240.0</v>
      </c>
      <c r="BD290" s="2"/>
      <c r="BE290" s="2" t="s">
        <v>5752</v>
      </c>
      <c r="BF290" s="3" t="str">
        <f>HYPERLINK("http://dx.doi.org/10.2331/suisan.WA2360-3","http://dx.doi.org/10.2331/suisan.WA2360-3")</f>
        <v>http://dx.doi.org/10.2331/suisan.WA2360-3</v>
      </c>
      <c r="BG290" s="2"/>
      <c r="BH290" s="2"/>
      <c r="BI290" s="2">
        <v>1.0</v>
      </c>
      <c r="BJ290" s="2" t="s">
        <v>5753</v>
      </c>
      <c r="BK290" s="2" t="s">
        <v>226</v>
      </c>
      <c r="BL290" s="2" t="s">
        <v>5753</v>
      </c>
      <c r="BM290" s="2" t="s">
        <v>5754</v>
      </c>
      <c r="BN290" s="2"/>
      <c r="BO290" s="2" t="s">
        <v>255</v>
      </c>
      <c r="BP290" s="2"/>
      <c r="BQ290" s="2"/>
      <c r="BR290" s="2" t="s">
        <v>99</v>
      </c>
      <c r="BS290" s="2" t="s">
        <v>5755</v>
      </c>
      <c r="BT290" s="2" t="str">
        <f>HYPERLINK("https%3A%2F%2Fwww.webofscience.com%2Fwos%2Fwoscc%2Ffull-record%2FWOS:000406517000023","View Full Record in Web of Science")</f>
        <v>View Full Record in Web of Science</v>
      </c>
    </row>
    <row r="291" ht="64.5" customHeight="1">
      <c r="A291" s="2" t="s">
        <v>72</v>
      </c>
      <c r="B291" s="2" t="s">
        <v>5756</v>
      </c>
      <c r="C291" s="2"/>
      <c r="D291" s="2"/>
      <c r="E291" s="2"/>
      <c r="F291" s="2" t="s">
        <v>5757</v>
      </c>
      <c r="G291" s="2"/>
      <c r="H291" s="2"/>
      <c r="I291" s="2" t="s">
        <v>5758</v>
      </c>
      <c r="J291" s="2" t="s">
        <v>1823</v>
      </c>
      <c r="K291" s="2"/>
      <c r="L291" s="2"/>
      <c r="M291" s="2" t="s">
        <v>116</v>
      </c>
      <c r="N291" s="2" t="s">
        <v>78</v>
      </c>
      <c r="O291" s="2"/>
      <c r="P291" s="2"/>
      <c r="Q291" s="2"/>
      <c r="R291" s="2"/>
      <c r="S291" s="2"/>
      <c r="T291" s="2" t="s">
        <v>5759</v>
      </c>
      <c r="U291" s="2" t="s">
        <v>5760</v>
      </c>
      <c r="V291" s="2" t="s">
        <v>5761</v>
      </c>
      <c r="W291" s="2" t="s">
        <v>5762</v>
      </c>
      <c r="X291" s="2" t="s">
        <v>5763</v>
      </c>
      <c r="Y291" s="2" t="s">
        <v>5764</v>
      </c>
      <c r="Z291" s="2" t="s">
        <v>5765</v>
      </c>
      <c r="AA291" s="2"/>
      <c r="AB291" s="2" t="s">
        <v>573</v>
      </c>
      <c r="AC291" s="2" t="s">
        <v>5766</v>
      </c>
      <c r="AD291" s="2" t="s">
        <v>5767</v>
      </c>
      <c r="AE291" s="2" t="s">
        <v>5768</v>
      </c>
      <c r="AF291" s="2" t="s">
        <v>5769</v>
      </c>
      <c r="AG291" s="2">
        <v>62.0</v>
      </c>
      <c r="AH291" s="2">
        <v>119.0</v>
      </c>
      <c r="AI291" s="2">
        <v>124.0</v>
      </c>
      <c r="AJ291" s="2">
        <v>1.0</v>
      </c>
      <c r="AK291" s="2">
        <v>92.0</v>
      </c>
      <c r="AL291" s="2" t="s">
        <v>188</v>
      </c>
      <c r="AM291" s="2" t="s">
        <v>189</v>
      </c>
      <c r="AN291" s="2" t="s">
        <v>190</v>
      </c>
      <c r="AO291" s="2" t="s">
        <v>1836</v>
      </c>
      <c r="AP291" s="2" t="s">
        <v>1837</v>
      </c>
      <c r="AQ291" s="2"/>
      <c r="AR291" s="2" t="s">
        <v>1838</v>
      </c>
      <c r="AS291" s="2" t="s">
        <v>1839</v>
      </c>
      <c r="AT291" s="2" t="s">
        <v>163</v>
      </c>
      <c r="AU291" s="2">
        <v>2018.0</v>
      </c>
      <c r="AV291" s="2">
        <v>152.0</v>
      </c>
      <c r="AW291" s="2"/>
      <c r="AX291" s="2"/>
      <c r="AY291" s="2"/>
      <c r="AZ291" s="2"/>
      <c r="BA291" s="2"/>
      <c r="BB291" s="2">
        <v>14.0</v>
      </c>
      <c r="BC291" s="2">
        <v>22.0</v>
      </c>
      <c r="BD291" s="2"/>
      <c r="BE291" s="2" t="s">
        <v>5770</v>
      </c>
      <c r="BF291" s="3" t="str">
        <f>HYPERLINK("http://dx.doi.org/10.1016/j.ocecoaman.2017.11.004","http://dx.doi.org/10.1016/j.ocecoaman.2017.11.004")</f>
        <v>http://dx.doi.org/10.1016/j.ocecoaman.2017.11.004</v>
      </c>
      <c r="BG291" s="2"/>
      <c r="BH291" s="2"/>
      <c r="BI291" s="2">
        <v>9.0</v>
      </c>
      <c r="BJ291" s="2" t="s">
        <v>1842</v>
      </c>
      <c r="BK291" s="2" t="s">
        <v>363</v>
      </c>
      <c r="BL291" s="2" t="s">
        <v>1842</v>
      </c>
      <c r="BM291" s="2" t="s">
        <v>5771</v>
      </c>
      <c r="BN291" s="2"/>
      <c r="BO291" s="2"/>
      <c r="BP291" s="2"/>
      <c r="BQ291" s="2"/>
      <c r="BR291" s="2" t="s">
        <v>99</v>
      </c>
      <c r="BS291" s="2" t="s">
        <v>5772</v>
      </c>
      <c r="BT291" s="2" t="str">
        <f>HYPERLINK("https%3A%2F%2Fwww.webofscience.com%2Fwos%2Fwoscc%2Ffull-record%2FWOS:000423647300002","View Full Record in Web of Science")</f>
        <v>View Full Record in Web of Science</v>
      </c>
    </row>
    <row r="292" ht="64.5" customHeight="1">
      <c r="A292" s="2" t="s">
        <v>72</v>
      </c>
      <c r="B292" s="2" t="s">
        <v>5773</v>
      </c>
      <c r="C292" s="2"/>
      <c r="D292" s="2"/>
      <c r="E292" s="2"/>
      <c r="F292" s="2" t="s">
        <v>5774</v>
      </c>
      <c r="G292" s="2"/>
      <c r="H292" s="2"/>
      <c r="I292" s="2" t="s">
        <v>5775</v>
      </c>
      <c r="J292" s="2" t="s">
        <v>5776</v>
      </c>
      <c r="K292" s="2"/>
      <c r="L292" s="2"/>
      <c r="M292" s="2" t="s">
        <v>116</v>
      </c>
      <c r="N292" s="2" t="s">
        <v>1599</v>
      </c>
      <c r="O292" s="2"/>
      <c r="P292" s="2"/>
      <c r="Q292" s="2"/>
      <c r="R292" s="2"/>
      <c r="S292" s="2"/>
      <c r="T292" s="2" t="s">
        <v>5777</v>
      </c>
      <c r="U292" s="2" t="s">
        <v>5778</v>
      </c>
      <c r="V292" s="2" t="s">
        <v>5779</v>
      </c>
      <c r="W292" s="2" t="s">
        <v>5780</v>
      </c>
      <c r="X292" s="2" t="s">
        <v>5781</v>
      </c>
      <c r="Y292" s="2" t="s">
        <v>5782</v>
      </c>
      <c r="Z292" s="2" t="s">
        <v>5783</v>
      </c>
      <c r="AA292" s="2" t="s">
        <v>5784</v>
      </c>
      <c r="AB292" s="2" t="s">
        <v>5785</v>
      </c>
      <c r="AC292" s="2"/>
      <c r="AD292" s="2"/>
      <c r="AE292" s="2"/>
      <c r="AF292" s="2" t="s">
        <v>5786</v>
      </c>
      <c r="AG292" s="2">
        <v>60.0</v>
      </c>
      <c r="AH292" s="2">
        <v>0.0</v>
      </c>
      <c r="AI292" s="2">
        <v>0.0</v>
      </c>
      <c r="AJ292" s="2">
        <v>2.0</v>
      </c>
      <c r="AK292" s="2">
        <v>2.0</v>
      </c>
      <c r="AL292" s="2" t="s">
        <v>3229</v>
      </c>
      <c r="AM292" s="2" t="s">
        <v>3230</v>
      </c>
      <c r="AN292" s="2" t="s">
        <v>3231</v>
      </c>
      <c r="AO292" s="2" t="s">
        <v>5787</v>
      </c>
      <c r="AP292" s="2" t="s">
        <v>5788</v>
      </c>
      <c r="AQ292" s="2"/>
      <c r="AR292" s="2" t="s">
        <v>5789</v>
      </c>
      <c r="AS292" s="2" t="s">
        <v>5790</v>
      </c>
      <c r="AT292" s="2" t="s">
        <v>5791</v>
      </c>
      <c r="AU292" s="2">
        <v>2023.0</v>
      </c>
      <c r="AV292" s="2"/>
      <c r="AW292" s="2"/>
      <c r="AX292" s="2"/>
      <c r="AY292" s="2"/>
      <c r="AZ292" s="2"/>
      <c r="BA292" s="2"/>
      <c r="BB292" s="2"/>
      <c r="BC292" s="2"/>
      <c r="BD292" s="2"/>
      <c r="BE292" s="2" t="s">
        <v>5792</v>
      </c>
      <c r="BF292" s="3" t="str">
        <f>HYPERLINK("http://dx.doi.org/10.1007/s40692-023-00302-x","http://dx.doi.org/10.1007/s40692-023-00302-x")</f>
        <v>http://dx.doi.org/10.1007/s40692-023-00302-x</v>
      </c>
      <c r="BG292" s="2"/>
      <c r="BH292" s="2" t="s">
        <v>5435</v>
      </c>
      <c r="BI292" s="2">
        <v>26.0</v>
      </c>
      <c r="BJ292" s="2" t="s">
        <v>331</v>
      </c>
      <c r="BK292" s="2" t="s">
        <v>96</v>
      </c>
      <c r="BL292" s="2" t="s">
        <v>331</v>
      </c>
      <c r="BM292" s="2" t="s">
        <v>5793</v>
      </c>
      <c r="BN292" s="2"/>
      <c r="BO292" s="2"/>
      <c r="BP292" s="2"/>
      <c r="BQ292" s="2"/>
      <c r="BR292" s="2" t="s">
        <v>99</v>
      </c>
      <c r="BS292" s="2" t="s">
        <v>5794</v>
      </c>
      <c r="BT292" s="2" t="str">
        <f>HYPERLINK("https%3A%2F%2Fwww.webofscience.com%2Fwos%2Fwoscc%2Ffull-record%2FWOS:001117669000001","View Full Record in Web of Science")</f>
        <v>View Full Record in Web of Science</v>
      </c>
    </row>
    <row r="293" ht="64.5" customHeight="1">
      <c r="A293" s="2" t="s">
        <v>72</v>
      </c>
      <c r="B293" s="2" t="s">
        <v>5795</v>
      </c>
      <c r="C293" s="2"/>
      <c r="D293" s="2"/>
      <c r="E293" s="2"/>
      <c r="F293" s="2" t="s">
        <v>5796</v>
      </c>
      <c r="G293" s="2"/>
      <c r="H293" s="2"/>
      <c r="I293" s="2" t="s">
        <v>5797</v>
      </c>
      <c r="J293" s="2" t="s">
        <v>174</v>
      </c>
      <c r="K293" s="2"/>
      <c r="L293" s="2"/>
      <c r="M293" s="2" t="s">
        <v>116</v>
      </c>
      <c r="N293" s="2" t="s">
        <v>78</v>
      </c>
      <c r="O293" s="2"/>
      <c r="P293" s="2"/>
      <c r="Q293" s="2"/>
      <c r="R293" s="2"/>
      <c r="S293" s="2"/>
      <c r="T293" s="2" t="s">
        <v>5798</v>
      </c>
      <c r="U293" s="2" t="s">
        <v>5799</v>
      </c>
      <c r="V293" s="2" t="s">
        <v>5800</v>
      </c>
      <c r="W293" s="2" t="s">
        <v>5801</v>
      </c>
      <c r="X293" s="2" t="s">
        <v>5802</v>
      </c>
      <c r="Y293" s="2" t="s">
        <v>5803</v>
      </c>
      <c r="Z293" s="2" t="s">
        <v>5804</v>
      </c>
      <c r="AA293" s="2"/>
      <c r="AB293" s="2" t="s">
        <v>3020</v>
      </c>
      <c r="AC293" s="2" t="s">
        <v>5805</v>
      </c>
      <c r="AD293" s="2" t="s">
        <v>5806</v>
      </c>
      <c r="AE293" s="2" t="s">
        <v>5807</v>
      </c>
      <c r="AF293" s="2" t="s">
        <v>5808</v>
      </c>
      <c r="AG293" s="2">
        <v>68.0</v>
      </c>
      <c r="AH293" s="2">
        <v>19.0</v>
      </c>
      <c r="AI293" s="2">
        <v>19.0</v>
      </c>
      <c r="AJ293" s="2">
        <v>0.0</v>
      </c>
      <c r="AK293" s="2">
        <v>42.0</v>
      </c>
      <c r="AL293" s="2" t="s">
        <v>188</v>
      </c>
      <c r="AM293" s="2" t="s">
        <v>189</v>
      </c>
      <c r="AN293" s="2" t="s">
        <v>190</v>
      </c>
      <c r="AO293" s="2" t="s">
        <v>191</v>
      </c>
      <c r="AP293" s="2" t="s">
        <v>192</v>
      </c>
      <c r="AQ293" s="2"/>
      <c r="AR293" s="2" t="s">
        <v>193</v>
      </c>
      <c r="AS293" s="2" t="s">
        <v>194</v>
      </c>
      <c r="AT293" s="2" t="s">
        <v>938</v>
      </c>
      <c r="AU293" s="2">
        <v>2016.0</v>
      </c>
      <c r="AV293" s="2">
        <v>68.0</v>
      </c>
      <c r="AW293" s="2"/>
      <c r="AX293" s="2"/>
      <c r="AY293" s="2"/>
      <c r="AZ293" s="2"/>
      <c r="BA293" s="2"/>
      <c r="BB293" s="2">
        <v>178.0</v>
      </c>
      <c r="BC293" s="2">
        <v>186.0</v>
      </c>
      <c r="BD293" s="2"/>
      <c r="BE293" s="2" t="s">
        <v>5809</v>
      </c>
      <c r="BF293" s="3" t="str">
        <f>HYPERLINK("http://dx.doi.org/10.1016/j.marpol.2016.03.004","http://dx.doi.org/10.1016/j.marpol.2016.03.004")</f>
        <v>http://dx.doi.org/10.1016/j.marpol.2016.03.004</v>
      </c>
      <c r="BG293" s="2"/>
      <c r="BH293" s="2"/>
      <c r="BI293" s="2">
        <v>9.0</v>
      </c>
      <c r="BJ293" s="2" t="s">
        <v>198</v>
      </c>
      <c r="BK293" s="2" t="s">
        <v>166</v>
      </c>
      <c r="BL293" s="2" t="s">
        <v>199</v>
      </c>
      <c r="BM293" s="2" t="s">
        <v>5810</v>
      </c>
      <c r="BN293" s="2"/>
      <c r="BO293" s="2" t="s">
        <v>201</v>
      </c>
      <c r="BP293" s="2"/>
      <c r="BQ293" s="2"/>
      <c r="BR293" s="2" t="s">
        <v>99</v>
      </c>
      <c r="BS293" s="2" t="s">
        <v>5811</v>
      </c>
      <c r="BT293" s="2" t="str">
        <f>HYPERLINK("https%3A%2F%2Fwww.webofscience.com%2Fwos%2Fwoscc%2Ffull-record%2FWOS:000375519300020","View Full Record in Web of Science")</f>
        <v>View Full Record in Web of Science</v>
      </c>
    </row>
    <row r="294" ht="64.5" customHeight="1">
      <c r="A294" s="2" t="s">
        <v>72</v>
      </c>
      <c r="B294" s="2" t="s">
        <v>5812</v>
      </c>
      <c r="C294" s="2"/>
      <c r="D294" s="2"/>
      <c r="E294" s="2"/>
      <c r="F294" s="2" t="s">
        <v>5813</v>
      </c>
      <c r="G294" s="2"/>
      <c r="H294" s="2"/>
      <c r="I294" s="2" t="s">
        <v>5814</v>
      </c>
      <c r="J294" s="2" t="s">
        <v>5815</v>
      </c>
      <c r="K294" s="2"/>
      <c r="L294" s="2"/>
      <c r="M294" s="2" t="s">
        <v>116</v>
      </c>
      <c r="N294" s="2" t="s">
        <v>4280</v>
      </c>
      <c r="O294" s="2"/>
      <c r="P294" s="2"/>
      <c r="Q294" s="2"/>
      <c r="R294" s="2"/>
      <c r="S294" s="2"/>
      <c r="T294" s="4" t="s">
        <v>121</v>
      </c>
      <c r="U294" s="2"/>
      <c r="V294" s="2" t="s">
        <v>5816</v>
      </c>
      <c r="W294" s="2" t="s">
        <v>5817</v>
      </c>
      <c r="X294" s="2" t="s">
        <v>1806</v>
      </c>
      <c r="Y294" s="2" t="s">
        <v>5818</v>
      </c>
      <c r="Z294" s="2" t="s">
        <v>5819</v>
      </c>
      <c r="AA294" s="2" t="s">
        <v>5820</v>
      </c>
      <c r="AB294" s="2"/>
      <c r="AC294" s="2"/>
      <c r="AD294" s="2"/>
      <c r="AE294" s="2"/>
      <c r="AF294" s="2" t="s">
        <v>5821</v>
      </c>
      <c r="AG294" s="2">
        <v>12.0</v>
      </c>
      <c r="AH294" s="2">
        <v>10.0</v>
      </c>
      <c r="AI294" s="2">
        <v>10.0</v>
      </c>
      <c r="AJ294" s="2">
        <v>1.0</v>
      </c>
      <c r="AK294" s="2">
        <v>11.0</v>
      </c>
      <c r="AL294" s="2" t="s">
        <v>1220</v>
      </c>
      <c r="AM294" s="2" t="s">
        <v>130</v>
      </c>
      <c r="AN294" s="2" t="s">
        <v>5822</v>
      </c>
      <c r="AO294" s="2" t="s">
        <v>5823</v>
      </c>
      <c r="AP294" s="2" t="s">
        <v>5824</v>
      </c>
      <c r="AQ294" s="2"/>
      <c r="AR294" s="2" t="s">
        <v>5825</v>
      </c>
      <c r="AS294" s="2" t="s">
        <v>5826</v>
      </c>
      <c r="AT294" s="2" t="s">
        <v>533</v>
      </c>
      <c r="AU294" s="2">
        <v>2017.0</v>
      </c>
      <c r="AV294" s="2">
        <v>97.0</v>
      </c>
      <c r="AW294" s="2">
        <v>6.0</v>
      </c>
      <c r="AX294" s="2"/>
      <c r="AY294" s="2"/>
      <c r="AZ294" s="2"/>
      <c r="BA294" s="2"/>
      <c r="BB294" s="2">
        <v>1211.0</v>
      </c>
      <c r="BC294" s="2">
        <v>1213.0</v>
      </c>
      <c r="BD294" s="2"/>
      <c r="BE294" s="2" t="s">
        <v>5827</v>
      </c>
      <c r="BF294" s="3" t="str">
        <f>HYPERLINK("http://dx.doi.org/10.1017/S0025315417000376","http://dx.doi.org/10.1017/S0025315417000376")</f>
        <v>http://dx.doi.org/10.1017/S0025315417000376</v>
      </c>
      <c r="BG294" s="2"/>
      <c r="BH294" s="2"/>
      <c r="BI294" s="2">
        <v>3.0</v>
      </c>
      <c r="BJ294" s="2" t="s">
        <v>5828</v>
      </c>
      <c r="BK294" s="2" t="s">
        <v>363</v>
      </c>
      <c r="BL294" s="2" t="s">
        <v>5828</v>
      </c>
      <c r="BM294" s="2" t="s">
        <v>5829</v>
      </c>
      <c r="BN294" s="2"/>
      <c r="BO294" s="2" t="s">
        <v>2170</v>
      </c>
      <c r="BP294" s="2"/>
      <c r="BQ294" s="2"/>
      <c r="BR294" s="2" t="s">
        <v>99</v>
      </c>
      <c r="BS294" s="2" t="s">
        <v>5830</v>
      </c>
      <c r="BT294" s="2" t="str">
        <f>HYPERLINK("https%3A%2F%2Fwww.webofscience.com%2Fwos%2Fwoscc%2Ffull-record%2FWOS:000426420100001","View Full Record in Web of Science")</f>
        <v>View Full Record in Web of Science</v>
      </c>
    </row>
    <row r="295" ht="64.5" customHeight="1">
      <c r="A295" s="2" t="s">
        <v>72</v>
      </c>
      <c r="B295" s="2" t="s">
        <v>5831</v>
      </c>
      <c r="C295" s="2"/>
      <c r="D295" s="2"/>
      <c r="E295" s="2"/>
      <c r="F295" s="2" t="s">
        <v>5832</v>
      </c>
      <c r="G295" s="2"/>
      <c r="H295" s="2"/>
      <c r="I295" s="2" t="s">
        <v>5833</v>
      </c>
      <c r="J295" s="2" t="s">
        <v>5834</v>
      </c>
      <c r="K295" s="2"/>
      <c r="L295" s="2"/>
      <c r="M295" s="2" t="s">
        <v>116</v>
      </c>
      <c r="N295" s="2" t="s">
        <v>4280</v>
      </c>
      <c r="O295" s="2"/>
      <c r="P295" s="2"/>
      <c r="Q295" s="2"/>
      <c r="R295" s="2"/>
      <c r="S295" s="2"/>
      <c r="T295" s="2" t="s">
        <v>5835</v>
      </c>
      <c r="U295" s="2" t="s">
        <v>5836</v>
      </c>
      <c r="V295" s="2" t="s">
        <v>5837</v>
      </c>
      <c r="W295" s="2" t="s">
        <v>5838</v>
      </c>
      <c r="X295" s="2" t="s">
        <v>5839</v>
      </c>
      <c r="Y295" s="2" t="s">
        <v>5840</v>
      </c>
      <c r="Z295" s="2" t="s">
        <v>5841</v>
      </c>
      <c r="AA295" s="2"/>
      <c r="AB295" s="2" t="s">
        <v>5842</v>
      </c>
      <c r="AC295" s="2"/>
      <c r="AD295" s="2"/>
      <c r="AE295" s="2"/>
      <c r="AF295" s="2" t="s">
        <v>5843</v>
      </c>
      <c r="AG295" s="2">
        <v>42.0</v>
      </c>
      <c r="AH295" s="2">
        <v>3.0</v>
      </c>
      <c r="AI295" s="2">
        <v>3.0</v>
      </c>
      <c r="AJ295" s="2">
        <v>2.0</v>
      </c>
      <c r="AK295" s="2">
        <v>8.0</v>
      </c>
      <c r="AL295" s="2" t="s">
        <v>4701</v>
      </c>
      <c r="AM295" s="2" t="s">
        <v>189</v>
      </c>
      <c r="AN295" s="2" t="s">
        <v>4702</v>
      </c>
      <c r="AO295" s="2" t="s">
        <v>5844</v>
      </c>
      <c r="AP295" s="2" t="s">
        <v>5845</v>
      </c>
      <c r="AQ295" s="2"/>
      <c r="AR295" s="2" t="s">
        <v>5846</v>
      </c>
      <c r="AS295" s="2" t="s">
        <v>5847</v>
      </c>
      <c r="AT295" s="2" t="s">
        <v>2676</v>
      </c>
      <c r="AU295" s="2">
        <v>2022.0</v>
      </c>
      <c r="AV295" s="2">
        <v>79.0</v>
      </c>
      <c r="AW295" s="2">
        <v>8.0</v>
      </c>
      <c r="AX295" s="2"/>
      <c r="AY295" s="2"/>
      <c r="AZ295" s="2"/>
      <c r="BA295" s="2"/>
      <c r="BB295" s="2">
        <v>2336.0</v>
      </c>
      <c r="BC295" s="2">
        <v>2339.0</v>
      </c>
      <c r="BD295" s="2"/>
      <c r="BE295" s="2" t="s">
        <v>5848</v>
      </c>
      <c r="BF295" s="3" t="str">
        <f>HYPERLINK("http://dx.doi.org/10.1093/icesjms/fsac161","http://dx.doi.org/10.1093/icesjms/fsac161")</f>
        <v>http://dx.doi.org/10.1093/icesjms/fsac161</v>
      </c>
      <c r="BG295" s="2"/>
      <c r="BH295" s="2" t="s">
        <v>4098</v>
      </c>
      <c r="BI295" s="2">
        <v>4.0</v>
      </c>
      <c r="BJ295" s="2" t="s">
        <v>5849</v>
      </c>
      <c r="BK295" s="2" t="s">
        <v>226</v>
      </c>
      <c r="BL295" s="2" t="s">
        <v>5849</v>
      </c>
      <c r="BM295" s="2" t="s">
        <v>5850</v>
      </c>
      <c r="BN295" s="2"/>
      <c r="BO295" s="2" t="s">
        <v>5851</v>
      </c>
      <c r="BP295" s="2"/>
      <c r="BQ295" s="2"/>
      <c r="BR295" s="2" t="s">
        <v>99</v>
      </c>
      <c r="BS295" s="2" t="s">
        <v>5852</v>
      </c>
      <c r="BT295" s="2" t="str">
        <f>HYPERLINK("https%3A%2F%2Fwww.webofscience.com%2Fwos%2Fwoscc%2Ffull-record%2FWOS:000859803900001","View Full Record in Web of Science")</f>
        <v>View Full Record in Web of Science</v>
      </c>
    </row>
    <row r="296" ht="64.5" customHeight="1">
      <c r="A296" s="2" t="s">
        <v>72</v>
      </c>
      <c r="B296" s="2" t="s">
        <v>5853</v>
      </c>
      <c r="C296" s="2"/>
      <c r="D296" s="2"/>
      <c r="E296" s="2"/>
      <c r="F296" s="2" t="s">
        <v>5854</v>
      </c>
      <c r="G296" s="2"/>
      <c r="H296" s="2"/>
      <c r="I296" s="2" t="s">
        <v>5855</v>
      </c>
      <c r="J296" s="2" t="s">
        <v>174</v>
      </c>
      <c r="K296" s="2"/>
      <c r="L296" s="2"/>
      <c r="M296" s="2" t="s">
        <v>116</v>
      </c>
      <c r="N296" s="2" t="s">
        <v>78</v>
      </c>
      <c r="O296" s="2"/>
      <c r="P296" s="2"/>
      <c r="Q296" s="2"/>
      <c r="R296" s="2"/>
      <c r="S296" s="2"/>
      <c r="T296" s="2" t="s">
        <v>5856</v>
      </c>
      <c r="U296" s="2" t="s">
        <v>5857</v>
      </c>
      <c r="V296" s="2" t="s">
        <v>5858</v>
      </c>
      <c r="W296" s="2" t="s">
        <v>5859</v>
      </c>
      <c r="X296" s="2" t="s">
        <v>5860</v>
      </c>
      <c r="Y296" s="2" t="s">
        <v>5861</v>
      </c>
      <c r="Z296" s="2" t="s">
        <v>3670</v>
      </c>
      <c r="AA296" s="2" t="s">
        <v>5862</v>
      </c>
      <c r="AB296" s="2" t="s">
        <v>5863</v>
      </c>
      <c r="AC296" s="2" t="s">
        <v>5864</v>
      </c>
      <c r="AD296" s="2" t="s">
        <v>5865</v>
      </c>
      <c r="AE296" s="2" t="s">
        <v>5866</v>
      </c>
      <c r="AF296" s="2" t="s">
        <v>5867</v>
      </c>
      <c r="AG296" s="2">
        <v>42.0</v>
      </c>
      <c r="AH296" s="2">
        <v>23.0</v>
      </c>
      <c r="AI296" s="2">
        <v>24.0</v>
      </c>
      <c r="AJ296" s="2">
        <v>2.0</v>
      </c>
      <c r="AK296" s="2">
        <v>34.0</v>
      </c>
      <c r="AL296" s="2" t="s">
        <v>188</v>
      </c>
      <c r="AM296" s="2" t="s">
        <v>189</v>
      </c>
      <c r="AN296" s="2" t="s">
        <v>190</v>
      </c>
      <c r="AO296" s="2" t="s">
        <v>191</v>
      </c>
      <c r="AP296" s="2" t="s">
        <v>192</v>
      </c>
      <c r="AQ296" s="2"/>
      <c r="AR296" s="2" t="s">
        <v>193</v>
      </c>
      <c r="AS296" s="2" t="s">
        <v>194</v>
      </c>
      <c r="AT296" s="2" t="s">
        <v>596</v>
      </c>
      <c r="AU296" s="2">
        <v>2019.0</v>
      </c>
      <c r="AV296" s="2">
        <v>108.0</v>
      </c>
      <c r="AW296" s="2"/>
      <c r="AX296" s="2"/>
      <c r="AY296" s="2"/>
      <c r="AZ296" s="2"/>
      <c r="BA296" s="2"/>
      <c r="BB296" s="2"/>
      <c r="BC296" s="2"/>
      <c r="BD296" s="2">
        <v>103645.0</v>
      </c>
      <c r="BE296" s="2" t="s">
        <v>5868</v>
      </c>
      <c r="BF296" s="3" t="str">
        <f>HYPERLINK("http://dx.doi.org/10.1016/j.marpol.2019.103645","http://dx.doi.org/10.1016/j.marpol.2019.103645")</f>
        <v>http://dx.doi.org/10.1016/j.marpol.2019.103645</v>
      </c>
      <c r="BG296" s="2"/>
      <c r="BH296" s="2"/>
      <c r="BI296" s="2">
        <v>19.0</v>
      </c>
      <c r="BJ296" s="2" t="s">
        <v>198</v>
      </c>
      <c r="BK296" s="2" t="s">
        <v>166</v>
      </c>
      <c r="BL296" s="2" t="s">
        <v>199</v>
      </c>
      <c r="BM296" s="2" t="s">
        <v>5869</v>
      </c>
      <c r="BN296" s="2"/>
      <c r="BO296" s="2"/>
      <c r="BP296" s="2"/>
      <c r="BQ296" s="2"/>
      <c r="BR296" s="2" t="s">
        <v>99</v>
      </c>
      <c r="BS296" s="2" t="s">
        <v>5870</v>
      </c>
      <c r="BT296" s="2" t="str">
        <f>HYPERLINK("https%3A%2F%2Fwww.webofscience.com%2Fwos%2Fwoscc%2Ffull-record%2FWOS:000495518700018","View Full Record in Web of Science")</f>
        <v>View Full Record in Web of Science</v>
      </c>
    </row>
    <row r="297" ht="64.5" customHeight="1">
      <c r="A297" s="2" t="s">
        <v>110</v>
      </c>
      <c r="B297" s="2" t="s">
        <v>5871</v>
      </c>
      <c r="C297" s="2"/>
      <c r="D297" s="2"/>
      <c r="E297" s="2"/>
      <c r="F297" s="2" t="s">
        <v>5872</v>
      </c>
      <c r="G297" s="2"/>
      <c r="H297" s="2"/>
      <c r="I297" s="2" t="s">
        <v>5873</v>
      </c>
      <c r="J297" s="2" t="s">
        <v>114</v>
      </c>
      <c r="K297" s="2" t="s">
        <v>115</v>
      </c>
      <c r="L297" s="2"/>
      <c r="M297" s="2" t="s">
        <v>116</v>
      </c>
      <c r="N297" s="2" t="s">
        <v>117</v>
      </c>
      <c r="O297" s="2" t="s">
        <v>118</v>
      </c>
      <c r="P297" s="2" t="s">
        <v>119</v>
      </c>
      <c r="Q297" s="2" t="s">
        <v>120</v>
      </c>
      <c r="R297" s="2"/>
      <c r="S297" s="2"/>
      <c r="T297" s="4" t="s">
        <v>121</v>
      </c>
      <c r="U297" s="2"/>
      <c r="V297" s="2" t="s">
        <v>5874</v>
      </c>
      <c r="W297" s="2" t="s">
        <v>5875</v>
      </c>
      <c r="X297" s="2"/>
      <c r="Y297" s="2" t="s">
        <v>5876</v>
      </c>
      <c r="Z297" s="2"/>
      <c r="AA297" s="2"/>
      <c r="AB297" s="2"/>
      <c r="AC297" s="2"/>
      <c r="AD297" s="2"/>
      <c r="AE297" s="2"/>
      <c r="AF297" s="2" t="s">
        <v>5877</v>
      </c>
      <c r="AG297" s="2">
        <v>1.0</v>
      </c>
      <c r="AH297" s="2">
        <v>0.0</v>
      </c>
      <c r="AI297" s="2">
        <v>0.0</v>
      </c>
      <c r="AJ297" s="2">
        <v>0.0</v>
      </c>
      <c r="AK297" s="2">
        <v>2.0</v>
      </c>
      <c r="AL297" s="2" t="s">
        <v>129</v>
      </c>
      <c r="AM297" s="2" t="s">
        <v>130</v>
      </c>
      <c r="AN297" s="2" t="s">
        <v>131</v>
      </c>
      <c r="AO297" s="2" t="s">
        <v>132</v>
      </c>
      <c r="AP297" s="2"/>
      <c r="AQ297" s="2" t="s">
        <v>133</v>
      </c>
      <c r="AR297" s="2" t="s">
        <v>115</v>
      </c>
      <c r="AS297" s="2"/>
      <c r="AT297" s="2"/>
      <c r="AU297" s="2">
        <v>2005.0</v>
      </c>
      <c r="AV297" s="2"/>
      <c r="AW297" s="2"/>
      <c r="AX297" s="2"/>
      <c r="AY297" s="2"/>
      <c r="AZ297" s="2"/>
      <c r="BA297" s="2"/>
      <c r="BB297" s="2">
        <v>127.0</v>
      </c>
      <c r="BC297" s="2">
        <v>129.0</v>
      </c>
      <c r="BD297" s="2"/>
      <c r="BE297" s="2"/>
      <c r="BF297" s="2"/>
      <c r="BG297" s="2"/>
      <c r="BH297" s="2"/>
      <c r="BI297" s="2">
        <v>3.0</v>
      </c>
      <c r="BJ297" s="2" t="s">
        <v>134</v>
      </c>
      <c r="BK297" s="2" t="s">
        <v>135</v>
      </c>
      <c r="BL297" s="2" t="s">
        <v>136</v>
      </c>
      <c r="BM297" s="2" t="s">
        <v>137</v>
      </c>
      <c r="BN297" s="2"/>
      <c r="BO297" s="2"/>
      <c r="BP297" s="2"/>
      <c r="BQ297" s="2"/>
      <c r="BR297" s="2" t="s">
        <v>99</v>
      </c>
      <c r="BS297" s="2" t="s">
        <v>5878</v>
      </c>
      <c r="BT297" s="2" t="str">
        <f>HYPERLINK("https%3A%2F%2Fwww.webofscience.com%2Fwos%2Fwoscc%2Ffull-record%2FWOS:000238978700024","View Full Record in Web of Science")</f>
        <v>View Full Record in Web of Science</v>
      </c>
    </row>
    <row r="298" ht="64.5" customHeight="1">
      <c r="A298" s="2" t="s">
        <v>72</v>
      </c>
      <c r="B298" s="2" t="s">
        <v>5879</v>
      </c>
      <c r="C298" s="2"/>
      <c r="D298" s="2"/>
      <c r="E298" s="2"/>
      <c r="F298" s="2" t="s">
        <v>5880</v>
      </c>
      <c r="G298" s="2"/>
      <c r="H298" s="2"/>
      <c r="I298" s="2" t="s">
        <v>5881</v>
      </c>
      <c r="J298" s="2" t="s">
        <v>5882</v>
      </c>
      <c r="K298" s="2"/>
      <c r="L298" s="2"/>
      <c r="M298" s="2" t="s">
        <v>116</v>
      </c>
      <c r="N298" s="2" t="s">
        <v>78</v>
      </c>
      <c r="O298" s="2"/>
      <c r="P298" s="2"/>
      <c r="Q298" s="2"/>
      <c r="R298" s="2"/>
      <c r="S298" s="2"/>
      <c r="T298" s="2" t="s">
        <v>5883</v>
      </c>
      <c r="U298" s="2" t="s">
        <v>5884</v>
      </c>
      <c r="V298" s="2" t="s">
        <v>5885</v>
      </c>
      <c r="W298" s="2" t="s">
        <v>5886</v>
      </c>
      <c r="X298" s="2" t="s">
        <v>5887</v>
      </c>
      <c r="Y298" s="2" t="s">
        <v>5888</v>
      </c>
      <c r="Z298" s="2" t="s">
        <v>5889</v>
      </c>
      <c r="AA298" s="2" t="s">
        <v>5890</v>
      </c>
      <c r="AB298" s="2" t="s">
        <v>5891</v>
      </c>
      <c r="AC298" s="2" t="s">
        <v>5892</v>
      </c>
      <c r="AD298" s="2" t="s">
        <v>5893</v>
      </c>
      <c r="AE298" s="2" t="s">
        <v>5894</v>
      </c>
      <c r="AF298" s="2" t="s">
        <v>5895</v>
      </c>
      <c r="AG298" s="2">
        <v>73.0</v>
      </c>
      <c r="AH298" s="2">
        <v>10.0</v>
      </c>
      <c r="AI298" s="2">
        <v>11.0</v>
      </c>
      <c r="AJ298" s="2">
        <v>0.0</v>
      </c>
      <c r="AK298" s="2">
        <v>13.0</v>
      </c>
      <c r="AL298" s="2" t="s">
        <v>156</v>
      </c>
      <c r="AM298" s="2" t="s">
        <v>157</v>
      </c>
      <c r="AN298" s="2" t="s">
        <v>158</v>
      </c>
      <c r="AO298" s="2" t="s">
        <v>5896</v>
      </c>
      <c r="AP298" s="2" t="s">
        <v>5897</v>
      </c>
      <c r="AQ298" s="2"/>
      <c r="AR298" s="2" t="s">
        <v>5898</v>
      </c>
      <c r="AS298" s="2" t="s">
        <v>5899</v>
      </c>
      <c r="AT298" s="2"/>
      <c r="AU298" s="2">
        <v>2017.0</v>
      </c>
      <c r="AV298" s="2">
        <v>20.0</v>
      </c>
      <c r="AW298" s="2">
        <v>9.0</v>
      </c>
      <c r="AX298" s="2"/>
      <c r="AY298" s="2"/>
      <c r="AZ298" s="2"/>
      <c r="BA298" s="2"/>
      <c r="BB298" s="2">
        <v>1132.0</v>
      </c>
      <c r="BC298" s="2">
        <v>1153.0</v>
      </c>
      <c r="BD298" s="2"/>
      <c r="BE298" s="2" t="s">
        <v>5900</v>
      </c>
      <c r="BF298" s="3" t="str">
        <f>HYPERLINK("http://dx.doi.org/10.1080/13669877.2015.1121909","http://dx.doi.org/10.1080/13669877.2015.1121909")</f>
        <v>http://dx.doi.org/10.1080/13669877.2015.1121909</v>
      </c>
      <c r="BG298" s="2"/>
      <c r="BH298" s="2"/>
      <c r="BI298" s="2">
        <v>22.0</v>
      </c>
      <c r="BJ298" s="2" t="s">
        <v>475</v>
      </c>
      <c r="BK298" s="2" t="s">
        <v>166</v>
      </c>
      <c r="BL298" s="2" t="s">
        <v>476</v>
      </c>
      <c r="BM298" s="2" t="s">
        <v>5901</v>
      </c>
      <c r="BN298" s="2"/>
      <c r="BO298" s="2" t="s">
        <v>1177</v>
      </c>
      <c r="BP298" s="2"/>
      <c r="BQ298" s="2"/>
      <c r="BR298" s="2" t="s">
        <v>99</v>
      </c>
      <c r="BS298" s="2" t="s">
        <v>5902</v>
      </c>
      <c r="BT298" s="2" t="str">
        <f>HYPERLINK("https%3A%2F%2Fwww.webofscience.com%2Fwos%2Fwoscc%2Ffull-record%2FWOS:000407463100003","View Full Record in Web of Science")</f>
        <v>View Full Record in Web of Science</v>
      </c>
    </row>
    <row r="299" ht="64.5" customHeight="1">
      <c r="A299" s="2" t="s">
        <v>72</v>
      </c>
      <c r="B299" s="2" t="s">
        <v>5903</v>
      </c>
      <c r="C299" s="2"/>
      <c r="D299" s="2"/>
      <c r="E299" s="2"/>
      <c r="F299" s="2" t="s">
        <v>5904</v>
      </c>
      <c r="G299" s="2"/>
      <c r="H299" s="2"/>
      <c r="I299" s="2" t="s">
        <v>5905</v>
      </c>
      <c r="J299" s="2" t="s">
        <v>1429</v>
      </c>
      <c r="K299" s="2"/>
      <c r="L299" s="2"/>
      <c r="M299" s="2" t="s">
        <v>116</v>
      </c>
      <c r="N299" s="2" t="s">
        <v>78</v>
      </c>
      <c r="O299" s="2"/>
      <c r="P299" s="2"/>
      <c r="Q299" s="2"/>
      <c r="R299" s="2"/>
      <c r="S299" s="2"/>
      <c r="T299" s="2" t="s">
        <v>5906</v>
      </c>
      <c r="U299" s="2"/>
      <c r="V299" s="2" t="s">
        <v>5907</v>
      </c>
      <c r="W299" s="2" t="s">
        <v>5908</v>
      </c>
      <c r="X299" s="2" t="s">
        <v>5909</v>
      </c>
      <c r="Y299" s="2" t="s">
        <v>5910</v>
      </c>
      <c r="Z299" s="2" t="s">
        <v>5911</v>
      </c>
      <c r="AA299" s="2" t="s">
        <v>5912</v>
      </c>
      <c r="AB299" s="2" t="s">
        <v>5913</v>
      </c>
      <c r="AC299" s="2" t="s">
        <v>5914</v>
      </c>
      <c r="AD299" s="2" t="s">
        <v>2726</v>
      </c>
      <c r="AE299" s="2" t="s">
        <v>5915</v>
      </c>
      <c r="AF299" s="2" t="s">
        <v>5916</v>
      </c>
      <c r="AG299" s="2">
        <v>67.0</v>
      </c>
      <c r="AH299" s="2">
        <v>6.0</v>
      </c>
      <c r="AI299" s="2">
        <v>7.0</v>
      </c>
      <c r="AJ299" s="2">
        <v>0.0</v>
      </c>
      <c r="AK299" s="2">
        <v>9.0</v>
      </c>
      <c r="AL299" s="2" t="s">
        <v>156</v>
      </c>
      <c r="AM299" s="2" t="s">
        <v>157</v>
      </c>
      <c r="AN299" s="2" t="s">
        <v>158</v>
      </c>
      <c r="AO299" s="2" t="s">
        <v>1442</v>
      </c>
      <c r="AP299" s="2" t="s">
        <v>1443</v>
      </c>
      <c r="AQ299" s="2"/>
      <c r="AR299" s="2" t="s">
        <v>1444</v>
      </c>
      <c r="AS299" s="2" t="s">
        <v>1445</v>
      </c>
      <c r="AT299" s="2" t="s">
        <v>5691</v>
      </c>
      <c r="AU299" s="2">
        <v>2020.0</v>
      </c>
      <c r="AV299" s="2">
        <v>52.0</v>
      </c>
      <c r="AW299" s="2">
        <v>2.0</v>
      </c>
      <c r="AX299" s="2"/>
      <c r="AY299" s="2"/>
      <c r="AZ299" s="2"/>
      <c r="BA299" s="2"/>
      <c r="BB299" s="2">
        <v>98.0</v>
      </c>
      <c r="BC299" s="2">
        <v>117.0</v>
      </c>
      <c r="BD299" s="2"/>
      <c r="BE299" s="2" t="s">
        <v>5917</v>
      </c>
      <c r="BF299" s="3" t="str">
        <f>HYPERLINK("http://dx.doi.org/10.1080/00958964.2020.1847882","http://dx.doi.org/10.1080/00958964.2020.1847882")</f>
        <v>http://dx.doi.org/10.1080/00958964.2020.1847882</v>
      </c>
      <c r="BG299" s="2"/>
      <c r="BH299" s="2" t="s">
        <v>1173</v>
      </c>
      <c r="BI299" s="2">
        <v>20.0</v>
      </c>
      <c r="BJ299" s="2" t="s">
        <v>165</v>
      </c>
      <c r="BK299" s="2" t="s">
        <v>166</v>
      </c>
      <c r="BL299" s="2" t="s">
        <v>167</v>
      </c>
      <c r="BM299" s="2" t="s">
        <v>5918</v>
      </c>
      <c r="BN299" s="2"/>
      <c r="BO299" s="2" t="s">
        <v>201</v>
      </c>
      <c r="BP299" s="2"/>
      <c r="BQ299" s="2"/>
      <c r="BR299" s="2" t="s">
        <v>99</v>
      </c>
      <c r="BS299" s="2" t="s">
        <v>5919</v>
      </c>
      <c r="BT299" s="2" t="str">
        <f>HYPERLINK("https%3A%2F%2Fwww.webofscience.com%2Fwos%2Fwoscc%2Ffull-record%2FWOS:000624716000001","View Full Record in Web of Science")</f>
        <v>View Full Record in Web of Science</v>
      </c>
    </row>
    <row r="300" ht="64.5" customHeight="1">
      <c r="A300" s="2" t="s">
        <v>72</v>
      </c>
      <c r="B300" s="2" t="s">
        <v>5920</v>
      </c>
      <c r="C300" s="2"/>
      <c r="D300" s="2"/>
      <c r="E300" s="2"/>
      <c r="F300" s="2" t="s">
        <v>5921</v>
      </c>
      <c r="G300" s="2"/>
      <c r="H300" s="2"/>
      <c r="I300" s="2" t="s">
        <v>5922</v>
      </c>
      <c r="J300" s="2" t="s">
        <v>1823</v>
      </c>
      <c r="K300" s="2"/>
      <c r="L300" s="2"/>
      <c r="M300" s="2" t="s">
        <v>116</v>
      </c>
      <c r="N300" s="2" t="s">
        <v>78</v>
      </c>
      <c r="O300" s="2"/>
      <c r="P300" s="2"/>
      <c r="Q300" s="2"/>
      <c r="R300" s="2"/>
      <c r="S300" s="2"/>
      <c r="T300" s="2" t="s">
        <v>5923</v>
      </c>
      <c r="U300" s="2" t="s">
        <v>5924</v>
      </c>
      <c r="V300" s="2" t="s">
        <v>5925</v>
      </c>
      <c r="W300" s="2" t="s">
        <v>5926</v>
      </c>
      <c r="X300" s="2"/>
      <c r="Y300" s="2" t="s">
        <v>5927</v>
      </c>
      <c r="Z300" s="2" t="s">
        <v>5928</v>
      </c>
      <c r="AA300" s="2"/>
      <c r="AB300" s="2" t="s">
        <v>5929</v>
      </c>
      <c r="AC300" s="2"/>
      <c r="AD300" s="2"/>
      <c r="AE300" s="2"/>
      <c r="AF300" s="2" t="s">
        <v>5930</v>
      </c>
      <c r="AG300" s="2">
        <v>80.0</v>
      </c>
      <c r="AH300" s="2">
        <v>6.0</v>
      </c>
      <c r="AI300" s="2">
        <v>6.0</v>
      </c>
      <c r="AJ300" s="2">
        <v>1.0</v>
      </c>
      <c r="AK300" s="2">
        <v>7.0</v>
      </c>
      <c r="AL300" s="2" t="s">
        <v>188</v>
      </c>
      <c r="AM300" s="2" t="s">
        <v>189</v>
      </c>
      <c r="AN300" s="2" t="s">
        <v>190</v>
      </c>
      <c r="AO300" s="2" t="s">
        <v>1836</v>
      </c>
      <c r="AP300" s="2" t="s">
        <v>1837</v>
      </c>
      <c r="AQ300" s="2"/>
      <c r="AR300" s="2" t="s">
        <v>1838</v>
      </c>
      <c r="AS300" s="2" t="s">
        <v>1839</v>
      </c>
      <c r="AT300" s="2" t="s">
        <v>867</v>
      </c>
      <c r="AU300" s="2">
        <v>2022.0</v>
      </c>
      <c r="AV300" s="2">
        <v>225.0</v>
      </c>
      <c r="AW300" s="2"/>
      <c r="AX300" s="2"/>
      <c r="AY300" s="2"/>
      <c r="AZ300" s="2"/>
      <c r="BA300" s="2"/>
      <c r="BB300" s="2"/>
      <c r="BC300" s="2"/>
      <c r="BD300" s="2">
        <v>106241.0</v>
      </c>
      <c r="BE300" s="2" t="s">
        <v>5931</v>
      </c>
      <c r="BF300" s="3" t="str">
        <f>HYPERLINK("http://dx.doi.org/10.1016/j.ocecoaman.2022.106241","http://dx.doi.org/10.1016/j.ocecoaman.2022.106241")</f>
        <v>http://dx.doi.org/10.1016/j.ocecoaman.2022.106241</v>
      </c>
      <c r="BG300" s="2"/>
      <c r="BH300" s="2" t="s">
        <v>5932</v>
      </c>
      <c r="BI300" s="2">
        <v>10.0</v>
      </c>
      <c r="BJ300" s="2" t="s">
        <v>1842</v>
      </c>
      <c r="BK300" s="2" t="s">
        <v>226</v>
      </c>
      <c r="BL300" s="2" t="s">
        <v>1842</v>
      </c>
      <c r="BM300" s="2" t="s">
        <v>5933</v>
      </c>
      <c r="BN300" s="2"/>
      <c r="BO300" s="2" t="s">
        <v>201</v>
      </c>
      <c r="BP300" s="2"/>
      <c r="BQ300" s="2"/>
      <c r="BR300" s="2" t="s">
        <v>99</v>
      </c>
      <c r="BS300" s="2" t="s">
        <v>5934</v>
      </c>
      <c r="BT300" s="2" t="str">
        <f>HYPERLINK("https%3A%2F%2Fwww.webofscience.com%2Fwos%2Fwoscc%2Ffull-record%2FWOS:000808375900005","View Full Record in Web of Science")</f>
        <v>View Full Record in Web of Science</v>
      </c>
    </row>
    <row r="301" ht="64.5" customHeight="1">
      <c r="A301" s="2" t="s">
        <v>72</v>
      </c>
      <c r="B301" s="2" t="s">
        <v>5935</v>
      </c>
      <c r="C301" s="2"/>
      <c r="D301" s="2"/>
      <c r="E301" s="2"/>
      <c r="F301" s="2" t="s">
        <v>5936</v>
      </c>
      <c r="G301" s="2"/>
      <c r="H301" s="2"/>
      <c r="I301" s="2" t="s">
        <v>5937</v>
      </c>
      <c r="J301" s="2" t="s">
        <v>174</v>
      </c>
      <c r="K301" s="2"/>
      <c r="L301" s="2"/>
      <c r="M301" s="2" t="s">
        <v>116</v>
      </c>
      <c r="N301" s="2" t="s">
        <v>78</v>
      </c>
      <c r="O301" s="2"/>
      <c r="P301" s="2"/>
      <c r="Q301" s="2"/>
      <c r="R301" s="2"/>
      <c r="S301" s="2"/>
      <c r="T301" s="2" t="s">
        <v>5938</v>
      </c>
      <c r="U301" s="2" t="s">
        <v>5939</v>
      </c>
      <c r="V301" s="2" t="s">
        <v>5940</v>
      </c>
      <c r="W301" s="2" t="s">
        <v>5941</v>
      </c>
      <c r="X301" s="2"/>
      <c r="Y301" s="2" t="s">
        <v>5942</v>
      </c>
      <c r="Z301" s="2" t="s">
        <v>5943</v>
      </c>
      <c r="AA301" s="2"/>
      <c r="AB301" s="2" t="s">
        <v>5944</v>
      </c>
      <c r="AC301" s="2"/>
      <c r="AD301" s="2"/>
      <c r="AE301" s="2"/>
      <c r="AF301" s="2" t="s">
        <v>5945</v>
      </c>
      <c r="AG301" s="2">
        <v>91.0</v>
      </c>
      <c r="AH301" s="2">
        <v>2.0</v>
      </c>
      <c r="AI301" s="2">
        <v>2.0</v>
      </c>
      <c r="AJ301" s="2">
        <v>4.0</v>
      </c>
      <c r="AK301" s="2">
        <v>15.0</v>
      </c>
      <c r="AL301" s="2" t="s">
        <v>188</v>
      </c>
      <c r="AM301" s="2" t="s">
        <v>189</v>
      </c>
      <c r="AN301" s="2" t="s">
        <v>190</v>
      </c>
      <c r="AO301" s="2" t="s">
        <v>191</v>
      </c>
      <c r="AP301" s="2" t="s">
        <v>192</v>
      </c>
      <c r="AQ301" s="2"/>
      <c r="AR301" s="2" t="s">
        <v>193</v>
      </c>
      <c r="AS301" s="2" t="s">
        <v>194</v>
      </c>
      <c r="AT301" s="2" t="s">
        <v>844</v>
      </c>
      <c r="AU301" s="2">
        <v>2022.0</v>
      </c>
      <c r="AV301" s="2">
        <v>146.0</v>
      </c>
      <c r="AW301" s="2"/>
      <c r="AX301" s="2"/>
      <c r="AY301" s="2"/>
      <c r="AZ301" s="2"/>
      <c r="BA301" s="2"/>
      <c r="BB301" s="2"/>
      <c r="BC301" s="2"/>
      <c r="BD301" s="2">
        <v>105297.0</v>
      </c>
      <c r="BE301" s="2" t="s">
        <v>5946</v>
      </c>
      <c r="BF301" s="3" t="str">
        <f>HYPERLINK("http://dx.doi.org/10.1016/j.marpol.2022.105297","http://dx.doi.org/10.1016/j.marpol.2022.105297")</f>
        <v>http://dx.doi.org/10.1016/j.marpol.2022.105297</v>
      </c>
      <c r="BG301" s="2"/>
      <c r="BH301" s="2" t="s">
        <v>4098</v>
      </c>
      <c r="BI301" s="2">
        <v>10.0</v>
      </c>
      <c r="BJ301" s="2" t="s">
        <v>198</v>
      </c>
      <c r="BK301" s="2" t="s">
        <v>166</v>
      </c>
      <c r="BL301" s="2" t="s">
        <v>199</v>
      </c>
      <c r="BM301" s="2" t="s">
        <v>5947</v>
      </c>
      <c r="BN301" s="2"/>
      <c r="BO301" s="2"/>
      <c r="BP301" s="2"/>
      <c r="BQ301" s="2"/>
      <c r="BR301" s="2" t="s">
        <v>99</v>
      </c>
      <c r="BS301" s="2" t="s">
        <v>5948</v>
      </c>
      <c r="BT301" s="2" t="str">
        <f>HYPERLINK("https%3A%2F%2Fwww.webofscience.com%2Fwos%2Fwoscc%2Ffull-record%2FWOS:000868989000004","View Full Record in Web of Science")</f>
        <v>View Full Record in Web of Science</v>
      </c>
    </row>
    <row r="302" ht="64.5" customHeight="1">
      <c r="A302" s="2" t="s">
        <v>72</v>
      </c>
      <c r="B302" s="2" t="s">
        <v>5949</v>
      </c>
      <c r="C302" s="2"/>
      <c r="D302" s="2"/>
      <c r="E302" s="2"/>
      <c r="F302" s="2" t="s">
        <v>5949</v>
      </c>
      <c r="G302" s="2"/>
      <c r="H302" s="2"/>
      <c r="I302" s="2" t="s">
        <v>5950</v>
      </c>
      <c r="J302" s="2" t="s">
        <v>5951</v>
      </c>
      <c r="K302" s="2"/>
      <c r="L302" s="2"/>
      <c r="M302" s="2" t="s">
        <v>116</v>
      </c>
      <c r="N302" s="2" t="s">
        <v>78</v>
      </c>
      <c r="O302" s="2"/>
      <c r="P302" s="2"/>
      <c r="Q302" s="2"/>
      <c r="R302" s="2"/>
      <c r="S302" s="2"/>
      <c r="T302" s="2" t="s">
        <v>5952</v>
      </c>
      <c r="U302" s="2" t="s">
        <v>5953</v>
      </c>
      <c r="V302" s="2" t="s">
        <v>5954</v>
      </c>
      <c r="W302" s="2" t="s">
        <v>5955</v>
      </c>
      <c r="X302" s="2" t="s">
        <v>5956</v>
      </c>
      <c r="Y302" s="2" t="s">
        <v>5957</v>
      </c>
      <c r="Z302" s="2" t="s">
        <v>5958</v>
      </c>
      <c r="AA302" s="2" t="s">
        <v>5959</v>
      </c>
      <c r="AB302" s="2"/>
      <c r="AC302" s="2"/>
      <c r="AD302" s="2"/>
      <c r="AE302" s="2"/>
      <c r="AF302" s="2" t="s">
        <v>5960</v>
      </c>
      <c r="AG302" s="2">
        <v>19.0</v>
      </c>
      <c r="AH302" s="2">
        <v>2.0</v>
      </c>
      <c r="AI302" s="2">
        <v>3.0</v>
      </c>
      <c r="AJ302" s="2">
        <v>0.0</v>
      </c>
      <c r="AK302" s="2">
        <v>5.0</v>
      </c>
      <c r="AL302" s="2" t="s">
        <v>216</v>
      </c>
      <c r="AM302" s="2" t="s">
        <v>189</v>
      </c>
      <c r="AN302" s="2" t="s">
        <v>217</v>
      </c>
      <c r="AO302" s="2" t="s">
        <v>5961</v>
      </c>
      <c r="AP302" s="2" t="s">
        <v>5962</v>
      </c>
      <c r="AQ302" s="2"/>
      <c r="AR302" s="2" t="s">
        <v>5963</v>
      </c>
      <c r="AS302" s="2" t="s">
        <v>5964</v>
      </c>
      <c r="AT302" s="2" t="s">
        <v>1073</v>
      </c>
      <c r="AU302" s="2">
        <v>2002.0</v>
      </c>
      <c r="AV302" s="2">
        <v>28.0</v>
      </c>
      <c r="AW302" s="2">
        <v>4.0</v>
      </c>
      <c r="AX302" s="2"/>
      <c r="AY302" s="2"/>
      <c r="AZ302" s="2"/>
      <c r="BA302" s="2"/>
      <c r="BB302" s="2">
        <v>547.0</v>
      </c>
      <c r="BC302" s="2">
        <v>554.0</v>
      </c>
      <c r="BD302" s="2" t="s">
        <v>5965</v>
      </c>
      <c r="BE302" s="2" t="s">
        <v>5966</v>
      </c>
      <c r="BF302" s="3" t="str">
        <f>HYPERLINK("http://dx.doi.org/10.1016/S0098-3004(01)00059-0","http://dx.doi.org/10.1016/S0098-3004(01)00059-0")</f>
        <v>http://dx.doi.org/10.1016/S0098-3004(01)00059-0</v>
      </c>
      <c r="BG302" s="2"/>
      <c r="BH302" s="2"/>
      <c r="BI302" s="2">
        <v>8.0</v>
      </c>
      <c r="BJ302" s="2" t="s">
        <v>5967</v>
      </c>
      <c r="BK302" s="2" t="s">
        <v>226</v>
      </c>
      <c r="BL302" s="2" t="s">
        <v>5968</v>
      </c>
      <c r="BM302" s="2" t="s">
        <v>5969</v>
      </c>
      <c r="BN302" s="2"/>
      <c r="BO302" s="2"/>
      <c r="BP302" s="2"/>
      <c r="BQ302" s="2"/>
      <c r="BR302" s="2" t="s">
        <v>99</v>
      </c>
      <c r="BS302" s="2" t="s">
        <v>5970</v>
      </c>
      <c r="BT302" s="2" t="str">
        <f>HYPERLINK("https%3A%2F%2Fwww.webofscience.com%2Fwos%2Fwoscc%2Ffull-record%2FWOS:000176031500011","View Full Record in Web of Science")</f>
        <v>View Full Record in Web of Science</v>
      </c>
    </row>
    <row r="303" ht="64.5" customHeight="1">
      <c r="A303" s="2" t="s">
        <v>72</v>
      </c>
      <c r="B303" s="2" t="s">
        <v>5971</v>
      </c>
      <c r="C303" s="2"/>
      <c r="D303" s="2"/>
      <c r="E303" s="2"/>
      <c r="F303" s="2" t="s">
        <v>5972</v>
      </c>
      <c r="G303" s="2"/>
      <c r="H303" s="2"/>
      <c r="I303" s="2" t="s">
        <v>5973</v>
      </c>
      <c r="J303" s="2" t="s">
        <v>5974</v>
      </c>
      <c r="K303" s="2"/>
      <c r="L303" s="2"/>
      <c r="M303" s="2" t="s">
        <v>116</v>
      </c>
      <c r="N303" s="2" t="s">
        <v>78</v>
      </c>
      <c r="O303" s="2"/>
      <c r="P303" s="2"/>
      <c r="Q303" s="2"/>
      <c r="R303" s="2"/>
      <c r="S303" s="2"/>
      <c r="T303" s="2" t="s">
        <v>5975</v>
      </c>
      <c r="U303" s="2" t="s">
        <v>5976</v>
      </c>
      <c r="V303" s="2" t="s">
        <v>5977</v>
      </c>
      <c r="W303" s="2" t="s">
        <v>5978</v>
      </c>
      <c r="X303" s="2" t="s">
        <v>5979</v>
      </c>
      <c r="Y303" s="2" t="s">
        <v>5980</v>
      </c>
      <c r="Z303" s="2" t="s">
        <v>5131</v>
      </c>
      <c r="AA303" s="2" t="s">
        <v>5132</v>
      </c>
      <c r="AB303" s="2" t="s">
        <v>5981</v>
      </c>
      <c r="AC303" s="2" t="s">
        <v>5982</v>
      </c>
      <c r="AD303" s="2" t="s">
        <v>5983</v>
      </c>
      <c r="AE303" s="2" t="s">
        <v>5984</v>
      </c>
      <c r="AF303" s="2" t="s">
        <v>5985</v>
      </c>
      <c r="AG303" s="2">
        <v>68.0</v>
      </c>
      <c r="AH303" s="2">
        <v>65.0</v>
      </c>
      <c r="AI303" s="2">
        <v>71.0</v>
      </c>
      <c r="AJ303" s="2">
        <v>5.0</v>
      </c>
      <c r="AK303" s="2">
        <v>81.0</v>
      </c>
      <c r="AL303" s="2" t="s">
        <v>3440</v>
      </c>
      <c r="AM303" s="2" t="s">
        <v>3441</v>
      </c>
      <c r="AN303" s="2" t="s">
        <v>3442</v>
      </c>
      <c r="AO303" s="2" t="s">
        <v>5986</v>
      </c>
      <c r="AP303" s="2" t="s">
        <v>5987</v>
      </c>
      <c r="AQ303" s="2"/>
      <c r="AR303" s="2" t="s">
        <v>5988</v>
      </c>
      <c r="AS303" s="2" t="s">
        <v>5989</v>
      </c>
      <c r="AT303" s="2" t="s">
        <v>222</v>
      </c>
      <c r="AU303" s="2">
        <v>2017.0</v>
      </c>
      <c r="AV303" s="2">
        <v>94.0</v>
      </c>
      <c r="AW303" s="2">
        <v>8.0</v>
      </c>
      <c r="AX303" s="2"/>
      <c r="AY303" s="2"/>
      <c r="AZ303" s="2"/>
      <c r="BA303" s="2"/>
      <c r="BB303" s="2">
        <v>1027.0</v>
      </c>
      <c r="BC303" s="2">
        <v>1035.0</v>
      </c>
      <c r="BD303" s="2"/>
      <c r="BE303" s="2" t="s">
        <v>5990</v>
      </c>
      <c r="BF303" s="3" t="str">
        <f>HYPERLINK("http://dx.doi.org/10.1021/acs.jchemed.6b01009","http://dx.doi.org/10.1021/acs.jchemed.6b01009")</f>
        <v>http://dx.doi.org/10.1021/acs.jchemed.6b01009</v>
      </c>
      <c r="BG303" s="2"/>
      <c r="BH303" s="2"/>
      <c r="BI303" s="2">
        <v>9.0</v>
      </c>
      <c r="BJ303" s="2" t="s">
        <v>5140</v>
      </c>
      <c r="BK303" s="2" t="s">
        <v>363</v>
      </c>
      <c r="BL303" s="2" t="s">
        <v>5141</v>
      </c>
      <c r="BM303" s="2" t="s">
        <v>5991</v>
      </c>
      <c r="BN303" s="2"/>
      <c r="BO303" s="2" t="s">
        <v>771</v>
      </c>
      <c r="BP303" s="2"/>
      <c r="BQ303" s="2"/>
      <c r="BR303" s="2" t="s">
        <v>99</v>
      </c>
      <c r="BS303" s="2" t="s">
        <v>5992</v>
      </c>
      <c r="BT303" s="2" t="str">
        <f>HYPERLINK("https%3A%2F%2Fwww.webofscience.com%2Fwos%2Fwoscc%2Ffull-record%2FWOS:000408187500008","View Full Record in Web of Science")</f>
        <v>View Full Record in Web of Science</v>
      </c>
    </row>
    <row r="304" ht="64.5" customHeight="1">
      <c r="A304" s="2" t="s">
        <v>72</v>
      </c>
      <c r="B304" s="2" t="s">
        <v>5949</v>
      </c>
      <c r="C304" s="2"/>
      <c r="D304" s="2"/>
      <c r="E304" s="2"/>
      <c r="F304" s="2" t="s">
        <v>5949</v>
      </c>
      <c r="G304" s="2"/>
      <c r="H304" s="2"/>
      <c r="I304" s="2" t="s">
        <v>5993</v>
      </c>
      <c r="J304" s="2" t="s">
        <v>5951</v>
      </c>
      <c r="K304" s="2"/>
      <c r="L304" s="2"/>
      <c r="M304" s="2" t="s">
        <v>116</v>
      </c>
      <c r="N304" s="2" t="s">
        <v>78</v>
      </c>
      <c r="O304" s="2"/>
      <c r="P304" s="2"/>
      <c r="Q304" s="2"/>
      <c r="R304" s="2"/>
      <c r="S304" s="2"/>
      <c r="T304" s="2" t="s">
        <v>5952</v>
      </c>
      <c r="U304" s="2" t="s">
        <v>5994</v>
      </c>
      <c r="V304" s="2" t="s">
        <v>5995</v>
      </c>
      <c r="W304" s="2" t="s">
        <v>5955</v>
      </c>
      <c r="X304" s="2" t="s">
        <v>5956</v>
      </c>
      <c r="Y304" s="2" t="s">
        <v>5996</v>
      </c>
      <c r="Z304" s="2"/>
      <c r="AA304" s="2" t="s">
        <v>5959</v>
      </c>
      <c r="AB304" s="2"/>
      <c r="AC304" s="2"/>
      <c r="AD304" s="2"/>
      <c r="AE304" s="2"/>
      <c r="AF304" s="2" t="s">
        <v>5997</v>
      </c>
      <c r="AG304" s="2">
        <v>33.0</v>
      </c>
      <c r="AH304" s="2">
        <v>6.0</v>
      </c>
      <c r="AI304" s="2">
        <v>10.0</v>
      </c>
      <c r="AJ304" s="2">
        <v>0.0</v>
      </c>
      <c r="AK304" s="2">
        <v>5.0</v>
      </c>
      <c r="AL304" s="2" t="s">
        <v>216</v>
      </c>
      <c r="AM304" s="2" t="s">
        <v>189</v>
      </c>
      <c r="AN304" s="2" t="s">
        <v>217</v>
      </c>
      <c r="AO304" s="2" t="s">
        <v>5961</v>
      </c>
      <c r="AP304" s="2"/>
      <c r="AQ304" s="2"/>
      <c r="AR304" s="2" t="s">
        <v>5963</v>
      </c>
      <c r="AS304" s="2" t="s">
        <v>5964</v>
      </c>
      <c r="AT304" s="2" t="s">
        <v>1073</v>
      </c>
      <c r="AU304" s="2">
        <v>2002.0</v>
      </c>
      <c r="AV304" s="2">
        <v>28.0</v>
      </c>
      <c r="AW304" s="2">
        <v>4.0</v>
      </c>
      <c r="AX304" s="2"/>
      <c r="AY304" s="2"/>
      <c r="AZ304" s="2"/>
      <c r="BA304" s="2"/>
      <c r="BB304" s="2">
        <v>537.0</v>
      </c>
      <c r="BC304" s="2">
        <v>546.0</v>
      </c>
      <c r="BD304" s="2" t="s">
        <v>5998</v>
      </c>
      <c r="BE304" s="2" t="s">
        <v>5999</v>
      </c>
      <c r="BF304" s="3" t="str">
        <f>HYPERLINK("http://dx.doi.org/10.1016/S0098-3004(01)00058-9","http://dx.doi.org/10.1016/S0098-3004(01)00058-9")</f>
        <v>http://dx.doi.org/10.1016/S0098-3004(01)00058-9</v>
      </c>
      <c r="BG304" s="2"/>
      <c r="BH304" s="2"/>
      <c r="BI304" s="2">
        <v>10.0</v>
      </c>
      <c r="BJ304" s="2" t="s">
        <v>5967</v>
      </c>
      <c r="BK304" s="2" t="s">
        <v>363</v>
      </c>
      <c r="BL304" s="2" t="s">
        <v>5968</v>
      </c>
      <c r="BM304" s="2" t="s">
        <v>5969</v>
      </c>
      <c r="BN304" s="2"/>
      <c r="BO304" s="2"/>
      <c r="BP304" s="2"/>
      <c r="BQ304" s="2"/>
      <c r="BR304" s="2" t="s">
        <v>99</v>
      </c>
      <c r="BS304" s="2" t="s">
        <v>6000</v>
      </c>
      <c r="BT304" s="2" t="str">
        <f>HYPERLINK("https%3A%2F%2Fwww.webofscience.com%2Fwos%2Fwoscc%2Ffull-record%2FWOS:000176031500010","View Full Record in Web of Science")</f>
        <v>View Full Record in Web of Science</v>
      </c>
    </row>
    <row r="305" ht="64.5" customHeight="1">
      <c r="A305" s="2" t="s">
        <v>72</v>
      </c>
      <c r="B305" s="2" t="s">
        <v>6001</v>
      </c>
      <c r="C305" s="2"/>
      <c r="D305" s="2"/>
      <c r="E305" s="2"/>
      <c r="F305" s="2" t="s">
        <v>6002</v>
      </c>
      <c r="G305" s="2"/>
      <c r="H305" s="2"/>
      <c r="I305" s="2" t="s">
        <v>6003</v>
      </c>
      <c r="J305" s="2" t="s">
        <v>671</v>
      </c>
      <c r="K305" s="2"/>
      <c r="L305" s="2"/>
      <c r="M305" s="2" t="s">
        <v>116</v>
      </c>
      <c r="N305" s="2" t="s">
        <v>78</v>
      </c>
      <c r="O305" s="2"/>
      <c r="P305" s="2"/>
      <c r="Q305" s="2"/>
      <c r="R305" s="2"/>
      <c r="S305" s="2"/>
      <c r="T305" s="2" t="s">
        <v>6004</v>
      </c>
      <c r="U305" s="2" t="s">
        <v>6005</v>
      </c>
      <c r="V305" s="2" t="s">
        <v>6006</v>
      </c>
      <c r="W305" s="2" t="s">
        <v>6007</v>
      </c>
      <c r="X305" s="2" t="s">
        <v>6008</v>
      </c>
      <c r="Y305" s="2" t="s">
        <v>6009</v>
      </c>
      <c r="Z305" s="2"/>
      <c r="AA305" s="2"/>
      <c r="AB305" s="2"/>
      <c r="AC305" s="2"/>
      <c r="AD305" s="2"/>
      <c r="AE305" s="2"/>
      <c r="AF305" s="2" t="s">
        <v>6010</v>
      </c>
      <c r="AG305" s="2">
        <v>32.0</v>
      </c>
      <c r="AH305" s="2">
        <v>10.0</v>
      </c>
      <c r="AI305" s="2">
        <v>12.0</v>
      </c>
      <c r="AJ305" s="2">
        <v>1.0</v>
      </c>
      <c r="AK305" s="2">
        <v>43.0</v>
      </c>
      <c r="AL305" s="2" t="s">
        <v>1329</v>
      </c>
      <c r="AM305" s="2" t="s">
        <v>157</v>
      </c>
      <c r="AN305" s="2" t="s">
        <v>1330</v>
      </c>
      <c r="AO305" s="2" t="s">
        <v>681</v>
      </c>
      <c r="AP305" s="2" t="s">
        <v>1331</v>
      </c>
      <c r="AQ305" s="2"/>
      <c r="AR305" s="2" t="s">
        <v>682</v>
      </c>
      <c r="AS305" s="2" t="s">
        <v>683</v>
      </c>
      <c r="AT305" s="2" t="s">
        <v>684</v>
      </c>
      <c r="AU305" s="2">
        <v>2008.0</v>
      </c>
      <c r="AV305" s="2">
        <v>29.0</v>
      </c>
      <c r="AW305" s="2">
        <v>6.0</v>
      </c>
      <c r="AX305" s="2"/>
      <c r="AY305" s="2"/>
      <c r="AZ305" s="2"/>
      <c r="BA305" s="2"/>
      <c r="BB305" s="2">
        <v>545.0</v>
      </c>
      <c r="BC305" s="2">
        <v>560.0</v>
      </c>
      <c r="BD305" s="2"/>
      <c r="BE305" s="2" t="s">
        <v>6011</v>
      </c>
      <c r="BF305" s="3" t="str">
        <f>HYPERLINK("http://dx.doi.org/10.2747/0272-3646.29.6.545","http://dx.doi.org/10.2747/0272-3646.29.6.545")</f>
        <v>http://dx.doi.org/10.2747/0272-3646.29.6.545</v>
      </c>
      <c r="BG305" s="2"/>
      <c r="BH305" s="2"/>
      <c r="BI305" s="2">
        <v>16.0</v>
      </c>
      <c r="BJ305" s="2" t="s">
        <v>686</v>
      </c>
      <c r="BK305" s="2" t="s">
        <v>363</v>
      </c>
      <c r="BL305" s="2" t="s">
        <v>687</v>
      </c>
      <c r="BM305" s="2" t="s">
        <v>688</v>
      </c>
      <c r="BN305" s="2"/>
      <c r="BO305" s="2"/>
      <c r="BP305" s="2"/>
      <c r="BQ305" s="2"/>
      <c r="BR305" s="2" t="s">
        <v>99</v>
      </c>
      <c r="BS305" s="2" t="s">
        <v>6012</v>
      </c>
      <c r="BT305" s="2" t="str">
        <f>HYPERLINK("https%3A%2F%2Fwww.webofscience.com%2Fwos%2Fwoscc%2Ffull-record%2FWOS:000264488400006","View Full Record in Web of Science")</f>
        <v>View Full Record in Web of Science</v>
      </c>
    </row>
    <row r="306" ht="64.5" customHeight="1">
      <c r="A306" s="2" t="s">
        <v>72</v>
      </c>
      <c r="B306" s="2" t="s">
        <v>6013</v>
      </c>
      <c r="C306" s="2"/>
      <c r="D306" s="2"/>
      <c r="E306" s="2"/>
      <c r="F306" s="2" t="s">
        <v>6014</v>
      </c>
      <c r="G306" s="2"/>
      <c r="H306" s="2"/>
      <c r="I306" s="2" t="s">
        <v>6015</v>
      </c>
      <c r="J306" s="2" t="s">
        <v>3537</v>
      </c>
      <c r="K306" s="2"/>
      <c r="L306" s="2"/>
      <c r="M306" s="2" t="s">
        <v>116</v>
      </c>
      <c r="N306" s="2" t="s">
        <v>52</v>
      </c>
      <c r="O306" s="2" t="s">
        <v>6016</v>
      </c>
      <c r="P306" s="2" t="s">
        <v>6017</v>
      </c>
      <c r="Q306" s="2" t="s">
        <v>3193</v>
      </c>
      <c r="R306" s="2"/>
      <c r="S306" s="2"/>
      <c r="T306" s="4" t="s">
        <v>121</v>
      </c>
      <c r="U306" s="2"/>
      <c r="V306" s="2"/>
      <c r="W306" s="2" t="s">
        <v>6018</v>
      </c>
      <c r="X306" s="2" t="s">
        <v>3543</v>
      </c>
      <c r="Y306" s="2"/>
      <c r="Z306" s="2" t="s">
        <v>6019</v>
      </c>
      <c r="AA306" s="2"/>
      <c r="AB306" s="2"/>
      <c r="AC306" s="2"/>
      <c r="AD306" s="2"/>
      <c r="AE306" s="2"/>
      <c r="AF306" s="2"/>
      <c r="AG306" s="2">
        <v>0.0</v>
      </c>
      <c r="AH306" s="2">
        <v>0.0</v>
      </c>
      <c r="AI306" s="2">
        <v>0.0</v>
      </c>
      <c r="AJ306" s="2">
        <v>0.0</v>
      </c>
      <c r="AK306" s="2">
        <v>4.0</v>
      </c>
      <c r="AL306" s="2" t="s">
        <v>3551</v>
      </c>
      <c r="AM306" s="2" t="s">
        <v>3552</v>
      </c>
      <c r="AN306" s="2" t="s">
        <v>3553</v>
      </c>
      <c r="AO306" s="2" t="s">
        <v>3554</v>
      </c>
      <c r="AP306" s="2" t="s">
        <v>3555</v>
      </c>
      <c r="AQ306" s="2"/>
      <c r="AR306" s="2" t="s">
        <v>3556</v>
      </c>
      <c r="AS306" s="2" t="s">
        <v>3557</v>
      </c>
      <c r="AT306" s="2" t="s">
        <v>358</v>
      </c>
      <c r="AU306" s="2">
        <v>2021.0</v>
      </c>
      <c r="AV306" s="2">
        <v>61.0</v>
      </c>
      <c r="AW306" s="2"/>
      <c r="AX306" s="2"/>
      <c r="AY306" s="2">
        <v>1.0</v>
      </c>
      <c r="AZ306" s="2"/>
      <c r="BA306" s="2" t="s">
        <v>6020</v>
      </c>
      <c r="BB306" s="2" t="s">
        <v>6021</v>
      </c>
      <c r="BC306" s="2" t="s">
        <v>6022</v>
      </c>
      <c r="BD306" s="2"/>
      <c r="BE306" s="2"/>
      <c r="BF306" s="2"/>
      <c r="BG306" s="2"/>
      <c r="BH306" s="2"/>
      <c r="BI306" s="2">
        <v>2.0</v>
      </c>
      <c r="BJ306" s="2" t="s">
        <v>3560</v>
      </c>
      <c r="BK306" s="2" t="s">
        <v>2701</v>
      </c>
      <c r="BL306" s="2" t="s">
        <v>3560</v>
      </c>
      <c r="BM306" s="2" t="s">
        <v>6023</v>
      </c>
      <c r="BN306" s="2"/>
      <c r="BO306" s="2"/>
      <c r="BP306" s="2"/>
      <c r="BQ306" s="2"/>
      <c r="BR306" s="2" t="s">
        <v>99</v>
      </c>
      <c r="BS306" s="2" t="s">
        <v>6024</v>
      </c>
      <c r="BT306" s="2" t="str">
        <f>HYPERLINK("https%3A%2F%2Fwww.webofscience.com%2Fwos%2Fwoscc%2Ffull-record%2FWOS:000651814700177","View Full Record in Web of Science")</f>
        <v>View Full Record in Web of Science</v>
      </c>
    </row>
    <row r="307" ht="64.5" customHeight="1">
      <c r="A307" s="2" t="s">
        <v>72</v>
      </c>
      <c r="B307" s="2" t="s">
        <v>6025</v>
      </c>
      <c r="C307" s="2"/>
      <c r="D307" s="2"/>
      <c r="E307" s="2"/>
      <c r="F307" s="2" t="s">
        <v>6026</v>
      </c>
      <c r="G307" s="2"/>
      <c r="H307" s="2"/>
      <c r="I307" s="2" t="s">
        <v>6027</v>
      </c>
      <c r="J307" s="2" t="s">
        <v>6028</v>
      </c>
      <c r="K307" s="2"/>
      <c r="L307" s="2"/>
      <c r="M307" s="2" t="s">
        <v>116</v>
      </c>
      <c r="N307" s="2" t="s">
        <v>78</v>
      </c>
      <c r="O307" s="2"/>
      <c r="P307" s="2"/>
      <c r="Q307" s="2"/>
      <c r="R307" s="2"/>
      <c r="S307" s="2"/>
      <c r="T307" s="2" t="s">
        <v>6029</v>
      </c>
      <c r="U307" s="2" t="s">
        <v>6030</v>
      </c>
      <c r="V307" s="2" t="s">
        <v>6031</v>
      </c>
      <c r="W307" s="2" t="s">
        <v>6032</v>
      </c>
      <c r="X307" s="2" t="s">
        <v>6033</v>
      </c>
      <c r="Y307" s="2" t="s">
        <v>6034</v>
      </c>
      <c r="Z307" s="2" t="s">
        <v>6035</v>
      </c>
      <c r="AA307" s="2" t="s">
        <v>6036</v>
      </c>
      <c r="AB307" s="2" t="s">
        <v>6037</v>
      </c>
      <c r="AC307" s="2" t="s">
        <v>6038</v>
      </c>
      <c r="AD307" s="2" t="s">
        <v>6039</v>
      </c>
      <c r="AE307" s="2" t="s">
        <v>6040</v>
      </c>
      <c r="AF307" s="2"/>
      <c r="AG307" s="2">
        <v>0.0</v>
      </c>
      <c r="AH307" s="2">
        <v>15.0</v>
      </c>
      <c r="AI307" s="2">
        <v>15.0</v>
      </c>
      <c r="AJ307" s="2">
        <v>3.0</v>
      </c>
      <c r="AK307" s="2">
        <v>34.0</v>
      </c>
      <c r="AL307" s="2" t="s">
        <v>351</v>
      </c>
      <c r="AM307" s="2" t="s">
        <v>352</v>
      </c>
      <c r="AN307" s="2" t="s">
        <v>353</v>
      </c>
      <c r="AO307" s="2" t="s">
        <v>6041</v>
      </c>
      <c r="AP307" s="2" t="s">
        <v>6042</v>
      </c>
      <c r="AQ307" s="2"/>
      <c r="AR307" s="2" t="s">
        <v>6043</v>
      </c>
      <c r="AS307" s="2" t="s">
        <v>6044</v>
      </c>
      <c r="AT307" s="2" t="s">
        <v>358</v>
      </c>
      <c r="AU307" s="2">
        <v>2018.0</v>
      </c>
      <c r="AV307" s="2">
        <v>28.0</v>
      </c>
      <c r="AW307" s="2">
        <v>1.0</v>
      </c>
      <c r="AX307" s="2"/>
      <c r="AY307" s="2"/>
      <c r="AZ307" s="2"/>
      <c r="BA307" s="2"/>
      <c r="BB307" s="2">
        <v>1.0</v>
      </c>
      <c r="BC307" s="2">
        <v>34.0</v>
      </c>
      <c r="BD307" s="2"/>
      <c r="BE307" s="2" t="s">
        <v>6045</v>
      </c>
      <c r="BF307" s="3" t="str">
        <f>HYPERLINK("http://dx.doi.org/10.1007/s11257-017-9199-9","http://dx.doi.org/10.1007/s11257-017-9199-9")</f>
        <v>http://dx.doi.org/10.1007/s11257-017-9199-9</v>
      </c>
      <c r="BG307" s="2"/>
      <c r="BH307" s="2"/>
      <c r="BI307" s="2">
        <v>34.0</v>
      </c>
      <c r="BJ307" s="2" t="s">
        <v>6046</v>
      </c>
      <c r="BK307" s="2" t="s">
        <v>363</v>
      </c>
      <c r="BL307" s="2" t="s">
        <v>1402</v>
      </c>
      <c r="BM307" s="2" t="s">
        <v>6047</v>
      </c>
      <c r="BN307" s="2">
        <v>3.1404194E7</v>
      </c>
      <c r="BO307" s="2" t="s">
        <v>2046</v>
      </c>
      <c r="BP307" s="2"/>
      <c r="BQ307" s="2"/>
      <c r="BR307" s="2" t="s">
        <v>99</v>
      </c>
      <c r="BS307" s="2" t="s">
        <v>6048</v>
      </c>
      <c r="BT307" s="2" t="str">
        <f>HYPERLINK("https%3A%2F%2Fwww.webofscience.com%2Fwos%2Fwoscc%2Ffull-record%2FWOS:000426725600001","View Full Record in Web of Science")</f>
        <v>View Full Record in Web of Science</v>
      </c>
    </row>
    <row r="308" ht="64.5" customHeight="1">
      <c r="A308" s="2" t="s">
        <v>72</v>
      </c>
      <c r="B308" s="2" t="s">
        <v>6049</v>
      </c>
      <c r="C308" s="2"/>
      <c r="D308" s="2"/>
      <c r="E308" s="2"/>
      <c r="F308" s="2" t="s">
        <v>6050</v>
      </c>
      <c r="G308" s="2"/>
      <c r="H308" s="2"/>
      <c r="I308" s="2" t="s">
        <v>6051</v>
      </c>
      <c r="J308" s="2" t="s">
        <v>142</v>
      </c>
      <c r="K308" s="2"/>
      <c r="L308" s="2"/>
      <c r="M308" s="2" t="s">
        <v>116</v>
      </c>
      <c r="N308" s="2" t="s">
        <v>78</v>
      </c>
      <c r="O308" s="2"/>
      <c r="P308" s="2"/>
      <c r="Q308" s="2"/>
      <c r="R308" s="2"/>
      <c r="S308" s="2"/>
      <c r="T308" s="2" t="s">
        <v>6052</v>
      </c>
      <c r="U308" s="2" t="s">
        <v>6053</v>
      </c>
      <c r="V308" s="2" t="s">
        <v>6054</v>
      </c>
      <c r="W308" s="2" t="s">
        <v>6055</v>
      </c>
      <c r="X308" s="2" t="s">
        <v>6056</v>
      </c>
      <c r="Y308" s="2" t="s">
        <v>6057</v>
      </c>
      <c r="Z308" s="2" t="s">
        <v>3136</v>
      </c>
      <c r="AA308" s="2"/>
      <c r="AB308" s="2" t="s">
        <v>6058</v>
      </c>
      <c r="AC308" s="2" t="s">
        <v>3138</v>
      </c>
      <c r="AD308" s="2" t="s">
        <v>3139</v>
      </c>
      <c r="AE308" s="2" t="s">
        <v>6059</v>
      </c>
      <c r="AF308" s="2" t="s">
        <v>6060</v>
      </c>
      <c r="AG308" s="2">
        <v>93.0</v>
      </c>
      <c r="AH308" s="2">
        <v>1.0</v>
      </c>
      <c r="AI308" s="2">
        <v>1.0</v>
      </c>
      <c r="AJ308" s="2">
        <v>1.0</v>
      </c>
      <c r="AK308" s="2">
        <v>9.0</v>
      </c>
      <c r="AL308" s="2" t="s">
        <v>156</v>
      </c>
      <c r="AM308" s="2" t="s">
        <v>157</v>
      </c>
      <c r="AN308" s="2" t="s">
        <v>158</v>
      </c>
      <c r="AO308" s="2" t="s">
        <v>159</v>
      </c>
      <c r="AP308" s="2" t="s">
        <v>160</v>
      </c>
      <c r="AQ308" s="2"/>
      <c r="AR308" s="2" t="s">
        <v>161</v>
      </c>
      <c r="AS308" s="2" t="s">
        <v>162</v>
      </c>
      <c r="AT308" s="2" t="s">
        <v>6061</v>
      </c>
      <c r="AU308" s="2">
        <v>2022.0</v>
      </c>
      <c r="AV308" s="2">
        <v>28.0</v>
      </c>
      <c r="AW308" s="2">
        <v>8.0</v>
      </c>
      <c r="AX308" s="2"/>
      <c r="AY308" s="2"/>
      <c r="AZ308" s="2"/>
      <c r="BA308" s="2"/>
      <c r="BB308" s="2">
        <v>1175.0</v>
      </c>
      <c r="BC308" s="2">
        <v>1190.0</v>
      </c>
      <c r="BD308" s="2"/>
      <c r="BE308" s="2" t="s">
        <v>6062</v>
      </c>
      <c r="BF308" s="3" t="str">
        <f>HYPERLINK("http://dx.doi.org/10.1080/13504622.2022.2069682","http://dx.doi.org/10.1080/13504622.2022.2069682")</f>
        <v>http://dx.doi.org/10.1080/13504622.2022.2069682</v>
      </c>
      <c r="BG308" s="2"/>
      <c r="BH308" s="2" t="s">
        <v>4193</v>
      </c>
      <c r="BI308" s="2">
        <v>16.0</v>
      </c>
      <c r="BJ308" s="2" t="s">
        <v>165</v>
      </c>
      <c r="BK308" s="2" t="s">
        <v>166</v>
      </c>
      <c r="BL308" s="2" t="s">
        <v>167</v>
      </c>
      <c r="BM308" s="2" t="s">
        <v>6063</v>
      </c>
      <c r="BN308" s="2"/>
      <c r="BO308" s="2"/>
      <c r="BP308" s="2"/>
      <c r="BQ308" s="2"/>
      <c r="BR308" s="2" t="s">
        <v>99</v>
      </c>
      <c r="BS308" s="2" t="s">
        <v>6064</v>
      </c>
      <c r="BT308" s="2" t="str">
        <f>HYPERLINK("https%3A%2F%2Fwww.webofscience.com%2Fwos%2Fwoscc%2Ffull-record%2FWOS:000788878900001","View Full Record in Web of Science")</f>
        <v>View Full Record in Web of Science</v>
      </c>
    </row>
    <row r="309" ht="64.5" customHeight="1">
      <c r="A309" s="2" t="s">
        <v>72</v>
      </c>
      <c r="B309" s="2" t="s">
        <v>6065</v>
      </c>
      <c r="C309" s="2"/>
      <c r="D309" s="2"/>
      <c r="E309" s="2"/>
      <c r="F309" s="2" t="s">
        <v>6066</v>
      </c>
      <c r="G309" s="2"/>
      <c r="H309" s="2"/>
      <c r="I309" s="2" t="s">
        <v>6067</v>
      </c>
      <c r="J309" s="2" t="s">
        <v>6068</v>
      </c>
      <c r="K309" s="2"/>
      <c r="L309" s="2"/>
      <c r="M309" s="2" t="s">
        <v>116</v>
      </c>
      <c r="N309" s="2" t="s">
        <v>643</v>
      </c>
      <c r="O309" s="2"/>
      <c r="P309" s="2"/>
      <c r="Q309" s="2"/>
      <c r="R309" s="2"/>
      <c r="S309" s="2"/>
      <c r="T309" s="4" t="s">
        <v>121</v>
      </c>
      <c r="U309" s="2" t="s">
        <v>6069</v>
      </c>
      <c r="V309" s="2" t="s">
        <v>6070</v>
      </c>
      <c r="W309" s="2" t="s">
        <v>6071</v>
      </c>
      <c r="X309" s="2" t="s">
        <v>6072</v>
      </c>
      <c r="Y309" s="2" t="s">
        <v>6073</v>
      </c>
      <c r="Z309" s="2" t="s">
        <v>6074</v>
      </c>
      <c r="AA309" s="2"/>
      <c r="AB309" s="2" t="s">
        <v>6075</v>
      </c>
      <c r="AC309" s="2" t="s">
        <v>6076</v>
      </c>
      <c r="AD309" s="2" t="s">
        <v>6077</v>
      </c>
      <c r="AE309" s="2" t="s">
        <v>6078</v>
      </c>
      <c r="AF309" s="2" t="s">
        <v>6079</v>
      </c>
      <c r="AG309" s="2">
        <v>38.0</v>
      </c>
      <c r="AH309" s="2">
        <v>21.0</v>
      </c>
      <c r="AI309" s="2">
        <v>21.0</v>
      </c>
      <c r="AJ309" s="2">
        <v>4.0</v>
      </c>
      <c r="AK309" s="2">
        <v>17.0</v>
      </c>
      <c r="AL309" s="2" t="s">
        <v>6080</v>
      </c>
      <c r="AM309" s="2" t="s">
        <v>6081</v>
      </c>
      <c r="AN309" s="2" t="s">
        <v>6082</v>
      </c>
      <c r="AO309" s="2" t="s">
        <v>6083</v>
      </c>
      <c r="AP309" s="2"/>
      <c r="AQ309" s="2"/>
      <c r="AR309" s="2" t="s">
        <v>6084</v>
      </c>
      <c r="AS309" s="2" t="s">
        <v>6085</v>
      </c>
      <c r="AT309" s="2" t="s">
        <v>844</v>
      </c>
      <c r="AU309" s="2">
        <v>2020.0</v>
      </c>
      <c r="AV309" s="2">
        <v>39.0</v>
      </c>
      <c r="AW309" s="2">
        <v>12.0</v>
      </c>
      <c r="AX309" s="2"/>
      <c r="AY309" s="2"/>
      <c r="AZ309" s="2"/>
      <c r="BA309" s="2"/>
      <c r="BB309" s="2">
        <v>2182.0</v>
      </c>
      <c r="BC309" s="2">
        <v>2188.0</v>
      </c>
      <c r="BD309" s="2"/>
      <c r="BE309" s="2" t="s">
        <v>6086</v>
      </c>
      <c r="BF309" s="3" t="str">
        <f>HYPERLINK("http://dx.doi.org/10.1377/hlthaff.2020.01116","http://dx.doi.org/10.1377/hlthaff.2020.01116")</f>
        <v>http://dx.doi.org/10.1377/hlthaff.2020.01116</v>
      </c>
      <c r="BG309" s="2"/>
      <c r="BH309" s="2"/>
      <c r="BI309" s="2">
        <v>7.0</v>
      </c>
      <c r="BJ309" s="2" t="s">
        <v>6087</v>
      </c>
      <c r="BK309" s="2" t="s">
        <v>363</v>
      </c>
      <c r="BL309" s="2" t="s">
        <v>6088</v>
      </c>
      <c r="BM309" s="2" t="s">
        <v>6089</v>
      </c>
      <c r="BN309" s="2">
        <v>3.3284692E7</v>
      </c>
      <c r="BO309" s="2" t="s">
        <v>457</v>
      </c>
      <c r="BP309" s="2"/>
      <c r="BQ309" s="2"/>
      <c r="BR309" s="2" t="s">
        <v>99</v>
      </c>
      <c r="BS309" s="2" t="s">
        <v>6090</v>
      </c>
      <c r="BT309" s="2" t="str">
        <f>HYPERLINK("https%3A%2F%2Fwww.webofscience.com%2Fwos%2Fwoscc%2Ffull-record%2FWOS:000596704700019","View Full Record in Web of Science")</f>
        <v>View Full Record in Web of Science</v>
      </c>
    </row>
    <row r="310" ht="64.5" customHeight="1">
      <c r="A310" s="2" t="s">
        <v>110</v>
      </c>
      <c r="B310" s="2" t="s">
        <v>6091</v>
      </c>
      <c r="C310" s="2"/>
      <c r="D310" s="2" t="s">
        <v>6092</v>
      </c>
      <c r="E310" s="2"/>
      <c r="F310" s="2" t="s">
        <v>6093</v>
      </c>
      <c r="G310" s="2"/>
      <c r="H310" s="2"/>
      <c r="I310" s="2" t="s">
        <v>6094</v>
      </c>
      <c r="J310" s="2" t="s">
        <v>6095</v>
      </c>
      <c r="K310" s="2" t="s">
        <v>6096</v>
      </c>
      <c r="L310" s="2"/>
      <c r="M310" s="2" t="s">
        <v>116</v>
      </c>
      <c r="N310" s="2" t="s">
        <v>117</v>
      </c>
      <c r="O310" s="2" t="s">
        <v>6097</v>
      </c>
      <c r="P310" s="2" t="s">
        <v>6098</v>
      </c>
      <c r="Q310" s="2" t="s">
        <v>6099</v>
      </c>
      <c r="R310" s="2"/>
      <c r="S310" s="2"/>
      <c r="T310" s="2" t="s">
        <v>6100</v>
      </c>
      <c r="U310" s="2"/>
      <c r="V310" s="2" t="s">
        <v>6101</v>
      </c>
      <c r="W310" s="2" t="s">
        <v>6102</v>
      </c>
      <c r="X310" s="2" t="s">
        <v>6103</v>
      </c>
      <c r="Y310" s="2" t="s">
        <v>6104</v>
      </c>
      <c r="Z310" s="2" t="s">
        <v>6105</v>
      </c>
      <c r="AA310" s="2"/>
      <c r="AB310" s="2"/>
      <c r="AC310" s="2" t="s">
        <v>6106</v>
      </c>
      <c r="AD310" s="2" t="s">
        <v>6107</v>
      </c>
      <c r="AE310" s="2" t="s">
        <v>6108</v>
      </c>
      <c r="AF310" s="2" t="s">
        <v>6109</v>
      </c>
      <c r="AG310" s="2">
        <v>8.0</v>
      </c>
      <c r="AH310" s="2">
        <v>6.0</v>
      </c>
      <c r="AI310" s="2">
        <v>6.0</v>
      </c>
      <c r="AJ310" s="2">
        <v>2.0</v>
      </c>
      <c r="AK310" s="2">
        <v>7.0</v>
      </c>
      <c r="AL310" s="2" t="s">
        <v>1044</v>
      </c>
      <c r="AM310" s="2" t="s">
        <v>1045</v>
      </c>
      <c r="AN310" s="2" t="s">
        <v>1046</v>
      </c>
      <c r="AO310" s="2" t="s">
        <v>6110</v>
      </c>
      <c r="AP310" s="2" t="s">
        <v>5730</v>
      </c>
      <c r="AQ310" s="2" t="s">
        <v>6111</v>
      </c>
      <c r="AR310" s="2" t="s">
        <v>6112</v>
      </c>
      <c r="AS310" s="2"/>
      <c r="AT310" s="2"/>
      <c r="AU310" s="2">
        <v>2019.0</v>
      </c>
      <c r="AV310" s="2">
        <v>11754.0</v>
      </c>
      <c r="AW310" s="2"/>
      <c r="AX310" s="2"/>
      <c r="AY310" s="2"/>
      <c r="AZ310" s="2"/>
      <c r="BA310" s="2"/>
      <c r="BB310" s="2">
        <v>629.0</v>
      </c>
      <c r="BC310" s="2">
        <v>638.0</v>
      </c>
      <c r="BD310" s="2"/>
      <c r="BE310" s="2" t="s">
        <v>6113</v>
      </c>
      <c r="BF310" s="3" t="str">
        <f>HYPERLINK("http://dx.doi.org/10.1007/978-3-030-34995-0_57","http://dx.doi.org/10.1007/978-3-030-34995-0_57")</f>
        <v>http://dx.doi.org/10.1007/978-3-030-34995-0_57</v>
      </c>
      <c r="BG310" s="2"/>
      <c r="BH310" s="2"/>
      <c r="BI310" s="2">
        <v>10.0</v>
      </c>
      <c r="BJ310" s="2" t="s">
        <v>6114</v>
      </c>
      <c r="BK310" s="2" t="s">
        <v>135</v>
      </c>
      <c r="BL310" s="2" t="s">
        <v>6115</v>
      </c>
      <c r="BM310" s="2" t="s">
        <v>6116</v>
      </c>
      <c r="BN310" s="2"/>
      <c r="BO310" s="2"/>
      <c r="BP310" s="2"/>
      <c r="BQ310" s="2"/>
      <c r="BR310" s="2" t="s">
        <v>99</v>
      </c>
      <c r="BS310" s="2" t="s">
        <v>6117</v>
      </c>
      <c r="BT310" s="2" t="str">
        <f>HYPERLINK("https%3A%2F%2Fwww.webofscience.com%2Fwos%2Fwoscc%2Ffull-record%2FWOS:000548737700057","View Full Record in Web of Science")</f>
        <v>View Full Record in Web of Science</v>
      </c>
    </row>
    <row r="311" ht="64.5" customHeight="1">
      <c r="A311" s="2" t="s">
        <v>72</v>
      </c>
      <c r="B311" s="2" t="s">
        <v>6118</v>
      </c>
      <c r="C311" s="2"/>
      <c r="D311" s="2"/>
      <c r="E311" s="2"/>
      <c r="F311" s="2" t="s">
        <v>6119</v>
      </c>
      <c r="G311" s="2"/>
      <c r="H311" s="2"/>
      <c r="I311" s="2" t="s">
        <v>6120</v>
      </c>
      <c r="J311" s="2" t="s">
        <v>6121</v>
      </c>
      <c r="K311" s="2"/>
      <c r="L311" s="2"/>
      <c r="M311" s="2" t="s">
        <v>116</v>
      </c>
      <c r="N311" s="2" t="s">
        <v>78</v>
      </c>
      <c r="O311" s="2"/>
      <c r="P311" s="2"/>
      <c r="Q311" s="2"/>
      <c r="R311" s="2"/>
      <c r="S311" s="2"/>
      <c r="T311" s="2" t="s">
        <v>6122</v>
      </c>
      <c r="U311" s="2" t="s">
        <v>6123</v>
      </c>
      <c r="V311" s="2" t="s">
        <v>6124</v>
      </c>
      <c r="W311" s="2" t="s">
        <v>6125</v>
      </c>
      <c r="X311" s="2" t="s">
        <v>6126</v>
      </c>
      <c r="Y311" s="2" t="s">
        <v>6127</v>
      </c>
      <c r="Z311" s="2" t="s">
        <v>6128</v>
      </c>
      <c r="AA311" s="2" t="s">
        <v>6129</v>
      </c>
      <c r="AB311" s="2" t="s">
        <v>6130</v>
      </c>
      <c r="AC311" s="2"/>
      <c r="AD311" s="2"/>
      <c r="AE311" s="2"/>
      <c r="AF311" s="2" t="s">
        <v>6131</v>
      </c>
      <c r="AG311" s="2">
        <v>94.0</v>
      </c>
      <c r="AH311" s="2">
        <v>20.0</v>
      </c>
      <c r="AI311" s="2">
        <v>20.0</v>
      </c>
      <c r="AJ311" s="2">
        <v>3.0</v>
      </c>
      <c r="AK311" s="2">
        <v>6.0</v>
      </c>
      <c r="AL311" s="2" t="s">
        <v>383</v>
      </c>
      <c r="AM311" s="2" t="s">
        <v>384</v>
      </c>
      <c r="AN311" s="2" t="s">
        <v>385</v>
      </c>
      <c r="AO311" s="2"/>
      <c r="AP311" s="2" t="s">
        <v>6132</v>
      </c>
      <c r="AQ311" s="2"/>
      <c r="AR311" s="2" t="s">
        <v>6133</v>
      </c>
      <c r="AS311" s="2" t="s">
        <v>6134</v>
      </c>
      <c r="AT311" s="2" t="s">
        <v>358</v>
      </c>
      <c r="AU311" s="2">
        <v>2023.0</v>
      </c>
      <c r="AV311" s="2">
        <v>7.0</v>
      </c>
      <c r="AW311" s="2">
        <v>1.0</v>
      </c>
      <c r="AX311" s="2"/>
      <c r="AY311" s="2"/>
      <c r="AZ311" s="2"/>
      <c r="BA311" s="2"/>
      <c r="BB311" s="2"/>
      <c r="BC311" s="2"/>
      <c r="BD311" s="2">
        <v>13.0</v>
      </c>
      <c r="BE311" s="2" t="s">
        <v>6135</v>
      </c>
      <c r="BF311" s="3" t="str">
        <f>HYPERLINK("http://dx.doi.org/10.3390/urbansci7010013","http://dx.doi.org/10.3390/urbansci7010013")</f>
        <v>http://dx.doi.org/10.3390/urbansci7010013</v>
      </c>
      <c r="BG311" s="2"/>
      <c r="BH311" s="2"/>
      <c r="BI311" s="2">
        <v>17.0</v>
      </c>
      <c r="BJ311" s="2" t="s">
        <v>6136</v>
      </c>
      <c r="BK311" s="2" t="s">
        <v>96</v>
      </c>
      <c r="BL311" s="2" t="s">
        <v>6137</v>
      </c>
      <c r="BM311" s="2" t="s">
        <v>6138</v>
      </c>
      <c r="BN311" s="2"/>
      <c r="BO311" s="2" t="s">
        <v>255</v>
      </c>
      <c r="BP311" s="2"/>
      <c r="BQ311" s="2"/>
      <c r="BR311" s="2" t="s">
        <v>99</v>
      </c>
      <c r="BS311" s="2" t="s">
        <v>6139</v>
      </c>
      <c r="BT311" s="2" t="str">
        <f>HYPERLINK("https%3A%2F%2Fwww.webofscience.com%2Fwos%2Fwoscc%2Ffull-record%2FWOS:000968610500001","View Full Record in Web of Science")</f>
        <v>View Full Record in Web of Science</v>
      </c>
    </row>
    <row r="312" ht="64.5" customHeight="1">
      <c r="A312" s="2" t="s">
        <v>110</v>
      </c>
      <c r="B312" s="2" t="s">
        <v>6140</v>
      </c>
      <c r="C312" s="2"/>
      <c r="D312" s="2"/>
      <c r="E312" s="2"/>
      <c r="F312" s="2" t="s">
        <v>6141</v>
      </c>
      <c r="G312" s="2"/>
      <c r="H312" s="2"/>
      <c r="I312" s="2" t="s">
        <v>6142</v>
      </c>
      <c r="J312" s="2" t="s">
        <v>114</v>
      </c>
      <c r="K312" s="2" t="s">
        <v>115</v>
      </c>
      <c r="L312" s="2"/>
      <c r="M312" s="2" t="s">
        <v>116</v>
      </c>
      <c r="N312" s="2" t="s">
        <v>117</v>
      </c>
      <c r="O312" s="2" t="s">
        <v>118</v>
      </c>
      <c r="P312" s="2" t="s">
        <v>119</v>
      </c>
      <c r="Q312" s="2" t="s">
        <v>120</v>
      </c>
      <c r="R312" s="2"/>
      <c r="S312" s="2"/>
      <c r="T312" s="4" t="s">
        <v>121</v>
      </c>
      <c r="U312" s="2"/>
      <c r="V312" s="2" t="s">
        <v>6143</v>
      </c>
      <c r="W312" s="2" t="s">
        <v>6144</v>
      </c>
      <c r="X312" s="2"/>
      <c r="Y312" s="2" t="s">
        <v>6145</v>
      </c>
      <c r="Z312" s="2"/>
      <c r="AA312" s="2" t="s">
        <v>6146</v>
      </c>
      <c r="AB312" s="2" t="s">
        <v>6147</v>
      </c>
      <c r="AC312" s="2"/>
      <c r="AD312" s="2"/>
      <c r="AE312" s="2"/>
      <c r="AF312" s="2" t="s">
        <v>6148</v>
      </c>
      <c r="AG312" s="2">
        <v>39.0</v>
      </c>
      <c r="AH312" s="2">
        <v>0.0</v>
      </c>
      <c r="AI312" s="2">
        <v>0.0</v>
      </c>
      <c r="AJ312" s="2">
        <v>0.0</v>
      </c>
      <c r="AK312" s="2">
        <v>2.0</v>
      </c>
      <c r="AL312" s="2" t="s">
        <v>129</v>
      </c>
      <c r="AM312" s="2" t="s">
        <v>130</v>
      </c>
      <c r="AN312" s="2" t="s">
        <v>131</v>
      </c>
      <c r="AO312" s="2" t="s">
        <v>132</v>
      </c>
      <c r="AP312" s="2"/>
      <c r="AQ312" s="2" t="s">
        <v>133</v>
      </c>
      <c r="AR312" s="2" t="s">
        <v>115</v>
      </c>
      <c r="AS312" s="2"/>
      <c r="AT312" s="2"/>
      <c r="AU312" s="2">
        <v>2005.0</v>
      </c>
      <c r="AV312" s="2"/>
      <c r="AW312" s="2"/>
      <c r="AX312" s="2"/>
      <c r="AY312" s="2"/>
      <c r="AZ312" s="2"/>
      <c r="BA312" s="2"/>
      <c r="BB312" s="2">
        <v>1395.0</v>
      </c>
      <c r="BC312" s="2">
        <v>1402.0</v>
      </c>
      <c r="BD312" s="2"/>
      <c r="BE312" s="2"/>
      <c r="BF312" s="2"/>
      <c r="BG312" s="2"/>
      <c r="BH312" s="2"/>
      <c r="BI312" s="2">
        <v>8.0</v>
      </c>
      <c r="BJ312" s="2" t="s">
        <v>134</v>
      </c>
      <c r="BK312" s="2" t="s">
        <v>135</v>
      </c>
      <c r="BL312" s="2" t="s">
        <v>136</v>
      </c>
      <c r="BM312" s="2" t="s">
        <v>137</v>
      </c>
      <c r="BN312" s="2"/>
      <c r="BO312" s="2"/>
      <c r="BP312" s="2"/>
      <c r="BQ312" s="2"/>
      <c r="BR312" s="2" t="s">
        <v>99</v>
      </c>
      <c r="BS312" s="2" t="s">
        <v>6149</v>
      </c>
      <c r="BT312" s="2" t="str">
        <f>HYPERLINK("https%3A%2F%2Fwww.webofscience.com%2Fwos%2Fwoscc%2Ffull-record%2FWOS:000238978701071","View Full Record in Web of Science")</f>
        <v>View Full Record in Web of Science</v>
      </c>
    </row>
    <row r="313" ht="64.5" customHeight="1">
      <c r="A313" s="2" t="s">
        <v>72</v>
      </c>
      <c r="B313" s="2" t="s">
        <v>6150</v>
      </c>
      <c r="C313" s="2"/>
      <c r="D313" s="2"/>
      <c r="E313" s="2"/>
      <c r="F313" s="2" t="s">
        <v>6151</v>
      </c>
      <c r="G313" s="2"/>
      <c r="H313" s="2"/>
      <c r="I313" s="2" t="s">
        <v>6152</v>
      </c>
      <c r="J313" s="2" t="s">
        <v>6153</v>
      </c>
      <c r="K313" s="2"/>
      <c r="L313" s="2"/>
      <c r="M313" s="2" t="s">
        <v>116</v>
      </c>
      <c r="N313" s="2" t="s">
        <v>78</v>
      </c>
      <c r="O313" s="2"/>
      <c r="P313" s="2"/>
      <c r="Q313" s="2"/>
      <c r="R313" s="2"/>
      <c r="S313" s="2"/>
      <c r="T313" s="2" t="s">
        <v>6154</v>
      </c>
      <c r="U313" s="2" t="s">
        <v>6155</v>
      </c>
      <c r="V313" s="2" t="s">
        <v>6156</v>
      </c>
      <c r="W313" s="2" t="s">
        <v>6157</v>
      </c>
      <c r="X313" s="2" t="s">
        <v>4902</v>
      </c>
      <c r="Y313" s="2" t="s">
        <v>6158</v>
      </c>
      <c r="Z313" s="2" t="s">
        <v>6159</v>
      </c>
      <c r="AA313" s="2"/>
      <c r="AB313" s="2"/>
      <c r="AC313" s="2"/>
      <c r="AD313" s="2"/>
      <c r="AE313" s="2"/>
      <c r="AF313" s="2" t="s">
        <v>6160</v>
      </c>
      <c r="AG313" s="2">
        <v>66.0</v>
      </c>
      <c r="AH313" s="2">
        <v>5.0</v>
      </c>
      <c r="AI313" s="2">
        <v>6.0</v>
      </c>
      <c r="AJ313" s="2">
        <v>2.0</v>
      </c>
      <c r="AK313" s="2">
        <v>5.0</v>
      </c>
      <c r="AL313" s="2" t="s">
        <v>156</v>
      </c>
      <c r="AM313" s="2" t="s">
        <v>157</v>
      </c>
      <c r="AN313" s="2" t="s">
        <v>158</v>
      </c>
      <c r="AO313" s="2" t="s">
        <v>6161</v>
      </c>
      <c r="AP313" s="2" t="s">
        <v>6162</v>
      </c>
      <c r="AQ313" s="2"/>
      <c r="AR313" s="2" t="s">
        <v>6163</v>
      </c>
      <c r="AS313" s="2" t="s">
        <v>6164</v>
      </c>
      <c r="AT313" s="2"/>
      <c r="AU313" s="2">
        <v>2021.0</v>
      </c>
      <c r="AV313" s="2">
        <v>60.0</v>
      </c>
      <c r="AW313" s="2">
        <v>4.0</v>
      </c>
      <c r="AX313" s="2"/>
      <c r="AY313" s="2"/>
      <c r="AZ313" s="2"/>
      <c r="BA313" s="2"/>
      <c r="BB313" s="2">
        <v>332.0</v>
      </c>
      <c r="BC313" s="2">
        <v>351.0</v>
      </c>
      <c r="BD313" s="2"/>
      <c r="BE313" s="2" t="s">
        <v>6165</v>
      </c>
      <c r="BF313" s="3" t="str">
        <f>HYPERLINK("http://dx.doi.org/10.1080/19388071.2020.1854906","http://dx.doi.org/10.1080/19388071.2020.1854906")</f>
        <v>http://dx.doi.org/10.1080/19388071.2020.1854906</v>
      </c>
      <c r="BG313" s="2"/>
      <c r="BH313" s="2"/>
      <c r="BI313" s="2">
        <v>20.0</v>
      </c>
      <c r="BJ313" s="2" t="s">
        <v>331</v>
      </c>
      <c r="BK313" s="2" t="s">
        <v>96</v>
      </c>
      <c r="BL313" s="2" t="s">
        <v>331</v>
      </c>
      <c r="BM313" s="2" t="s">
        <v>6166</v>
      </c>
      <c r="BN313" s="2"/>
      <c r="BO313" s="2"/>
      <c r="BP313" s="2"/>
      <c r="BQ313" s="2"/>
      <c r="BR313" s="2" t="s">
        <v>99</v>
      </c>
      <c r="BS313" s="2" t="s">
        <v>6167</v>
      </c>
      <c r="BT313" s="2" t="str">
        <f>HYPERLINK("https%3A%2F%2Fwww.webofscience.com%2Fwos%2Fwoscc%2Ffull-record%2FWOS:000755202400002","View Full Record in Web of Science")</f>
        <v>View Full Record in Web of Science</v>
      </c>
    </row>
    <row r="314" ht="64.5" customHeight="1">
      <c r="A314" s="2" t="s">
        <v>72</v>
      </c>
      <c r="B314" s="2" t="s">
        <v>6168</v>
      </c>
      <c r="C314" s="2"/>
      <c r="D314" s="2"/>
      <c r="E314" s="2"/>
      <c r="F314" s="2" t="s">
        <v>6169</v>
      </c>
      <c r="G314" s="2"/>
      <c r="H314" s="2"/>
      <c r="I314" s="2" t="s">
        <v>6170</v>
      </c>
      <c r="J314" s="2" t="s">
        <v>6171</v>
      </c>
      <c r="K314" s="2"/>
      <c r="L314" s="2"/>
      <c r="M314" s="2" t="s">
        <v>116</v>
      </c>
      <c r="N314" s="2" t="s">
        <v>4280</v>
      </c>
      <c r="O314" s="2"/>
      <c r="P314" s="2"/>
      <c r="Q314" s="2"/>
      <c r="R314" s="2"/>
      <c r="S314" s="2"/>
      <c r="T314" s="4" t="s">
        <v>121</v>
      </c>
      <c r="U314" s="2"/>
      <c r="V314" s="2"/>
      <c r="W314" s="2"/>
      <c r="X314" s="2"/>
      <c r="Y314" s="2"/>
      <c r="Z314" s="2" t="s">
        <v>6172</v>
      </c>
      <c r="AA314" s="2"/>
      <c r="AB314" s="2" t="s">
        <v>6173</v>
      </c>
      <c r="AC314" s="2"/>
      <c r="AD314" s="2"/>
      <c r="AE314" s="2"/>
      <c r="AF314" s="2"/>
      <c r="AG314" s="2">
        <v>0.0</v>
      </c>
      <c r="AH314" s="2">
        <v>2.0</v>
      </c>
      <c r="AI314" s="2">
        <v>2.0</v>
      </c>
      <c r="AJ314" s="2">
        <v>0.0</v>
      </c>
      <c r="AK314" s="2">
        <v>3.0</v>
      </c>
      <c r="AL314" s="2" t="s">
        <v>3440</v>
      </c>
      <c r="AM314" s="2" t="s">
        <v>3441</v>
      </c>
      <c r="AN314" s="2" t="s">
        <v>3442</v>
      </c>
      <c r="AO314" s="2" t="s">
        <v>6174</v>
      </c>
      <c r="AP314" s="2"/>
      <c r="AQ314" s="2"/>
      <c r="AR314" s="2" t="s">
        <v>6175</v>
      </c>
      <c r="AS314" s="2" t="s">
        <v>6176</v>
      </c>
      <c r="AT314" s="2" t="s">
        <v>844</v>
      </c>
      <c r="AU314" s="2">
        <v>2019.0</v>
      </c>
      <c r="AV314" s="2">
        <v>6.0</v>
      </c>
      <c r="AW314" s="2">
        <v>12.0</v>
      </c>
      <c r="AX314" s="2"/>
      <c r="AY314" s="2"/>
      <c r="AZ314" s="2"/>
      <c r="BA314" s="2"/>
      <c r="BB314" s="2">
        <v>686.0</v>
      </c>
      <c r="BC314" s="2">
        <v>687.0</v>
      </c>
      <c r="BD314" s="2"/>
      <c r="BE314" s="2" t="s">
        <v>6177</v>
      </c>
      <c r="BF314" s="3" t="str">
        <f>HYPERLINK("http://dx.doi.org/10.1021/acs.estlett.9b00623","http://dx.doi.org/10.1021/acs.estlett.9b00623")</f>
        <v>http://dx.doi.org/10.1021/acs.estlett.9b00623</v>
      </c>
      <c r="BG314" s="2"/>
      <c r="BH314" s="2"/>
      <c r="BI314" s="2">
        <v>3.0</v>
      </c>
      <c r="BJ314" s="2" t="s">
        <v>6178</v>
      </c>
      <c r="BK314" s="2" t="s">
        <v>226</v>
      </c>
      <c r="BL314" s="2" t="s">
        <v>6179</v>
      </c>
      <c r="BM314" s="2" t="s">
        <v>6180</v>
      </c>
      <c r="BN314" s="2"/>
      <c r="BO314" s="2"/>
      <c r="BP314" s="2"/>
      <c r="BQ314" s="2"/>
      <c r="BR314" s="2" t="s">
        <v>99</v>
      </c>
      <c r="BS314" s="2" t="s">
        <v>6181</v>
      </c>
      <c r="BT314" s="2" t="str">
        <f>HYPERLINK("https%3A%2F%2Fwww.webofscience.com%2Fwos%2Fwoscc%2Ffull-record%2FWOS:000502418500001","View Full Record in Web of Science")</f>
        <v>View Full Record in Web of Science</v>
      </c>
    </row>
    <row r="315" ht="64.5" customHeight="1">
      <c r="A315" s="2" t="s">
        <v>72</v>
      </c>
      <c r="B315" s="2" t="s">
        <v>6182</v>
      </c>
      <c r="C315" s="2"/>
      <c r="D315" s="2"/>
      <c r="E315" s="2"/>
      <c r="F315" s="2" t="s">
        <v>6183</v>
      </c>
      <c r="G315" s="2"/>
      <c r="H315" s="2"/>
      <c r="I315" s="2" t="s">
        <v>6184</v>
      </c>
      <c r="J315" s="2" t="s">
        <v>623</v>
      </c>
      <c r="K315" s="2"/>
      <c r="L315" s="2"/>
      <c r="M315" s="2" t="s">
        <v>116</v>
      </c>
      <c r="N315" s="2" t="s">
        <v>78</v>
      </c>
      <c r="O315" s="2"/>
      <c r="P315" s="2"/>
      <c r="Q315" s="2"/>
      <c r="R315" s="2"/>
      <c r="S315" s="2"/>
      <c r="T315" s="4" t="s">
        <v>121</v>
      </c>
      <c r="U315" s="2"/>
      <c r="V315" s="2" t="s">
        <v>6185</v>
      </c>
      <c r="W315" s="2" t="s">
        <v>6186</v>
      </c>
      <c r="X315" s="2" t="s">
        <v>6187</v>
      </c>
      <c r="Y315" s="2" t="s">
        <v>6188</v>
      </c>
      <c r="Z315" s="2" t="s">
        <v>6189</v>
      </c>
      <c r="AA315" s="2" t="s">
        <v>6190</v>
      </c>
      <c r="AB315" s="2" t="s">
        <v>6191</v>
      </c>
      <c r="AC315" s="2"/>
      <c r="AD315" s="2"/>
      <c r="AE315" s="2"/>
      <c r="AF315" s="2" t="s">
        <v>6192</v>
      </c>
      <c r="AG315" s="2">
        <v>1.0</v>
      </c>
      <c r="AH315" s="2">
        <v>1.0</v>
      </c>
      <c r="AI315" s="2">
        <v>1.0</v>
      </c>
      <c r="AJ315" s="2">
        <v>1.0</v>
      </c>
      <c r="AK315" s="2">
        <v>5.0</v>
      </c>
      <c r="AL315" s="2" t="s">
        <v>629</v>
      </c>
      <c r="AM315" s="2" t="s">
        <v>630</v>
      </c>
      <c r="AN315" s="2" t="s">
        <v>631</v>
      </c>
      <c r="AO315" s="2" t="s">
        <v>632</v>
      </c>
      <c r="AP315" s="2" t="s">
        <v>633</v>
      </c>
      <c r="AQ315" s="2"/>
      <c r="AR315" s="2" t="s">
        <v>634</v>
      </c>
      <c r="AS315" s="2" t="s">
        <v>635</v>
      </c>
      <c r="AT315" s="2" t="s">
        <v>636</v>
      </c>
      <c r="AU315" s="2">
        <v>2021.0</v>
      </c>
      <c r="AV315" s="2">
        <v>55.0</v>
      </c>
      <c r="AW315" s="2">
        <v>3.0</v>
      </c>
      <c r="AX315" s="2"/>
      <c r="AY315" s="2"/>
      <c r="AZ315" s="2"/>
      <c r="BA315" s="2"/>
      <c r="BB315" s="2">
        <v>110.0</v>
      </c>
      <c r="BC315" s="2">
        <v>110.0</v>
      </c>
      <c r="BD315" s="2"/>
      <c r="BE315" s="2"/>
      <c r="BF315" s="2"/>
      <c r="BG315" s="2"/>
      <c r="BH315" s="2"/>
      <c r="BI315" s="2">
        <v>1.0</v>
      </c>
      <c r="BJ315" s="2" t="s">
        <v>134</v>
      </c>
      <c r="BK315" s="2" t="s">
        <v>226</v>
      </c>
      <c r="BL315" s="2" t="s">
        <v>136</v>
      </c>
      <c r="BM315" s="2" t="s">
        <v>4287</v>
      </c>
      <c r="BN315" s="2"/>
      <c r="BO315" s="2"/>
      <c r="BP315" s="2"/>
      <c r="BQ315" s="2"/>
      <c r="BR315" s="2" t="s">
        <v>99</v>
      </c>
      <c r="BS315" s="2" t="s">
        <v>6193</v>
      </c>
      <c r="BT315" s="2" t="str">
        <f>HYPERLINK("https%3A%2F%2Fwww.webofscience.com%2Fwos%2Fwoscc%2Ffull-record%2FWOS:000707639700035","View Full Record in Web of Science")</f>
        <v>View Full Record in Web of Science</v>
      </c>
    </row>
    <row r="316" ht="64.5" customHeight="1">
      <c r="A316" s="2" t="s">
        <v>110</v>
      </c>
      <c r="B316" s="2" t="s">
        <v>6194</v>
      </c>
      <c r="C316" s="2"/>
      <c r="D316" s="2"/>
      <c r="E316" s="2" t="s">
        <v>6195</v>
      </c>
      <c r="F316" s="2" t="s">
        <v>6196</v>
      </c>
      <c r="G316" s="2"/>
      <c r="H316" s="2"/>
      <c r="I316" s="2" t="s">
        <v>6197</v>
      </c>
      <c r="J316" s="2" t="s">
        <v>6198</v>
      </c>
      <c r="K316" s="2" t="s">
        <v>2288</v>
      </c>
      <c r="L316" s="2"/>
      <c r="M316" s="2" t="s">
        <v>116</v>
      </c>
      <c r="N316" s="2" t="s">
        <v>117</v>
      </c>
      <c r="O316" s="2" t="s">
        <v>6199</v>
      </c>
      <c r="P316" s="2" t="s">
        <v>6200</v>
      </c>
      <c r="Q316" s="2" t="s">
        <v>6201</v>
      </c>
      <c r="R316" s="2"/>
      <c r="S316" s="2"/>
      <c r="T316" s="2" t="s">
        <v>6202</v>
      </c>
      <c r="U316" s="2"/>
      <c r="V316" s="2" t="s">
        <v>6203</v>
      </c>
      <c r="W316" s="2" t="s">
        <v>6204</v>
      </c>
      <c r="X316" s="2" t="s">
        <v>6205</v>
      </c>
      <c r="Y316" s="2" t="s">
        <v>6206</v>
      </c>
      <c r="Z316" s="2" t="s">
        <v>6207</v>
      </c>
      <c r="AA316" s="2"/>
      <c r="AB316" s="2"/>
      <c r="AC316" s="2"/>
      <c r="AD316" s="2"/>
      <c r="AE316" s="2"/>
      <c r="AF316" s="2" t="s">
        <v>6208</v>
      </c>
      <c r="AG316" s="2">
        <v>18.0</v>
      </c>
      <c r="AH316" s="2">
        <v>0.0</v>
      </c>
      <c r="AI316" s="2">
        <v>0.0</v>
      </c>
      <c r="AJ316" s="2">
        <v>1.0</v>
      </c>
      <c r="AK316" s="2">
        <v>3.0</v>
      </c>
      <c r="AL316" s="2" t="s">
        <v>2301</v>
      </c>
      <c r="AM316" s="2" t="s">
        <v>2302</v>
      </c>
      <c r="AN316" s="2" t="s">
        <v>2303</v>
      </c>
      <c r="AO316" s="2" t="s">
        <v>2304</v>
      </c>
      <c r="AP316" s="2" t="s">
        <v>2305</v>
      </c>
      <c r="AQ316" s="2"/>
      <c r="AR316" s="2" t="s">
        <v>2306</v>
      </c>
      <c r="AS316" s="2"/>
      <c r="AT316" s="2"/>
      <c r="AU316" s="2">
        <v>2019.0</v>
      </c>
      <c r="AV316" s="2">
        <v>1227.0</v>
      </c>
      <c r="AW316" s="2"/>
      <c r="AX316" s="2"/>
      <c r="AY316" s="2"/>
      <c r="AZ316" s="2"/>
      <c r="BA316" s="2"/>
      <c r="BB316" s="2"/>
      <c r="BC316" s="2"/>
      <c r="BD316" s="2">
        <v>12038.0</v>
      </c>
      <c r="BE316" s="2" t="s">
        <v>6209</v>
      </c>
      <c r="BF316" s="3" t="str">
        <f>HYPERLINK("http://dx.doi.org/10.1088/1742-6596/1227/1/012038","http://dx.doi.org/10.1088/1742-6596/1227/1/012038")</f>
        <v>http://dx.doi.org/10.1088/1742-6596/1227/1/012038</v>
      </c>
      <c r="BG316" s="2"/>
      <c r="BH316" s="2"/>
      <c r="BI316" s="2">
        <v>6.0</v>
      </c>
      <c r="BJ316" s="2" t="s">
        <v>2335</v>
      </c>
      <c r="BK316" s="2" t="s">
        <v>135</v>
      </c>
      <c r="BL316" s="2" t="s">
        <v>331</v>
      </c>
      <c r="BM316" s="2" t="s">
        <v>6210</v>
      </c>
      <c r="BN316" s="2"/>
      <c r="BO316" s="2" t="s">
        <v>255</v>
      </c>
      <c r="BP316" s="2"/>
      <c r="BQ316" s="2"/>
      <c r="BR316" s="2" t="s">
        <v>99</v>
      </c>
      <c r="BS316" s="2" t="s">
        <v>6211</v>
      </c>
      <c r="BT316" s="2" t="str">
        <f>HYPERLINK("https%3A%2F%2Fwww.webofscience.com%2Fwos%2Fwoscc%2Ffull-record%2FWOS:000480431200038","View Full Record in Web of Science")</f>
        <v>View Full Record in Web of Science</v>
      </c>
    </row>
    <row r="317" ht="64.5" customHeight="1">
      <c r="A317" s="2" t="s">
        <v>72</v>
      </c>
      <c r="B317" s="2" t="s">
        <v>6212</v>
      </c>
      <c r="C317" s="2"/>
      <c r="D317" s="2"/>
      <c r="E317" s="2"/>
      <c r="F317" s="2" t="s">
        <v>6213</v>
      </c>
      <c r="G317" s="2"/>
      <c r="H317" s="2"/>
      <c r="I317" s="2" t="s">
        <v>6214</v>
      </c>
      <c r="J317" s="2" t="s">
        <v>5951</v>
      </c>
      <c r="K317" s="2"/>
      <c r="L317" s="2"/>
      <c r="M317" s="2" t="s">
        <v>116</v>
      </c>
      <c r="N317" s="2" t="s">
        <v>78</v>
      </c>
      <c r="O317" s="2"/>
      <c r="P317" s="2"/>
      <c r="Q317" s="2"/>
      <c r="R317" s="2"/>
      <c r="S317" s="2"/>
      <c r="T317" s="2" t="s">
        <v>6215</v>
      </c>
      <c r="U317" s="2"/>
      <c r="V317" s="2" t="s">
        <v>6216</v>
      </c>
      <c r="W317" s="2" t="s">
        <v>6217</v>
      </c>
      <c r="X317" s="2" t="s">
        <v>6218</v>
      </c>
      <c r="Y317" s="2" t="s">
        <v>6219</v>
      </c>
      <c r="Z317" s="2" t="s">
        <v>6220</v>
      </c>
      <c r="AA317" s="2"/>
      <c r="AB317" s="2" t="s">
        <v>6221</v>
      </c>
      <c r="AC317" s="2" t="s">
        <v>6222</v>
      </c>
      <c r="AD317" s="2" t="s">
        <v>6223</v>
      </c>
      <c r="AE317" s="2" t="s">
        <v>6224</v>
      </c>
      <c r="AF317" s="2" t="s">
        <v>6225</v>
      </c>
      <c r="AG317" s="2">
        <v>14.0</v>
      </c>
      <c r="AH317" s="2">
        <v>4.0</v>
      </c>
      <c r="AI317" s="2">
        <v>7.0</v>
      </c>
      <c r="AJ317" s="2">
        <v>2.0</v>
      </c>
      <c r="AK317" s="2">
        <v>33.0</v>
      </c>
      <c r="AL317" s="2" t="s">
        <v>216</v>
      </c>
      <c r="AM317" s="2" t="s">
        <v>189</v>
      </c>
      <c r="AN317" s="2" t="s">
        <v>217</v>
      </c>
      <c r="AO317" s="2" t="s">
        <v>5961</v>
      </c>
      <c r="AP317" s="2"/>
      <c r="AQ317" s="2"/>
      <c r="AR317" s="2" t="s">
        <v>5963</v>
      </c>
      <c r="AS317" s="2" t="s">
        <v>5964</v>
      </c>
      <c r="AT317" s="2" t="s">
        <v>195</v>
      </c>
      <c r="AU317" s="2">
        <v>2013.0</v>
      </c>
      <c r="AV317" s="2">
        <v>53.0</v>
      </c>
      <c r="AW317" s="2"/>
      <c r="AX317" s="2"/>
      <c r="AY317" s="2"/>
      <c r="AZ317" s="2"/>
      <c r="BA317" s="2"/>
      <c r="BB317" s="2">
        <v>123.0</v>
      </c>
      <c r="BC317" s="2">
        <v>128.0</v>
      </c>
      <c r="BD317" s="2"/>
      <c r="BE317" s="2" t="s">
        <v>6226</v>
      </c>
      <c r="BF317" s="3" t="str">
        <f>HYPERLINK("http://dx.doi.org/10.1016/j.cageo.2011.09.006","http://dx.doi.org/10.1016/j.cageo.2011.09.006")</f>
        <v>http://dx.doi.org/10.1016/j.cageo.2011.09.006</v>
      </c>
      <c r="BG317" s="2"/>
      <c r="BH317" s="2"/>
      <c r="BI317" s="2">
        <v>6.0</v>
      </c>
      <c r="BJ317" s="2" t="s">
        <v>5967</v>
      </c>
      <c r="BK317" s="2" t="s">
        <v>226</v>
      </c>
      <c r="BL317" s="2" t="s">
        <v>5968</v>
      </c>
      <c r="BM317" s="2" t="s">
        <v>6227</v>
      </c>
      <c r="BN317" s="2"/>
      <c r="BO317" s="2"/>
      <c r="BP317" s="2"/>
      <c r="BQ317" s="2"/>
      <c r="BR317" s="2" t="s">
        <v>99</v>
      </c>
      <c r="BS317" s="2" t="s">
        <v>6228</v>
      </c>
      <c r="BT317" s="2" t="str">
        <f>HYPERLINK("https%3A%2F%2Fwww.webofscience.com%2Fwos%2Fwoscc%2Ffull-record%2FWOS:000317164000014","View Full Record in Web of Science")</f>
        <v>View Full Record in Web of Science</v>
      </c>
    </row>
    <row r="318" ht="64.5" customHeight="1">
      <c r="A318" s="2" t="s">
        <v>72</v>
      </c>
      <c r="B318" s="2" t="s">
        <v>6229</v>
      </c>
      <c r="C318" s="2"/>
      <c r="D318" s="2"/>
      <c r="E318" s="2"/>
      <c r="F318" s="2" t="s">
        <v>6230</v>
      </c>
      <c r="G318" s="2"/>
      <c r="H318" s="2"/>
      <c r="I318" s="2" t="s">
        <v>6231</v>
      </c>
      <c r="J318" s="2" t="s">
        <v>6232</v>
      </c>
      <c r="K318" s="2"/>
      <c r="L318" s="2"/>
      <c r="M318" s="2" t="s">
        <v>116</v>
      </c>
      <c r="N318" s="2" t="s">
        <v>78</v>
      </c>
      <c r="O318" s="2"/>
      <c r="P318" s="2"/>
      <c r="Q318" s="2"/>
      <c r="R318" s="2"/>
      <c r="S318" s="2"/>
      <c r="T318" s="2" t="s">
        <v>6233</v>
      </c>
      <c r="U318" s="2"/>
      <c r="V318" s="2" t="s">
        <v>6234</v>
      </c>
      <c r="W318" s="2" t="s">
        <v>6235</v>
      </c>
      <c r="X318" s="2"/>
      <c r="Y318" s="2" t="s">
        <v>6236</v>
      </c>
      <c r="Z318" s="2" t="s">
        <v>6237</v>
      </c>
      <c r="AA318" s="2"/>
      <c r="AB318" s="2" t="s">
        <v>6238</v>
      </c>
      <c r="AC318" s="2"/>
      <c r="AD318" s="2"/>
      <c r="AE318" s="2"/>
      <c r="AF318" s="2" t="s">
        <v>6239</v>
      </c>
      <c r="AG318" s="2">
        <v>22.0</v>
      </c>
      <c r="AH318" s="2">
        <v>10.0</v>
      </c>
      <c r="AI318" s="2">
        <v>10.0</v>
      </c>
      <c r="AJ318" s="2">
        <v>0.0</v>
      </c>
      <c r="AK318" s="2">
        <v>5.0</v>
      </c>
      <c r="AL318" s="2" t="s">
        <v>156</v>
      </c>
      <c r="AM318" s="2" t="s">
        <v>157</v>
      </c>
      <c r="AN318" s="2" t="s">
        <v>158</v>
      </c>
      <c r="AO318" s="2" t="s">
        <v>6240</v>
      </c>
      <c r="AP318" s="2" t="s">
        <v>6241</v>
      </c>
      <c r="AQ318" s="2"/>
      <c r="AR318" s="2" t="s">
        <v>6242</v>
      </c>
      <c r="AS318" s="2" t="s">
        <v>6243</v>
      </c>
      <c r="AT318" s="2" t="s">
        <v>3820</v>
      </c>
      <c r="AU318" s="2">
        <v>2020.0</v>
      </c>
      <c r="AV318" s="2">
        <v>35.0</v>
      </c>
      <c r="AW318" s="2">
        <v>6.0</v>
      </c>
      <c r="AX318" s="2"/>
      <c r="AY318" s="2"/>
      <c r="AZ318" s="2" t="s">
        <v>359</v>
      </c>
      <c r="BA318" s="2"/>
      <c r="BB318" s="2">
        <v>618.0</v>
      </c>
      <c r="BC318" s="2">
        <v>635.0</v>
      </c>
      <c r="BD318" s="2"/>
      <c r="BE318" s="2" t="s">
        <v>6244</v>
      </c>
      <c r="BF318" s="3" t="str">
        <f>HYPERLINK("http://dx.doi.org/10.1080/09647775.2020.1837000","http://dx.doi.org/10.1080/09647775.2020.1837000")</f>
        <v>http://dx.doi.org/10.1080/09647775.2020.1837000</v>
      </c>
      <c r="BG318" s="2"/>
      <c r="BH318" s="2" t="s">
        <v>6245</v>
      </c>
      <c r="BI318" s="2">
        <v>18.0</v>
      </c>
      <c r="BJ318" s="2" t="s">
        <v>6246</v>
      </c>
      <c r="BK318" s="2" t="s">
        <v>3124</v>
      </c>
      <c r="BL318" s="2" t="s">
        <v>6247</v>
      </c>
      <c r="BM318" s="2" t="s">
        <v>6248</v>
      </c>
      <c r="BN318" s="2"/>
      <c r="BO318" s="2" t="s">
        <v>2170</v>
      </c>
      <c r="BP318" s="2"/>
      <c r="BQ318" s="2"/>
      <c r="BR318" s="2" t="s">
        <v>99</v>
      </c>
      <c r="BS318" s="2" t="s">
        <v>6249</v>
      </c>
      <c r="BT318" s="2" t="str">
        <f>HYPERLINK("https%3A%2F%2Fwww.webofscience.com%2Fwos%2Fwoscc%2Ffull-record%2FWOS:000591161500001","View Full Record in Web of Science")</f>
        <v>View Full Record in Web of Science</v>
      </c>
    </row>
    <row r="319" ht="64.5" customHeight="1">
      <c r="A319" s="2" t="s">
        <v>72</v>
      </c>
      <c r="B319" s="2" t="s">
        <v>6250</v>
      </c>
      <c r="C319" s="2"/>
      <c r="D319" s="2"/>
      <c r="E319" s="2"/>
      <c r="F319" s="2" t="s">
        <v>6251</v>
      </c>
      <c r="G319" s="2"/>
      <c r="H319" s="2"/>
      <c r="I319" s="2" t="s">
        <v>6252</v>
      </c>
      <c r="J319" s="2" t="s">
        <v>142</v>
      </c>
      <c r="K319" s="2"/>
      <c r="L319" s="2"/>
      <c r="M319" s="2" t="s">
        <v>116</v>
      </c>
      <c r="N319" s="2" t="s">
        <v>78</v>
      </c>
      <c r="O319" s="2"/>
      <c r="P319" s="2"/>
      <c r="Q319" s="2"/>
      <c r="R319" s="2"/>
      <c r="S319" s="2"/>
      <c r="T319" s="2" t="s">
        <v>6253</v>
      </c>
      <c r="U319" s="2" t="s">
        <v>6254</v>
      </c>
      <c r="V319" s="2" t="s">
        <v>6255</v>
      </c>
      <c r="W319" s="2" t="s">
        <v>6256</v>
      </c>
      <c r="X319" s="2" t="s">
        <v>6257</v>
      </c>
      <c r="Y319" s="2" t="s">
        <v>6258</v>
      </c>
      <c r="Z319" s="2" t="s">
        <v>6259</v>
      </c>
      <c r="AA319" s="2"/>
      <c r="AB319" s="2" t="s">
        <v>6260</v>
      </c>
      <c r="AC319" s="2" t="s">
        <v>6261</v>
      </c>
      <c r="AD319" s="2" t="s">
        <v>6262</v>
      </c>
      <c r="AE319" s="2" t="s">
        <v>6263</v>
      </c>
      <c r="AF319" s="2" t="s">
        <v>6264</v>
      </c>
      <c r="AG319" s="2">
        <v>90.0</v>
      </c>
      <c r="AH319" s="2">
        <v>5.0</v>
      </c>
      <c r="AI319" s="2">
        <v>5.0</v>
      </c>
      <c r="AJ319" s="2">
        <v>1.0</v>
      </c>
      <c r="AK319" s="2">
        <v>20.0</v>
      </c>
      <c r="AL319" s="2" t="s">
        <v>156</v>
      </c>
      <c r="AM319" s="2" t="s">
        <v>157</v>
      </c>
      <c r="AN319" s="2" t="s">
        <v>158</v>
      </c>
      <c r="AO319" s="2" t="s">
        <v>159</v>
      </c>
      <c r="AP319" s="2" t="s">
        <v>160</v>
      </c>
      <c r="AQ319" s="2"/>
      <c r="AR319" s="2" t="s">
        <v>161</v>
      </c>
      <c r="AS319" s="2" t="s">
        <v>162</v>
      </c>
      <c r="AT319" s="2" t="s">
        <v>6265</v>
      </c>
      <c r="AU319" s="2">
        <v>2022.0</v>
      </c>
      <c r="AV319" s="2">
        <v>28.0</v>
      </c>
      <c r="AW319" s="2">
        <v>7.0</v>
      </c>
      <c r="AX319" s="2"/>
      <c r="AY319" s="2"/>
      <c r="AZ319" s="2"/>
      <c r="BA319" s="2"/>
      <c r="BB319" s="2">
        <v>1043.0</v>
      </c>
      <c r="BC319" s="2">
        <v>1069.0</v>
      </c>
      <c r="BD319" s="2"/>
      <c r="BE319" s="2" t="s">
        <v>6266</v>
      </c>
      <c r="BF319" s="3" t="str">
        <f>HYPERLINK("http://dx.doi.org/10.1080/13504622.2022.2032611","http://dx.doi.org/10.1080/13504622.2022.2032611")</f>
        <v>http://dx.doi.org/10.1080/13504622.2022.2032611</v>
      </c>
      <c r="BG319" s="2"/>
      <c r="BH319" s="2" t="s">
        <v>3930</v>
      </c>
      <c r="BI319" s="2">
        <v>27.0</v>
      </c>
      <c r="BJ319" s="2" t="s">
        <v>165</v>
      </c>
      <c r="BK319" s="2" t="s">
        <v>166</v>
      </c>
      <c r="BL319" s="2" t="s">
        <v>167</v>
      </c>
      <c r="BM319" s="2" t="s">
        <v>6267</v>
      </c>
      <c r="BN319" s="2"/>
      <c r="BO319" s="2"/>
      <c r="BP319" s="2"/>
      <c r="BQ319" s="2"/>
      <c r="BR319" s="2" t="s">
        <v>99</v>
      </c>
      <c r="BS319" s="2" t="s">
        <v>6268</v>
      </c>
      <c r="BT319" s="2" t="str">
        <f>HYPERLINK("https%3A%2F%2Fwww.webofscience.com%2Fwos%2Fwoscc%2Ffull-record%2FWOS:000753048600001","View Full Record in Web of Science")</f>
        <v>View Full Record in Web of Science</v>
      </c>
    </row>
    <row r="320" ht="64.5" customHeight="1">
      <c r="A320" s="2" t="s">
        <v>72</v>
      </c>
      <c r="B320" s="2" t="s">
        <v>6269</v>
      </c>
      <c r="C320" s="2"/>
      <c r="D320" s="2"/>
      <c r="E320" s="2"/>
      <c r="F320" s="2" t="s">
        <v>6270</v>
      </c>
      <c r="G320" s="2"/>
      <c r="H320" s="2"/>
      <c r="I320" s="2" t="s">
        <v>6271</v>
      </c>
      <c r="J320" s="2" t="s">
        <v>6272</v>
      </c>
      <c r="K320" s="2"/>
      <c r="L320" s="2"/>
      <c r="M320" s="2" t="s">
        <v>116</v>
      </c>
      <c r="N320" s="2" t="s">
        <v>78</v>
      </c>
      <c r="O320" s="2"/>
      <c r="P320" s="2"/>
      <c r="Q320" s="2"/>
      <c r="R320" s="2"/>
      <c r="S320" s="2"/>
      <c r="T320" s="2" t="s">
        <v>6273</v>
      </c>
      <c r="U320" s="2" t="s">
        <v>6274</v>
      </c>
      <c r="V320" s="2" t="s">
        <v>6275</v>
      </c>
      <c r="W320" s="2" t="s">
        <v>6276</v>
      </c>
      <c r="X320" s="2" t="s">
        <v>6277</v>
      </c>
      <c r="Y320" s="2" t="s">
        <v>6278</v>
      </c>
      <c r="Z320" s="2" t="s">
        <v>6279</v>
      </c>
      <c r="AA320" s="2"/>
      <c r="AB320" s="2" t="s">
        <v>6280</v>
      </c>
      <c r="AC320" s="2"/>
      <c r="AD320" s="2"/>
      <c r="AE320" s="2"/>
      <c r="AF320" s="2" t="s">
        <v>6281</v>
      </c>
      <c r="AG320" s="2">
        <v>61.0</v>
      </c>
      <c r="AH320" s="2">
        <v>16.0</v>
      </c>
      <c r="AI320" s="2">
        <v>17.0</v>
      </c>
      <c r="AJ320" s="2">
        <v>4.0</v>
      </c>
      <c r="AK320" s="2">
        <v>97.0</v>
      </c>
      <c r="AL320" s="2" t="s">
        <v>1346</v>
      </c>
      <c r="AM320" s="2" t="s">
        <v>428</v>
      </c>
      <c r="AN320" s="2" t="s">
        <v>1347</v>
      </c>
      <c r="AO320" s="2" t="s">
        <v>6282</v>
      </c>
      <c r="AP320" s="2" t="s">
        <v>6283</v>
      </c>
      <c r="AQ320" s="2"/>
      <c r="AR320" s="2" t="s">
        <v>6284</v>
      </c>
      <c r="AS320" s="2" t="s">
        <v>6285</v>
      </c>
      <c r="AT320" s="2" t="s">
        <v>358</v>
      </c>
      <c r="AU320" s="2">
        <v>2021.0</v>
      </c>
      <c r="AV320" s="2">
        <v>181.0</v>
      </c>
      <c r="AW320" s="2"/>
      <c r="AX320" s="2"/>
      <c r="AY320" s="2"/>
      <c r="AZ320" s="2"/>
      <c r="BA320" s="2"/>
      <c r="BB320" s="2"/>
      <c r="BC320" s="2"/>
      <c r="BD320" s="2">
        <v>106931.0</v>
      </c>
      <c r="BE320" s="2" t="s">
        <v>6286</v>
      </c>
      <c r="BF320" s="3" t="str">
        <f>HYPERLINK("http://dx.doi.org/10.1016/j.ecolecon.2020.106931","http://dx.doi.org/10.1016/j.ecolecon.2020.106931")</f>
        <v>http://dx.doi.org/10.1016/j.ecolecon.2020.106931</v>
      </c>
      <c r="BG320" s="2"/>
      <c r="BH320" s="2"/>
      <c r="BI320" s="2">
        <v>12.0</v>
      </c>
      <c r="BJ320" s="2" t="s">
        <v>6287</v>
      </c>
      <c r="BK320" s="2" t="s">
        <v>363</v>
      </c>
      <c r="BL320" s="2" t="s">
        <v>6288</v>
      </c>
      <c r="BM320" s="2" t="s">
        <v>6289</v>
      </c>
      <c r="BN320" s="2"/>
      <c r="BO320" s="2" t="s">
        <v>1177</v>
      </c>
      <c r="BP320" s="2"/>
      <c r="BQ320" s="2"/>
      <c r="BR320" s="2" t="s">
        <v>99</v>
      </c>
      <c r="BS320" s="2" t="s">
        <v>6290</v>
      </c>
      <c r="BT320" s="2" t="str">
        <f>HYPERLINK("https%3A%2F%2Fwww.webofscience.com%2Fwos%2Fwoscc%2Ffull-record%2FWOS:000607535200009","View Full Record in Web of Science")</f>
        <v>View Full Record in Web of Science</v>
      </c>
    </row>
    <row r="321" ht="64.5" customHeight="1">
      <c r="A321" s="2" t="s">
        <v>72</v>
      </c>
      <c r="B321" s="2" t="s">
        <v>6291</v>
      </c>
      <c r="C321" s="2"/>
      <c r="D321" s="2"/>
      <c r="E321" s="2"/>
      <c r="F321" s="2" t="s">
        <v>6292</v>
      </c>
      <c r="G321" s="2"/>
      <c r="H321" s="2"/>
      <c r="I321" s="2" t="s">
        <v>6293</v>
      </c>
      <c r="J321" s="2" t="s">
        <v>4851</v>
      </c>
      <c r="K321" s="2"/>
      <c r="L321" s="2"/>
      <c r="M321" s="2" t="s">
        <v>116</v>
      </c>
      <c r="N321" s="2" t="s">
        <v>78</v>
      </c>
      <c r="O321" s="2"/>
      <c r="P321" s="2"/>
      <c r="Q321" s="2"/>
      <c r="R321" s="2"/>
      <c r="S321" s="2"/>
      <c r="T321" s="4" t="s">
        <v>121</v>
      </c>
      <c r="U321" s="2" t="s">
        <v>6294</v>
      </c>
      <c r="V321" s="2" t="s">
        <v>6295</v>
      </c>
      <c r="W321" s="2" t="s">
        <v>6296</v>
      </c>
      <c r="X321" s="2" t="s">
        <v>6297</v>
      </c>
      <c r="Y321" s="2" t="s">
        <v>6298</v>
      </c>
      <c r="Z321" s="2" t="s">
        <v>6299</v>
      </c>
      <c r="AA321" s="2" t="s">
        <v>6300</v>
      </c>
      <c r="AB321" s="2" t="s">
        <v>6301</v>
      </c>
      <c r="AC321" s="2" t="s">
        <v>6302</v>
      </c>
      <c r="AD321" s="2" t="s">
        <v>6302</v>
      </c>
      <c r="AE321" s="2" t="s">
        <v>6303</v>
      </c>
      <c r="AF321" s="2" t="s">
        <v>6304</v>
      </c>
      <c r="AG321" s="2">
        <v>63.0</v>
      </c>
      <c r="AH321" s="2">
        <v>686.0</v>
      </c>
      <c r="AI321" s="2">
        <v>767.0</v>
      </c>
      <c r="AJ321" s="2">
        <v>45.0</v>
      </c>
      <c r="AK321" s="2">
        <v>533.0</v>
      </c>
      <c r="AL321" s="2" t="s">
        <v>4864</v>
      </c>
      <c r="AM321" s="2" t="s">
        <v>4865</v>
      </c>
      <c r="AN321" s="2" t="s">
        <v>4866</v>
      </c>
      <c r="AO321" s="2" t="s">
        <v>4867</v>
      </c>
      <c r="AP321" s="2" t="s">
        <v>4868</v>
      </c>
      <c r="AQ321" s="2"/>
      <c r="AR321" s="2" t="s">
        <v>4869</v>
      </c>
      <c r="AS321" s="2" t="s">
        <v>4870</v>
      </c>
      <c r="AT321" s="2" t="s">
        <v>292</v>
      </c>
      <c r="AU321" s="2">
        <v>2015.0</v>
      </c>
      <c r="AV321" s="2">
        <v>5.0</v>
      </c>
      <c r="AW321" s="2">
        <v>11.0</v>
      </c>
      <c r="AX321" s="2"/>
      <c r="AY321" s="2"/>
      <c r="AZ321" s="2"/>
      <c r="BA321" s="2"/>
      <c r="BB321" s="2">
        <v>1014.0</v>
      </c>
      <c r="BC321" s="2" t="s">
        <v>1458</v>
      </c>
      <c r="BD321" s="2"/>
      <c r="BE321" s="2" t="s">
        <v>6305</v>
      </c>
      <c r="BF321" s="3" t="str">
        <f>HYPERLINK("http://dx.doi.org/10.1038/NCLIMATE2728","http://dx.doi.org/10.1038/NCLIMATE2728")</f>
        <v>http://dx.doi.org/10.1038/NCLIMATE2728</v>
      </c>
      <c r="BG321" s="2"/>
      <c r="BH321" s="2"/>
      <c r="BI321" s="2">
        <v>10.0</v>
      </c>
      <c r="BJ321" s="2" t="s">
        <v>1375</v>
      </c>
      <c r="BK321" s="2" t="s">
        <v>363</v>
      </c>
      <c r="BL321" s="2" t="s">
        <v>1376</v>
      </c>
      <c r="BM321" s="2" t="s">
        <v>6306</v>
      </c>
      <c r="BN321" s="2"/>
      <c r="BO321" s="2"/>
      <c r="BP321" s="2"/>
      <c r="BQ321" s="2"/>
      <c r="BR321" s="2" t="s">
        <v>99</v>
      </c>
      <c r="BS321" s="2" t="s">
        <v>6307</v>
      </c>
      <c r="BT321" s="2" t="str">
        <f>HYPERLINK("https%3A%2F%2Fwww.webofscience.com%2Fwos%2Fwoscc%2Ffull-record%2FWOS:000363689700022","View Full Record in Web of Science")</f>
        <v>View Full Record in Web of Science</v>
      </c>
    </row>
    <row r="322" ht="64.5" customHeight="1">
      <c r="A322" s="2" t="s">
        <v>72</v>
      </c>
      <c r="B322" s="2" t="s">
        <v>6308</v>
      </c>
      <c r="C322" s="2"/>
      <c r="D322" s="2"/>
      <c r="E322" s="2"/>
      <c r="F322" s="2" t="s">
        <v>6309</v>
      </c>
      <c r="G322" s="2"/>
      <c r="H322" s="2"/>
      <c r="I322" s="2" t="s">
        <v>6310</v>
      </c>
      <c r="J322" s="2" t="s">
        <v>5351</v>
      </c>
      <c r="K322" s="2"/>
      <c r="L322" s="2"/>
      <c r="M322" s="2" t="s">
        <v>116</v>
      </c>
      <c r="N322" s="2" t="s">
        <v>78</v>
      </c>
      <c r="O322" s="2"/>
      <c r="P322" s="2"/>
      <c r="Q322" s="2"/>
      <c r="R322" s="2"/>
      <c r="S322" s="2"/>
      <c r="T322" s="4" t="s">
        <v>121</v>
      </c>
      <c r="U322" s="2" t="s">
        <v>6311</v>
      </c>
      <c r="V322" s="2" t="s">
        <v>6312</v>
      </c>
      <c r="W322" s="2" t="s">
        <v>6313</v>
      </c>
      <c r="X322" s="2" t="s">
        <v>6314</v>
      </c>
      <c r="Y322" s="2" t="s">
        <v>6315</v>
      </c>
      <c r="Z322" s="2" t="s">
        <v>6316</v>
      </c>
      <c r="AA322" s="2" t="s">
        <v>6317</v>
      </c>
      <c r="AB322" s="2" t="s">
        <v>6318</v>
      </c>
      <c r="AC322" s="2" t="s">
        <v>6319</v>
      </c>
      <c r="AD322" s="2" t="s">
        <v>6319</v>
      </c>
      <c r="AE322" s="2" t="s">
        <v>6320</v>
      </c>
      <c r="AF322" s="2" t="s">
        <v>6321</v>
      </c>
      <c r="AG322" s="2">
        <v>41.0</v>
      </c>
      <c r="AH322" s="2">
        <v>0.0</v>
      </c>
      <c r="AI322" s="2">
        <v>0.0</v>
      </c>
      <c r="AJ322" s="2">
        <v>2.0</v>
      </c>
      <c r="AK322" s="2">
        <v>2.0</v>
      </c>
      <c r="AL322" s="2" t="s">
        <v>3255</v>
      </c>
      <c r="AM322" s="2" t="s">
        <v>1221</v>
      </c>
      <c r="AN322" s="2" t="s">
        <v>3256</v>
      </c>
      <c r="AO322" s="2" t="s">
        <v>5363</v>
      </c>
      <c r="AP322" s="2" t="s">
        <v>5364</v>
      </c>
      <c r="AQ322" s="2"/>
      <c r="AR322" s="2" t="s">
        <v>5351</v>
      </c>
      <c r="AS322" s="2" t="s">
        <v>5365</v>
      </c>
      <c r="AT322" s="2" t="s">
        <v>6322</v>
      </c>
      <c r="AU322" s="2">
        <v>2024.0</v>
      </c>
      <c r="AV322" s="2">
        <v>7.0</v>
      </c>
      <c r="AW322" s="2">
        <v>4.0</v>
      </c>
      <c r="AX322" s="2"/>
      <c r="AY322" s="2"/>
      <c r="AZ322" s="2"/>
      <c r="BA322" s="2"/>
      <c r="BB322" s="2"/>
      <c r="BC322" s="2"/>
      <c r="BD322" s="2"/>
      <c r="BE322" s="2" t="s">
        <v>6323</v>
      </c>
      <c r="BF322" s="3" t="str">
        <f>HYPERLINK("http://dx.doi.org/10.1016/j.oneear.2024.02.017","http://dx.doi.org/10.1016/j.oneear.2024.02.017")</f>
        <v>http://dx.doi.org/10.1016/j.oneear.2024.02.017</v>
      </c>
      <c r="BG322" s="2"/>
      <c r="BH322" s="2" t="s">
        <v>2445</v>
      </c>
      <c r="BI322" s="2">
        <v>12.0</v>
      </c>
      <c r="BJ322" s="2" t="s">
        <v>390</v>
      </c>
      <c r="BK322" s="2" t="s">
        <v>363</v>
      </c>
      <c r="BL322" s="2" t="s">
        <v>391</v>
      </c>
      <c r="BM322" s="2" t="s">
        <v>6324</v>
      </c>
      <c r="BN322" s="2"/>
      <c r="BO322" s="2" t="s">
        <v>201</v>
      </c>
      <c r="BP322" s="2"/>
      <c r="BQ322" s="2"/>
      <c r="BR322" s="2" t="s">
        <v>99</v>
      </c>
      <c r="BS322" s="2" t="s">
        <v>6325</v>
      </c>
      <c r="BT322" s="2" t="str">
        <f>HYPERLINK("https%3A%2F%2Fwww.webofscience.com%2Fwos%2Fwoscc%2Ffull-record%2FWOS:001232056600001","View Full Record in Web of Science")</f>
        <v>View Full Record in Web of Science</v>
      </c>
    </row>
    <row r="323" ht="64.5" customHeight="1">
      <c r="A323" s="2" t="s">
        <v>72</v>
      </c>
      <c r="B323" s="2" t="s">
        <v>6326</v>
      </c>
      <c r="C323" s="2"/>
      <c r="D323" s="2"/>
      <c r="E323" s="2"/>
      <c r="F323" s="2" t="s">
        <v>6327</v>
      </c>
      <c r="G323" s="2"/>
      <c r="H323" s="2"/>
      <c r="I323" s="2" t="s">
        <v>6328</v>
      </c>
      <c r="J323" s="2" t="s">
        <v>1823</v>
      </c>
      <c r="K323" s="2"/>
      <c r="L323" s="2"/>
      <c r="M323" s="2" t="s">
        <v>116</v>
      </c>
      <c r="N323" s="2" t="s">
        <v>1865</v>
      </c>
      <c r="O323" s="2" t="s">
        <v>6329</v>
      </c>
      <c r="P323" s="2" t="s">
        <v>6330</v>
      </c>
      <c r="Q323" s="2" t="s">
        <v>6331</v>
      </c>
      <c r="R323" s="2"/>
      <c r="S323" s="2"/>
      <c r="T323" s="2" t="s">
        <v>6332</v>
      </c>
      <c r="U323" s="2" t="s">
        <v>6333</v>
      </c>
      <c r="V323" s="2" t="s">
        <v>6334</v>
      </c>
      <c r="W323" s="2" t="s">
        <v>6335</v>
      </c>
      <c r="X323" s="2" t="s">
        <v>6336</v>
      </c>
      <c r="Y323" s="2" t="s">
        <v>6337</v>
      </c>
      <c r="Z323" s="2" t="s">
        <v>6338</v>
      </c>
      <c r="AA323" s="2" t="s">
        <v>6339</v>
      </c>
      <c r="AB323" s="2" t="s">
        <v>6340</v>
      </c>
      <c r="AC323" s="2"/>
      <c r="AD323" s="2"/>
      <c r="AE323" s="2"/>
      <c r="AF323" s="2" t="s">
        <v>6341</v>
      </c>
      <c r="AG323" s="2">
        <v>74.0</v>
      </c>
      <c r="AH323" s="2">
        <v>104.0</v>
      </c>
      <c r="AI323" s="2">
        <v>111.0</v>
      </c>
      <c r="AJ323" s="2">
        <v>0.0</v>
      </c>
      <c r="AK323" s="2">
        <v>59.0</v>
      </c>
      <c r="AL323" s="2" t="s">
        <v>188</v>
      </c>
      <c r="AM323" s="2" t="s">
        <v>189</v>
      </c>
      <c r="AN323" s="2" t="s">
        <v>190</v>
      </c>
      <c r="AO323" s="2" t="s">
        <v>1836</v>
      </c>
      <c r="AP323" s="2" t="s">
        <v>1837</v>
      </c>
      <c r="AQ323" s="2"/>
      <c r="AR323" s="2" t="s">
        <v>1838</v>
      </c>
      <c r="AS323" s="2" t="s">
        <v>1839</v>
      </c>
      <c r="AT323" s="2" t="s">
        <v>596</v>
      </c>
      <c r="AU323" s="2">
        <v>2015.0</v>
      </c>
      <c r="AV323" s="2">
        <v>115.0</v>
      </c>
      <c r="AW323" s="2"/>
      <c r="AX323" s="2"/>
      <c r="AY323" s="2"/>
      <c r="AZ323" s="2"/>
      <c r="BA323" s="2"/>
      <c r="BB323" s="2">
        <v>61.0</v>
      </c>
      <c r="BC323" s="2">
        <v>70.0</v>
      </c>
      <c r="BD323" s="2"/>
      <c r="BE323" s="2" t="s">
        <v>6342</v>
      </c>
      <c r="BF323" s="3" t="str">
        <f>HYPERLINK("http://dx.doi.org/10.1016/j.ocecoaman.2015.06.014","http://dx.doi.org/10.1016/j.ocecoaman.2015.06.014")</f>
        <v>http://dx.doi.org/10.1016/j.ocecoaman.2015.06.014</v>
      </c>
      <c r="BG323" s="2"/>
      <c r="BH323" s="2"/>
      <c r="BI323" s="2">
        <v>10.0</v>
      </c>
      <c r="BJ323" s="2" t="s">
        <v>1842</v>
      </c>
      <c r="BK323" s="2" t="s">
        <v>1881</v>
      </c>
      <c r="BL323" s="2" t="s">
        <v>1842</v>
      </c>
      <c r="BM323" s="2" t="s">
        <v>6343</v>
      </c>
      <c r="BN323" s="2"/>
      <c r="BO323" s="2" t="s">
        <v>4729</v>
      </c>
      <c r="BP323" s="2"/>
      <c r="BQ323" s="2"/>
      <c r="BR323" s="2" t="s">
        <v>99</v>
      </c>
      <c r="BS323" s="2" t="s">
        <v>6344</v>
      </c>
      <c r="BT323" s="2" t="str">
        <f>HYPERLINK("https%3A%2F%2Fwww.webofscience.com%2Fwos%2Fwoscc%2Ffull-record%2FWOS:000364252300009","View Full Record in Web of Science")</f>
        <v>View Full Record in Web of Science</v>
      </c>
    </row>
    <row r="324" ht="64.5" customHeight="1">
      <c r="A324" s="2" t="s">
        <v>110</v>
      </c>
      <c r="B324" s="2" t="s">
        <v>6345</v>
      </c>
      <c r="C324" s="2"/>
      <c r="D324" s="2"/>
      <c r="E324" s="2" t="s">
        <v>129</v>
      </c>
      <c r="F324" s="2" t="s">
        <v>6346</v>
      </c>
      <c r="G324" s="2"/>
      <c r="H324" s="2"/>
      <c r="I324" s="2" t="s">
        <v>6347</v>
      </c>
      <c r="J324" s="2" t="s">
        <v>6348</v>
      </c>
      <c r="K324" s="2"/>
      <c r="L324" s="2"/>
      <c r="M324" s="2" t="s">
        <v>116</v>
      </c>
      <c r="N324" s="2" t="s">
        <v>117</v>
      </c>
      <c r="O324" s="2" t="s">
        <v>6349</v>
      </c>
      <c r="P324" s="2" t="s">
        <v>6350</v>
      </c>
      <c r="Q324" s="2" t="s">
        <v>3193</v>
      </c>
      <c r="R324" s="2"/>
      <c r="S324" s="2"/>
      <c r="T324" s="4" t="s">
        <v>121</v>
      </c>
      <c r="U324" s="2"/>
      <c r="V324" s="2" t="s">
        <v>6351</v>
      </c>
      <c r="W324" s="2" t="s">
        <v>6352</v>
      </c>
      <c r="X324" s="2" t="s">
        <v>6353</v>
      </c>
      <c r="Y324" s="2" t="s">
        <v>6354</v>
      </c>
      <c r="Z324" s="2"/>
      <c r="AA324" s="2"/>
      <c r="AB324" s="2"/>
      <c r="AC324" s="2"/>
      <c r="AD324" s="2"/>
      <c r="AE324" s="2"/>
      <c r="AF324" s="2" t="s">
        <v>6355</v>
      </c>
      <c r="AG324" s="2">
        <v>13.0</v>
      </c>
      <c r="AH324" s="2">
        <v>0.0</v>
      </c>
      <c r="AI324" s="2">
        <v>0.0</v>
      </c>
      <c r="AJ324" s="2">
        <v>1.0</v>
      </c>
      <c r="AK324" s="2">
        <v>1.0</v>
      </c>
      <c r="AL324" s="2" t="s">
        <v>129</v>
      </c>
      <c r="AM324" s="2" t="s">
        <v>130</v>
      </c>
      <c r="AN324" s="2" t="s">
        <v>131</v>
      </c>
      <c r="AO324" s="2"/>
      <c r="AP324" s="2"/>
      <c r="AQ324" s="2" t="s">
        <v>6356</v>
      </c>
      <c r="AR324" s="2"/>
      <c r="AS324" s="2"/>
      <c r="AT324" s="2"/>
      <c r="AU324" s="2">
        <v>2021.0</v>
      </c>
      <c r="AV324" s="2"/>
      <c r="AW324" s="2"/>
      <c r="AX324" s="2"/>
      <c r="AY324" s="2"/>
      <c r="AZ324" s="2"/>
      <c r="BA324" s="2"/>
      <c r="BB324" s="2"/>
      <c r="BC324" s="2"/>
      <c r="BD324" s="2"/>
      <c r="BE324" s="2"/>
      <c r="BF324" s="2"/>
      <c r="BG324" s="2"/>
      <c r="BH324" s="2"/>
      <c r="BI324" s="2">
        <v>10.0</v>
      </c>
      <c r="BJ324" s="2" t="s">
        <v>786</v>
      </c>
      <c r="BK324" s="2" t="s">
        <v>135</v>
      </c>
      <c r="BL324" s="2" t="s">
        <v>136</v>
      </c>
      <c r="BM324" s="2" t="s">
        <v>6357</v>
      </c>
      <c r="BN324" s="2"/>
      <c r="BO324" s="2"/>
      <c r="BP324" s="2"/>
      <c r="BQ324" s="2"/>
      <c r="BR324" s="2" t="s">
        <v>99</v>
      </c>
      <c r="BS324" s="2" t="s">
        <v>6358</v>
      </c>
      <c r="BT324" s="2" t="str">
        <f>HYPERLINK("https%3A%2F%2Fwww.webofscience.com%2Fwos%2Fwoscc%2Ffull-record%2FWOS:000947273300030","View Full Record in Web of Science")</f>
        <v>View Full Record in Web of Science</v>
      </c>
    </row>
    <row r="325" ht="64.5" customHeight="1">
      <c r="A325" s="2" t="s">
        <v>72</v>
      </c>
      <c r="B325" s="2" t="s">
        <v>6359</v>
      </c>
      <c r="C325" s="2"/>
      <c r="D325" s="2"/>
      <c r="E325" s="2"/>
      <c r="F325" s="2" t="s">
        <v>6360</v>
      </c>
      <c r="G325" s="2"/>
      <c r="H325" s="2"/>
      <c r="I325" s="2" t="s">
        <v>6361</v>
      </c>
      <c r="J325" s="2" t="s">
        <v>6362</v>
      </c>
      <c r="K325" s="2"/>
      <c r="L325" s="2"/>
      <c r="M325" s="2" t="s">
        <v>116</v>
      </c>
      <c r="N325" s="2" t="s">
        <v>78</v>
      </c>
      <c r="O325" s="2"/>
      <c r="P325" s="2"/>
      <c r="Q325" s="2"/>
      <c r="R325" s="2"/>
      <c r="S325" s="2"/>
      <c r="T325" s="2" t="s">
        <v>6363</v>
      </c>
      <c r="U325" s="2" t="s">
        <v>6364</v>
      </c>
      <c r="V325" s="2" t="s">
        <v>6365</v>
      </c>
      <c r="W325" s="2" t="s">
        <v>6366</v>
      </c>
      <c r="X325" s="2" t="s">
        <v>6367</v>
      </c>
      <c r="Y325" s="2" t="s">
        <v>6368</v>
      </c>
      <c r="Z325" s="2" t="s">
        <v>6369</v>
      </c>
      <c r="AA325" s="2" t="s">
        <v>6370</v>
      </c>
      <c r="AB325" s="2" t="s">
        <v>6371</v>
      </c>
      <c r="AC325" s="2"/>
      <c r="AD325" s="2"/>
      <c r="AE325" s="2"/>
      <c r="AF325" s="2" t="s">
        <v>6372</v>
      </c>
      <c r="AG325" s="2">
        <v>53.0</v>
      </c>
      <c r="AH325" s="2">
        <v>3.0</v>
      </c>
      <c r="AI325" s="2">
        <v>3.0</v>
      </c>
      <c r="AJ325" s="2">
        <v>1.0</v>
      </c>
      <c r="AK325" s="2">
        <v>15.0</v>
      </c>
      <c r="AL325" s="2" t="s">
        <v>656</v>
      </c>
      <c r="AM325" s="2" t="s">
        <v>657</v>
      </c>
      <c r="AN325" s="2" t="s">
        <v>658</v>
      </c>
      <c r="AO325" s="2" t="s">
        <v>6373</v>
      </c>
      <c r="AP325" s="2"/>
      <c r="AQ325" s="2"/>
      <c r="AR325" s="2" t="s">
        <v>6374</v>
      </c>
      <c r="AS325" s="2" t="s">
        <v>6375</v>
      </c>
      <c r="AT325" s="2" t="s">
        <v>292</v>
      </c>
      <c r="AU325" s="2">
        <v>2019.0</v>
      </c>
      <c r="AV325" s="2">
        <v>9.0</v>
      </c>
      <c r="AW325" s="2">
        <v>22.0</v>
      </c>
      <c r="AX325" s="2"/>
      <c r="AY325" s="2"/>
      <c r="AZ325" s="2"/>
      <c r="BA325" s="2"/>
      <c r="BB325" s="2">
        <v>12360.0</v>
      </c>
      <c r="BC325" s="2">
        <v>12373.0</v>
      </c>
      <c r="BD325" s="2"/>
      <c r="BE325" s="2" t="s">
        <v>6376</v>
      </c>
      <c r="BF325" s="3" t="str">
        <f>HYPERLINK("http://dx.doi.org/10.1002/ece3.5736","http://dx.doi.org/10.1002/ece3.5736")</f>
        <v>http://dx.doi.org/10.1002/ece3.5736</v>
      </c>
      <c r="BG325" s="2"/>
      <c r="BH325" s="2" t="s">
        <v>6377</v>
      </c>
      <c r="BI325" s="2">
        <v>14.0</v>
      </c>
      <c r="BJ325" s="2" t="s">
        <v>6378</v>
      </c>
      <c r="BK325" s="2" t="s">
        <v>363</v>
      </c>
      <c r="BL325" s="2" t="s">
        <v>6379</v>
      </c>
      <c r="BM325" s="2" t="s">
        <v>6380</v>
      </c>
      <c r="BN325" s="2">
        <v>3.1788183E7</v>
      </c>
      <c r="BO325" s="2" t="s">
        <v>272</v>
      </c>
      <c r="BP325" s="2"/>
      <c r="BQ325" s="2"/>
      <c r="BR325" s="2" t="s">
        <v>99</v>
      </c>
      <c r="BS325" s="2" t="s">
        <v>6381</v>
      </c>
      <c r="BT325" s="2" t="str">
        <f>HYPERLINK("https%3A%2F%2Fwww.webofscience.com%2Fwos%2Fwoscc%2Ffull-record%2FWOS:000492766200001","View Full Record in Web of Science")</f>
        <v>View Full Record in Web of Science</v>
      </c>
    </row>
    <row r="326" ht="64.5" customHeight="1">
      <c r="A326" s="2" t="s">
        <v>72</v>
      </c>
      <c r="B326" s="2" t="s">
        <v>6382</v>
      </c>
      <c r="C326" s="2"/>
      <c r="D326" s="2"/>
      <c r="E326" s="2"/>
      <c r="F326" s="2" t="s">
        <v>6382</v>
      </c>
      <c r="G326" s="2"/>
      <c r="H326" s="2"/>
      <c r="I326" s="2" t="s">
        <v>6383</v>
      </c>
      <c r="J326" s="2" t="s">
        <v>6384</v>
      </c>
      <c r="K326" s="2"/>
      <c r="L326" s="2"/>
      <c r="M326" s="2" t="s">
        <v>116</v>
      </c>
      <c r="N326" s="2" t="s">
        <v>78</v>
      </c>
      <c r="O326" s="2"/>
      <c r="P326" s="2"/>
      <c r="Q326" s="2"/>
      <c r="R326" s="2"/>
      <c r="S326" s="2"/>
      <c r="T326" s="4" t="s">
        <v>121</v>
      </c>
      <c r="U326" s="2"/>
      <c r="V326" s="2" t="s">
        <v>6385</v>
      </c>
      <c r="W326" s="2" t="s">
        <v>6386</v>
      </c>
      <c r="X326" s="2" t="s">
        <v>2930</v>
      </c>
      <c r="Y326" s="2" t="s">
        <v>6387</v>
      </c>
      <c r="Z326" s="2"/>
      <c r="AA326" s="2" t="s">
        <v>6388</v>
      </c>
      <c r="AB326" s="2" t="s">
        <v>6389</v>
      </c>
      <c r="AC326" s="2"/>
      <c r="AD326" s="2"/>
      <c r="AE326" s="2"/>
      <c r="AF326" s="2" t="s">
        <v>6390</v>
      </c>
      <c r="AG326" s="2">
        <v>23.0</v>
      </c>
      <c r="AH326" s="2">
        <v>8.0</v>
      </c>
      <c r="AI326" s="2">
        <v>8.0</v>
      </c>
      <c r="AJ326" s="2">
        <v>0.0</v>
      </c>
      <c r="AK326" s="2">
        <v>9.0</v>
      </c>
      <c r="AL326" s="2" t="s">
        <v>427</v>
      </c>
      <c r="AM326" s="2" t="s">
        <v>428</v>
      </c>
      <c r="AN326" s="2" t="s">
        <v>3025</v>
      </c>
      <c r="AO326" s="2" t="s">
        <v>6391</v>
      </c>
      <c r="AP326" s="2"/>
      <c r="AQ326" s="2"/>
      <c r="AR326" s="2" t="s">
        <v>6384</v>
      </c>
      <c r="AS326" s="2" t="s">
        <v>6392</v>
      </c>
      <c r="AT326" s="2" t="s">
        <v>6393</v>
      </c>
      <c r="AU326" s="2">
        <v>1993.0</v>
      </c>
      <c r="AV326" s="2">
        <v>110.0</v>
      </c>
      <c r="AW326" s="2">
        <v>1.0</v>
      </c>
      <c r="AX326" s="2"/>
      <c r="AY326" s="2"/>
      <c r="AZ326" s="2"/>
      <c r="BA326" s="2"/>
      <c r="BB326" s="2">
        <v>13.0</v>
      </c>
      <c r="BC326" s="2">
        <v>26.0</v>
      </c>
      <c r="BD326" s="2"/>
      <c r="BE326" s="2" t="s">
        <v>6394</v>
      </c>
      <c r="BF326" s="3" t="str">
        <f>HYPERLINK("http://dx.doi.org/10.1016/0044-8486(93)90430-7","http://dx.doi.org/10.1016/0044-8486(93)90430-7")</f>
        <v>http://dx.doi.org/10.1016/0044-8486(93)90430-7</v>
      </c>
      <c r="BG326" s="2"/>
      <c r="BH326" s="2"/>
      <c r="BI326" s="2">
        <v>14.0</v>
      </c>
      <c r="BJ326" s="2" t="s">
        <v>362</v>
      </c>
      <c r="BK326" s="2" t="s">
        <v>226</v>
      </c>
      <c r="BL326" s="2" t="s">
        <v>362</v>
      </c>
      <c r="BM326" s="2" t="s">
        <v>6395</v>
      </c>
      <c r="BN326" s="2"/>
      <c r="BO326" s="2"/>
      <c r="BP326" s="2"/>
      <c r="BQ326" s="2"/>
      <c r="BR326" s="2" t="s">
        <v>99</v>
      </c>
      <c r="BS326" s="2" t="s">
        <v>6396</v>
      </c>
      <c r="BT326" s="2" t="str">
        <f>HYPERLINK("https%3A%2F%2Fwww.webofscience.com%2Fwos%2Fwoscc%2Ffull-record%2FWOS:A1993KL59600002","View Full Record in Web of Science")</f>
        <v>View Full Record in Web of Science</v>
      </c>
    </row>
    <row r="327" ht="64.5" customHeight="1">
      <c r="A327" s="2" t="s">
        <v>110</v>
      </c>
      <c r="B327" s="2" t="s">
        <v>6397</v>
      </c>
      <c r="C327" s="2"/>
      <c r="D327" s="2"/>
      <c r="E327" s="2" t="s">
        <v>774</v>
      </c>
      <c r="F327" s="2" t="s">
        <v>6398</v>
      </c>
      <c r="G327" s="2"/>
      <c r="H327" s="2"/>
      <c r="I327" s="2" t="s">
        <v>6399</v>
      </c>
      <c r="J327" s="2" t="s">
        <v>777</v>
      </c>
      <c r="K327" s="2" t="s">
        <v>115</v>
      </c>
      <c r="L327" s="2"/>
      <c r="M327" s="2" t="s">
        <v>116</v>
      </c>
      <c r="N327" s="2" t="s">
        <v>117</v>
      </c>
      <c r="O327" s="2" t="s">
        <v>778</v>
      </c>
      <c r="P327" s="2" t="s">
        <v>779</v>
      </c>
      <c r="Q327" s="2" t="s">
        <v>780</v>
      </c>
      <c r="R327" s="2"/>
      <c r="S327" s="2"/>
      <c r="T327" s="4" t="s">
        <v>121</v>
      </c>
      <c r="U327" s="2"/>
      <c r="V327" s="2"/>
      <c r="W327" s="2" t="s">
        <v>6400</v>
      </c>
      <c r="X327" s="2" t="s">
        <v>124</v>
      </c>
      <c r="Y327" s="2" t="s">
        <v>6401</v>
      </c>
      <c r="Z327" s="2"/>
      <c r="AA327" s="2"/>
      <c r="AB327" s="2"/>
      <c r="AC327" s="2"/>
      <c r="AD327" s="2"/>
      <c r="AE327" s="2"/>
      <c r="AF327" s="2"/>
      <c r="AG327" s="2">
        <v>0.0</v>
      </c>
      <c r="AH327" s="2">
        <v>0.0</v>
      </c>
      <c r="AI327" s="2">
        <v>0.0</v>
      </c>
      <c r="AJ327" s="2">
        <v>0.0</v>
      </c>
      <c r="AK327" s="2">
        <v>2.0</v>
      </c>
      <c r="AL327" s="2" t="s">
        <v>129</v>
      </c>
      <c r="AM327" s="2" t="s">
        <v>130</v>
      </c>
      <c r="AN327" s="2" t="s">
        <v>131</v>
      </c>
      <c r="AO327" s="2" t="s">
        <v>132</v>
      </c>
      <c r="AP327" s="2"/>
      <c r="AQ327" s="2" t="s">
        <v>785</v>
      </c>
      <c r="AR327" s="2" t="s">
        <v>115</v>
      </c>
      <c r="AS327" s="2"/>
      <c r="AT327" s="2"/>
      <c r="AU327" s="2">
        <v>2008.0</v>
      </c>
      <c r="AV327" s="2"/>
      <c r="AW327" s="2"/>
      <c r="AX327" s="2"/>
      <c r="AY327" s="2"/>
      <c r="AZ327" s="2"/>
      <c r="BA327" s="2"/>
      <c r="BB327" s="2">
        <v>2027.0</v>
      </c>
      <c r="BC327" s="2">
        <v>2028.0</v>
      </c>
      <c r="BD327" s="2"/>
      <c r="BE327" s="2"/>
      <c r="BF327" s="2"/>
      <c r="BG327" s="2"/>
      <c r="BH327" s="2"/>
      <c r="BI327" s="2">
        <v>2.0</v>
      </c>
      <c r="BJ327" s="2" t="s">
        <v>786</v>
      </c>
      <c r="BK327" s="2" t="s">
        <v>135</v>
      </c>
      <c r="BL327" s="2" t="s">
        <v>136</v>
      </c>
      <c r="BM327" s="2" t="s">
        <v>787</v>
      </c>
      <c r="BN327" s="2"/>
      <c r="BO327" s="2"/>
      <c r="BP327" s="2"/>
      <c r="BQ327" s="2"/>
      <c r="BR327" s="2" t="s">
        <v>99</v>
      </c>
      <c r="BS327" s="2" t="s">
        <v>6402</v>
      </c>
      <c r="BT327" s="2" t="str">
        <f>HYPERLINK("https%3A%2F%2Fwww.webofscience.com%2Fwos%2Fwoscc%2Ffull-record%2FWOS:000265654501130","View Full Record in Web of Science")</f>
        <v>View Full Record in Web of Science</v>
      </c>
    </row>
    <row r="328" ht="64.5" customHeight="1">
      <c r="A328" s="2" t="s">
        <v>110</v>
      </c>
      <c r="B328" s="2" t="s">
        <v>6403</v>
      </c>
      <c r="C328" s="2"/>
      <c r="D328" s="2"/>
      <c r="E328" s="2" t="s">
        <v>129</v>
      </c>
      <c r="F328" s="2" t="s">
        <v>6404</v>
      </c>
      <c r="G328" s="2"/>
      <c r="H328" s="2"/>
      <c r="I328" s="2" t="s">
        <v>6405</v>
      </c>
      <c r="J328" s="2" t="s">
        <v>6406</v>
      </c>
      <c r="K328" s="2"/>
      <c r="L328" s="2"/>
      <c r="M328" s="2" t="s">
        <v>116</v>
      </c>
      <c r="N328" s="2" t="s">
        <v>117</v>
      </c>
      <c r="O328" s="2" t="s">
        <v>6407</v>
      </c>
      <c r="P328" s="2" t="s">
        <v>6408</v>
      </c>
      <c r="Q328" s="2" t="s">
        <v>3193</v>
      </c>
      <c r="R328" s="2"/>
      <c r="S328" s="2"/>
      <c r="T328" s="2" t="s">
        <v>6409</v>
      </c>
      <c r="U328" s="2"/>
      <c r="V328" s="2" t="s">
        <v>6410</v>
      </c>
      <c r="W328" s="2" t="s">
        <v>6411</v>
      </c>
      <c r="X328" s="2" t="s">
        <v>6412</v>
      </c>
      <c r="Y328" s="2" t="s">
        <v>6413</v>
      </c>
      <c r="Z328" s="2" t="s">
        <v>6414</v>
      </c>
      <c r="AA328" s="2" t="s">
        <v>6415</v>
      </c>
      <c r="AB328" s="2" t="s">
        <v>6416</v>
      </c>
      <c r="AC328" s="2" t="s">
        <v>6417</v>
      </c>
      <c r="AD328" s="2" t="s">
        <v>6418</v>
      </c>
      <c r="AE328" s="2" t="s">
        <v>6419</v>
      </c>
      <c r="AF328" s="2" t="s">
        <v>6420</v>
      </c>
      <c r="AG328" s="2">
        <v>30.0</v>
      </c>
      <c r="AH328" s="2">
        <v>0.0</v>
      </c>
      <c r="AI328" s="2">
        <v>0.0</v>
      </c>
      <c r="AJ328" s="2">
        <v>2.0</v>
      </c>
      <c r="AK328" s="2">
        <v>2.0</v>
      </c>
      <c r="AL328" s="2" t="s">
        <v>129</v>
      </c>
      <c r="AM328" s="2" t="s">
        <v>130</v>
      </c>
      <c r="AN328" s="2" t="s">
        <v>131</v>
      </c>
      <c r="AO328" s="2"/>
      <c r="AP328" s="2"/>
      <c r="AQ328" s="2" t="s">
        <v>6421</v>
      </c>
      <c r="AR328" s="2"/>
      <c r="AS328" s="2"/>
      <c r="AT328" s="2"/>
      <c r="AU328" s="2">
        <v>2021.0</v>
      </c>
      <c r="AV328" s="2"/>
      <c r="AW328" s="2"/>
      <c r="AX328" s="2"/>
      <c r="AY328" s="2"/>
      <c r="AZ328" s="2"/>
      <c r="BA328" s="2"/>
      <c r="BB328" s="2">
        <v>859.0</v>
      </c>
      <c r="BC328" s="2">
        <v>863.0</v>
      </c>
      <c r="BD328" s="2"/>
      <c r="BE328" s="2" t="s">
        <v>6422</v>
      </c>
      <c r="BF328" s="3" t="str">
        <f>HYPERLINK("http://dx.doi.org/10.1109/CHILECON54041.2021.9703075","http://dx.doi.org/10.1109/CHILECON54041.2021.9703075")</f>
        <v>http://dx.doi.org/10.1109/CHILECON54041.2021.9703075</v>
      </c>
      <c r="BG328" s="2"/>
      <c r="BH328" s="2"/>
      <c r="BI328" s="2">
        <v>5.0</v>
      </c>
      <c r="BJ328" s="2" t="s">
        <v>6423</v>
      </c>
      <c r="BK328" s="2" t="s">
        <v>135</v>
      </c>
      <c r="BL328" s="2" t="s">
        <v>1721</v>
      </c>
      <c r="BM328" s="2" t="s">
        <v>6424</v>
      </c>
      <c r="BN328" s="2"/>
      <c r="BO328" s="2"/>
      <c r="BP328" s="2"/>
      <c r="BQ328" s="2"/>
      <c r="BR328" s="2" t="s">
        <v>99</v>
      </c>
      <c r="BS328" s="2" t="s">
        <v>6425</v>
      </c>
      <c r="BT328" s="2" t="str">
        <f>HYPERLINK("https%3A%2F%2Fwww.webofscience.com%2Fwos%2Fwoscc%2Ffull-record%2FWOS:000788072700142","View Full Record in Web of Science")</f>
        <v>View Full Record in Web of Science</v>
      </c>
    </row>
    <row r="329" ht="64.5" customHeight="1">
      <c r="A329" s="2" t="s">
        <v>72</v>
      </c>
      <c r="B329" s="2" t="s">
        <v>6426</v>
      </c>
      <c r="C329" s="2"/>
      <c r="D329" s="2"/>
      <c r="E329" s="2"/>
      <c r="F329" s="2" t="s">
        <v>6427</v>
      </c>
      <c r="G329" s="2"/>
      <c r="H329" s="2"/>
      <c r="I329" s="2" t="s">
        <v>6428</v>
      </c>
      <c r="J329" s="2" t="s">
        <v>809</v>
      </c>
      <c r="K329" s="2"/>
      <c r="L329" s="2"/>
      <c r="M329" s="2" t="s">
        <v>116</v>
      </c>
      <c r="N329" s="2" t="s">
        <v>78</v>
      </c>
      <c r="O329" s="2"/>
      <c r="P329" s="2"/>
      <c r="Q329" s="2"/>
      <c r="R329" s="2"/>
      <c r="S329" s="2"/>
      <c r="T329" s="2" t="s">
        <v>6429</v>
      </c>
      <c r="U329" s="2" t="s">
        <v>6430</v>
      </c>
      <c r="V329" s="2" t="s">
        <v>6431</v>
      </c>
      <c r="W329" s="2" t="s">
        <v>6432</v>
      </c>
      <c r="X329" s="2" t="s">
        <v>6433</v>
      </c>
      <c r="Y329" s="2" t="s">
        <v>6434</v>
      </c>
      <c r="Z329" s="2" t="s">
        <v>6435</v>
      </c>
      <c r="AA329" s="2" t="s">
        <v>6436</v>
      </c>
      <c r="AB329" s="2" t="s">
        <v>6437</v>
      </c>
      <c r="AC329" s="2" t="s">
        <v>6438</v>
      </c>
      <c r="AD329" s="2" t="s">
        <v>6439</v>
      </c>
      <c r="AE329" s="2" t="s">
        <v>6440</v>
      </c>
      <c r="AF329" s="2" t="s">
        <v>6441</v>
      </c>
      <c r="AG329" s="2">
        <v>43.0</v>
      </c>
      <c r="AH329" s="2">
        <v>0.0</v>
      </c>
      <c r="AI329" s="2">
        <v>0.0</v>
      </c>
      <c r="AJ329" s="2">
        <v>4.0</v>
      </c>
      <c r="AK329" s="2">
        <v>9.0</v>
      </c>
      <c r="AL329" s="2" t="s">
        <v>821</v>
      </c>
      <c r="AM329" s="2" t="s">
        <v>822</v>
      </c>
      <c r="AN329" s="2" t="s">
        <v>823</v>
      </c>
      <c r="AO329" s="2" t="s">
        <v>824</v>
      </c>
      <c r="AP329" s="2" t="s">
        <v>825</v>
      </c>
      <c r="AQ329" s="2"/>
      <c r="AR329" s="2" t="s">
        <v>826</v>
      </c>
      <c r="AS329" s="2" t="s">
        <v>827</v>
      </c>
      <c r="AT329" s="2"/>
      <c r="AU329" s="2">
        <v>2023.0</v>
      </c>
      <c r="AV329" s="2">
        <v>84.0</v>
      </c>
      <c r="AW329" s="2">
        <v>1.0</v>
      </c>
      <c r="AX329" s="2"/>
      <c r="AY329" s="2"/>
      <c r="AZ329" s="2"/>
      <c r="BA329" s="2"/>
      <c r="BB329" s="2">
        <v>306.0</v>
      </c>
      <c r="BC329" s="2">
        <v>327.0</v>
      </c>
      <c r="BD329" s="2"/>
      <c r="BE329" s="2" t="s">
        <v>6442</v>
      </c>
      <c r="BF329" s="3" t="str">
        <f>HYPERLINK("http://dx.doi.org/10.34659/eis.2023.84.1.576","http://dx.doi.org/10.34659/eis.2023.84.1.576")</f>
        <v>http://dx.doi.org/10.34659/eis.2023.84.1.576</v>
      </c>
      <c r="BG329" s="2"/>
      <c r="BH329" s="2"/>
      <c r="BI329" s="2">
        <v>22.0</v>
      </c>
      <c r="BJ329" s="2" t="s">
        <v>95</v>
      </c>
      <c r="BK329" s="2" t="s">
        <v>96</v>
      </c>
      <c r="BL329" s="2" t="s">
        <v>97</v>
      </c>
      <c r="BM329" s="2" t="s">
        <v>6443</v>
      </c>
      <c r="BN329" s="2"/>
      <c r="BO329" s="2" t="s">
        <v>201</v>
      </c>
      <c r="BP329" s="2"/>
      <c r="BQ329" s="2"/>
      <c r="BR329" s="2" t="s">
        <v>99</v>
      </c>
      <c r="BS329" s="2" t="s">
        <v>6444</v>
      </c>
      <c r="BT329" s="2" t="str">
        <f>HYPERLINK("https%3A%2F%2Fwww.webofscience.com%2Fwos%2Fwoscc%2Ffull-record%2FWOS:000996236000016","View Full Record in Web of Science")</f>
        <v>View Full Record in Web of Science</v>
      </c>
    </row>
    <row r="330" ht="64.5" customHeight="1">
      <c r="A330" s="2" t="s">
        <v>110</v>
      </c>
      <c r="B330" s="2" t="s">
        <v>6445</v>
      </c>
      <c r="C330" s="2"/>
      <c r="D330" s="2" t="s">
        <v>6446</v>
      </c>
      <c r="E330" s="2"/>
      <c r="F330" s="2" t="s">
        <v>6447</v>
      </c>
      <c r="G330" s="2"/>
      <c r="H330" s="2"/>
      <c r="I330" s="2" t="s">
        <v>6448</v>
      </c>
      <c r="J330" s="2" t="s">
        <v>6449</v>
      </c>
      <c r="K330" s="2" t="s">
        <v>6450</v>
      </c>
      <c r="L330" s="2"/>
      <c r="M330" s="2" t="s">
        <v>116</v>
      </c>
      <c r="N330" s="2" t="s">
        <v>117</v>
      </c>
      <c r="O330" s="2" t="s">
        <v>6451</v>
      </c>
      <c r="P330" s="2" t="s">
        <v>6452</v>
      </c>
      <c r="Q330" s="2" t="s">
        <v>6453</v>
      </c>
      <c r="R330" s="2"/>
      <c r="S330" s="2"/>
      <c r="T330" s="4" t="s">
        <v>121</v>
      </c>
      <c r="U330" s="2" t="s">
        <v>6454</v>
      </c>
      <c r="V330" s="2" t="s">
        <v>6455</v>
      </c>
      <c r="W330" s="2" t="s">
        <v>6456</v>
      </c>
      <c r="X330" s="2" t="s">
        <v>6457</v>
      </c>
      <c r="Y330" s="2" t="s">
        <v>6458</v>
      </c>
      <c r="Z330" s="2" t="s">
        <v>6459</v>
      </c>
      <c r="AA330" s="2" t="s">
        <v>6460</v>
      </c>
      <c r="AB330" s="2" t="s">
        <v>6461</v>
      </c>
      <c r="AC330" s="2"/>
      <c r="AD330" s="2"/>
      <c r="AE330" s="2"/>
      <c r="AF330" s="2" t="s">
        <v>6462</v>
      </c>
      <c r="AG330" s="2">
        <v>6.0</v>
      </c>
      <c r="AH330" s="2">
        <v>10.0</v>
      </c>
      <c r="AI330" s="2">
        <v>10.0</v>
      </c>
      <c r="AJ330" s="2">
        <v>0.0</v>
      </c>
      <c r="AK330" s="2">
        <v>5.0</v>
      </c>
      <c r="AL330" s="2" t="s">
        <v>6463</v>
      </c>
      <c r="AM330" s="2" t="s">
        <v>6464</v>
      </c>
      <c r="AN330" s="2" t="s">
        <v>6465</v>
      </c>
      <c r="AO330" s="2" t="s">
        <v>6466</v>
      </c>
      <c r="AP330" s="2"/>
      <c r="AQ330" s="2" t="s">
        <v>6467</v>
      </c>
      <c r="AR330" s="2" t="s">
        <v>6468</v>
      </c>
      <c r="AS330" s="2"/>
      <c r="AT330" s="2"/>
      <c r="AU330" s="2">
        <v>2014.0</v>
      </c>
      <c r="AV330" s="2">
        <v>39.0</v>
      </c>
      <c r="AW330" s="2"/>
      <c r="AX330" s="2"/>
      <c r="AY330" s="2"/>
      <c r="AZ330" s="2"/>
      <c r="BA330" s="2"/>
      <c r="BB330" s="2">
        <v>877.0</v>
      </c>
      <c r="BC330" s="2" t="s">
        <v>1458</v>
      </c>
      <c r="BD330" s="2"/>
      <c r="BE330" s="2" t="s">
        <v>6469</v>
      </c>
      <c r="BF330" s="3" t="str">
        <f>HYPERLINK("http://dx.doi.org/10.3303/CET1439147","http://dx.doi.org/10.3303/CET1439147")</f>
        <v>http://dx.doi.org/10.3303/CET1439147</v>
      </c>
      <c r="BG330" s="2"/>
      <c r="BH330" s="2"/>
      <c r="BI330" s="2">
        <v>2.0</v>
      </c>
      <c r="BJ330" s="2" t="s">
        <v>6470</v>
      </c>
      <c r="BK330" s="2" t="s">
        <v>135</v>
      </c>
      <c r="BL330" s="2" t="s">
        <v>1721</v>
      </c>
      <c r="BM330" s="2" t="s">
        <v>6471</v>
      </c>
      <c r="BN330" s="2"/>
      <c r="BO330" s="2"/>
      <c r="BP330" s="2"/>
      <c r="BQ330" s="2"/>
      <c r="BR330" s="2" t="s">
        <v>99</v>
      </c>
      <c r="BS330" s="2" t="s">
        <v>6472</v>
      </c>
      <c r="BT330" s="2" t="str">
        <f>HYPERLINK("https%3A%2F%2Fwww.webofscience.com%2Fwos%2Fwoscc%2Ffull-record%2FWOS:000346757600147","View Full Record in Web of Science")</f>
        <v>View Full Record in Web of Science</v>
      </c>
    </row>
    <row r="331" ht="64.5" customHeight="1">
      <c r="A331" s="2" t="s">
        <v>72</v>
      </c>
      <c r="B331" s="2" t="s">
        <v>6473</v>
      </c>
      <c r="C331" s="2"/>
      <c r="D331" s="2"/>
      <c r="E331" s="2"/>
      <c r="F331" s="2" t="s">
        <v>6474</v>
      </c>
      <c r="G331" s="2"/>
      <c r="H331" s="2"/>
      <c r="I331" s="2" t="s">
        <v>6475</v>
      </c>
      <c r="J331" s="2" t="s">
        <v>4576</v>
      </c>
      <c r="K331" s="2"/>
      <c r="L331" s="2"/>
      <c r="M331" s="2" t="s">
        <v>116</v>
      </c>
      <c r="N331" s="2" t="s">
        <v>78</v>
      </c>
      <c r="O331" s="2"/>
      <c r="P331" s="2"/>
      <c r="Q331" s="2"/>
      <c r="R331" s="2"/>
      <c r="S331" s="2"/>
      <c r="T331" s="4" t="s">
        <v>121</v>
      </c>
      <c r="U331" s="2"/>
      <c r="V331" s="2" t="s">
        <v>6476</v>
      </c>
      <c r="W331" s="2" t="s">
        <v>6477</v>
      </c>
      <c r="X331" s="2" t="s">
        <v>6478</v>
      </c>
      <c r="Y331" s="2" t="s">
        <v>6479</v>
      </c>
      <c r="Z331" s="2" t="s">
        <v>6480</v>
      </c>
      <c r="AA331" s="2"/>
      <c r="AB331" s="2"/>
      <c r="AC331" s="2"/>
      <c r="AD331" s="2"/>
      <c r="AE331" s="2"/>
      <c r="AF331" s="2" t="s">
        <v>6481</v>
      </c>
      <c r="AG331" s="2">
        <v>31.0</v>
      </c>
      <c r="AH331" s="2">
        <v>2.0</v>
      </c>
      <c r="AI331" s="2">
        <v>2.0</v>
      </c>
      <c r="AJ331" s="2">
        <v>0.0</v>
      </c>
      <c r="AK331" s="2">
        <v>14.0</v>
      </c>
      <c r="AL331" s="2" t="s">
        <v>4580</v>
      </c>
      <c r="AM331" s="2" t="s">
        <v>4581</v>
      </c>
      <c r="AN331" s="2" t="s">
        <v>4582</v>
      </c>
      <c r="AO331" s="2" t="s">
        <v>4583</v>
      </c>
      <c r="AP331" s="2"/>
      <c r="AQ331" s="2"/>
      <c r="AR331" s="2" t="s">
        <v>4576</v>
      </c>
      <c r="AS331" s="2" t="s">
        <v>4584</v>
      </c>
      <c r="AT331" s="2" t="s">
        <v>358</v>
      </c>
      <c r="AU331" s="2">
        <v>2016.0</v>
      </c>
      <c r="AV331" s="2">
        <v>29.0</v>
      </c>
      <c r="AW331" s="2">
        <v>1.0</v>
      </c>
      <c r="AX331" s="2"/>
      <c r="AY331" s="2"/>
      <c r="AZ331" s="2" t="s">
        <v>359</v>
      </c>
      <c r="BA331" s="2"/>
      <c r="BB331" s="2">
        <v>36.0</v>
      </c>
      <c r="BC331" s="2">
        <v>43.0</v>
      </c>
      <c r="BD331" s="2"/>
      <c r="BE331" s="2" t="s">
        <v>6482</v>
      </c>
      <c r="BF331" s="3" t="str">
        <f>HYPERLINK("http://dx.doi.org/10.5670/oceanog.2016.09","http://dx.doi.org/10.5670/oceanog.2016.09")</f>
        <v>http://dx.doi.org/10.5670/oceanog.2016.09</v>
      </c>
      <c r="BG331" s="2"/>
      <c r="BH331" s="2"/>
      <c r="BI331" s="2">
        <v>8.0</v>
      </c>
      <c r="BJ331" s="2" t="s">
        <v>4584</v>
      </c>
      <c r="BK331" s="2" t="s">
        <v>363</v>
      </c>
      <c r="BL331" s="2" t="s">
        <v>4584</v>
      </c>
      <c r="BM331" s="2" t="s">
        <v>6483</v>
      </c>
      <c r="BN331" s="2"/>
      <c r="BO331" s="2" t="s">
        <v>1594</v>
      </c>
      <c r="BP331" s="2"/>
      <c r="BQ331" s="2"/>
      <c r="BR331" s="2" t="s">
        <v>99</v>
      </c>
      <c r="BS331" s="2" t="s">
        <v>6484</v>
      </c>
      <c r="BT331" s="2" t="str">
        <f>HYPERLINK("https%3A%2F%2Fwww.webofscience.com%2Fwos%2Fwoscc%2Ffull-record%2FWOS:000374097800009","View Full Record in Web of Science")</f>
        <v>View Full Record in Web of Science</v>
      </c>
    </row>
    <row r="332" ht="64.5" customHeight="1">
      <c r="A332" s="2" t="s">
        <v>72</v>
      </c>
      <c r="B332" s="2" t="s">
        <v>6485</v>
      </c>
      <c r="C332" s="2"/>
      <c r="D332" s="2"/>
      <c r="E332" s="2"/>
      <c r="F332" s="2" t="s">
        <v>6486</v>
      </c>
      <c r="G332" s="2"/>
      <c r="H332" s="2"/>
      <c r="I332" s="2" t="s">
        <v>6487</v>
      </c>
      <c r="J332" s="2" t="s">
        <v>712</v>
      </c>
      <c r="K332" s="2"/>
      <c r="L332" s="2"/>
      <c r="M332" s="2" t="s">
        <v>116</v>
      </c>
      <c r="N332" s="2" t="s">
        <v>78</v>
      </c>
      <c r="O332" s="2"/>
      <c r="P332" s="2"/>
      <c r="Q332" s="2"/>
      <c r="R332" s="2"/>
      <c r="S332" s="2"/>
      <c r="T332" s="2" t="s">
        <v>6488</v>
      </c>
      <c r="U332" s="2" t="s">
        <v>6489</v>
      </c>
      <c r="V332" s="2" t="s">
        <v>6490</v>
      </c>
      <c r="W332" s="2" t="s">
        <v>6491</v>
      </c>
      <c r="X332" s="2" t="s">
        <v>6187</v>
      </c>
      <c r="Y332" s="2" t="s">
        <v>6492</v>
      </c>
      <c r="Z332" s="2" t="s">
        <v>6493</v>
      </c>
      <c r="AA332" s="2" t="s">
        <v>6494</v>
      </c>
      <c r="AB332" s="2" t="s">
        <v>6495</v>
      </c>
      <c r="AC332" s="2" t="s">
        <v>6496</v>
      </c>
      <c r="AD332" s="2" t="s">
        <v>6497</v>
      </c>
      <c r="AE332" s="2" t="s">
        <v>6498</v>
      </c>
      <c r="AF332" s="2" t="s">
        <v>6499</v>
      </c>
      <c r="AG332" s="2">
        <v>58.0</v>
      </c>
      <c r="AH332" s="2">
        <v>1.0</v>
      </c>
      <c r="AI332" s="2">
        <v>1.0</v>
      </c>
      <c r="AJ332" s="2">
        <v>2.0</v>
      </c>
      <c r="AK332" s="2">
        <v>15.0</v>
      </c>
      <c r="AL332" s="2" t="s">
        <v>726</v>
      </c>
      <c r="AM332" s="2" t="s">
        <v>727</v>
      </c>
      <c r="AN332" s="2" t="s">
        <v>728</v>
      </c>
      <c r="AO332" s="2" t="s">
        <v>729</v>
      </c>
      <c r="AP332" s="2"/>
      <c r="AQ332" s="2"/>
      <c r="AR332" s="2" t="s">
        <v>730</v>
      </c>
      <c r="AS332" s="2" t="s">
        <v>731</v>
      </c>
      <c r="AT332" s="2"/>
      <c r="AU332" s="2">
        <v>2022.0</v>
      </c>
      <c r="AV332" s="2">
        <v>23.0</v>
      </c>
      <c r="AW332" s="2">
        <v>3.0</v>
      </c>
      <c r="AX332" s="2"/>
      <c r="AY332" s="2"/>
      <c r="AZ332" s="2"/>
      <c r="BA332" s="2"/>
      <c r="BB332" s="2">
        <v>637.0</v>
      </c>
      <c r="BC332" s="2">
        <v>649.0</v>
      </c>
      <c r="BD332" s="2"/>
      <c r="BE332" s="2" t="s">
        <v>6500</v>
      </c>
      <c r="BF332" s="3" t="str">
        <f>HYPERLINK("http://dx.doi.org/10.12681/mms.28749","http://dx.doi.org/10.12681/mms.28749")</f>
        <v>http://dx.doi.org/10.12681/mms.28749</v>
      </c>
      <c r="BG332" s="2"/>
      <c r="BH332" s="2"/>
      <c r="BI332" s="2">
        <v>14.0</v>
      </c>
      <c r="BJ332" s="2" t="s">
        <v>733</v>
      </c>
      <c r="BK332" s="2" t="s">
        <v>226</v>
      </c>
      <c r="BL332" s="2" t="s">
        <v>734</v>
      </c>
      <c r="BM332" s="2" t="s">
        <v>6501</v>
      </c>
      <c r="BN332" s="2"/>
      <c r="BO332" s="2" t="s">
        <v>2100</v>
      </c>
      <c r="BP332" s="2"/>
      <c r="BQ332" s="2"/>
      <c r="BR332" s="2" t="s">
        <v>99</v>
      </c>
      <c r="BS332" s="2" t="s">
        <v>6502</v>
      </c>
      <c r="BT332" s="2" t="str">
        <f>HYPERLINK("https%3A%2F%2Fwww.webofscience.com%2Fwos%2Fwoscc%2Ffull-record%2FWOS:000822479200005","View Full Record in Web of Science")</f>
        <v>View Full Record in Web of Science</v>
      </c>
    </row>
    <row r="333" ht="64.5" customHeight="1">
      <c r="A333" s="2" t="s">
        <v>72</v>
      </c>
      <c r="B333" s="2" t="s">
        <v>6503</v>
      </c>
      <c r="C333" s="2"/>
      <c r="D333" s="2"/>
      <c r="E333" s="2"/>
      <c r="F333" s="2" t="s">
        <v>6504</v>
      </c>
      <c r="G333" s="2"/>
      <c r="H333" s="2"/>
      <c r="I333" s="2" t="s">
        <v>6505</v>
      </c>
      <c r="J333" s="2" t="s">
        <v>6506</v>
      </c>
      <c r="K333" s="2"/>
      <c r="L333" s="2"/>
      <c r="M333" s="2" t="s">
        <v>116</v>
      </c>
      <c r="N333" s="2" t="s">
        <v>78</v>
      </c>
      <c r="O333" s="2"/>
      <c r="P333" s="2"/>
      <c r="Q333" s="2"/>
      <c r="R333" s="2"/>
      <c r="S333" s="2"/>
      <c r="T333" s="4" t="s">
        <v>121</v>
      </c>
      <c r="U333" s="2" t="s">
        <v>6507</v>
      </c>
      <c r="V333" s="2" t="s">
        <v>6508</v>
      </c>
      <c r="W333" s="2" t="s">
        <v>6509</v>
      </c>
      <c r="X333" s="2" t="s">
        <v>6187</v>
      </c>
      <c r="Y333" s="2" t="s">
        <v>6510</v>
      </c>
      <c r="Z333" s="2" t="s">
        <v>6511</v>
      </c>
      <c r="AA333" s="2" t="s">
        <v>6512</v>
      </c>
      <c r="AB333" s="2" t="s">
        <v>6513</v>
      </c>
      <c r="AC333" s="2" t="s">
        <v>6514</v>
      </c>
      <c r="AD333" s="2" t="s">
        <v>6515</v>
      </c>
      <c r="AE333" s="2" t="s">
        <v>6516</v>
      </c>
      <c r="AF333" s="2" t="s">
        <v>6517</v>
      </c>
      <c r="AG333" s="2">
        <v>76.0</v>
      </c>
      <c r="AH333" s="2">
        <v>5.0</v>
      </c>
      <c r="AI333" s="2">
        <v>5.0</v>
      </c>
      <c r="AJ333" s="2">
        <v>2.0</v>
      </c>
      <c r="AK333" s="2">
        <v>18.0</v>
      </c>
      <c r="AL333" s="2" t="s">
        <v>6518</v>
      </c>
      <c r="AM333" s="2" t="s">
        <v>6519</v>
      </c>
      <c r="AN333" s="2" t="s">
        <v>6520</v>
      </c>
      <c r="AO333" s="2" t="s">
        <v>6521</v>
      </c>
      <c r="AP333" s="2"/>
      <c r="AQ333" s="2"/>
      <c r="AR333" s="2" t="s">
        <v>6506</v>
      </c>
      <c r="AS333" s="2" t="s">
        <v>6522</v>
      </c>
      <c r="AT333" s="2" t="s">
        <v>4622</v>
      </c>
      <c r="AU333" s="2">
        <v>2023.0</v>
      </c>
      <c r="AV333" s="2">
        <v>18.0</v>
      </c>
      <c r="AW333" s="2">
        <v>3.0</v>
      </c>
      <c r="AX333" s="2"/>
      <c r="AY333" s="2"/>
      <c r="AZ333" s="2"/>
      <c r="BA333" s="2"/>
      <c r="BB333" s="2"/>
      <c r="BC333" s="2"/>
      <c r="BD333" s="2" t="s">
        <v>6523</v>
      </c>
      <c r="BE333" s="2" t="s">
        <v>6524</v>
      </c>
      <c r="BF333" s="3" t="str">
        <f>HYPERLINK("http://dx.doi.org/10.1371/journal.pone.0280518","http://dx.doi.org/10.1371/journal.pone.0280518")</f>
        <v>http://dx.doi.org/10.1371/journal.pone.0280518</v>
      </c>
      <c r="BG333" s="2"/>
      <c r="BH333" s="2"/>
      <c r="BI333" s="2">
        <v>23.0</v>
      </c>
      <c r="BJ333" s="2" t="s">
        <v>2066</v>
      </c>
      <c r="BK333" s="2" t="s">
        <v>226</v>
      </c>
      <c r="BL333" s="2" t="s">
        <v>2067</v>
      </c>
      <c r="BM333" s="2" t="s">
        <v>6525</v>
      </c>
      <c r="BN333" s="2">
        <v>3.6913347E7</v>
      </c>
      <c r="BO333" s="2" t="s">
        <v>601</v>
      </c>
      <c r="BP333" s="2"/>
      <c r="BQ333" s="2"/>
      <c r="BR333" s="2" t="s">
        <v>99</v>
      </c>
      <c r="BS333" s="2" t="s">
        <v>6526</v>
      </c>
      <c r="BT333" s="2" t="str">
        <f>HYPERLINK("https%3A%2F%2Fwww.webofscience.com%2Fwos%2Fwoscc%2Ffull-record%2FWOS:000949759100048","View Full Record in Web of Science")</f>
        <v>View Full Record in Web of Science</v>
      </c>
    </row>
    <row r="334" ht="64.5" customHeight="1">
      <c r="A334" s="2" t="s">
        <v>72</v>
      </c>
      <c r="B334" s="2" t="s">
        <v>6527</v>
      </c>
      <c r="C334" s="2"/>
      <c r="D334" s="2"/>
      <c r="E334" s="2"/>
      <c r="F334" s="2" t="s">
        <v>6528</v>
      </c>
      <c r="G334" s="2"/>
      <c r="H334" s="2"/>
      <c r="I334" s="2" t="s">
        <v>6529</v>
      </c>
      <c r="J334" s="2" t="s">
        <v>370</v>
      </c>
      <c r="K334" s="2"/>
      <c r="L334" s="2"/>
      <c r="M334" s="2" t="s">
        <v>116</v>
      </c>
      <c r="N334" s="2" t="s">
        <v>78</v>
      </c>
      <c r="O334" s="2"/>
      <c r="P334" s="2"/>
      <c r="Q334" s="2"/>
      <c r="R334" s="2"/>
      <c r="S334" s="2"/>
      <c r="T334" s="2" t="s">
        <v>6530</v>
      </c>
      <c r="U334" s="2" t="s">
        <v>6531</v>
      </c>
      <c r="V334" s="2" t="s">
        <v>6532</v>
      </c>
      <c r="W334" s="2" t="s">
        <v>6533</v>
      </c>
      <c r="X334" s="2" t="s">
        <v>6534</v>
      </c>
      <c r="Y334" s="2" t="s">
        <v>6535</v>
      </c>
      <c r="Z334" s="2" t="s">
        <v>6536</v>
      </c>
      <c r="AA334" s="2" t="s">
        <v>6537</v>
      </c>
      <c r="AB334" s="2"/>
      <c r="AC334" s="2"/>
      <c r="AD334" s="2"/>
      <c r="AE334" s="2"/>
      <c r="AF334" s="2" t="s">
        <v>6538</v>
      </c>
      <c r="AG334" s="2">
        <v>46.0</v>
      </c>
      <c r="AH334" s="2">
        <v>61.0</v>
      </c>
      <c r="AI334" s="2">
        <v>66.0</v>
      </c>
      <c r="AJ334" s="2">
        <v>6.0</v>
      </c>
      <c r="AK334" s="2">
        <v>80.0</v>
      </c>
      <c r="AL334" s="2" t="s">
        <v>383</v>
      </c>
      <c r="AM334" s="2" t="s">
        <v>384</v>
      </c>
      <c r="AN334" s="2" t="s">
        <v>385</v>
      </c>
      <c r="AO334" s="2"/>
      <c r="AP334" s="2" t="s">
        <v>386</v>
      </c>
      <c r="AQ334" s="2"/>
      <c r="AR334" s="2" t="s">
        <v>387</v>
      </c>
      <c r="AS334" s="2" t="s">
        <v>388</v>
      </c>
      <c r="AT334" s="2" t="s">
        <v>292</v>
      </c>
      <c r="AU334" s="2">
        <v>2014.0</v>
      </c>
      <c r="AV334" s="2">
        <v>6.0</v>
      </c>
      <c r="AW334" s="2">
        <v>11.0</v>
      </c>
      <c r="AX334" s="2"/>
      <c r="AY334" s="2"/>
      <c r="AZ334" s="2"/>
      <c r="BA334" s="2"/>
      <c r="BB334" s="2">
        <v>8195.0</v>
      </c>
      <c r="BC334" s="2">
        <v>8217.0</v>
      </c>
      <c r="BD334" s="2"/>
      <c r="BE334" s="2" t="s">
        <v>6539</v>
      </c>
      <c r="BF334" s="3" t="str">
        <f>HYPERLINK("http://dx.doi.org/10.3390/su6118195","http://dx.doi.org/10.3390/su6118195")</f>
        <v>http://dx.doi.org/10.3390/su6118195</v>
      </c>
      <c r="BG334" s="2"/>
      <c r="BH334" s="2"/>
      <c r="BI334" s="2">
        <v>23.0</v>
      </c>
      <c r="BJ334" s="2" t="s">
        <v>390</v>
      </c>
      <c r="BK334" s="2" t="s">
        <v>363</v>
      </c>
      <c r="BL334" s="2" t="s">
        <v>391</v>
      </c>
      <c r="BM334" s="2" t="s">
        <v>6540</v>
      </c>
      <c r="BN334" s="2"/>
      <c r="BO334" s="2" t="s">
        <v>255</v>
      </c>
      <c r="BP334" s="2"/>
      <c r="BQ334" s="2"/>
      <c r="BR334" s="2" t="s">
        <v>99</v>
      </c>
      <c r="BS334" s="2" t="s">
        <v>6541</v>
      </c>
      <c r="BT334" s="2" t="str">
        <f>HYPERLINK("https%3A%2F%2Fwww.webofscience.com%2Fwos%2Fwoscc%2Ffull-record%2FWOS:000345564700039","View Full Record in Web of Science")</f>
        <v>View Full Record in Web of Science</v>
      </c>
    </row>
    <row r="335" ht="64.5" customHeight="1">
      <c r="A335" s="2" t="s">
        <v>72</v>
      </c>
      <c r="B335" s="2" t="s">
        <v>6542</v>
      </c>
      <c r="C335" s="2"/>
      <c r="D335" s="2"/>
      <c r="E335" s="2"/>
      <c r="F335" s="2" t="s">
        <v>6543</v>
      </c>
      <c r="G335" s="2"/>
      <c r="H335" s="2"/>
      <c r="I335" s="2" t="s">
        <v>6544</v>
      </c>
      <c r="J335" s="2" t="s">
        <v>233</v>
      </c>
      <c r="K335" s="2"/>
      <c r="L335" s="2"/>
      <c r="M335" s="2" t="s">
        <v>116</v>
      </c>
      <c r="N335" s="2" t="s">
        <v>78</v>
      </c>
      <c r="O335" s="2"/>
      <c r="P335" s="2"/>
      <c r="Q335" s="2"/>
      <c r="R335" s="2"/>
      <c r="S335" s="2"/>
      <c r="T335" s="2" t="s">
        <v>6545</v>
      </c>
      <c r="U335" s="2" t="s">
        <v>6546</v>
      </c>
      <c r="V335" s="2" t="s">
        <v>6547</v>
      </c>
      <c r="W335" s="2" t="s">
        <v>6548</v>
      </c>
      <c r="X335" s="2" t="s">
        <v>6549</v>
      </c>
      <c r="Y335" s="2" t="s">
        <v>6550</v>
      </c>
      <c r="Z335" s="2" t="s">
        <v>6551</v>
      </c>
      <c r="AA335" s="2" t="s">
        <v>6552</v>
      </c>
      <c r="AB335" s="2" t="s">
        <v>6553</v>
      </c>
      <c r="AC335" s="2"/>
      <c r="AD335" s="2"/>
      <c r="AE335" s="2"/>
      <c r="AF335" s="2" t="s">
        <v>6554</v>
      </c>
      <c r="AG335" s="2">
        <v>110.0</v>
      </c>
      <c r="AH335" s="2">
        <v>3.0</v>
      </c>
      <c r="AI335" s="2">
        <v>3.0</v>
      </c>
      <c r="AJ335" s="2">
        <v>2.0</v>
      </c>
      <c r="AK335" s="2">
        <v>14.0</v>
      </c>
      <c r="AL335" s="2" t="s">
        <v>246</v>
      </c>
      <c r="AM335" s="2" t="s">
        <v>247</v>
      </c>
      <c r="AN335" s="2" t="s">
        <v>248</v>
      </c>
      <c r="AO335" s="2"/>
      <c r="AP335" s="2" t="s">
        <v>249</v>
      </c>
      <c r="AQ335" s="2"/>
      <c r="AR335" s="2" t="s">
        <v>250</v>
      </c>
      <c r="AS335" s="2" t="s">
        <v>251</v>
      </c>
      <c r="AT335" s="2" t="s">
        <v>6555</v>
      </c>
      <c r="AU335" s="2">
        <v>2021.0</v>
      </c>
      <c r="AV335" s="2">
        <v>8.0</v>
      </c>
      <c r="AW335" s="2"/>
      <c r="AX335" s="2"/>
      <c r="AY335" s="2"/>
      <c r="AZ335" s="2"/>
      <c r="BA335" s="2"/>
      <c r="BB335" s="2"/>
      <c r="BC335" s="2"/>
      <c r="BD335" s="2">
        <v>626119.0</v>
      </c>
      <c r="BE335" s="2" t="s">
        <v>6556</v>
      </c>
      <c r="BF335" s="3" t="str">
        <f>HYPERLINK("http://dx.doi.org/10.3389/fmars.2021.626119","http://dx.doi.org/10.3389/fmars.2021.626119")</f>
        <v>http://dx.doi.org/10.3389/fmars.2021.626119</v>
      </c>
      <c r="BG335" s="2"/>
      <c r="BH335" s="2"/>
      <c r="BI335" s="2">
        <v>16.0</v>
      </c>
      <c r="BJ335" s="2" t="s">
        <v>225</v>
      </c>
      <c r="BK335" s="2" t="s">
        <v>363</v>
      </c>
      <c r="BL335" s="2" t="s">
        <v>227</v>
      </c>
      <c r="BM335" s="2" t="s">
        <v>6557</v>
      </c>
      <c r="BN335" s="2"/>
      <c r="BO335" s="2" t="s">
        <v>255</v>
      </c>
      <c r="BP335" s="2"/>
      <c r="BQ335" s="2"/>
      <c r="BR335" s="2" t="s">
        <v>99</v>
      </c>
      <c r="BS335" s="2" t="s">
        <v>6558</v>
      </c>
      <c r="BT335" s="2" t="str">
        <f>HYPERLINK("https%3A%2F%2Fwww.webofscience.com%2Fwos%2Fwoscc%2Ffull-record%2FWOS:000662938700001","View Full Record in Web of Science")</f>
        <v>View Full Record in Web of Science</v>
      </c>
    </row>
    <row r="336" ht="64.5" customHeight="1">
      <c r="A336" s="2" t="s">
        <v>72</v>
      </c>
      <c r="B336" s="2" t="s">
        <v>6559</v>
      </c>
      <c r="C336" s="2"/>
      <c r="D336" s="2"/>
      <c r="E336" s="2"/>
      <c r="F336" s="2" t="s">
        <v>6560</v>
      </c>
      <c r="G336" s="2"/>
      <c r="H336" s="2"/>
      <c r="I336" s="2" t="s">
        <v>6561</v>
      </c>
      <c r="J336" s="2" t="s">
        <v>233</v>
      </c>
      <c r="K336" s="2"/>
      <c r="L336" s="2"/>
      <c r="M336" s="2" t="s">
        <v>116</v>
      </c>
      <c r="N336" s="2" t="s">
        <v>643</v>
      </c>
      <c r="O336" s="2"/>
      <c r="P336" s="2"/>
      <c r="Q336" s="2"/>
      <c r="R336" s="2"/>
      <c r="S336" s="2"/>
      <c r="T336" s="2" t="s">
        <v>6562</v>
      </c>
      <c r="U336" s="2" t="s">
        <v>6563</v>
      </c>
      <c r="V336" s="2" t="s">
        <v>6564</v>
      </c>
      <c r="W336" s="2" t="s">
        <v>6565</v>
      </c>
      <c r="X336" s="2"/>
      <c r="Y336" s="2" t="s">
        <v>6566</v>
      </c>
      <c r="Z336" s="2" t="s">
        <v>6567</v>
      </c>
      <c r="AA336" s="2"/>
      <c r="AB336" s="2"/>
      <c r="AC336" s="2" t="s">
        <v>6568</v>
      </c>
      <c r="AD336" s="2" t="s">
        <v>6569</v>
      </c>
      <c r="AE336" s="2" t="s">
        <v>6570</v>
      </c>
      <c r="AF336" s="2" t="s">
        <v>6571</v>
      </c>
      <c r="AG336" s="2">
        <v>134.0</v>
      </c>
      <c r="AH336" s="2">
        <v>11.0</v>
      </c>
      <c r="AI336" s="2">
        <v>11.0</v>
      </c>
      <c r="AJ336" s="2">
        <v>1.0</v>
      </c>
      <c r="AK336" s="2">
        <v>47.0</v>
      </c>
      <c r="AL336" s="2" t="s">
        <v>246</v>
      </c>
      <c r="AM336" s="2" t="s">
        <v>247</v>
      </c>
      <c r="AN336" s="2" t="s">
        <v>248</v>
      </c>
      <c r="AO336" s="2"/>
      <c r="AP336" s="2" t="s">
        <v>249</v>
      </c>
      <c r="AQ336" s="2"/>
      <c r="AR336" s="2" t="s">
        <v>250</v>
      </c>
      <c r="AS336" s="2" t="s">
        <v>251</v>
      </c>
      <c r="AT336" s="2" t="s">
        <v>6572</v>
      </c>
      <c r="AU336" s="2">
        <v>2020.0</v>
      </c>
      <c r="AV336" s="2">
        <v>7.0</v>
      </c>
      <c r="AW336" s="2"/>
      <c r="AX336" s="2"/>
      <c r="AY336" s="2"/>
      <c r="AZ336" s="2"/>
      <c r="BA336" s="2"/>
      <c r="BB336" s="2"/>
      <c r="BC336" s="2"/>
      <c r="BD336" s="2">
        <v>598682.0</v>
      </c>
      <c r="BE336" s="2" t="s">
        <v>6573</v>
      </c>
      <c r="BF336" s="3" t="str">
        <f>HYPERLINK("http://dx.doi.org/10.3389/fmars.2020.598682","http://dx.doi.org/10.3389/fmars.2020.598682")</f>
        <v>http://dx.doi.org/10.3389/fmars.2020.598682</v>
      </c>
      <c r="BG336" s="2"/>
      <c r="BH336" s="2"/>
      <c r="BI336" s="2">
        <v>13.0</v>
      </c>
      <c r="BJ336" s="2" t="s">
        <v>225</v>
      </c>
      <c r="BK336" s="2" t="s">
        <v>363</v>
      </c>
      <c r="BL336" s="2" t="s">
        <v>227</v>
      </c>
      <c r="BM336" s="2" t="s">
        <v>6574</v>
      </c>
      <c r="BN336" s="2"/>
      <c r="BO336" s="2" t="s">
        <v>255</v>
      </c>
      <c r="BP336" s="2"/>
      <c r="BQ336" s="2"/>
      <c r="BR336" s="2" t="s">
        <v>99</v>
      </c>
      <c r="BS336" s="2" t="s">
        <v>6575</v>
      </c>
      <c r="BT336" s="2" t="str">
        <f>HYPERLINK("https%3A%2F%2Fwww.webofscience.com%2Fwos%2Fwoscc%2Ffull-record%2FWOS:000600703300001","View Full Record in Web of Science")</f>
        <v>View Full Record in Web of Science</v>
      </c>
    </row>
    <row r="337" ht="64.5" customHeight="1">
      <c r="A337" s="2" t="s">
        <v>72</v>
      </c>
      <c r="B337" s="2" t="s">
        <v>6576</v>
      </c>
      <c r="C337" s="2"/>
      <c r="D337" s="2"/>
      <c r="E337" s="2"/>
      <c r="F337" s="2" t="s">
        <v>6577</v>
      </c>
      <c r="G337" s="2"/>
      <c r="H337" s="2"/>
      <c r="I337" s="2" t="s">
        <v>6578</v>
      </c>
      <c r="J337" s="2" t="s">
        <v>4740</v>
      </c>
      <c r="K337" s="2"/>
      <c r="L337" s="2"/>
      <c r="M337" s="2" t="s">
        <v>116</v>
      </c>
      <c r="N337" s="2" t="s">
        <v>78</v>
      </c>
      <c r="O337" s="2"/>
      <c r="P337" s="2"/>
      <c r="Q337" s="2"/>
      <c r="R337" s="2"/>
      <c r="S337" s="2"/>
      <c r="T337" s="2" t="s">
        <v>6579</v>
      </c>
      <c r="U337" s="2" t="s">
        <v>6580</v>
      </c>
      <c r="V337" s="2" t="s">
        <v>6581</v>
      </c>
      <c r="W337" s="2" t="s">
        <v>6582</v>
      </c>
      <c r="X337" s="2" t="s">
        <v>6583</v>
      </c>
      <c r="Y337" s="2" t="s">
        <v>6584</v>
      </c>
      <c r="Z337" s="2" t="s">
        <v>3670</v>
      </c>
      <c r="AA337" s="2" t="s">
        <v>6585</v>
      </c>
      <c r="AB337" s="2" t="s">
        <v>6586</v>
      </c>
      <c r="AC337" s="2" t="s">
        <v>6587</v>
      </c>
      <c r="AD337" s="2" t="s">
        <v>6588</v>
      </c>
      <c r="AE337" s="2" t="s">
        <v>6589</v>
      </c>
      <c r="AF337" s="2" t="s">
        <v>6590</v>
      </c>
      <c r="AG337" s="2">
        <v>89.0</v>
      </c>
      <c r="AH337" s="2">
        <v>7.0</v>
      </c>
      <c r="AI337" s="2">
        <v>8.0</v>
      </c>
      <c r="AJ337" s="2">
        <v>1.0</v>
      </c>
      <c r="AK337" s="2">
        <v>40.0</v>
      </c>
      <c r="AL337" s="2" t="s">
        <v>156</v>
      </c>
      <c r="AM337" s="2" t="s">
        <v>157</v>
      </c>
      <c r="AN337" s="2" t="s">
        <v>158</v>
      </c>
      <c r="AO337" s="2" t="s">
        <v>4754</v>
      </c>
      <c r="AP337" s="2" t="s">
        <v>4755</v>
      </c>
      <c r="AQ337" s="2"/>
      <c r="AR337" s="2" t="s">
        <v>4756</v>
      </c>
      <c r="AS337" s="2" t="s">
        <v>4757</v>
      </c>
      <c r="AT337" s="2"/>
      <c r="AU337" s="2">
        <v>2018.0</v>
      </c>
      <c r="AV337" s="2">
        <v>52.0</v>
      </c>
      <c r="AW337" s="2">
        <v>4.0</v>
      </c>
      <c r="AX337" s="2"/>
      <c r="AY337" s="2"/>
      <c r="AZ337" s="2"/>
      <c r="BA337" s="2"/>
      <c r="BB337" s="2">
        <v>391.0</v>
      </c>
      <c r="BC337" s="2">
        <v>405.0</v>
      </c>
      <c r="BD337" s="2"/>
      <c r="BE337" s="2" t="s">
        <v>6591</v>
      </c>
      <c r="BF337" s="3" t="str">
        <f>HYPERLINK("http://dx.doi.org/10.1080/00219266.2017.1385509","http://dx.doi.org/10.1080/00219266.2017.1385509")</f>
        <v>http://dx.doi.org/10.1080/00219266.2017.1385509</v>
      </c>
      <c r="BG337" s="2"/>
      <c r="BH337" s="2"/>
      <c r="BI337" s="2">
        <v>15.0</v>
      </c>
      <c r="BJ337" s="2" t="s">
        <v>4760</v>
      </c>
      <c r="BK337" s="2" t="s">
        <v>363</v>
      </c>
      <c r="BL337" s="2" t="s">
        <v>4761</v>
      </c>
      <c r="BM337" s="2" t="s">
        <v>6592</v>
      </c>
      <c r="BN337" s="2"/>
      <c r="BO337" s="2" t="s">
        <v>1177</v>
      </c>
      <c r="BP337" s="2"/>
      <c r="BQ337" s="2"/>
      <c r="BR337" s="2" t="s">
        <v>99</v>
      </c>
      <c r="BS337" s="2" t="s">
        <v>6593</v>
      </c>
      <c r="BT337" s="2" t="str">
        <f>HYPERLINK("https%3A%2F%2Fwww.webofscience.com%2Fwos%2Fwoscc%2Ffull-record%2FWOS:000446587800005","View Full Record in Web of Science")</f>
        <v>View Full Record in Web of Science</v>
      </c>
    </row>
    <row r="338" ht="64.5" customHeight="1">
      <c r="A338" s="2" t="s">
        <v>72</v>
      </c>
      <c r="B338" s="2" t="s">
        <v>6594</v>
      </c>
      <c r="C338" s="2"/>
      <c r="D338" s="2"/>
      <c r="E338" s="2"/>
      <c r="F338" s="2" t="s">
        <v>6595</v>
      </c>
      <c r="G338" s="2"/>
      <c r="H338" s="2"/>
      <c r="I338" s="2" t="s">
        <v>6596</v>
      </c>
      <c r="J338" s="2" t="s">
        <v>1801</v>
      </c>
      <c r="K338" s="2"/>
      <c r="L338" s="2"/>
      <c r="M338" s="2" t="s">
        <v>116</v>
      </c>
      <c r="N338" s="2" t="s">
        <v>78</v>
      </c>
      <c r="O338" s="2"/>
      <c r="P338" s="2"/>
      <c r="Q338" s="2"/>
      <c r="R338" s="2"/>
      <c r="S338" s="2"/>
      <c r="T338" s="2" t="s">
        <v>6597</v>
      </c>
      <c r="U338" s="2" t="s">
        <v>6598</v>
      </c>
      <c r="V338" s="2" t="s">
        <v>6599</v>
      </c>
      <c r="W338" s="2" t="s">
        <v>6600</v>
      </c>
      <c r="X338" s="2" t="s">
        <v>6601</v>
      </c>
      <c r="Y338" s="2" t="s">
        <v>6602</v>
      </c>
      <c r="Z338" s="2" t="s">
        <v>6603</v>
      </c>
      <c r="AA338" s="2" t="s">
        <v>6604</v>
      </c>
      <c r="AB338" s="2" t="s">
        <v>6605</v>
      </c>
      <c r="AC338" s="2"/>
      <c r="AD338" s="2"/>
      <c r="AE338" s="2"/>
      <c r="AF338" s="2" t="s">
        <v>6606</v>
      </c>
      <c r="AG338" s="2">
        <v>48.0</v>
      </c>
      <c r="AH338" s="2">
        <v>91.0</v>
      </c>
      <c r="AI338" s="2">
        <v>115.0</v>
      </c>
      <c r="AJ338" s="2">
        <v>2.0</v>
      </c>
      <c r="AK338" s="2">
        <v>86.0</v>
      </c>
      <c r="AL338" s="2" t="s">
        <v>156</v>
      </c>
      <c r="AM338" s="2" t="s">
        <v>157</v>
      </c>
      <c r="AN338" s="2" t="s">
        <v>158</v>
      </c>
      <c r="AO338" s="2" t="s">
        <v>1813</v>
      </c>
      <c r="AP338" s="2" t="s">
        <v>1814</v>
      </c>
      <c r="AQ338" s="2"/>
      <c r="AR338" s="2" t="s">
        <v>1815</v>
      </c>
      <c r="AS338" s="2" t="s">
        <v>1816</v>
      </c>
      <c r="AT338" s="2" t="s">
        <v>1114</v>
      </c>
      <c r="AU338" s="2">
        <v>2013.0</v>
      </c>
      <c r="AV338" s="2">
        <v>35.0</v>
      </c>
      <c r="AW338" s="2">
        <v>1.0</v>
      </c>
      <c r="AX338" s="2"/>
      <c r="AY338" s="2"/>
      <c r="AZ338" s="2"/>
      <c r="BA338" s="2"/>
      <c r="BB338" s="2">
        <v>167.0</v>
      </c>
      <c r="BC338" s="2">
        <v>191.0</v>
      </c>
      <c r="BD338" s="2"/>
      <c r="BE338" s="2" t="s">
        <v>6607</v>
      </c>
      <c r="BF338" s="3" t="str">
        <f>HYPERLINK("http://dx.doi.org/10.1080/09500693.2012.738372","http://dx.doi.org/10.1080/09500693.2012.738372")</f>
        <v>http://dx.doi.org/10.1080/09500693.2012.738372</v>
      </c>
      <c r="BG338" s="2"/>
      <c r="BH338" s="2"/>
      <c r="BI338" s="2">
        <v>25.0</v>
      </c>
      <c r="BJ338" s="2" t="s">
        <v>331</v>
      </c>
      <c r="BK338" s="2" t="s">
        <v>166</v>
      </c>
      <c r="BL338" s="2" t="s">
        <v>331</v>
      </c>
      <c r="BM338" s="2" t="s">
        <v>6608</v>
      </c>
      <c r="BN338" s="2"/>
      <c r="BO338" s="2"/>
      <c r="BP338" s="2"/>
      <c r="BQ338" s="2"/>
      <c r="BR338" s="2" t="s">
        <v>99</v>
      </c>
      <c r="BS338" s="2" t="s">
        <v>6609</v>
      </c>
      <c r="BT338" s="2" t="str">
        <f>HYPERLINK("https%3A%2F%2Fwww.webofscience.com%2Fwos%2Fwoscc%2Ffull-record%2FWOS:000313320700007","View Full Record in Web of Science")</f>
        <v>View Full Record in Web of Science</v>
      </c>
    </row>
    <row r="339" ht="64.5" customHeight="1">
      <c r="A339" s="2" t="s">
        <v>72</v>
      </c>
      <c r="B339" s="2" t="s">
        <v>6610</v>
      </c>
      <c r="C339" s="2"/>
      <c r="D339" s="2"/>
      <c r="E339" s="2"/>
      <c r="F339" s="2" t="s">
        <v>6611</v>
      </c>
      <c r="G339" s="2"/>
      <c r="H339" s="2"/>
      <c r="I339" s="2" t="s">
        <v>6612</v>
      </c>
      <c r="J339" s="2" t="s">
        <v>142</v>
      </c>
      <c r="K339" s="2"/>
      <c r="L339" s="2"/>
      <c r="M339" s="2" t="s">
        <v>116</v>
      </c>
      <c r="N339" s="2" t="s">
        <v>78</v>
      </c>
      <c r="O339" s="2"/>
      <c r="P339" s="2"/>
      <c r="Q339" s="2"/>
      <c r="R339" s="2"/>
      <c r="S339" s="2"/>
      <c r="T339" s="2" t="s">
        <v>6613</v>
      </c>
      <c r="U339" s="2" t="s">
        <v>6614</v>
      </c>
      <c r="V339" s="2" t="s">
        <v>6615</v>
      </c>
      <c r="W339" s="2" t="s">
        <v>6616</v>
      </c>
      <c r="X339" s="2" t="s">
        <v>3788</v>
      </c>
      <c r="Y339" s="2" t="s">
        <v>6617</v>
      </c>
      <c r="Z339" s="2" t="s">
        <v>3790</v>
      </c>
      <c r="AA339" s="2"/>
      <c r="AB339" s="2" t="s">
        <v>3791</v>
      </c>
      <c r="AC339" s="2" t="s">
        <v>6618</v>
      </c>
      <c r="AD339" s="2" t="s">
        <v>2726</v>
      </c>
      <c r="AE339" s="2" t="s">
        <v>6619</v>
      </c>
      <c r="AF339" s="2" t="s">
        <v>6620</v>
      </c>
      <c r="AG339" s="2">
        <v>40.0</v>
      </c>
      <c r="AH339" s="2">
        <v>35.0</v>
      </c>
      <c r="AI339" s="2">
        <v>40.0</v>
      </c>
      <c r="AJ339" s="2">
        <v>9.0</v>
      </c>
      <c r="AK339" s="2">
        <v>66.0</v>
      </c>
      <c r="AL339" s="2" t="s">
        <v>156</v>
      </c>
      <c r="AM339" s="2" t="s">
        <v>157</v>
      </c>
      <c r="AN339" s="2" t="s">
        <v>158</v>
      </c>
      <c r="AO339" s="2" t="s">
        <v>159</v>
      </c>
      <c r="AP339" s="2" t="s">
        <v>160</v>
      </c>
      <c r="AQ339" s="2"/>
      <c r="AR339" s="2" t="s">
        <v>161</v>
      </c>
      <c r="AS339" s="2" t="s">
        <v>162</v>
      </c>
      <c r="AT339" s="2" t="s">
        <v>3760</v>
      </c>
      <c r="AU339" s="2">
        <v>2020.0</v>
      </c>
      <c r="AV339" s="2">
        <v>26.0</v>
      </c>
      <c r="AW339" s="2">
        <v>4.0</v>
      </c>
      <c r="AX339" s="2"/>
      <c r="AY339" s="2"/>
      <c r="AZ339" s="2"/>
      <c r="BA339" s="2"/>
      <c r="BB339" s="2">
        <v>511.0</v>
      </c>
      <c r="BC339" s="2">
        <v>531.0</v>
      </c>
      <c r="BD339" s="2"/>
      <c r="BE339" s="2" t="s">
        <v>6621</v>
      </c>
      <c r="BF339" s="3" t="str">
        <f>HYPERLINK("http://dx.doi.org/10.1080/13504622.2019.1607258","http://dx.doi.org/10.1080/13504622.2019.1607258")</f>
        <v>http://dx.doi.org/10.1080/13504622.2019.1607258</v>
      </c>
      <c r="BG339" s="2"/>
      <c r="BH339" s="2" t="s">
        <v>6622</v>
      </c>
      <c r="BI339" s="2">
        <v>21.0</v>
      </c>
      <c r="BJ339" s="2" t="s">
        <v>165</v>
      </c>
      <c r="BK339" s="2" t="s">
        <v>166</v>
      </c>
      <c r="BL339" s="2" t="s">
        <v>167</v>
      </c>
      <c r="BM339" s="2" t="s">
        <v>6623</v>
      </c>
      <c r="BN339" s="2"/>
      <c r="BO339" s="2"/>
      <c r="BP339" s="2"/>
      <c r="BQ339" s="2"/>
      <c r="BR339" s="2" t="s">
        <v>99</v>
      </c>
      <c r="BS339" s="2" t="s">
        <v>6624</v>
      </c>
      <c r="BT339" s="2" t="str">
        <f>HYPERLINK("https%3A%2F%2Fwww.webofscience.com%2Fwos%2Fwoscc%2Ffull-record%2FWOS:000469149800001","View Full Record in Web of Science")</f>
        <v>View Full Record in Web of Science</v>
      </c>
    </row>
    <row r="340" ht="64.5" customHeight="1">
      <c r="A340" s="2" t="s">
        <v>72</v>
      </c>
      <c r="B340" s="2" t="s">
        <v>6625</v>
      </c>
      <c r="C340" s="2"/>
      <c r="D340" s="2"/>
      <c r="E340" s="2"/>
      <c r="F340" s="2" t="s">
        <v>6626</v>
      </c>
      <c r="G340" s="2"/>
      <c r="H340" s="2"/>
      <c r="I340" s="2" t="s">
        <v>6627</v>
      </c>
      <c r="J340" s="2" t="s">
        <v>370</v>
      </c>
      <c r="K340" s="2"/>
      <c r="L340" s="2"/>
      <c r="M340" s="2" t="s">
        <v>116</v>
      </c>
      <c r="N340" s="2" t="s">
        <v>78</v>
      </c>
      <c r="O340" s="2"/>
      <c r="P340" s="2"/>
      <c r="Q340" s="2"/>
      <c r="R340" s="2"/>
      <c r="S340" s="2"/>
      <c r="T340" s="2" t="s">
        <v>6628</v>
      </c>
      <c r="U340" s="2" t="s">
        <v>6629</v>
      </c>
      <c r="V340" s="2" t="s">
        <v>6630</v>
      </c>
      <c r="W340" s="2" t="s">
        <v>6631</v>
      </c>
      <c r="X340" s="2" t="s">
        <v>6632</v>
      </c>
      <c r="Y340" s="2" t="s">
        <v>6633</v>
      </c>
      <c r="Z340" s="2" t="s">
        <v>6634</v>
      </c>
      <c r="AA340" s="2" t="s">
        <v>6635</v>
      </c>
      <c r="AB340" s="2" t="s">
        <v>6636</v>
      </c>
      <c r="AC340" s="2"/>
      <c r="AD340" s="2"/>
      <c r="AE340" s="2"/>
      <c r="AF340" s="2" t="s">
        <v>6637</v>
      </c>
      <c r="AG340" s="2">
        <v>69.0</v>
      </c>
      <c r="AH340" s="2">
        <v>1.0</v>
      </c>
      <c r="AI340" s="2">
        <v>1.0</v>
      </c>
      <c r="AJ340" s="2">
        <v>14.0</v>
      </c>
      <c r="AK340" s="2">
        <v>23.0</v>
      </c>
      <c r="AL340" s="2" t="s">
        <v>383</v>
      </c>
      <c r="AM340" s="2" t="s">
        <v>384</v>
      </c>
      <c r="AN340" s="2" t="s">
        <v>385</v>
      </c>
      <c r="AO340" s="2"/>
      <c r="AP340" s="2" t="s">
        <v>386</v>
      </c>
      <c r="AQ340" s="2"/>
      <c r="AR340" s="2" t="s">
        <v>387</v>
      </c>
      <c r="AS340" s="2" t="s">
        <v>388</v>
      </c>
      <c r="AT340" s="2" t="s">
        <v>195</v>
      </c>
      <c r="AU340" s="2">
        <v>2023.0</v>
      </c>
      <c r="AV340" s="2">
        <v>15.0</v>
      </c>
      <c r="AW340" s="2">
        <v>7.0</v>
      </c>
      <c r="AX340" s="2"/>
      <c r="AY340" s="2"/>
      <c r="AZ340" s="2"/>
      <c r="BA340" s="2"/>
      <c r="BB340" s="2"/>
      <c r="BC340" s="2"/>
      <c r="BD340" s="2">
        <v>6320.0</v>
      </c>
      <c r="BE340" s="2" t="s">
        <v>6638</v>
      </c>
      <c r="BF340" s="3" t="str">
        <f>HYPERLINK("http://dx.doi.org/10.3390/su15076320","http://dx.doi.org/10.3390/su15076320")</f>
        <v>http://dx.doi.org/10.3390/su15076320</v>
      </c>
      <c r="BG340" s="2"/>
      <c r="BH340" s="2"/>
      <c r="BI340" s="2">
        <v>12.0</v>
      </c>
      <c r="BJ340" s="2" t="s">
        <v>390</v>
      </c>
      <c r="BK340" s="2" t="s">
        <v>363</v>
      </c>
      <c r="BL340" s="2" t="s">
        <v>391</v>
      </c>
      <c r="BM340" s="2" t="s">
        <v>6639</v>
      </c>
      <c r="BN340" s="2"/>
      <c r="BO340" s="2" t="s">
        <v>6640</v>
      </c>
      <c r="BP340" s="2"/>
      <c r="BQ340" s="2"/>
      <c r="BR340" s="2" t="s">
        <v>99</v>
      </c>
      <c r="BS340" s="2" t="s">
        <v>6641</v>
      </c>
      <c r="BT340" s="2" t="str">
        <f>HYPERLINK("https%3A%2F%2Fwww.webofscience.com%2Fwos%2Fwoscc%2Ffull-record%2FWOS:000970419600001","View Full Record in Web of Science")</f>
        <v>View Full Record in Web of Science</v>
      </c>
    </row>
    <row r="341" ht="64.5" customHeight="1">
      <c r="A341" s="2" t="s">
        <v>72</v>
      </c>
      <c r="B341" s="2" t="s">
        <v>6642</v>
      </c>
      <c r="C341" s="2"/>
      <c r="D341" s="2"/>
      <c r="E341" s="2"/>
      <c r="F341" s="2" t="s">
        <v>6643</v>
      </c>
      <c r="G341" s="2"/>
      <c r="H341" s="2"/>
      <c r="I341" s="2" t="s">
        <v>6644</v>
      </c>
      <c r="J341" s="2" t="s">
        <v>370</v>
      </c>
      <c r="K341" s="2"/>
      <c r="L341" s="2"/>
      <c r="M341" s="2" t="s">
        <v>116</v>
      </c>
      <c r="N341" s="2" t="s">
        <v>78</v>
      </c>
      <c r="O341" s="2"/>
      <c r="P341" s="2"/>
      <c r="Q341" s="2"/>
      <c r="R341" s="2"/>
      <c r="S341" s="2"/>
      <c r="T341" s="2" t="s">
        <v>6645</v>
      </c>
      <c r="U341" s="2" t="s">
        <v>6646</v>
      </c>
      <c r="V341" s="2" t="s">
        <v>6647</v>
      </c>
      <c r="W341" s="2" t="s">
        <v>6648</v>
      </c>
      <c r="X341" s="2" t="s">
        <v>6649</v>
      </c>
      <c r="Y341" s="2" t="s">
        <v>6650</v>
      </c>
      <c r="Z341" s="2" t="s">
        <v>6651</v>
      </c>
      <c r="AA341" s="2"/>
      <c r="AB341" s="2" t="s">
        <v>6652</v>
      </c>
      <c r="AC341" s="2"/>
      <c r="AD341" s="2"/>
      <c r="AE341" s="2"/>
      <c r="AF341" s="2" t="s">
        <v>6653</v>
      </c>
      <c r="AG341" s="2">
        <v>75.0</v>
      </c>
      <c r="AH341" s="2">
        <v>0.0</v>
      </c>
      <c r="AI341" s="2">
        <v>0.0</v>
      </c>
      <c r="AJ341" s="2">
        <v>0.0</v>
      </c>
      <c r="AK341" s="2">
        <v>0.0</v>
      </c>
      <c r="AL341" s="2" t="s">
        <v>383</v>
      </c>
      <c r="AM341" s="2" t="s">
        <v>384</v>
      </c>
      <c r="AN341" s="2" t="s">
        <v>385</v>
      </c>
      <c r="AO341" s="2"/>
      <c r="AP341" s="2" t="s">
        <v>386</v>
      </c>
      <c r="AQ341" s="2"/>
      <c r="AR341" s="2" t="s">
        <v>387</v>
      </c>
      <c r="AS341" s="2" t="s">
        <v>388</v>
      </c>
      <c r="AT341" s="2" t="s">
        <v>533</v>
      </c>
      <c r="AU341" s="2">
        <v>2023.0</v>
      </c>
      <c r="AV341" s="2">
        <v>15.0</v>
      </c>
      <c r="AW341" s="2">
        <v>17.0</v>
      </c>
      <c r="AX341" s="2"/>
      <c r="AY341" s="2"/>
      <c r="AZ341" s="2"/>
      <c r="BA341" s="2"/>
      <c r="BB341" s="2"/>
      <c r="BC341" s="2"/>
      <c r="BD341" s="2">
        <v>13157.0</v>
      </c>
      <c r="BE341" s="2" t="s">
        <v>6654</v>
      </c>
      <c r="BF341" s="3" t="str">
        <f>HYPERLINK("http://dx.doi.org/10.3390/su151713157","http://dx.doi.org/10.3390/su151713157")</f>
        <v>http://dx.doi.org/10.3390/su151713157</v>
      </c>
      <c r="BG341" s="2"/>
      <c r="BH341" s="2"/>
      <c r="BI341" s="2">
        <v>16.0</v>
      </c>
      <c r="BJ341" s="2" t="s">
        <v>390</v>
      </c>
      <c r="BK341" s="2" t="s">
        <v>363</v>
      </c>
      <c r="BL341" s="2" t="s">
        <v>391</v>
      </c>
      <c r="BM341" s="2" t="s">
        <v>6655</v>
      </c>
      <c r="BN341" s="2"/>
      <c r="BO341" s="2" t="s">
        <v>255</v>
      </c>
      <c r="BP341" s="2"/>
      <c r="BQ341" s="2"/>
      <c r="BR341" s="2" t="s">
        <v>99</v>
      </c>
      <c r="BS341" s="2" t="s">
        <v>6656</v>
      </c>
      <c r="BT341" s="2" t="str">
        <f>HYPERLINK("https%3A%2F%2Fwww.webofscience.com%2Fwos%2Fwoscc%2Ffull-record%2FWOS:001119174900001","View Full Record in Web of Science")</f>
        <v>View Full Record in Web of Science</v>
      </c>
    </row>
    <row r="342" ht="64.5" customHeight="1">
      <c r="A342" s="2" t="s">
        <v>72</v>
      </c>
      <c r="B342" s="2" t="s">
        <v>6657</v>
      </c>
      <c r="C342" s="2"/>
      <c r="D342" s="2"/>
      <c r="E342" s="2"/>
      <c r="F342" s="2" t="s">
        <v>6658</v>
      </c>
      <c r="G342" s="2"/>
      <c r="H342" s="2"/>
      <c r="I342" s="2" t="s">
        <v>6659</v>
      </c>
      <c r="J342" s="2" t="s">
        <v>4020</v>
      </c>
      <c r="K342" s="2"/>
      <c r="L342" s="2"/>
      <c r="M342" s="2" t="s">
        <v>116</v>
      </c>
      <c r="N342" s="2" t="s">
        <v>4280</v>
      </c>
      <c r="O342" s="2"/>
      <c r="P342" s="2"/>
      <c r="Q342" s="2"/>
      <c r="R342" s="2"/>
      <c r="S342" s="2"/>
      <c r="T342" s="4" t="s">
        <v>121</v>
      </c>
      <c r="U342" s="2"/>
      <c r="V342" s="2"/>
      <c r="W342" s="2" t="s">
        <v>6660</v>
      </c>
      <c r="X342" s="2" t="s">
        <v>6661</v>
      </c>
      <c r="Y342" s="2" t="s">
        <v>6662</v>
      </c>
      <c r="Z342" s="2" t="s">
        <v>6663</v>
      </c>
      <c r="AA342" s="2" t="s">
        <v>6664</v>
      </c>
      <c r="AB342" s="2"/>
      <c r="AC342" s="2" t="s">
        <v>6665</v>
      </c>
      <c r="AD342" s="2" t="s">
        <v>6666</v>
      </c>
      <c r="AE342" s="2"/>
      <c r="AF342" s="2"/>
      <c r="AG342" s="2">
        <v>0.0</v>
      </c>
      <c r="AH342" s="2">
        <v>0.0</v>
      </c>
      <c r="AI342" s="2">
        <v>0.0</v>
      </c>
      <c r="AJ342" s="2">
        <v>0.0</v>
      </c>
      <c r="AK342" s="2">
        <v>11.0</v>
      </c>
      <c r="AL342" s="2" t="s">
        <v>4027</v>
      </c>
      <c r="AM342" s="2" t="s">
        <v>4028</v>
      </c>
      <c r="AN342" s="2" t="s">
        <v>4029</v>
      </c>
      <c r="AO342" s="2" t="s">
        <v>4030</v>
      </c>
      <c r="AP342" s="2"/>
      <c r="AQ342" s="2"/>
      <c r="AR342" s="2" t="s">
        <v>4032</v>
      </c>
      <c r="AS342" s="2" t="s">
        <v>4033</v>
      </c>
      <c r="AT342" s="2" t="s">
        <v>1073</v>
      </c>
      <c r="AU342" s="2">
        <v>2011.0</v>
      </c>
      <c r="AV342" s="2">
        <v>92.0</v>
      </c>
      <c r="AW342" s="2">
        <v>5.0</v>
      </c>
      <c r="AX342" s="2"/>
      <c r="AY342" s="2"/>
      <c r="AZ342" s="2"/>
      <c r="BA342" s="2"/>
      <c r="BB342" s="2">
        <v>633.0</v>
      </c>
      <c r="BC342" s="2">
        <v>635.0</v>
      </c>
      <c r="BD342" s="2"/>
      <c r="BE342" s="2" t="s">
        <v>6667</v>
      </c>
      <c r="BF342" s="3" t="str">
        <f>HYPERLINK("http://dx.doi.org/10.1175/2010BAMS3161.1","http://dx.doi.org/10.1175/2010BAMS3161.1")</f>
        <v>http://dx.doi.org/10.1175/2010BAMS3161.1</v>
      </c>
      <c r="BG342" s="2"/>
      <c r="BH342" s="2"/>
      <c r="BI342" s="2">
        <v>3.0</v>
      </c>
      <c r="BJ342" s="2" t="s">
        <v>4037</v>
      </c>
      <c r="BK342" s="2" t="s">
        <v>226</v>
      </c>
      <c r="BL342" s="2" t="s">
        <v>4037</v>
      </c>
      <c r="BM342" s="2" t="s">
        <v>6668</v>
      </c>
      <c r="BN342" s="2"/>
      <c r="BO342" s="2" t="s">
        <v>2170</v>
      </c>
      <c r="BP342" s="2"/>
      <c r="BQ342" s="2"/>
      <c r="BR342" s="2" t="s">
        <v>99</v>
      </c>
      <c r="BS342" s="2" t="s">
        <v>6669</v>
      </c>
      <c r="BT342" s="2" t="str">
        <f>HYPERLINK("https%3A%2F%2Fwww.webofscience.com%2Fwos%2Fwoscc%2Ffull-record%2FWOS:000291972700007","View Full Record in Web of Science")</f>
        <v>View Full Record in Web of Science</v>
      </c>
    </row>
    <row r="343" ht="64.5" customHeight="1">
      <c r="A343" s="2" t="s">
        <v>72</v>
      </c>
      <c r="B343" s="2" t="s">
        <v>6670</v>
      </c>
      <c r="C343" s="2"/>
      <c r="D343" s="2"/>
      <c r="E343" s="2"/>
      <c r="F343" s="2" t="s">
        <v>6671</v>
      </c>
      <c r="G343" s="2"/>
      <c r="H343" s="2"/>
      <c r="I343" s="2" t="s">
        <v>6672</v>
      </c>
      <c r="J343" s="2" t="s">
        <v>6673</v>
      </c>
      <c r="K343" s="2"/>
      <c r="L343" s="2"/>
      <c r="M343" s="2" t="s">
        <v>116</v>
      </c>
      <c r="N343" s="2" t="s">
        <v>1599</v>
      </c>
      <c r="O343" s="2"/>
      <c r="P343" s="2"/>
      <c r="Q343" s="2"/>
      <c r="R343" s="2"/>
      <c r="S343" s="2"/>
      <c r="T343" s="2" t="s">
        <v>6674</v>
      </c>
      <c r="U343" s="2" t="s">
        <v>6675</v>
      </c>
      <c r="V343" s="2" t="s">
        <v>6676</v>
      </c>
      <c r="W343" s="2" t="s">
        <v>6677</v>
      </c>
      <c r="X343" s="2" t="s">
        <v>6678</v>
      </c>
      <c r="Y343" s="2" t="s">
        <v>6679</v>
      </c>
      <c r="Z343" s="2" t="s">
        <v>6680</v>
      </c>
      <c r="AA343" s="2"/>
      <c r="AB343" s="2"/>
      <c r="AC343" s="2" t="s">
        <v>6681</v>
      </c>
      <c r="AD343" s="2" t="s">
        <v>6682</v>
      </c>
      <c r="AE343" s="2" t="s">
        <v>6683</v>
      </c>
      <c r="AF343" s="2" t="s">
        <v>6684</v>
      </c>
      <c r="AG343" s="2">
        <v>56.0</v>
      </c>
      <c r="AH343" s="2">
        <v>1.0</v>
      </c>
      <c r="AI343" s="2">
        <v>1.0</v>
      </c>
      <c r="AJ343" s="2">
        <v>2.0</v>
      </c>
      <c r="AK343" s="2">
        <v>2.0</v>
      </c>
      <c r="AL343" s="2" t="s">
        <v>156</v>
      </c>
      <c r="AM343" s="2" t="s">
        <v>157</v>
      </c>
      <c r="AN343" s="2" t="s">
        <v>158</v>
      </c>
      <c r="AO343" s="2" t="s">
        <v>6685</v>
      </c>
      <c r="AP343" s="2" t="s">
        <v>6686</v>
      </c>
      <c r="AQ343" s="2"/>
      <c r="AR343" s="2" t="s">
        <v>6687</v>
      </c>
      <c r="AS343" s="2" t="s">
        <v>6688</v>
      </c>
      <c r="AT343" s="2" t="s">
        <v>6689</v>
      </c>
      <c r="AU343" s="2">
        <v>2024.0</v>
      </c>
      <c r="AV343" s="2"/>
      <c r="AW343" s="2"/>
      <c r="AX343" s="2"/>
      <c r="AY343" s="2"/>
      <c r="AZ343" s="2"/>
      <c r="BA343" s="2"/>
      <c r="BB343" s="2"/>
      <c r="BC343" s="2"/>
      <c r="BD343" s="2"/>
      <c r="BE343" s="2" t="s">
        <v>6690</v>
      </c>
      <c r="BF343" s="3" t="str">
        <f>HYPERLINK("http://dx.doi.org/10.1080/17524032.2024.2315181","http://dx.doi.org/10.1080/17524032.2024.2315181")</f>
        <v>http://dx.doi.org/10.1080/17524032.2024.2315181</v>
      </c>
      <c r="BG343" s="2"/>
      <c r="BH343" s="2" t="s">
        <v>1374</v>
      </c>
      <c r="BI343" s="2">
        <v>17.0</v>
      </c>
      <c r="BJ343" s="2" t="s">
        <v>6691</v>
      </c>
      <c r="BK343" s="2" t="s">
        <v>166</v>
      </c>
      <c r="BL343" s="2" t="s">
        <v>6692</v>
      </c>
      <c r="BM343" s="2" t="s">
        <v>6693</v>
      </c>
      <c r="BN343" s="2"/>
      <c r="BO343" s="2"/>
      <c r="BP343" s="2"/>
      <c r="BQ343" s="2"/>
      <c r="BR343" s="2" t="s">
        <v>99</v>
      </c>
      <c r="BS343" s="2" t="s">
        <v>6694</v>
      </c>
      <c r="BT343" s="2" t="str">
        <f>HYPERLINK("https%3A%2F%2Fwww.webofscience.com%2Fwos%2Fwoscc%2Ffull-record%2FWOS:001162691400001","View Full Record in Web of Science")</f>
        <v>View Full Record in Web of Science</v>
      </c>
    </row>
    <row r="344" ht="64.5" customHeight="1">
      <c r="A344" s="2" t="s">
        <v>110</v>
      </c>
      <c r="B344" s="2" t="s">
        <v>6695</v>
      </c>
      <c r="C344" s="2"/>
      <c r="D344" s="2" t="s">
        <v>6696</v>
      </c>
      <c r="E344" s="2"/>
      <c r="F344" s="2" t="s">
        <v>6697</v>
      </c>
      <c r="G344" s="2"/>
      <c r="H344" s="2"/>
      <c r="I344" s="2" t="s">
        <v>6698</v>
      </c>
      <c r="J344" s="2" t="s">
        <v>6699</v>
      </c>
      <c r="K344" s="2"/>
      <c r="L344" s="2"/>
      <c r="M344" s="2" t="s">
        <v>116</v>
      </c>
      <c r="N344" s="2" t="s">
        <v>117</v>
      </c>
      <c r="O344" s="2" t="s">
        <v>6700</v>
      </c>
      <c r="P344" s="2" t="s">
        <v>6701</v>
      </c>
      <c r="Q344" s="2" t="s">
        <v>6702</v>
      </c>
      <c r="R344" s="2"/>
      <c r="S344" s="2" t="s">
        <v>6703</v>
      </c>
      <c r="T344" s="4" t="s">
        <v>121</v>
      </c>
      <c r="U344" s="2"/>
      <c r="V344" s="2" t="s">
        <v>6704</v>
      </c>
      <c r="W344" s="2" t="s">
        <v>6705</v>
      </c>
      <c r="X344" s="2" t="s">
        <v>6706</v>
      </c>
      <c r="Y344" s="2" t="s">
        <v>6707</v>
      </c>
      <c r="Z344" s="2"/>
      <c r="AA344" s="2" t="s">
        <v>6708</v>
      </c>
      <c r="AB344" s="2"/>
      <c r="AC344" s="2"/>
      <c r="AD344" s="2"/>
      <c r="AE344" s="2"/>
      <c r="AF344" s="2" t="s">
        <v>6709</v>
      </c>
      <c r="AG344" s="2">
        <v>3.0</v>
      </c>
      <c r="AH344" s="2">
        <v>0.0</v>
      </c>
      <c r="AI344" s="2">
        <v>1.0</v>
      </c>
      <c r="AJ344" s="2">
        <v>0.0</v>
      </c>
      <c r="AK344" s="2">
        <v>0.0</v>
      </c>
      <c r="AL344" s="2" t="s">
        <v>6710</v>
      </c>
      <c r="AM344" s="2" t="s">
        <v>6711</v>
      </c>
      <c r="AN344" s="2" t="s">
        <v>6712</v>
      </c>
      <c r="AO344" s="2"/>
      <c r="AP344" s="2"/>
      <c r="AQ344" s="2" t="s">
        <v>6713</v>
      </c>
      <c r="AR344" s="2"/>
      <c r="AS344" s="2"/>
      <c r="AT344" s="2"/>
      <c r="AU344" s="2">
        <v>2008.0</v>
      </c>
      <c r="AV344" s="2"/>
      <c r="AW344" s="2"/>
      <c r="AX344" s="2"/>
      <c r="AY344" s="2"/>
      <c r="AZ344" s="2"/>
      <c r="BA344" s="2"/>
      <c r="BB344" s="2">
        <v>341.0</v>
      </c>
      <c r="BC344" s="2">
        <v>345.0</v>
      </c>
      <c r="BD344" s="2"/>
      <c r="BE344" s="2"/>
      <c r="BF344" s="2"/>
      <c r="BG344" s="2"/>
      <c r="BH344" s="2"/>
      <c r="BI344" s="2">
        <v>5.0</v>
      </c>
      <c r="BJ344" s="2" t="s">
        <v>6714</v>
      </c>
      <c r="BK344" s="2" t="s">
        <v>135</v>
      </c>
      <c r="BL344" s="2" t="s">
        <v>6715</v>
      </c>
      <c r="BM344" s="2" t="s">
        <v>6716</v>
      </c>
      <c r="BN344" s="2"/>
      <c r="BO344" s="2"/>
      <c r="BP344" s="2"/>
      <c r="BQ344" s="2"/>
      <c r="BR344" s="2" t="s">
        <v>99</v>
      </c>
      <c r="BS344" s="2" t="s">
        <v>6717</v>
      </c>
      <c r="BT344" s="2" t="str">
        <f>HYPERLINK("https%3A%2F%2Fwww.webofscience.com%2Fwos%2Fwoscc%2Ffull-record%2FWOS:000268030700057","View Full Record in Web of Science")</f>
        <v>View Full Record in Web of Science</v>
      </c>
    </row>
    <row r="345" ht="64.5" customHeight="1">
      <c r="A345" s="2" t="s">
        <v>72</v>
      </c>
      <c r="B345" s="2" t="s">
        <v>6718</v>
      </c>
      <c r="C345" s="2"/>
      <c r="D345" s="2"/>
      <c r="E345" s="2"/>
      <c r="F345" s="2" t="s">
        <v>6719</v>
      </c>
      <c r="G345" s="2"/>
      <c r="H345" s="2"/>
      <c r="I345" s="2" t="s">
        <v>6720</v>
      </c>
      <c r="J345" s="2" t="s">
        <v>370</v>
      </c>
      <c r="K345" s="2"/>
      <c r="L345" s="2"/>
      <c r="M345" s="2" t="s">
        <v>116</v>
      </c>
      <c r="N345" s="2" t="s">
        <v>643</v>
      </c>
      <c r="O345" s="2"/>
      <c r="P345" s="2"/>
      <c r="Q345" s="2"/>
      <c r="R345" s="2"/>
      <c r="S345" s="2"/>
      <c r="T345" s="2" t="s">
        <v>6721</v>
      </c>
      <c r="U345" s="2"/>
      <c r="V345" s="2" t="s">
        <v>6722</v>
      </c>
      <c r="W345" s="2" t="s">
        <v>6723</v>
      </c>
      <c r="X345" s="2" t="s">
        <v>6724</v>
      </c>
      <c r="Y345" s="2" t="s">
        <v>6725</v>
      </c>
      <c r="Z345" s="2" t="s">
        <v>6726</v>
      </c>
      <c r="AA345" s="2"/>
      <c r="AB345" s="2" t="s">
        <v>6727</v>
      </c>
      <c r="AC345" s="2"/>
      <c r="AD345" s="2"/>
      <c r="AE345" s="2"/>
      <c r="AF345" s="2" t="s">
        <v>6728</v>
      </c>
      <c r="AG345" s="2">
        <v>61.0</v>
      </c>
      <c r="AH345" s="2">
        <v>1.0</v>
      </c>
      <c r="AI345" s="2">
        <v>1.0</v>
      </c>
      <c r="AJ345" s="2">
        <v>5.0</v>
      </c>
      <c r="AK345" s="2">
        <v>9.0</v>
      </c>
      <c r="AL345" s="2" t="s">
        <v>383</v>
      </c>
      <c r="AM345" s="2" t="s">
        <v>384</v>
      </c>
      <c r="AN345" s="2" t="s">
        <v>385</v>
      </c>
      <c r="AO345" s="2"/>
      <c r="AP345" s="2" t="s">
        <v>386</v>
      </c>
      <c r="AQ345" s="2"/>
      <c r="AR345" s="2" t="s">
        <v>387</v>
      </c>
      <c r="AS345" s="2" t="s">
        <v>388</v>
      </c>
      <c r="AT345" s="2" t="s">
        <v>596</v>
      </c>
      <c r="AU345" s="2">
        <v>2023.0</v>
      </c>
      <c r="AV345" s="2">
        <v>15.0</v>
      </c>
      <c r="AW345" s="2">
        <v>19.0</v>
      </c>
      <c r="AX345" s="2"/>
      <c r="AY345" s="2"/>
      <c r="AZ345" s="2"/>
      <c r="BA345" s="2"/>
      <c r="BB345" s="2"/>
      <c r="BC345" s="2"/>
      <c r="BD345" s="2">
        <v>14604.0</v>
      </c>
      <c r="BE345" s="2" t="s">
        <v>6729</v>
      </c>
      <c r="BF345" s="3" t="str">
        <f>HYPERLINK("http://dx.doi.org/10.3390/su151914604","http://dx.doi.org/10.3390/su151914604")</f>
        <v>http://dx.doi.org/10.3390/su151914604</v>
      </c>
      <c r="BG345" s="2"/>
      <c r="BH345" s="2"/>
      <c r="BI345" s="2">
        <v>17.0</v>
      </c>
      <c r="BJ345" s="2" t="s">
        <v>390</v>
      </c>
      <c r="BK345" s="2" t="s">
        <v>363</v>
      </c>
      <c r="BL345" s="2" t="s">
        <v>391</v>
      </c>
      <c r="BM345" s="2" t="s">
        <v>6730</v>
      </c>
      <c r="BN345" s="2"/>
      <c r="BO345" s="2" t="s">
        <v>255</v>
      </c>
      <c r="BP345" s="2"/>
      <c r="BQ345" s="2"/>
      <c r="BR345" s="2" t="s">
        <v>99</v>
      </c>
      <c r="BS345" s="2" t="s">
        <v>6731</v>
      </c>
      <c r="BT345" s="2" t="str">
        <f>HYPERLINK("https%3A%2F%2Fwww.webofscience.com%2Fwos%2Fwoscc%2Ffull-record%2FWOS:001084170300001","View Full Record in Web of Science")</f>
        <v>View Full Record in Web of Science</v>
      </c>
    </row>
    <row r="346" ht="64.5" customHeight="1">
      <c r="A346" s="2" t="s">
        <v>72</v>
      </c>
      <c r="B346" s="2" t="s">
        <v>6732</v>
      </c>
      <c r="C346" s="2"/>
      <c r="D346" s="2"/>
      <c r="E346" s="2"/>
      <c r="F346" s="2" t="s">
        <v>6733</v>
      </c>
      <c r="G346" s="2"/>
      <c r="H346" s="2"/>
      <c r="I346" s="2" t="s">
        <v>6734</v>
      </c>
      <c r="J346" s="2" t="s">
        <v>623</v>
      </c>
      <c r="K346" s="2"/>
      <c r="L346" s="2"/>
      <c r="M346" s="2" t="s">
        <v>116</v>
      </c>
      <c r="N346" s="2" t="s">
        <v>4280</v>
      </c>
      <c r="O346" s="2"/>
      <c r="P346" s="2"/>
      <c r="Q346" s="2"/>
      <c r="R346" s="2"/>
      <c r="S346" s="2"/>
      <c r="T346" s="4" t="s">
        <v>121</v>
      </c>
      <c r="U346" s="2"/>
      <c r="V346" s="2" t="s">
        <v>6735</v>
      </c>
      <c r="W346" s="2" t="s">
        <v>6736</v>
      </c>
      <c r="X346" s="2"/>
      <c r="Y346" s="2" t="s">
        <v>6737</v>
      </c>
      <c r="Z346" s="2" t="s">
        <v>6738</v>
      </c>
      <c r="AA346" s="2"/>
      <c r="AB346" s="2" t="s">
        <v>6739</v>
      </c>
      <c r="AC346" s="2"/>
      <c r="AD346" s="2"/>
      <c r="AE346" s="2"/>
      <c r="AF346" s="2"/>
      <c r="AG346" s="2">
        <v>0.0</v>
      </c>
      <c r="AH346" s="2">
        <v>0.0</v>
      </c>
      <c r="AI346" s="2">
        <v>0.0</v>
      </c>
      <c r="AJ346" s="2">
        <v>0.0</v>
      </c>
      <c r="AK346" s="2">
        <v>3.0</v>
      </c>
      <c r="AL346" s="2" t="s">
        <v>629</v>
      </c>
      <c r="AM346" s="2" t="s">
        <v>630</v>
      </c>
      <c r="AN346" s="2" t="s">
        <v>631</v>
      </c>
      <c r="AO346" s="2" t="s">
        <v>632</v>
      </c>
      <c r="AP346" s="2" t="s">
        <v>633</v>
      </c>
      <c r="AQ346" s="2"/>
      <c r="AR346" s="2" t="s">
        <v>634</v>
      </c>
      <c r="AS346" s="2" t="s">
        <v>635</v>
      </c>
      <c r="AT346" s="2" t="s">
        <v>636</v>
      </c>
      <c r="AU346" s="2">
        <v>2021.0</v>
      </c>
      <c r="AV346" s="2">
        <v>55.0</v>
      </c>
      <c r="AW346" s="2">
        <v>3.0</v>
      </c>
      <c r="AX346" s="2"/>
      <c r="AY346" s="2"/>
      <c r="AZ346" s="2"/>
      <c r="BA346" s="2"/>
      <c r="BB346" s="2">
        <v>104.0</v>
      </c>
      <c r="BC346" s="2">
        <v>104.0</v>
      </c>
      <c r="BD346" s="2"/>
      <c r="BE346" s="2"/>
      <c r="BF346" s="2"/>
      <c r="BG346" s="2"/>
      <c r="BH346" s="2"/>
      <c r="BI346" s="2">
        <v>1.0</v>
      </c>
      <c r="BJ346" s="2" t="s">
        <v>134</v>
      </c>
      <c r="BK346" s="2" t="s">
        <v>226</v>
      </c>
      <c r="BL346" s="2" t="s">
        <v>136</v>
      </c>
      <c r="BM346" s="2" t="s">
        <v>4287</v>
      </c>
      <c r="BN346" s="2"/>
      <c r="BO346" s="2"/>
      <c r="BP346" s="2"/>
      <c r="BQ346" s="2"/>
      <c r="BR346" s="2" t="s">
        <v>99</v>
      </c>
      <c r="BS346" s="2" t="s">
        <v>6740</v>
      </c>
      <c r="BT346" s="2" t="str">
        <f>HYPERLINK("https%3A%2F%2Fwww.webofscience.com%2Fwos%2Fwoscc%2Ffull-record%2FWOS:000707639700032","View Full Record in Web of Science")</f>
        <v>View Full Record in Web of Science</v>
      </c>
    </row>
    <row r="347" ht="64.5" customHeight="1">
      <c r="A347" s="2" t="s">
        <v>72</v>
      </c>
      <c r="B347" s="2" t="s">
        <v>6741</v>
      </c>
      <c r="C347" s="2"/>
      <c r="D347" s="2"/>
      <c r="E347" s="2"/>
      <c r="F347" s="2" t="s">
        <v>6742</v>
      </c>
      <c r="G347" s="2"/>
      <c r="H347" s="2"/>
      <c r="I347" s="2" t="s">
        <v>6743</v>
      </c>
      <c r="J347" s="2" t="s">
        <v>370</v>
      </c>
      <c r="K347" s="2"/>
      <c r="L347" s="2"/>
      <c r="M347" s="2" t="s">
        <v>116</v>
      </c>
      <c r="N347" s="2" t="s">
        <v>643</v>
      </c>
      <c r="O347" s="2"/>
      <c r="P347" s="2"/>
      <c r="Q347" s="2"/>
      <c r="R347" s="2"/>
      <c r="S347" s="2"/>
      <c r="T347" s="2" t="s">
        <v>6744</v>
      </c>
      <c r="U347" s="2" t="s">
        <v>6745</v>
      </c>
      <c r="V347" s="2" t="s">
        <v>6746</v>
      </c>
      <c r="W347" s="2" t="s">
        <v>6747</v>
      </c>
      <c r="X347" s="2" t="s">
        <v>4128</v>
      </c>
      <c r="Y347" s="2" t="s">
        <v>6748</v>
      </c>
      <c r="Z347" s="2" t="s">
        <v>6749</v>
      </c>
      <c r="AA347" s="2" t="s">
        <v>6750</v>
      </c>
      <c r="AB347" s="2" t="s">
        <v>6751</v>
      </c>
      <c r="AC347" s="2" t="s">
        <v>6752</v>
      </c>
      <c r="AD347" s="2" t="s">
        <v>4128</v>
      </c>
      <c r="AE347" s="2" t="s">
        <v>6753</v>
      </c>
      <c r="AF347" s="2" t="s">
        <v>6754</v>
      </c>
      <c r="AG347" s="2">
        <v>84.0</v>
      </c>
      <c r="AH347" s="2">
        <v>7.0</v>
      </c>
      <c r="AI347" s="2">
        <v>8.0</v>
      </c>
      <c r="AJ347" s="2">
        <v>12.0</v>
      </c>
      <c r="AK347" s="2">
        <v>110.0</v>
      </c>
      <c r="AL347" s="2" t="s">
        <v>383</v>
      </c>
      <c r="AM347" s="2" t="s">
        <v>384</v>
      </c>
      <c r="AN347" s="2" t="s">
        <v>385</v>
      </c>
      <c r="AO347" s="2"/>
      <c r="AP347" s="2" t="s">
        <v>386</v>
      </c>
      <c r="AQ347" s="2"/>
      <c r="AR347" s="2" t="s">
        <v>387</v>
      </c>
      <c r="AS347" s="2" t="s">
        <v>388</v>
      </c>
      <c r="AT347" s="2" t="s">
        <v>195</v>
      </c>
      <c r="AU347" s="2">
        <v>2022.0</v>
      </c>
      <c r="AV347" s="2">
        <v>14.0</v>
      </c>
      <c r="AW347" s="2">
        <v>7.0</v>
      </c>
      <c r="AX347" s="2"/>
      <c r="AY347" s="2"/>
      <c r="AZ347" s="2"/>
      <c r="BA347" s="2"/>
      <c r="BB347" s="2"/>
      <c r="BC347" s="2"/>
      <c r="BD347" s="2">
        <v>4308.0</v>
      </c>
      <c r="BE347" s="2" t="s">
        <v>6755</v>
      </c>
      <c r="BF347" s="3" t="str">
        <f>HYPERLINK("http://dx.doi.org/10.3390/su14074308","http://dx.doi.org/10.3390/su14074308")</f>
        <v>http://dx.doi.org/10.3390/su14074308</v>
      </c>
      <c r="BG347" s="2"/>
      <c r="BH347" s="2"/>
      <c r="BI347" s="2">
        <v>21.0</v>
      </c>
      <c r="BJ347" s="2" t="s">
        <v>390</v>
      </c>
      <c r="BK347" s="2" t="s">
        <v>363</v>
      </c>
      <c r="BL347" s="2" t="s">
        <v>391</v>
      </c>
      <c r="BM347" s="2" t="s">
        <v>6756</v>
      </c>
      <c r="BN347" s="2"/>
      <c r="BO347" s="2" t="s">
        <v>255</v>
      </c>
      <c r="BP347" s="2"/>
      <c r="BQ347" s="2"/>
      <c r="BR347" s="2" t="s">
        <v>99</v>
      </c>
      <c r="BS347" s="2" t="s">
        <v>6757</v>
      </c>
      <c r="BT347" s="2" t="str">
        <f>HYPERLINK("https%3A%2F%2Fwww.webofscience.com%2Fwos%2Fwoscc%2Ffull-record%2FWOS:000781524800001","View Full Record in Web of Science")</f>
        <v>View Full Record in Web of Science</v>
      </c>
    </row>
    <row r="348" ht="64.5" customHeight="1">
      <c r="A348" s="2" t="s">
        <v>72</v>
      </c>
      <c r="B348" s="2" t="s">
        <v>6758</v>
      </c>
      <c r="C348" s="2"/>
      <c r="D348" s="2"/>
      <c r="E348" s="2"/>
      <c r="F348" s="2" t="s">
        <v>6759</v>
      </c>
      <c r="G348" s="2"/>
      <c r="H348" s="2"/>
      <c r="I348" s="2" t="s">
        <v>6760</v>
      </c>
      <c r="J348" s="2" t="s">
        <v>370</v>
      </c>
      <c r="K348" s="2"/>
      <c r="L348" s="2"/>
      <c r="M348" s="2" t="s">
        <v>116</v>
      </c>
      <c r="N348" s="2" t="s">
        <v>78</v>
      </c>
      <c r="O348" s="2"/>
      <c r="P348" s="2"/>
      <c r="Q348" s="2"/>
      <c r="R348" s="2"/>
      <c r="S348" s="2"/>
      <c r="T348" s="2" t="s">
        <v>6761</v>
      </c>
      <c r="U348" s="2" t="s">
        <v>6762</v>
      </c>
      <c r="V348" s="2" t="s">
        <v>6763</v>
      </c>
      <c r="W348" s="2" t="s">
        <v>6764</v>
      </c>
      <c r="X348" s="2" t="s">
        <v>6765</v>
      </c>
      <c r="Y348" s="2" t="s">
        <v>6766</v>
      </c>
      <c r="Z348" s="2" t="s">
        <v>6767</v>
      </c>
      <c r="AA348" s="2" t="s">
        <v>6768</v>
      </c>
      <c r="AB348" s="2" t="s">
        <v>6769</v>
      </c>
      <c r="AC348" s="2" t="s">
        <v>6770</v>
      </c>
      <c r="AD348" s="2" t="s">
        <v>6770</v>
      </c>
      <c r="AE348" s="2" t="s">
        <v>6770</v>
      </c>
      <c r="AF348" s="2" t="s">
        <v>6771</v>
      </c>
      <c r="AG348" s="2">
        <v>81.0</v>
      </c>
      <c r="AH348" s="2">
        <v>3.0</v>
      </c>
      <c r="AI348" s="2">
        <v>3.0</v>
      </c>
      <c r="AJ348" s="2">
        <v>12.0</v>
      </c>
      <c r="AK348" s="2">
        <v>23.0</v>
      </c>
      <c r="AL348" s="2" t="s">
        <v>383</v>
      </c>
      <c r="AM348" s="2" t="s">
        <v>384</v>
      </c>
      <c r="AN348" s="2" t="s">
        <v>385</v>
      </c>
      <c r="AO348" s="2"/>
      <c r="AP348" s="2" t="s">
        <v>386</v>
      </c>
      <c r="AQ348" s="2"/>
      <c r="AR348" s="2" t="s">
        <v>387</v>
      </c>
      <c r="AS348" s="2" t="s">
        <v>388</v>
      </c>
      <c r="AT348" s="2" t="s">
        <v>533</v>
      </c>
      <c r="AU348" s="2">
        <v>2023.0</v>
      </c>
      <c r="AV348" s="2">
        <v>15.0</v>
      </c>
      <c r="AW348" s="2">
        <v>17.0</v>
      </c>
      <c r="AX348" s="2"/>
      <c r="AY348" s="2"/>
      <c r="AZ348" s="2"/>
      <c r="BA348" s="2"/>
      <c r="BB348" s="2"/>
      <c r="BC348" s="2"/>
      <c r="BD348" s="2">
        <v>12905.0</v>
      </c>
      <c r="BE348" s="2" t="s">
        <v>6772</v>
      </c>
      <c r="BF348" s="3" t="str">
        <f>HYPERLINK("http://dx.doi.org/10.3390/su151712905","http://dx.doi.org/10.3390/su151712905")</f>
        <v>http://dx.doi.org/10.3390/su151712905</v>
      </c>
      <c r="BG348" s="2"/>
      <c r="BH348" s="2"/>
      <c r="BI348" s="2">
        <v>15.0</v>
      </c>
      <c r="BJ348" s="2" t="s">
        <v>390</v>
      </c>
      <c r="BK348" s="2" t="s">
        <v>363</v>
      </c>
      <c r="BL348" s="2" t="s">
        <v>391</v>
      </c>
      <c r="BM348" s="2" t="s">
        <v>6773</v>
      </c>
      <c r="BN348" s="2"/>
      <c r="BO348" s="2" t="s">
        <v>272</v>
      </c>
      <c r="BP348" s="2"/>
      <c r="BQ348" s="2"/>
      <c r="BR348" s="2" t="s">
        <v>99</v>
      </c>
      <c r="BS348" s="2" t="s">
        <v>6774</v>
      </c>
      <c r="BT348" s="2" t="str">
        <f>HYPERLINK("https%3A%2F%2Fwww.webofscience.com%2Fwos%2Fwoscc%2Ffull-record%2FWOS:001060661100001","View Full Record in Web of Science")</f>
        <v>View Full Record in Web of Science</v>
      </c>
    </row>
    <row r="349" ht="64.5" customHeight="1">
      <c r="A349" s="2" t="s">
        <v>72</v>
      </c>
      <c r="B349" s="2" t="s">
        <v>6775</v>
      </c>
      <c r="C349" s="2"/>
      <c r="D349" s="2"/>
      <c r="E349" s="2"/>
      <c r="F349" s="2" t="s">
        <v>6776</v>
      </c>
      <c r="G349" s="2"/>
      <c r="H349" s="2"/>
      <c r="I349" s="2" t="s">
        <v>6777</v>
      </c>
      <c r="J349" s="2" t="s">
        <v>6778</v>
      </c>
      <c r="K349" s="2"/>
      <c r="L349" s="2"/>
      <c r="M349" s="2" t="s">
        <v>116</v>
      </c>
      <c r="N349" s="2" t="s">
        <v>78</v>
      </c>
      <c r="O349" s="2"/>
      <c r="P349" s="2"/>
      <c r="Q349" s="2"/>
      <c r="R349" s="2"/>
      <c r="S349" s="2"/>
      <c r="T349" s="2" t="s">
        <v>6779</v>
      </c>
      <c r="U349" s="2" t="s">
        <v>6780</v>
      </c>
      <c r="V349" s="2" t="s">
        <v>6781</v>
      </c>
      <c r="W349" s="2" t="s">
        <v>6782</v>
      </c>
      <c r="X349" s="2" t="s">
        <v>6783</v>
      </c>
      <c r="Y349" s="2" t="s">
        <v>6784</v>
      </c>
      <c r="Z349" s="2" t="s">
        <v>6785</v>
      </c>
      <c r="AA349" s="2"/>
      <c r="AB349" s="2" t="s">
        <v>6786</v>
      </c>
      <c r="AC349" s="2"/>
      <c r="AD349" s="2"/>
      <c r="AE349" s="2"/>
      <c r="AF349" s="2" t="s">
        <v>6787</v>
      </c>
      <c r="AG349" s="2">
        <v>59.0</v>
      </c>
      <c r="AH349" s="2">
        <v>2.0</v>
      </c>
      <c r="AI349" s="2">
        <v>3.0</v>
      </c>
      <c r="AJ349" s="2">
        <v>0.0</v>
      </c>
      <c r="AK349" s="2">
        <v>13.0</v>
      </c>
      <c r="AL349" s="2" t="s">
        <v>2116</v>
      </c>
      <c r="AM349" s="2" t="s">
        <v>2117</v>
      </c>
      <c r="AN349" s="2" t="s">
        <v>2118</v>
      </c>
      <c r="AO349" s="2" t="s">
        <v>6788</v>
      </c>
      <c r="AP349" s="2" t="s">
        <v>6789</v>
      </c>
      <c r="AQ349" s="2"/>
      <c r="AR349" s="2" t="s">
        <v>6790</v>
      </c>
      <c r="AS349" s="2" t="s">
        <v>6791</v>
      </c>
      <c r="AT349" s="2" t="s">
        <v>6792</v>
      </c>
      <c r="AU349" s="2">
        <v>2021.0</v>
      </c>
      <c r="AV349" s="2">
        <v>12.0</v>
      </c>
      <c r="AW349" s="2">
        <v>2.0</v>
      </c>
      <c r="AX349" s="2"/>
      <c r="AY349" s="2"/>
      <c r="AZ349" s="2"/>
      <c r="BA349" s="2"/>
      <c r="BB349" s="2">
        <v>228.0</v>
      </c>
      <c r="BC349" s="2">
        <v>249.0</v>
      </c>
      <c r="BD349" s="2"/>
      <c r="BE349" s="2" t="s">
        <v>6793</v>
      </c>
      <c r="BF349" s="3" t="str">
        <f>HYPERLINK("http://dx.doi.org/10.1108/AJEMS-04-2020-0190","http://dx.doi.org/10.1108/AJEMS-04-2020-0190")</f>
        <v>http://dx.doi.org/10.1108/AJEMS-04-2020-0190</v>
      </c>
      <c r="BG349" s="2"/>
      <c r="BH349" s="2"/>
      <c r="BI349" s="2">
        <v>22.0</v>
      </c>
      <c r="BJ349" s="2" t="s">
        <v>2893</v>
      </c>
      <c r="BK349" s="2" t="s">
        <v>96</v>
      </c>
      <c r="BL349" s="2" t="s">
        <v>2894</v>
      </c>
      <c r="BM349" s="2" t="s">
        <v>6794</v>
      </c>
      <c r="BN349" s="2"/>
      <c r="BO349" s="2"/>
      <c r="BP349" s="2"/>
      <c r="BQ349" s="2"/>
      <c r="BR349" s="2" t="s">
        <v>99</v>
      </c>
      <c r="BS349" s="2" t="s">
        <v>6795</v>
      </c>
      <c r="BT349" s="2" t="str">
        <f>HYPERLINK("https%3A%2F%2Fwww.webofscience.com%2Fwos%2Fwoscc%2Ffull-record%2FWOS:000655127800003","View Full Record in Web of Science")</f>
        <v>View Full Record in Web of Science</v>
      </c>
    </row>
    <row r="350" ht="64.5" customHeight="1">
      <c r="A350" s="2" t="s">
        <v>72</v>
      </c>
      <c r="B350" s="2" t="s">
        <v>6796</v>
      </c>
      <c r="C350" s="2"/>
      <c r="D350" s="2"/>
      <c r="E350" s="2"/>
      <c r="F350" s="2" t="s">
        <v>6797</v>
      </c>
      <c r="G350" s="2"/>
      <c r="H350" s="2"/>
      <c r="I350" s="2" t="s">
        <v>6798</v>
      </c>
      <c r="J350" s="2" t="s">
        <v>142</v>
      </c>
      <c r="K350" s="2"/>
      <c r="L350" s="2"/>
      <c r="M350" s="2" t="s">
        <v>116</v>
      </c>
      <c r="N350" s="2" t="s">
        <v>78</v>
      </c>
      <c r="O350" s="2"/>
      <c r="P350" s="2"/>
      <c r="Q350" s="2"/>
      <c r="R350" s="2"/>
      <c r="S350" s="2"/>
      <c r="T350" s="2" t="s">
        <v>6799</v>
      </c>
      <c r="U350" s="2" t="s">
        <v>6800</v>
      </c>
      <c r="V350" s="2" t="s">
        <v>6801</v>
      </c>
      <c r="W350" s="2" t="s">
        <v>6802</v>
      </c>
      <c r="X350" s="2" t="s">
        <v>6803</v>
      </c>
      <c r="Y350" s="2" t="s">
        <v>6804</v>
      </c>
      <c r="Z350" s="2" t="s">
        <v>6805</v>
      </c>
      <c r="AA350" s="2" t="s">
        <v>6806</v>
      </c>
      <c r="AB350" s="2" t="s">
        <v>6807</v>
      </c>
      <c r="AC350" s="2"/>
      <c r="AD350" s="2"/>
      <c r="AE350" s="2"/>
      <c r="AF350" s="2" t="s">
        <v>6808</v>
      </c>
      <c r="AG350" s="2">
        <v>80.0</v>
      </c>
      <c r="AH350" s="2">
        <v>22.0</v>
      </c>
      <c r="AI350" s="2">
        <v>22.0</v>
      </c>
      <c r="AJ350" s="2">
        <v>12.0</v>
      </c>
      <c r="AK350" s="2">
        <v>66.0</v>
      </c>
      <c r="AL350" s="2" t="s">
        <v>156</v>
      </c>
      <c r="AM350" s="2" t="s">
        <v>157</v>
      </c>
      <c r="AN350" s="2" t="s">
        <v>158</v>
      </c>
      <c r="AO350" s="2" t="s">
        <v>159</v>
      </c>
      <c r="AP350" s="2" t="s">
        <v>160</v>
      </c>
      <c r="AQ350" s="2"/>
      <c r="AR350" s="2" t="s">
        <v>161</v>
      </c>
      <c r="AS350" s="2" t="s">
        <v>162</v>
      </c>
      <c r="AT350" s="2" t="s">
        <v>6809</v>
      </c>
      <c r="AU350" s="2">
        <v>2023.0</v>
      </c>
      <c r="AV350" s="2">
        <v>29.0</v>
      </c>
      <c r="AW350" s="2">
        <v>4.0</v>
      </c>
      <c r="AX350" s="2"/>
      <c r="AY350" s="2"/>
      <c r="AZ350" s="2" t="s">
        <v>359</v>
      </c>
      <c r="BA350" s="2"/>
      <c r="BB350" s="2">
        <v>607.0</v>
      </c>
      <c r="BC350" s="2">
        <v>623.0</v>
      </c>
      <c r="BD350" s="2"/>
      <c r="BE350" s="2" t="s">
        <v>6810</v>
      </c>
      <c r="BF350" s="3" t="str">
        <f>HYPERLINK("http://dx.doi.org/10.1080/13504622.2022.2085671","http://dx.doi.org/10.1080/13504622.2022.2085671")</f>
        <v>http://dx.doi.org/10.1080/13504622.2022.2085671</v>
      </c>
      <c r="BG350" s="2"/>
      <c r="BH350" s="2" t="s">
        <v>6811</v>
      </c>
      <c r="BI350" s="2">
        <v>17.0</v>
      </c>
      <c r="BJ350" s="2" t="s">
        <v>165</v>
      </c>
      <c r="BK350" s="2" t="s">
        <v>166</v>
      </c>
      <c r="BL350" s="2" t="s">
        <v>167</v>
      </c>
      <c r="BM350" s="2" t="s">
        <v>6812</v>
      </c>
      <c r="BN350" s="2"/>
      <c r="BO350" s="2" t="s">
        <v>666</v>
      </c>
      <c r="BP350" s="2"/>
      <c r="BQ350" s="2"/>
      <c r="BR350" s="2" t="s">
        <v>99</v>
      </c>
      <c r="BS350" s="2" t="s">
        <v>6813</v>
      </c>
      <c r="BT350" s="2" t="str">
        <f>HYPERLINK("https%3A%2F%2Fwww.webofscience.com%2Fwos%2Fwoscc%2Ffull-record%2FWOS:000811649900001","View Full Record in Web of Science")</f>
        <v>View Full Record in Web of Science</v>
      </c>
    </row>
    <row r="351" ht="64.5" customHeight="1">
      <c r="A351" s="2" t="s">
        <v>72</v>
      </c>
      <c r="B351" s="2" t="s">
        <v>6814</v>
      </c>
      <c r="C351" s="2"/>
      <c r="D351" s="2"/>
      <c r="E351" s="2"/>
      <c r="F351" s="2" t="s">
        <v>6815</v>
      </c>
      <c r="G351" s="2"/>
      <c r="H351" s="2"/>
      <c r="I351" s="2" t="s">
        <v>6816</v>
      </c>
      <c r="J351" s="2" t="s">
        <v>6817</v>
      </c>
      <c r="K351" s="2"/>
      <c r="L351" s="2"/>
      <c r="M351" s="2" t="s">
        <v>116</v>
      </c>
      <c r="N351" s="2" t="s">
        <v>78</v>
      </c>
      <c r="O351" s="2"/>
      <c r="P351" s="2"/>
      <c r="Q351" s="2"/>
      <c r="R351" s="2"/>
      <c r="S351" s="2"/>
      <c r="T351" s="2" t="s">
        <v>6818</v>
      </c>
      <c r="U351" s="2"/>
      <c r="V351" s="2" t="s">
        <v>6819</v>
      </c>
      <c r="W351" s="2" t="s">
        <v>6820</v>
      </c>
      <c r="X351" s="2" t="s">
        <v>6821</v>
      </c>
      <c r="Y351" s="2" t="s">
        <v>6822</v>
      </c>
      <c r="Z351" s="2" t="s">
        <v>6823</v>
      </c>
      <c r="AA351" s="2"/>
      <c r="AB351" s="2" t="s">
        <v>6824</v>
      </c>
      <c r="AC351" s="2"/>
      <c r="AD351" s="2"/>
      <c r="AE351" s="2"/>
      <c r="AF351" s="2" t="s">
        <v>6825</v>
      </c>
      <c r="AG351" s="2">
        <v>51.0</v>
      </c>
      <c r="AH351" s="2">
        <v>0.0</v>
      </c>
      <c r="AI351" s="2">
        <v>1.0</v>
      </c>
      <c r="AJ351" s="2">
        <v>1.0</v>
      </c>
      <c r="AK351" s="2">
        <v>8.0</v>
      </c>
      <c r="AL351" s="2" t="s">
        <v>1346</v>
      </c>
      <c r="AM351" s="2" t="s">
        <v>428</v>
      </c>
      <c r="AN351" s="2" t="s">
        <v>1347</v>
      </c>
      <c r="AO351" s="2" t="s">
        <v>6826</v>
      </c>
      <c r="AP351" s="2" t="s">
        <v>6827</v>
      </c>
      <c r="AQ351" s="2"/>
      <c r="AR351" s="2" t="s">
        <v>6828</v>
      </c>
      <c r="AS351" s="2" t="s">
        <v>6829</v>
      </c>
      <c r="AT351" s="2" t="s">
        <v>1017</v>
      </c>
      <c r="AU351" s="2">
        <v>2022.0</v>
      </c>
      <c r="AV351" s="2">
        <v>189.0</v>
      </c>
      <c r="AW351" s="2"/>
      <c r="AX351" s="2"/>
      <c r="AY351" s="2"/>
      <c r="AZ351" s="2"/>
      <c r="BA351" s="2"/>
      <c r="BB351" s="2">
        <v>147.0</v>
      </c>
      <c r="BC351" s="2">
        <v>159.0</v>
      </c>
      <c r="BD351" s="2"/>
      <c r="BE351" s="2" t="s">
        <v>6830</v>
      </c>
      <c r="BF351" s="3" t="str">
        <f>HYPERLINK("http://dx.doi.org/10.1016/j.pragma.2021.12.007","http://dx.doi.org/10.1016/j.pragma.2021.12.007")</f>
        <v>http://dx.doi.org/10.1016/j.pragma.2021.12.007</v>
      </c>
      <c r="BG351" s="2"/>
      <c r="BH351" s="2" t="s">
        <v>3930</v>
      </c>
      <c r="BI351" s="2">
        <v>13.0</v>
      </c>
      <c r="BJ351" s="2" t="s">
        <v>6831</v>
      </c>
      <c r="BK351" s="2" t="s">
        <v>6832</v>
      </c>
      <c r="BL351" s="2" t="s">
        <v>6833</v>
      </c>
      <c r="BM351" s="2" t="s">
        <v>6834</v>
      </c>
      <c r="BN351" s="2"/>
      <c r="BO351" s="2"/>
      <c r="BP351" s="2"/>
      <c r="BQ351" s="2"/>
      <c r="BR351" s="2" t="s">
        <v>99</v>
      </c>
      <c r="BS351" s="2" t="s">
        <v>6835</v>
      </c>
      <c r="BT351" s="2" t="str">
        <f>HYPERLINK("https%3A%2F%2Fwww.webofscience.com%2Fwos%2Fwoscc%2Ffull-record%2FWOS:000762405600011","View Full Record in Web of Science")</f>
        <v>View Full Record in Web of Science</v>
      </c>
    </row>
    <row r="352" ht="64.5" customHeight="1">
      <c r="A352" s="2" t="s">
        <v>72</v>
      </c>
      <c r="B352" s="2" t="s">
        <v>6836</v>
      </c>
      <c r="C352" s="2"/>
      <c r="D352" s="2"/>
      <c r="E352" s="2"/>
      <c r="F352" s="2" t="s">
        <v>6837</v>
      </c>
      <c r="G352" s="2"/>
      <c r="H352" s="2"/>
      <c r="I352" s="2" t="s">
        <v>6838</v>
      </c>
      <c r="J352" s="2" t="s">
        <v>6839</v>
      </c>
      <c r="K352" s="2"/>
      <c r="L352" s="2"/>
      <c r="M352" s="2" t="s">
        <v>116</v>
      </c>
      <c r="N352" s="2" t="s">
        <v>78</v>
      </c>
      <c r="O352" s="2"/>
      <c r="P352" s="2"/>
      <c r="Q352" s="2"/>
      <c r="R352" s="2"/>
      <c r="S352" s="2"/>
      <c r="T352" s="2" t="s">
        <v>6840</v>
      </c>
      <c r="U352" s="2" t="s">
        <v>6841</v>
      </c>
      <c r="V352" s="2" t="s">
        <v>6842</v>
      </c>
      <c r="W352" s="2" t="s">
        <v>6843</v>
      </c>
      <c r="X352" s="2" t="s">
        <v>6844</v>
      </c>
      <c r="Y352" s="2" t="s">
        <v>6845</v>
      </c>
      <c r="Z352" s="2" t="s">
        <v>5131</v>
      </c>
      <c r="AA352" s="2" t="s">
        <v>5132</v>
      </c>
      <c r="AB352" s="2" t="s">
        <v>5133</v>
      </c>
      <c r="AC352" s="2" t="s">
        <v>5982</v>
      </c>
      <c r="AD352" s="2" t="s">
        <v>5983</v>
      </c>
      <c r="AE352" s="2" t="s">
        <v>6846</v>
      </c>
      <c r="AF352" s="2" t="s">
        <v>6847</v>
      </c>
      <c r="AG352" s="2">
        <v>25.0</v>
      </c>
      <c r="AH352" s="2">
        <v>20.0</v>
      </c>
      <c r="AI352" s="2">
        <v>22.0</v>
      </c>
      <c r="AJ352" s="2">
        <v>8.0</v>
      </c>
      <c r="AK352" s="2">
        <v>91.0</v>
      </c>
      <c r="AL352" s="2" t="s">
        <v>3440</v>
      </c>
      <c r="AM352" s="2" t="s">
        <v>3441</v>
      </c>
      <c r="AN352" s="2" t="s">
        <v>3442</v>
      </c>
      <c r="AO352" s="2" t="s">
        <v>6848</v>
      </c>
      <c r="AP352" s="2"/>
      <c r="AQ352" s="2"/>
      <c r="AR352" s="2" t="s">
        <v>6849</v>
      </c>
      <c r="AS352" s="2" t="s">
        <v>6850</v>
      </c>
      <c r="AT352" s="2" t="s">
        <v>292</v>
      </c>
      <c r="AU352" s="2">
        <v>2014.0</v>
      </c>
      <c r="AV352" s="2">
        <v>2.0</v>
      </c>
      <c r="AW352" s="2">
        <v>11.0</v>
      </c>
      <c r="AX352" s="2"/>
      <c r="AY352" s="2"/>
      <c r="AZ352" s="2"/>
      <c r="BA352" s="2"/>
      <c r="BB352" s="2">
        <v>2488.0</v>
      </c>
      <c r="BC352" s="2">
        <v>2494.0</v>
      </c>
      <c r="BD352" s="2"/>
      <c r="BE352" s="2" t="s">
        <v>6851</v>
      </c>
      <c r="BF352" s="3" t="str">
        <f>HYPERLINK("http://dx.doi.org/10.1021/sc500415k","http://dx.doi.org/10.1021/sc500415k")</f>
        <v>http://dx.doi.org/10.1021/sc500415k</v>
      </c>
      <c r="BG352" s="2"/>
      <c r="BH352" s="2"/>
      <c r="BI352" s="2">
        <v>7.0</v>
      </c>
      <c r="BJ352" s="2" t="s">
        <v>6852</v>
      </c>
      <c r="BK352" s="2" t="s">
        <v>226</v>
      </c>
      <c r="BL352" s="2" t="s">
        <v>6853</v>
      </c>
      <c r="BM352" s="2" t="s">
        <v>6854</v>
      </c>
      <c r="BN352" s="2"/>
      <c r="BO352" s="2" t="s">
        <v>2826</v>
      </c>
      <c r="BP352" s="2"/>
      <c r="BQ352" s="2"/>
      <c r="BR352" s="2" t="s">
        <v>99</v>
      </c>
      <c r="BS352" s="2" t="s">
        <v>6855</v>
      </c>
      <c r="BT352" s="2" t="str">
        <f>HYPERLINK("https%3A%2F%2Fwww.webofscience.com%2Fwos%2Fwoscc%2Ffull-record%2FWOS:000344311600001","View Full Record in Web of Science")</f>
        <v>View Full Record in Web of Science</v>
      </c>
    </row>
    <row r="353" ht="64.5" customHeight="1">
      <c r="A353" s="2" t="s">
        <v>72</v>
      </c>
      <c r="B353" s="2" t="s">
        <v>6856</v>
      </c>
      <c r="C353" s="2"/>
      <c r="D353" s="2"/>
      <c r="E353" s="2"/>
      <c r="F353" s="2" t="s">
        <v>6857</v>
      </c>
      <c r="G353" s="2"/>
      <c r="H353" s="2"/>
      <c r="I353" s="2" t="s">
        <v>6858</v>
      </c>
      <c r="J353" s="2" t="s">
        <v>6859</v>
      </c>
      <c r="K353" s="2"/>
      <c r="L353" s="2"/>
      <c r="M353" s="2" t="s">
        <v>116</v>
      </c>
      <c r="N353" s="2" t="s">
        <v>78</v>
      </c>
      <c r="O353" s="2"/>
      <c r="P353" s="2"/>
      <c r="Q353" s="2"/>
      <c r="R353" s="2"/>
      <c r="S353" s="2"/>
      <c r="T353" s="2" t="s">
        <v>6860</v>
      </c>
      <c r="U353" s="2" t="s">
        <v>6861</v>
      </c>
      <c r="V353" s="2" t="s">
        <v>6862</v>
      </c>
      <c r="W353" s="2" t="s">
        <v>6863</v>
      </c>
      <c r="X353" s="2" t="s">
        <v>6864</v>
      </c>
      <c r="Y353" s="2" t="s">
        <v>6865</v>
      </c>
      <c r="Z353" s="2" t="s">
        <v>6369</v>
      </c>
      <c r="AA353" s="2" t="s">
        <v>6370</v>
      </c>
      <c r="AB353" s="2" t="s">
        <v>6866</v>
      </c>
      <c r="AC353" s="2"/>
      <c r="AD353" s="2"/>
      <c r="AE353" s="2"/>
      <c r="AF353" s="2" t="s">
        <v>6867</v>
      </c>
      <c r="AG353" s="2">
        <v>30.0</v>
      </c>
      <c r="AH353" s="2">
        <v>1.0</v>
      </c>
      <c r="AI353" s="2">
        <v>1.0</v>
      </c>
      <c r="AJ353" s="2">
        <v>2.0</v>
      </c>
      <c r="AK353" s="2">
        <v>29.0</v>
      </c>
      <c r="AL353" s="2" t="s">
        <v>6868</v>
      </c>
      <c r="AM353" s="2" t="s">
        <v>6869</v>
      </c>
      <c r="AN353" s="2" t="s">
        <v>6870</v>
      </c>
      <c r="AO353" s="2" t="s">
        <v>6871</v>
      </c>
      <c r="AP353" s="2" t="s">
        <v>6872</v>
      </c>
      <c r="AQ353" s="2"/>
      <c r="AR353" s="2" t="s">
        <v>6873</v>
      </c>
      <c r="AS353" s="2" t="s">
        <v>6874</v>
      </c>
      <c r="AT353" s="2" t="s">
        <v>533</v>
      </c>
      <c r="AU353" s="2">
        <v>2021.0</v>
      </c>
      <c r="AV353" s="2">
        <v>198.0</v>
      </c>
      <c r="AW353" s="2">
        <v>3.0</v>
      </c>
      <c r="AX353" s="2"/>
      <c r="AY353" s="2"/>
      <c r="AZ353" s="2"/>
      <c r="BA353" s="2"/>
      <c r="BB353" s="2">
        <v>433.0</v>
      </c>
      <c r="BC353" s="2">
        <v>436.0</v>
      </c>
      <c r="BD353" s="2"/>
      <c r="BE353" s="2" t="s">
        <v>6875</v>
      </c>
      <c r="BF353" s="3" t="str">
        <f>HYPERLINK("http://dx.doi.org/10.1086/715153","http://dx.doi.org/10.1086/715153")</f>
        <v>http://dx.doi.org/10.1086/715153</v>
      </c>
      <c r="BG353" s="2"/>
      <c r="BH353" s="2" t="s">
        <v>2044</v>
      </c>
      <c r="BI353" s="2">
        <v>4.0</v>
      </c>
      <c r="BJ353" s="2" t="s">
        <v>6378</v>
      </c>
      <c r="BK353" s="2" t="s">
        <v>363</v>
      </c>
      <c r="BL353" s="2" t="s">
        <v>6379</v>
      </c>
      <c r="BM353" s="2" t="s">
        <v>6876</v>
      </c>
      <c r="BN353" s="2">
        <v>3.4403318E7</v>
      </c>
      <c r="BO353" s="2"/>
      <c r="BP353" s="2"/>
      <c r="BQ353" s="2"/>
      <c r="BR353" s="2" t="s">
        <v>99</v>
      </c>
      <c r="BS353" s="2" t="s">
        <v>6877</v>
      </c>
      <c r="BT353" s="2" t="str">
        <f>HYPERLINK("https%3A%2F%2Fwww.webofscience.com%2Fwos%2Fwoscc%2Ffull-record%2FWOS:000661978400001","View Full Record in Web of Science")</f>
        <v>View Full Record in Web of Science</v>
      </c>
    </row>
    <row r="354" ht="64.5" customHeight="1">
      <c r="A354" s="2" t="s">
        <v>110</v>
      </c>
      <c r="B354" s="2" t="s">
        <v>6878</v>
      </c>
      <c r="C354" s="2"/>
      <c r="D354" s="2" t="s">
        <v>6879</v>
      </c>
      <c r="E354" s="2"/>
      <c r="F354" s="2" t="s">
        <v>6880</v>
      </c>
      <c r="G354" s="2"/>
      <c r="H354" s="2"/>
      <c r="I354" s="2" t="s">
        <v>6881</v>
      </c>
      <c r="J354" s="2" t="s">
        <v>6882</v>
      </c>
      <c r="K354" s="2"/>
      <c r="L354" s="2"/>
      <c r="M354" s="2" t="s">
        <v>116</v>
      </c>
      <c r="N354" s="2" t="s">
        <v>117</v>
      </c>
      <c r="O354" s="2" t="s">
        <v>6883</v>
      </c>
      <c r="P354" s="2" t="s">
        <v>6884</v>
      </c>
      <c r="Q354" s="2" t="s">
        <v>6885</v>
      </c>
      <c r="R354" s="2"/>
      <c r="S354" s="2" t="s">
        <v>6886</v>
      </c>
      <c r="T354" s="2" t="s">
        <v>6887</v>
      </c>
      <c r="U354" s="2" t="s">
        <v>6888</v>
      </c>
      <c r="V354" s="2" t="s">
        <v>6889</v>
      </c>
      <c r="W354" s="2" t="s">
        <v>6890</v>
      </c>
      <c r="X354" s="2" t="s">
        <v>319</v>
      </c>
      <c r="Y354" s="2" t="s">
        <v>6891</v>
      </c>
      <c r="Z354" s="2" t="s">
        <v>6892</v>
      </c>
      <c r="AA354" s="2"/>
      <c r="AB354" s="2"/>
      <c r="AC354" s="2"/>
      <c r="AD354" s="2"/>
      <c r="AE354" s="2"/>
      <c r="AF354" s="2" t="s">
        <v>6893</v>
      </c>
      <c r="AG354" s="2">
        <v>40.0</v>
      </c>
      <c r="AH354" s="2">
        <v>10.0</v>
      </c>
      <c r="AI354" s="2">
        <v>10.0</v>
      </c>
      <c r="AJ354" s="2">
        <v>1.0</v>
      </c>
      <c r="AK354" s="2">
        <v>14.0</v>
      </c>
      <c r="AL354" s="2" t="s">
        <v>129</v>
      </c>
      <c r="AM354" s="2" t="s">
        <v>130</v>
      </c>
      <c r="AN354" s="2" t="s">
        <v>131</v>
      </c>
      <c r="AO354" s="2"/>
      <c r="AP354" s="2"/>
      <c r="AQ354" s="2" t="s">
        <v>6894</v>
      </c>
      <c r="AR354" s="2"/>
      <c r="AS354" s="2"/>
      <c r="AT354" s="2"/>
      <c r="AU354" s="2">
        <v>2013.0</v>
      </c>
      <c r="AV354" s="2"/>
      <c r="AW354" s="2"/>
      <c r="AX354" s="2"/>
      <c r="AY354" s="2"/>
      <c r="AZ354" s="2"/>
      <c r="BA354" s="2"/>
      <c r="BB354" s="2">
        <v>128.0</v>
      </c>
      <c r="BC354" s="2">
        <v>132.0</v>
      </c>
      <c r="BD354" s="2"/>
      <c r="BE354" s="2"/>
      <c r="BF354" s="2"/>
      <c r="BG354" s="2"/>
      <c r="BH354" s="2"/>
      <c r="BI354" s="2">
        <v>5.0</v>
      </c>
      <c r="BJ354" s="2" t="s">
        <v>2335</v>
      </c>
      <c r="BK354" s="2" t="s">
        <v>135</v>
      </c>
      <c r="BL354" s="2" t="s">
        <v>331</v>
      </c>
      <c r="BM354" s="2" t="s">
        <v>6895</v>
      </c>
      <c r="BN354" s="2"/>
      <c r="BO354" s="2"/>
      <c r="BP354" s="2"/>
      <c r="BQ354" s="2"/>
      <c r="BR354" s="2" t="s">
        <v>99</v>
      </c>
      <c r="BS354" s="2" t="s">
        <v>6896</v>
      </c>
      <c r="BT354" s="2" t="str">
        <f>HYPERLINK("https%3A%2F%2Fwww.webofscience.com%2Fwos%2Fwoscc%2Ffull-record%2FWOS:000332827800025","View Full Record in Web of Science")</f>
        <v>View Full Record in Web of Science</v>
      </c>
    </row>
    <row r="355" ht="64.5" customHeight="1">
      <c r="A355" s="2" t="s">
        <v>72</v>
      </c>
      <c r="B355" s="2" t="s">
        <v>6897</v>
      </c>
      <c r="C355" s="2"/>
      <c r="D355" s="2"/>
      <c r="E355" s="2"/>
      <c r="F355" s="2" t="s">
        <v>6898</v>
      </c>
      <c r="G355" s="2"/>
      <c r="H355" s="2"/>
      <c r="I355" s="2" t="s">
        <v>6899</v>
      </c>
      <c r="J355" s="2" t="s">
        <v>206</v>
      </c>
      <c r="K355" s="2"/>
      <c r="L355" s="2"/>
      <c r="M355" s="2" t="s">
        <v>116</v>
      </c>
      <c r="N355" s="2" t="s">
        <v>643</v>
      </c>
      <c r="O355" s="2"/>
      <c r="P355" s="2"/>
      <c r="Q355" s="2"/>
      <c r="R355" s="2"/>
      <c r="S355" s="2"/>
      <c r="T355" s="2" t="s">
        <v>6900</v>
      </c>
      <c r="U355" s="2" t="s">
        <v>6901</v>
      </c>
      <c r="V355" s="2" t="s">
        <v>6902</v>
      </c>
      <c r="W355" s="2" t="s">
        <v>6903</v>
      </c>
      <c r="X355" s="2" t="s">
        <v>1127</v>
      </c>
      <c r="Y355" s="2" t="s">
        <v>6904</v>
      </c>
      <c r="Z355" s="2" t="s">
        <v>6905</v>
      </c>
      <c r="AA355" s="2" t="s">
        <v>6906</v>
      </c>
      <c r="AB355" s="2" t="s">
        <v>6907</v>
      </c>
      <c r="AC355" s="2" t="s">
        <v>6908</v>
      </c>
      <c r="AD355" s="2" t="s">
        <v>6909</v>
      </c>
      <c r="AE355" s="2" t="s">
        <v>6910</v>
      </c>
      <c r="AF355" s="2" t="s">
        <v>6911</v>
      </c>
      <c r="AG355" s="2">
        <v>141.0</v>
      </c>
      <c r="AH355" s="2">
        <v>22.0</v>
      </c>
      <c r="AI355" s="2">
        <v>23.0</v>
      </c>
      <c r="AJ355" s="2">
        <v>5.0</v>
      </c>
      <c r="AK355" s="2">
        <v>41.0</v>
      </c>
      <c r="AL355" s="2" t="s">
        <v>216</v>
      </c>
      <c r="AM355" s="2" t="s">
        <v>189</v>
      </c>
      <c r="AN355" s="2" t="s">
        <v>217</v>
      </c>
      <c r="AO355" s="2" t="s">
        <v>218</v>
      </c>
      <c r="AP355" s="2" t="s">
        <v>219</v>
      </c>
      <c r="AQ355" s="2"/>
      <c r="AR355" s="2" t="s">
        <v>220</v>
      </c>
      <c r="AS355" s="2" t="s">
        <v>221</v>
      </c>
      <c r="AT355" s="2" t="s">
        <v>751</v>
      </c>
      <c r="AU355" s="2">
        <v>2021.0</v>
      </c>
      <c r="AV355" s="2">
        <v>168.0</v>
      </c>
      <c r="AW355" s="2"/>
      <c r="AX355" s="2"/>
      <c r="AY355" s="2"/>
      <c r="AZ355" s="2"/>
      <c r="BA355" s="2"/>
      <c r="BB355" s="2"/>
      <c r="BC355" s="2"/>
      <c r="BD355" s="2">
        <v>112446.0</v>
      </c>
      <c r="BE355" s="2" t="s">
        <v>6912</v>
      </c>
      <c r="BF355" s="3" t="str">
        <f>HYPERLINK("http://dx.doi.org/10.1016/j.marpolbul.2021.112446","http://dx.doi.org/10.1016/j.marpolbul.2021.112446")</f>
        <v>http://dx.doi.org/10.1016/j.marpolbul.2021.112446</v>
      </c>
      <c r="BG355" s="2"/>
      <c r="BH355" s="2" t="s">
        <v>3559</v>
      </c>
      <c r="BI355" s="2">
        <v>17.0</v>
      </c>
      <c r="BJ355" s="2" t="s">
        <v>225</v>
      </c>
      <c r="BK355" s="2" t="s">
        <v>363</v>
      </c>
      <c r="BL355" s="2" t="s">
        <v>227</v>
      </c>
      <c r="BM355" s="2" t="s">
        <v>6913</v>
      </c>
      <c r="BN355" s="2">
        <v>3.3991982E7</v>
      </c>
      <c r="BO355" s="2"/>
      <c r="BP355" s="2"/>
      <c r="BQ355" s="2"/>
      <c r="BR355" s="2" t="s">
        <v>99</v>
      </c>
      <c r="BS355" s="2" t="s">
        <v>6914</v>
      </c>
      <c r="BT355" s="2" t="str">
        <f>HYPERLINK("https%3A%2F%2Fwww.webofscience.com%2Fwos%2Fwoscc%2Ffull-record%2FWOS:000661853300002","View Full Record in Web of Science")</f>
        <v>View Full Record in Web of Science</v>
      </c>
    </row>
    <row r="356" ht="64.5" customHeight="1">
      <c r="A356" s="2" t="s">
        <v>72</v>
      </c>
      <c r="B356" s="2" t="s">
        <v>6915</v>
      </c>
      <c r="C356" s="2"/>
      <c r="D356" s="2"/>
      <c r="E356" s="2"/>
      <c r="F356" s="2" t="s">
        <v>6916</v>
      </c>
      <c r="G356" s="2"/>
      <c r="H356" s="2"/>
      <c r="I356" s="2" t="s">
        <v>6917</v>
      </c>
      <c r="J356" s="2" t="s">
        <v>1823</v>
      </c>
      <c r="K356" s="2"/>
      <c r="L356" s="2"/>
      <c r="M356" s="2" t="s">
        <v>116</v>
      </c>
      <c r="N356" s="2" t="s">
        <v>78</v>
      </c>
      <c r="O356" s="2"/>
      <c r="P356" s="2"/>
      <c r="Q356" s="2"/>
      <c r="R356" s="2"/>
      <c r="S356" s="2"/>
      <c r="T356" s="4" t="s">
        <v>121</v>
      </c>
      <c r="U356" s="2" t="s">
        <v>6918</v>
      </c>
      <c r="V356" s="2" t="s">
        <v>6919</v>
      </c>
      <c r="W356" s="2" t="s">
        <v>6920</v>
      </c>
      <c r="X356" s="2" t="s">
        <v>6921</v>
      </c>
      <c r="Y356" s="2" t="s">
        <v>6922</v>
      </c>
      <c r="Z356" s="2" t="s">
        <v>6923</v>
      </c>
      <c r="AA356" s="2" t="s">
        <v>6924</v>
      </c>
      <c r="AB356" s="2" t="s">
        <v>6925</v>
      </c>
      <c r="AC356" s="2" t="s">
        <v>6926</v>
      </c>
      <c r="AD356" s="2" t="s">
        <v>6926</v>
      </c>
      <c r="AE356" s="2" t="s">
        <v>6927</v>
      </c>
      <c r="AF356" s="2" t="s">
        <v>6928</v>
      </c>
      <c r="AG356" s="2">
        <v>66.0</v>
      </c>
      <c r="AH356" s="2">
        <v>36.0</v>
      </c>
      <c r="AI356" s="2">
        <v>38.0</v>
      </c>
      <c r="AJ356" s="2">
        <v>1.0</v>
      </c>
      <c r="AK356" s="2">
        <v>28.0</v>
      </c>
      <c r="AL356" s="2" t="s">
        <v>188</v>
      </c>
      <c r="AM356" s="2" t="s">
        <v>189</v>
      </c>
      <c r="AN356" s="2" t="s">
        <v>190</v>
      </c>
      <c r="AO356" s="2" t="s">
        <v>1836</v>
      </c>
      <c r="AP356" s="2" t="s">
        <v>1837</v>
      </c>
      <c r="AQ356" s="2"/>
      <c r="AR356" s="2" t="s">
        <v>1838</v>
      </c>
      <c r="AS356" s="2" t="s">
        <v>1839</v>
      </c>
      <c r="AT356" s="2" t="s">
        <v>751</v>
      </c>
      <c r="AU356" s="2">
        <v>2014.0</v>
      </c>
      <c r="AV356" s="2">
        <v>95.0</v>
      </c>
      <c r="AW356" s="2"/>
      <c r="AX356" s="2"/>
      <c r="AY356" s="2"/>
      <c r="AZ356" s="2"/>
      <c r="BA356" s="2"/>
      <c r="BB356" s="2">
        <v>107.0</v>
      </c>
      <c r="BC356" s="2">
        <v>116.0</v>
      </c>
      <c r="BD356" s="2"/>
      <c r="BE356" s="2" t="s">
        <v>6929</v>
      </c>
      <c r="BF356" s="3" t="str">
        <f>HYPERLINK("http://dx.doi.org/10.1016/j.ocecoaman.2014.04.011","http://dx.doi.org/10.1016/j.ocecoaman.2014.04.011")</f>
        <v>http://dx.doi.org/10.1016/j.ocecoaman.2014.04.011</v>
      </c>
      <c r="BG356" s="2"/>
      <c r="BH356" s="2"/>
      <c r="BI356" s="2">
        <v>10.0</v>
      </c>
      <c r="BJ356" s="2" t="s">
        <v>1842</v>
      </c>
      <c r="BK356" s="2" t="s">
        <v>363</v>
      </c>
      <c r="BL356" s="2" t="s">
        <v>1842</v>
      </c>
      <c r="BM356" s="2" t="s">
        <v>6930</v>
      </c>
      <c r="BN356" s="2"/>
      <c r="BO356" s="2"/>
      <c r="BP356" s="2"/>
      <c r="BQ356" s="2"/>
      <c r="BR356" s="2" t="s">
        <v>99</v>
      </c>
      <c r="BS356" s="2" t="s">
        <v>6931</v>
      </c>
      <c r="BT356" s="2" t="str">
        <f>HYPERLINK("https%3A%2F%2Fwww.webofscience.com%2Fwos%2Fwoscc%2Ffull-record%2FWOS:000337855000011","View Full Record in Web of Science")</f>
        <v>View Full Record in Web of Science</v>
      </c>
    </row>
    <row r="357" ht="64.5" customHeight="1">
      <c r="A357" s="2" t="s">
        <v>72</v>
      </c>
      <c r="B357" s="2" t="s">
        <v>6932</v>
      </c>
      <c r="C357" s="2"/>
      <c r="D357" s="2"/>
      <c r="E357" s="2"/>
      <c r="F357" s="2" t="s">
        <v>6933</v>
      </c>
      <c r="G357" s="2"/>
      <c r="H357" s="2"/>
      <c r="I357" s="2" t="s">
        <v>6934</v>
      </c>
      <c r="J357" s="2" t="s">
        <v>233</v>
      </c>
      <c r="K357" s="2"/>
      <c r="L357" s="2"/>
      <c r="M357" s="2" t="s">
        <v>116</v>
      </c>
      <c r="N357" s="2" t="s">
        <v>78</v>
      </c>
      <c r="O357" s="2"/>
      <c r="P357" s="2"/>
      <c r="Q357" s="2"/>
      <c r="R357" s="2"/>
      <c r="S357" s="2"/>
      <c r="T357" s="2" t="s">
        <v>6935</v>
      </c>
      <c r="U357" s="2" t="s">
        <v>6936</v>
      </c>
      <c r="V357" s="2" t="s">
        <v>6937</v>
      </c>
      <c r="W357" s="2" t="s">
        <v>6938</v>
      </c>
      <c r="X357" s="2" t="s">
        <v>6939</v>
      </c>
      <c r="Y357" s="2" t="s">
        <v>6940</v>
      </c>
      <c r="Z357" s="2" t="s">
        <v>5841</v>
      </c>
      <c r="AA357" s="2" t="s">
        <v>6941</v>
      </c>
      <c r="AB357" s="2" t="s">
        <v>6942</v>
      </c>
      <c r="AC357" s="2" t="s">
        <v>6943</v>
      </c>
      <c r="AD357" s="2" t="s">
        <v>6944</v>
      </c>
      <c r="AE357" s="2" t="s">
        <v>6945</v>
      </c>
      <c r="AF357" s="2" t="s">
        <v>6946</v>
      </c>
      <c r="AG357" s="2">
        <v>51.0</v>
      </c>
      <c r="AH357" s="2">
        <v>25.0</v>
      </c>
      <c r="AI357" s="2">
        <v>25.0</v>
      </c>
      <c r="AJ357" s="2">
        <v>2.0</v>
      </c>
      <c r="AK357" s="2">
        <v>14.0</v>
      </c>
      <c r="AL357" s="2" t="s">
        <v>246</v>
      </c>
      <c r="AM357" s="2" t="s">
        <v>247</v>
      </c>
      <c r="AN357" s="2" t="s">
        <v>248</v>
      </c>
      <c r="AO357" s="2"/>
      <c r="AP357" s="2" t="s">
        <v>249</v>
      </c>
      <c r="AQ357" s="2"/>
      <c r="AR357" s="2" t="s">
        <v>250</v>
      </c>
      <c r="AS357" s="2" t="s">
        <v>251</v>
      </c>
      <c r="AT357" s="2" t="s">
        <v>6947</v>
      </c>
      <c r="AU357" s="2">
        <v>2020.0</v>
      </c>
      <c r="AV357" s="2">
        <v>7.0</v>
      </c>
      <c r="AW357" s="2"/>
      <c r="AX357" s="2"/>
      <c r="AY357" s="2"/>
      <c r="AZ357" s="2"/>
      <c r="BA357" s="2"/>
      <c r="BB357" s="2"/>
      <c r="BC357" s="2"/>
      <c r="BD357" s="2">
        <v>137.0</v>
      </c>
      <c r="BE357" s="2" t="s">
        <v>6948</v>
      </c>
      <c r="BF357" s="3" t="str">
        <f>HYPERLINK("http://dx.doi.org/10.3389/fmars.2020.00137","http://dx.doi.org/10.3389/fmars.2020.00137")</f>
        <v>http://dx.doi.org/10.3389/fmars.2020.00137</v>
      </c>
      <c r="BG357" s="2"/>
      <c r="BH357" s="2"/>
      <c r="BI357" s="2">
        <v>14.0</v>
      </c>
      <c r="BJ357" s="2" t="s">
        <v>225</v>
      </c>
      <c r="BK357" s="2" t="s">
        <v>363</v>
      </c>
      <c r="BL357" s="2" t="s">
        <v>227</v>
      </c>
      <c r="BM357" s="2" t="s">
        <v>6949</v>
      </c>
      <c r="BN357" s="2"/>
      <c r="BO357" s="2" t="s">
        <v>601</v>
      </c>
      <c r="BP357" s="2"/>
      <c r="BQ357" s="2"/>
      <c r="BR357" s="2" t="s">
        <v>99</v>
      </c>
      <c r="BS357" s="2" t="s">
        <v>6950</v>
      </c>
      <c r="BT357" s="2" t="str">
        <f>HYPERLINK("https%3A%2F%2Fwww.webofscience.com%2Fwos%2Fwoscc%2Ffull-record%2FWOS:000518845700001","View Full Record in Web of Science")</f>
        <v>View Full Record in Web of Science</v>
      </c>
    </row>
    <row r="358" ht="64.5" customHeight="1">
      <c r="A358" s="2" t="s">
        <v>72</v>
      </c>
      <c r="B358" s="2" t="s">
        <v>6951</v>
      </c>
      <c r="C358" s="2"/>
      <c r="D358" s="2"/>
      <c r="E358" s="2"/>
      <c r="F358" s="2" t="s">
        <v>6952</v>
      </c>
      <c r="G358" s="2"/>
      <c r="H358" s="2"/>
      <c r="I358" s="2" t="s">
        <v>6953</v>
      </c>
      <c r="J358" s="2" t="s">
        <v>370</v>
      </c>
      <c r="K358" s="2"/>
      <c r="L358" s="2"/>
      <c r="M358" s="2" t="s">
        <v>116</v>
      </c>
      <c r="N358" s="2" t="s">
        <v>78</v>
      </c>
      <c r="O358" s="2"/>
      <c r="P358" s="2"/>
      <c r="Q358" s="2"/>
      <c r="R358" s="2"/>
      <c r="S358" s="2"/>
      <c r="T358" s="2" t="s">
        <v>6954</v>
      </c>
      <c r="U358" s="2"/>
      <c r="V358" s="2" t="s">
        <v>6955</v>
      </c>
      <c r="W358" s="2" t="s">
        <v>6956</v>
      </c>
      <c r="X358" s="2" t="s">
        <v>6957</v>
      </c>
      <c r="Y358" s="2" t="s">
        <v>6958</v>
      </c>
      <c r="Z358" s="2" t="s">
        <v>6959</v>
      </c>
      <c r="AA358" s="2" t="s">
        <v>6960</v>
      </c>
      <c r="AB358" s="2" t="s">
        <v>6961</v>
      </c>
      <c r="AC358" s="2" t="s">
        <v>6962</v>
      </c>
      <c r="AD358" s="2" t="s">
        <v>6944</v>
      </c>
      <c r="AE358" s="2" t="s">
        <v>6963</v>
      </c>
      <c r="AF358" s="2" t="s">
        <v>6964</v>
      </c>
      <c r="AG358" s="2">
        <v>40.0</v>
      </c>
      <c r="AH358" s="2">
        <v>5.0</v>
      </c>
      <c r="AI358" s="2">
        <v>5.0</v>
      </c>
      <c r="AJ358" s="2">
        <v>1.0</v>
      </c>
      <c r="AK358" s="2">
        <v>9.0</v>
      </c>
      <c r="AL358" s="2" t="s">
        <v>383</v>
      </c>
      <c r="AM358" s="2" t="s">
        <v>384</v>
      </c>
      <c r="AN358" s="2" t="s">
        <v>385</v>
      </c>
      <c r="AO358" s="2"/>
      <c r="AP358" s="2" t="s">
        <v>386</v>
      </c>
      <c r="AQ358" s="2"/>
      <c r="AR358" s="2" t="s">
        <v>387</v>
      </c>
      <c r="AS358" s="2" t="s">
        <v>388</v>
      </c>
      <c r="AT358" s="2" t="s">
        <v>751</v>
      </c>
      <c r="AU358" s="2">
        <v>2021.0</v>
      </c>
      <c r="AV358" s="2">
        <v>13.0</v>
      </c>
      <c r="AW358" s="2">
        <v>14.0</v>
      </c>
      <c r="AX358" s="2"/>
      <c r="AY358" s="2"/>
      <c r="AZ358" s="2"/>
      <c r="BA358" s="2"/>
      <c r="BB358" s="2"/>
      <c r="BC358" s="2"/>
      <c r="BD358" s="2">
        <v>7543.0</v>
      </c>
      <c r="BE358" s="2" t="s">
        <v>6965</v>
      </c>
      <c r="BF358" s="3" t="str">
        <f>HYPERLINK("http://dx.doi.org/10.3390/su13147543","http://dx.doi.org/10.3390/su13147543")</f>
        <v>http://dx.doi.org/10.3390/su13147543</v>
      </c>
      <c r="BG358" s="2"/>
      <c r="BH358" s="2"/>
      <c r="BI358" s="2">
        <v>23.0</v>
      </c>
      <c r="BJ358" s="2" t="s">
        <v>390</v>
      </c>
      <c r="BK358" s="2" t="s">
        <v>363</v>
      </c>
      <c r="BL358" s="2" t="s">
        <v>391</v>
      </c>
      <c r="BM358" s="2" t="s">
        <v>6966</v>
      </c>
      <c r="BN358" s="2"/>
      <c r="BO358" s="2" t="s">
        <v>272</v>
      </c>
      <c r="BP358" s="2"/>
      <c r="BQ358" s="2"/>
      <c r="BR358" s="2" t="s">
        <v>99</v>
      </c>
      <c r="BS358" s="2" t="s">
        <v>6967</v>
      </c>
      <c r="BT358" s="2" t="str">
        <f>HYPERLINK("https%3A%2F%2Fwww.webofscience.com%2Fwos%2Fwoscc%2Ffull-record%2FWOS:000677020800001","View Full Record in Web of Science")</f>
        <v>View Full Record in Web of Science</v>
      </c>
    </row>
    <row r="359" ht="64.5" customHeight="1">
      <c r="A359" s="2" t="s">
        <v>110</v>
      </c>
      <c r="B359" s="2" t="s">
        <v>6968</v>
      </c>
      <c r="C359" s="2"/>
      <c r="D359" s="2"/>
      <c r="E359" s="2" t="s">
        <v>129</v>
      </c>
      <c r="F359" s="2" t="s">
        <v>6969</v>
      </c>
      <c r="G359" s="2"/>
      <c r="H359" s="2"/>
      <c r="I359" s="2" t="s">
        <v>6970</v>
      </c>
      <c r="J359" s="2" t="s">
        <v>6971</v>
      </c>
      <c r="K359" s="2" t="s">
        <v>115</v>
      </c>
      <c r="L359" s="2"/>
      <c r="M359" s="2" t="s">
        <v>116</v>
      </c>
      <c r="N359" s="2" t="s">
        <v>117</v>
      </c>
      <c r="O359" s="2" t="s">
        <v>6972</v>
      </c>
      <c r="P359" s="2" t="s">
        <v>6973</v>
      </c>
      <c r="Q359" s="2" t="s">
        <v>6974</v>
      </c>
      <c r="R359" s="2"/>
      <c r="S359" s="2"/>
      <c r="T359" s="4" t="s">
        <v>121</v>
      </c>
      <c r="U359" s="2"/>
      <c r="V359" s="2" t="s">
        <v>6975</v>
      </c>
      <c r="W359" s="2" t="s">
        <v>6976</v>
      </c>
      <c r="X359" s="2" t="s">
        <v>6977</v>
      </c>
      <c r="Y359" s="2" t="s">
        <v>6978</v>
      </c>
      <c r="Z359" s="2"/>
      <c r="AA359" s="2"/>
      <c r="AB359" s="2"/>
      <c r="AC359" s="2"/>
      <c r="AD359" s="2"/>
      <c r="AE359" s="2"/>
      <c r="AF359" s="2" t="s">
        <v>6979</v>
      </c>
      <c r="AG359" s="2">
        <v>7.0</v>
      </c>
      <c r="AH359" s="2">
        <v>0.0</v>
      </c>
      <c r="AI359" s="2">
        <v>0.0</v>
      </c>
      <c r="AJ359" s="2">
        <v>0.0</v>
      </c>
      <c r="AK359" s="2">
        <v>1.0</v>
      </c>
      <c r="AL359" s="2" t="s">
        <v>129</v>
      </c>
      <c r="AM359" s="2" t="s">
        <v>130</v>
      </c>
      <c r="AN359" s="2" t="s">
        <v>131</v>
      </c>
      <c r="AO359" s="2" t="s">
        <v>132</v>
      </c>
      <c r="AP359" s="2"/>
      <c r="AQ359" s="2" t="s">
        <v>6980</v>
      </c>
      <c r="AR359" s="2" t="s">
        <v>115</v>
      </c>
      <c r="AS359" s="2"/>
      <c r="AT359" s="2"/>
      <c r="AU359" s="2">
        <v>2006.0</v>
      </c>
      <c r="AV359" s="2"/>
      <c r="AW359" s="2"/>
      <c r="AX359" s="2"/>
      <c r="AY359" s="2"/>
      <c r="AZ359" s="2"/>
      <c r="BA359" s="2"/>
      <c r="BB359" s="2">
        <v>1672.0</v>
      </c>
      <c r="BC359" s="2">
        <v>1676.0</v>
      </c>
      <c r="BD359" s="2"/>
      <c r="BE359" s="2"/>
      <c r="BF359" s="2"/>
      <c r="BG359" s="2"/>
      <c r="BH359" s="2"/>
      <c r="BI359" s="2">
        <v>5.0</v>
      </c>
      <c r="BJ359" s="2" t="s">
        <v>6981</v>
      </c>
      <c r="BK359" s="2" t="s">
        <v>135</v>
      </c>
      <c r="BL359" s="2" t="s">
        <v>1721</v>
      </c>
      <c r="BM359" s="2" t="s">
        <v>6982</v>
      </c>
      <c r="BN359" s="2"/>
      <c r="BO359" s="2"/>
      <c r="BP359" s="2"/>
      <c r="BQ359" s="2"/>
      <c r="BR359" s="2" t="s">
        <v>99</v>
      </c>
      <c r="BS359" s="2" t="s">
        <v>6983</v>
      </c>
      <c r="BT359" s="2" t="str">
        <f>HYPERLINK("https%3A%2F%2Fwww.webofscience.com%2Fwos%2Fwoscc%2Ffull-record%2FWOS:000246002100306","View Full Record in Web of Science")</f>
        <v>View Full Record in Web of Science</v>
      </c>
    </row>
    <row r="360" ht="64.5" customHeight="1">
      <c r="A360" s="2" t="s">
        <v>72</v>
      </c>
      <c r="B360" s="2" t="s">
        <v>6984</v>
      </c>
      <c r="C360" s="2"/>
      <c r="D360" s="2"/>
      <c r="E360" s="2"/>
      <c r="F360" s="2" t="s">
        <v>6985</v>
      </c>
      <c r="G360" s="2"/>
      <c r="H360" s="2"/>
      <c r="I360" s="2" t="s">
        <v>6986</v>
      </c>
      <c r="J360" s="2" t="s">
        <v>6987</v>
      </c>
      <c r="K360" s="2"/>
      <c r="L360" s="2"/>
      <c r="M360" s="2" t="s">
        <v>116</v>
      </c>
      <c r="N360" s="2" t="s">
        <v>78</v>
      </c>
      <c r="O360" s="2"/>
      <c r="P360" s="2"/>
      <c r="Q360" s="2"/>
      <c r="R360" s="2"/>
      <c r="S360" s="2"/>
      <c r="T360" s="2" t="s">
        <v>6988</v>
      </c>
      <c r="U360" s="2" t="s">
        <v>6989</v>
      </c>
      <c r="V360" s="2" t="s">
        <v>6990</v>
      </c>
      <c r="W360" s="2" t="s">
        <v>6991</v>
      </c>
      <c r="X360" s="2" t="s">
        <v>6992</v>
      </c>
      <c r="Y360" s="2" t="s">
        <v>6993</v>
      </c>
      <c r="Z360" s="2"/>
      <c r="AA360" s="2" t="s">
        <v>6994</v>
      </c>
      <c r="AB360" s="2" t="s">
        <v>6995</v>
      </c>
      <c r="AC360" s="2" t="s">
        <v>6996</v>
      </c>
      <c r="AD360" s="2" t="s">
        <v>6997</v>
      </c>
      <c r="AE360" s="2" t="s">
        <v>6998</v>
      </c>
      <c r="AF360" s="2" t="s">
        <v>6999</v>
      </c>
      <c r="AG360" s="2">
        <v>78.0</v>
      </c>
      <c r="AH360" s="2">
        <v>40.0</v>
      </c>
      <c r="AI360" s="2">
        <v>42.0</v>
      </c>
      <c r="AJ360" s="2">
        <v>9.0</v>
      </c>
      <c r="AK360" s="2">
        <v>48.0</v>
      </c>
      <c r="AL360" s="2" t="s">
        <v>7000</v>
      </c>
      <c r="AM360" s="2" t="s">
        <v>7001</v>
      </c>
      <c r="AN360" s="2" t="s">
        <v>7002</v>
      </c>
      <c r="AO360" s="2" t="s">
        <v>7003</v>
      </c>
      <c r="AP360" s="2"/>
      <c r="AQ360" s="2"/>
      <c r="AR360" s="2" t="s">
        <v>7004</v>
      </c>
      <c r="AS360" s="2" t="s">
        <v>7005</v>
      </c>
      <c r="AT360" s="2" t="s">
        <v>358</v>
      </c>
      <c r="AU360" s="2">
        <v>2019.0</v>
      </c>
      <c r="AV360" s="2">
        <v>24.0</v>
      </c>
      <c r="AW360" s="2">
        <v>1.0</v>
      </c>
      <c r="AX360" s="2"/>
      <c r="AY360" s="2"/>
      <c r="AZ360" s="2"/>
      <c r="BA360" s="2"/>
      <c r="BB360" s="2"/>
      <c r="BC360" s="2"/>
      <c r="BD360" s="2">
        <v>16.0</v>
      </c>
      <c r="BE360" s="2" t="s">
        <v>7006</v>
      </c>
      <c r="BF360" s="3" t="str">
        <f>HYPERLINK("http://dx.doi.org/10.5751/ES-10704-240116","http://dx.doi.org/10.5751/ES-10704-240116")</f>
        <v>http://dx.doi.org/10.5751/ES-10704-240116</v>
      </c>
      <c r="BG360" s="2"/>
      <c r="BH360" s="2"/>
      <c r="BI360" s="2">
        <v>20.0</v>
      </c>
      <c r="BJ360" s="2" t="s">
        <v>7007</v>
      </c>
      <c r="BK360" s="2" t="s">
        <v>363</v>
      </c>
      <c r="BL360" s="2" t="s">
        <v>97</v>
      </c>
      <c r="BM360" s="2" t="s">
        <v>7008</v>
      </c>
      <c r="BN360" s="2"/>
      <c r="BO360" s="2" t="s">
        <v>7009</v>
      </c>
      <c r="BP360" s="2"/>
      <c r="BQ360" s="2"/>
      <c r="BR360" s="2" t="s">
        <v>99</v>
      </c>
      <c r="BS360" s="2" t="s">
        <v>7010</v>
      </c>
      <c r="BT360" s="2" t="str">
        <f>HYPERLINK("https%3A%2F%2Fwww.webofscience.com%2Fwos%2Fwoscc%2Ffull-record%2FWOS:000464153200022","View Full Record in Web of Science")</f>
        <v>View Full Record in Web of Science</v>
      </c>
    </row>
    <row r="361" ht="64.5" customHeight="1">
      <c r="A361" s="2" t="s">
        <v>72</v>
      </c>
      <c r="B361" s="2" t="s">
        <v>7011</v>
      </c>
      <c r="C361" s="2"/>
      <c r="D361" s="2"/>
      <c r="E361" s="2"/>
      <c r="F361" s="2" t="s">
        <v>7012</v>
      </c>
      <c r="G361" s="2"/>
      <c r="H361" s="2"/>
      <c r="I361" s="2" t="s">
        <v>7013</v>
      </c>
      <c r="J361" s="2" t="s">
        <v>233</v>
      </c>
      <c r="K361" s="2"/>
      <c r="L361" s="2"/>
      <c r="M361" s="2" t="s">
        <v>116</v>
      </c>
      <c r="N361" s="2" t="s">
        <v>78</v>
      </c>
      <c r="O361" s="2"/>
      <c r="P361" s="2"/>
      <c r="Q361" s="2"/>
      <c r="R361" s="2"/>
      <c r="S361" s="2"/>
      <c r="T361" s="2" t="s">
        <v>7014</v>
      </c>
      <c r="U361" s="2" t="s">
        <v>7015</v>
      </c>
      <c r="V361" s="2" t="s">
        <v>7016</v>
      </c>
      <c r="W361" s="2" t="s">
        <v>7017</v>
      </c>
      <c r="X361" s="2"/>
      <c r="Y361" s="2" t="s">
        <v>7018</v>
      </c>
      <c r="Z361" s="2" t="s">
        <v>7019</v>
      </c>
      <c r="AA361" s="2"/>
      <c r="AB361" s="2" t="s">
        <v>7020</v>
      </c>
      <c r="AC361" s="2" t="s">
        <v>7021</v>
      </c>
      <c r="AD361" s="2" t="s">
        <v>7021</v>
      </c>
      <c r="AE361" s="2" t="s">
        <v>7022</v>
      </c>
      <c r="AF361" s="2" t="s">
        <v>7023</v>
      </c>
      <c r="AG361" s="2">
        <v>48.0</v>
      </c>
      <c r="AH361" s="2">
        <v>7.0</v>
      </c>
      <c r="AI361" s="2">
        <v>9.0</v>
      </c>
      <c r="AJ361" s="2">
        <v>0.0</v>
      </c>
      <c r="AK361" s="2">
        <v>11.0</v>
      </c>
      <c r="AL361" s="2" t="s">
        <v>246</v>
      </c>
      <c r="AM361" s="2" t="s">
        <v>247</v>
      </c>
      <c r="AN361" s="2" t="s">
        <v>248</v>
      </c>
      <c r="AO361" s="2"/>
      <c r="AP361" s="2" t="s">
        <v>249</v>
      </c>
      <c r="AQ361" s="2"/>
      <c r="AR361" s="2" t="s">
        <v>250</v>
      </c>
      <c r="AS361" s="2" t="s">
        <v>251</v>
      </c>
      <c r="AT361" s="2" t="s">
        <v>7024</v>
      </c>
      <c r="AU361" s="2">
        <v>2019.0</v>
      </c>
      <c r="AV361" s="2">
        <v>6.0</v>
      </c>
      <c r="AW361" s="2"/>
      <c r="AX361" s="2"/>
      <c r="AY361" s="2"/>
      <c r="AZ361" s="2"/>
      <c r="BA361" s="2"/>
      <c r="BB361" s="2"/>
      <c r="BC361" s="2"/>
      <c r="BD361" s="2">
        <v>619.0</v>
      </c>
      <c r="BE361" s="2" t="s">
        <v>7025</v>
      </c>
      <c r="BF361" s="3" t="str">
        <f>HYPERLINK("http://dx.doi.org/10.3389/fmars.2019.00619","http://dx.doi.org/10.3389/fmars.2019.00619")</f>
        <v>http://dx.doi.org/10.3389/fmars.2019.00619</v>
      </c>
      <c r="BG361" s="2"/>
      <c r="BH361" s="2"/>
      <c r="BI361" s="2">
        <v>6.0</v>
      </c>
      <c r="BJ361" s="2" t="s">
        <v>225</v>
      </c>
      <c r="BK361" s="2" t="s">
        <v>363</v>
      </c>
      <c r="BL361" s="2" t="s">
        <v>227</v>
      </c>
      <c r="BM361" s="2" t="s">
        <v>7026</v>
      </c>
      <c r="BN361" s="2"/>
      <c r="BO361" s="2" t="s">
        <v>255</v>
      </c>
      <c r="BP361" s="2"/>
      <c r="BQ361" s="2"/>
      <c r="BR361" s="2" t="s">
        <v>99</v>
      </c>
      <c r="BS361" s="2" t="s">
        <v>7027</v>
      </c>
      <c r="BT361" s="2" t="str">
        <f>HYPERLINK("https%3A%2F%2Fwww.webofscience.com%2Fwos%2Fwoscc%2Ffull-record%2FWOS:000489281600001","View Full Record in Web of Science")</f>
        <v>View Full Record in Web of Science</v>
      </c>
    </row>
    <row r="362" ht="64.5" customHeight="1">
      <c r="A362" s="2" t="s">
        <v>72</v>
      </c>
      <c r="B362" s="2" t="s">
        <v>7028</v>
      </c>
      <c r="C362" s="2"/>
      <c r="D362" s="2"/>
      <c r="E362" s="2"/>
      <c r="F362" s="2" t="s">
        <v>7029</v>
      </c>
      <c r="G362" s="2"/>
      <c r="H362" s="2"/>
      <c r="I362" s="2" t="s">
        <v>7030</v>
      </c>
      <c r="J362" s="2" t="s">
        <v>7031</v>
      </c>
      <c r="K362" s="2"/>
      <c r="L362" s="2"/>
      <c r="M362" s="2" t="s">
        <v>116</v>
      </c>
      <c r="N362" s="2" t="s">
        <v>78</v>
      </c>
      <c r="O362" s="2"/>
      <c r="P362" s="2"/>
      <c r="Q362" s="2"/>
      <c r="R362" s="2"/>
      <c r="S362" s="2"/>
      <c r="T362" s="2" t="s">
        <v>7032</v>
      </c>
      <c r="U362" s="2" t="s">
        <v>7033</v>
      </c>
      <c r="V362" s="2" t="s">
        <v>7034</v>
      </c>
      <c r="W362" s="2" t="s">
        <v>7035</v>
      </c>
      <c r="X362" s="2" t="s">
        <v>4821</v>
      </c>
      <c r="Y362" s="2" t="s">
        <v>7036</v>
      </c>
      <c r="Z362" s="2" t="s">
        <v>7037</v>
      </c>
      <c r="AA362" s="2"/>
      <c r="AB362" s="2" t="s">
        <v>7038</v>
      </c>
      <c r="AC362" s="2" t="s">
        <v>7039</v>
      </c>
      <c r="AD362" s="2" t="s">
        <v>7039</v>
      </c>
      <c r="AE362" s="2" t="s">
        <v>7040</v>
      </c>
      <c r="AF362" s="2" t="s">
        <v>7041</v>
      </c>
      <c r="AG362" s="2">
        <v>43.0</v>
      </c>
      <c r="AH362" s="2">
        <v>1.0</v>
      </c>
      <c r="AI362" s="2">
        <v>1.0</v>
      </c>
      <c r="AJ362" s="2">
        <v>1.0</v>
      </c>
      <c r="AK362" s="2">
        <v>5.0</v>
      </c>
      <c r="AL362" s="2" t="s">
        <v>3229</v>
      </c>
      <c r="AM362" s="2" t="s">
        <v>3230</v>
      </c>
      <c r="AN362" s="2" t="s">
        <v>3231</v>
      </c>
      <c r="AO362" s="2" t="s">
        <v>7042</v>
      </c>
      <c r="AP362" s="2" t="s">
        <v>7043</v>
      </c>
      <c r="AQ362" s="2"/>
      <c r="AR362" s="2" t="s">
        <v>7044</v>
      </c>
      <c r="AS362" s="2" t="s">
        <v>7045</v>
      </c>
      <c r="AT362" s="2" t="s">
        <v>533</v>
      </c>
      <c r="AU362" s="2">
        <v>2022.0</v>
      </c>
      <c r="AV362" s="2">
        <v>7.0</v>
      </c>
      <c r="AW362" s="2">
        <v>3.0</v>
      </c>
      <c r="AX362" s="2"/>
      <c r="AY362" s="2"/>
      <c r="AZ362" s="2"/>
      <c r="BA362" s="2"/>
      <c r="BB362" s="2">
        <v>329.0</v>
      </c>
      <c r="BC362" s="2">
        <v>337.0</v>
      </c>
      <c r="BD362" s="2"/>
      <c r="BE362" s="2" t="s">
        <v>7046</v>
      </c>
      <c r="BF362" s="3" t="str">
        <f>HYPERLINK("http://dx.doi.org/10.1007/s41207-022-00326-2","http://dx.doi.org/10.1007/s41207-022-00326-2")</f>
        <v>http://dx.doi.org/10.1007/s41207-022-00326-2</v>
      </c>
      <c r="BG362" s="2"/>
      <c r="BH362" s="2" t="s">
        <v>2625</v>
      </c>
      <c r="BI362" s="2">
        <v>9.0</v>
      </c>
      <c r="BJ362" s="2" t="s">
        <v>1570</v>
      </c>
      <c r="BK362" s="2" t="s">
        <v>96</v>
      </c>
      <c r="BL362" s="2" t="s">
        <v>97</v>
      </c>
      <c r="BM362" s="2" t="s">
        <v>7047</v>
      </c>
      <c r="BN362" s="2"/>
      <c r="BO362" s="2" t="s">
        <v>201</v>
      </c>
      <c r="BP362" s="2"/>
      <c r="BQ362" s="2"/>
      <c r="BR362" s="2" t="s">
        <v>99</v>
      </c>
      <c r="BS362" s="2" t="s">
        <v>7048</v>
      </c>
      <c r="BT362" s="2" t="str">
        <f>HYPERLINK("https%3A%2F%2Fwww.webofscience.com%2Fwos%2Fwoscc%2Ffull-record%2FWOS:000865906100001","View Full Record in Web of Science")</f>
        <v>View Full Record in Web of Science</v>
      </c>
    </row>
    <row r="363" ht="64.5" customHeight="1">
      <c r="A363" s="2" t="s">
        <v>72</v>
      </c>
      <c r="B363" s="2" t="s">
        <v>7049</v>
      </c>
      <c r="C363" s="2"/>
      <c r="D363" s="2"/>
      <c r="E363" s="2"/>
      <c r="F363" s="2" t="s">
        <v>7050</v>
      </c>
      <c r="G363" s="2"/>
      <c r="H363" s="2"/>
      <c r="I363" s="2" t="s">
        <v>7051</v>
      </c>
      <c r="J363" s="2" t="s">
        <v>1801</v>
      </c>
      <c r="K363" s="2"/>
      <c r="L363" s="2"/>
      <c r="M363" s="2" t="s">
        <v>116</v>
      </c>
      <c r="N363" s="2" t="s">
        <v>78</v>
      </c>
      <c r="O363" s="2"/>
      <c r="P363" s="2"/>
      <c r="Q363" s="2"/>
      <c r="R363" s="2"/>
      <c r="S363" s="2"/>
      <c r="T363" s="2" t="s">
        <v>7052</v>
      </c>
      <c r="U363" s="2" t="s">
        <v>1189</v>
      </c>
      <c r="V363" s="2" t="s">
        <v>7053</v>
      </c>
      <c r="W363" s="2" t="s">
        <v>7054</v>
      </c>
      <c r="X363" s="2" t="s">
        <v>7055</v>
      </c>
      <c r="Y363" s="2" t="s">
        <v>7056</v>
      </c>
      <c r="Z363" s="2" t="s">
        <v>7057</v>
      </c>
      <c r="AA363" s="2"/>
      <c r="AB363" s="2" t="s">
        <v>7058</v>
      </c>
      <c r="AC363" s="2" t="s">
        <v>7059</v>
      </c>
      <c r="AD363" s="2" t="s">
        <v>7060</v>
      </c>
      <c r="AE363" s="2" t="s">
        <v>7061</v>
      </c>
      <c r="AF363" s="2" t="s">
        <v>7062</v>
      </c>
      <c r="AG363" s="2">
        <v>41.0</v>
      </c>
      <c r="AH363" s="2">
        <v>2.0</v>
      </c>
      <c r="AI363" s="2">
        <v>3.0</v>
      </c>
      <c r="AJ363" s="2">
        <v>2.0</v>
      </c>
      <c r="AK363" s="2">
        <v>21.0</v>
      </c>
      <c r="AL363" s="2" t="s">
        <v>156</v>
      </c>
      <c r="AM363" s="2" t="s">
        <v>157</v>
      </c>
      <c r="AN363" s="2" t="s">
        <v>158</v>
      </c>
      <c r="AO363" s="2" t="s">
        <v>1813</v>
      </c>
      <c r="AP363" s="2" t="s">
        <v>1814</v>
      </c>
      <c r="AQ363" s="2"/>
      <c r="AR363" s="2" t="s">
        <v>1815</v>
      </c>
      <c r="AS363" s="2" t="s">
        <v>1816</v>
      </c>
      <c r="AT363" s="2" t="s">
        <v>7063</v>
      </c>
      <c r="AU363" s="2">
        <v>2021.0</v>
      </c>
      <c r="AV363" s="2">
        <v>43.0</v>
      </c>
      <c r="AW363" s="2">
        <v>13.0</v>
      </c>
      <c r="AX363" s="2"/>
      <c r="AY363" s="2"/>
      <c r="AZ363" s="2"/>
      <c r="BA363" s="2"/>
      <c r="BB363" s="2">
        <v>2226.0</v>
      </c>
      <c r="BC363" s="2">
        <v>2249.0</v>
      </c>
      <c r="BD363" s="2"/>
      <c r="BE363" s="2" t="s">
        <v>7064</v>
      </c>
      <c r="BF363" s="3" t="str">
        <f>HYPERLINK("http://dx.doi.org/10.1080/09500693.2021.1958022","http://dx.doi.org/10.1080/09500693.2021.1958022")</f>
        <v>http://dx.doi.org/10.1080/09500693.2021.1958022</v>
      </c>
      <c r="BG363" s="2"/>
      <c r="BH363" s="2" t="s">
        <v>3822</v>
      </c>
      <c r="BI363" s="2">
        <v>24.0</v>
      </c>
      <c r="BJ363" s="2" t="s">
        <v>331</v>
      </c>
      <c r="BK363" s="2" t="s">
        <v>166</v>
      </c>
      <c r="BL363" s="2" t="s">
        <v>331</v>
      </c>
      <c r="BM363" s="2" t="s">
        <v>7065</v>
      </c>
      <c r="BN363" s="2"/>
      <c r="BO363" s="2"/>
      <c r="BP363" s="2"/>
      <c r="BQ363" s="2"/>
      <c r="BR363" s="2" t="s">
        <v>99</v>
      </c>
      <c r="BS363" s="2" t="s">
        <v>7066</v>
      </c>
      <c r="BT363" s="2" t="str">
        <f>HYPERLINK("https%3A%2F%2Fwww.webofscience.com%2Fwos%2Fwoscc%2Ffull-record%2FWOS:000682841500001","View Full Record in Web of Science")</f>
        <v>View Full Record in Web of Science</v>
      </c>
    </row>
    <row r="364" ht="64.5" customHeight="1">
      <c r="A364" s="2" t="s">
        <v>72</v>
      </c>
      <c r="B364" s="2" t="s">
        <v>7067</v>
      </c>
      <c r="C364" s="2"/>
      <c r="D364" s="2"/>
      <c r="E364" s="2"/>
      <c r="F364" s="2" t="s">
        <v>7068</v>
      </c>
      <c r="G364" s="2"/>
      <c r="H364" s="2"/>
      <c r="I364" s="2" t="s">
        <v>7069</v>
      </c>
      <c r="J364" s="2" t="s">
        <v>2105</v>
      </c>
      <c r="K364" s="2"/>
      <c r="L364" s="2"/>
      <c r="M364" s="2" t="s">
        <v>116</v>
      </c>
      <c r="N364" s="2" t="s">
        <v>78</v>
      </c>
      <c r="O364" s="2"/>
      <c r="P364" s="2"/>
      <c r="Q364" s="2"/>
      <c r="R364" s="2"/>
      <c r="S364" s="2"/>
      <c r="T364" s="2" t="s">
        <v>7070</v>
      </c>
      <c r="U364" s="2" t="s">
        <v>7071</v>
      </c>
      <c r="V364" s="2" t="s">
        <v>7072</v>
      </c>
      <c r="W364" s="2" t="s">
        <v>7073</v>
      </c>
      <c r="X364" s="2" t="s">
        <v>7074</v>
      </c>
      <c r="Y364" s="2" t="s">
        <v>7075</v>
      </c>
      <c r="Z364" s="2" t="s">
        <v>7076</v>
      </c>
      <c r="AA364" s="2" t="s">
        <v>7077</v>
      </c>
      <c r="AB364" s="2" t="s">
        <v>7078</v>
      </c>
      <c r="AC364" s="2" t="s">
        <v>7079</v>
      </c>
      <c r="AD364" s="2" t="s">
        <v>7080</v>
      </c>
      <c r="AE364" s="2" t="s">
        <v>7081</v>
      </c>
      <c r="AF364" s="2" t="s">
        <v>7082</v>
      </c>
      <c r="AG364" s="2">
        <v>67.0</v>
      </c>
      <c r="AH364" s="2">
        <v>11.0</v>
      </c>
      <c r="AI364" s="2">
        <v>11.0</v>
      </c>
      <c r="AJ364" s="2">
        <v>6.0</v>
      </c>
      <c r="AK364" s="2">
        <v>38.0</v>
      </c>
      <c r="AL364" s="2" t="s">
        <v>2116</v>
      </c>
      <c r="AM364" s="2" t="s">
        <v>5427</v>
      </c>
      <c r="AN364" s="2" t="s">
        <v>5428</v>
      </c>
      <c r="AO364" s="2" t="s">
        <v>2119</v>
      </c>
      <c r="AP364" s="2" t="s">
        <v>2120</v>
      </c>
      <c r="AQ364" s="2"/>
      <c r="AR364" s="2" t="s">
        <v>2121</v>
      </c>
      <c r="AS364" s="2" t="s">
        <v>2122</v>
      </c>
      <c r="AT364" s="2" t="s">
        <v>7083</v>
      </c>
      <c r="AU364" s="2">
        <v>2022.0</v>
      </c>
      <c r="AV364" s="2">
        <v>23.0</v>
      </c>
      <c r="AW364" s="2">
        <v>7.0</v>
      </c>
      <c r="AX364" s="2"/>
      <c r="AY364" s="2"/>
      <c r="AZ364" s="2"/>
      <c r="BA364" s="2"/>
      <c r="BB364" s="2">
        <v>1648.0</v>
      </c>
      <c r="BC364" s="2">
        <v>1666.0</v>
      </c>
      <c r="BD364" s="2"/>
      <c r="BE364" s="2" t="s">
        <v>7084</v>
      </c>
      <c r="BF364" s="3" t="str">
        <f>HYPERLINK("http://dx.doi.org/10.1108/IJSHE-10-2021-0432","http://dx.doi.org/10.1108/IJSHE-10-2021-0432")</f>
        <v>http://dx.doi.org/10.1108/IJSHE-10-2021-0432</v>
      </c>
      <c r="BG364" s="2"/>
      <c r="BH364" s="2" t="s">
        <v>2244</v>
      </c>
      <c r="BI364" s="2">
        <v>19.0</v>
      </c>
      <c r="BJ364" s="2" t="s">
        <v>2124</v>
      </c>
      <c r="BK364" s="2" t="s">
        <v>166</v>
      </c>
      <c r="BL364" s="2" t="s">
        <v>2125</v>
      </c>
      <c r="BM364" s="2" t="s">
        <v>7085</v>
      </c>
      <c r="BN364" s="2"/>
      <c r="BO364" s="2" t="s">
        <v>3614</v>
      </c>
      <c r="BP364" s="2"/>
      <c r="BQ364" s="2"/>
      <c r="BR364" s="2" t="s">
        <v>99</v>
      </c>
      <c r="BS364" s="2" t="s">
        <v>7086</v>
      </c>
      <c r="BT364" s="2" t="str">
        <f>HYPERLINK("https%3A%2F%2Fwww.webofscience.com%2Fwos%2Fwoscc%2Ffull-record%2FWOS:000828945900001","View Full Record in Web of Science")</f>
        <v>View Full Record in Web of Science</v>
      </c>
    </row>
    <row r="365" ht="64.5" customHeight="1">
      <c r="A365" s="2" t="s">
        <v>72</v>
      </c>
      <c r="B365" s="2" t="s">
        <v>7087</v>
      </c>
      <c r="C365" s="2"/>
      <c r="D365" s="2"/>
      <c r="E365" s="2"/>
      <c r="F365" s="2" t="s">
        <v>7088</v>
      </c>
      <c r="G365" s="2"/>
      <c r="H365" s="2"/>
      <c r="I365" s="2" t="s">
        <v>7089</v>
      </c>
      <c r="J365" s="2" t="s">
        <v>7090</v>
      </c>
      <c r="K365" s="2"/>
      <c r="L365" s="2"/>
      <c r="M365" s="2" t="s">
        <v>77</v>
      </c>
      <c r="N365" s="2" t="s">
        <v>78</v>
      </c>
      <c r="O365" s="2"/>
      <c r="P365" s="2"/>
      <c r="Q365" s="2"/>
      <c r="R365" s="2"/>
      <c r="S365" s="2"/>
      <c r="T365" s="2" t="s">
        <v>7091</v>
      </c>
      <c r="U365" s="2"/>
      <c r="V365" s="2" t="s">
        <v>7092</v>
      </c>
      <c r="W365" s="2" t="s">
        <v>7093</v>
      </c>
      <c r="X365" s="2" t="s">
        <v>7094</v>
      </c>
      <c r="Y365" s="2" t="s">
        <v>7095</v>
      </c>
      <c r="Z365" s="2" t="s">
        <v>7096</v>
      </c>
      <c r="AA365" s="2" t="s">
        <v>7097</v>
      </c>
      <c r="AB365" s="2" t="s">
        <v>7098</v>
      </c>
      <c r="AC365" s="2"/>
      <c r="AD365" s="2"/>
      <c r="AE365" s="2"/>
      <c r="AF365" s="2" t="s">
        <v>7099</v>
      </c>
      <c r="AG365" s="2">
        <v>48.0</v>
      </c>
      <c r="AH365" s="2">
        <v>11.0</v>
      </c>
      <c r="AI365" s="2">
        <v>12.0</v>
      </c>
      <c r="AJ365" s="2">
        <v>3.0</v>
      </c>
      <c r="AK365" s="2">
        <v>17.0</v>
      </c>
      <c r="AL365" s="2" t="s">
        <v>7100</v>
      </c>
      <c r="AM365" s="2" t="s">
        <v>7101</v>
      </c>
      <c r="AN365" s="2" t="s">
        <v>7102</v>
      </c>
      <c r="AO365" s="2" t="s">
        <v>7103</v>
      </c>
      <c r="AP365" s="2" t="s">
        <v>7104</v>
      </c>
      <c r="AQ365" s="2"/>
      <c r="AR365" s="2" t="s">
        <v>7105</v>
      </c>
      <c r="AS365" s="2" t="s">
        <v>7106</v>
      </c>
      <c r="AT365" s="2"/>
      <c r="AU365" s="2">
        <v>2010.0</v>
      </c>
      <c r="AV365" s="2">
        <v>39.0</v>
      </c>
      <c r="AW365" s="2"/>
      <c r="AX365" s="2"/>
      <c r="AY365" s="2" t="s">
        <v>5296</v>
      </c>
      <c r="AZ365" s="2" t="s">
        <v>359</v>
      </c>
      <c r="BA365" s="2"/>
      <c r="BB365" s="2">
        <v>102.0</v>
      </c>
      <c r="BC365" s="2">
        <v>111.0</v>
      </c>
      <c r="BD365" s="2"/>
      <c r="BE365" s="2" t="s">
        <v>7107</v>
      </c>
      <c r="BF365" s="3" t="str">
        <f>HYPERLINK("http://dx.doi.org/10.1590/S1516-35982010001300012","http://dx.doi.org/10.1590/S1516-35982010001300012")</f>
        <v>http://dx.doi.org/10.1590/S1516-35982010001300012</v>
      </c>
      <c r="BG365" s="2"/>
      <c r="BH365" s="2"/>
      <c r="BI365" s="2">
        <v>10.0</v>
      </c>
      <c r="BJ365" s="2" t="s">
        <v>7108</v>
      </c>
      <c r="BK365" s="2" t="s">
        <v>226</v>
      </c>
      <c r="BL365" s="2" t="s">
        <v>7109</v>
      </c>
      <c r="BM365" s="2" t="s">
        <v>7110</v>
      </c>
      <c r="BN365" s="2"/>
      <c r="BO365" s="2" t="s">
        <v>255</v>
      </c>
      <c r="BP365" s="2"/>
      <c r="BQ365" s="2"/>
      <c r="BR365" s="2" t="s">
        <v>99</v>
      </c>
      <c r="BS365" s="2" t="s">
        <v>7111</v>
      </c>
      <c r="BT365" s="2" t="str">
        <f>HYPERLINK("https%3A%2F%2Fwww.webofscience.com%2Fwos%2Fwoscc%2Ffull-record%2FWOS:000969694700012","View Full Record in Web of Science")</f>
        <v>View Full Record in Web of Science</v>
      </c>
    </row>
    <row r="366" ht="64.5" customHeight="1">
      <c r="A366" s="2" t="s">
        <v>72</v>
      </c>
      <c r="B366" s="2" t="s">
        <v>7112</v>
      </c>
      <c r="C366" s="2"/>
      <c r="D366" s="2"/>
      <c r="E366" s="2"/>
      <c r="F366" s="2" t="s">
        <v>7113</v>
      </c>
      <c r="G366" s="2"/>
      <c r="H366" s="2"/>
      <c r="I366" s="2" t="s">
        <v>7114</v>
      </c>
      <c r="J366" s="2" t="s">
        <v>7115</v>
      </c>
      <c r="K366" s="2"/>
      <c r="L366" s="2"/>
      <c r="M366" s="2" t="s">
        <v>116</v>
      </c>
      <c r="N366" s="2" t="s">
        <v>643</v>
      </c>
      <c r="O366" s="2"/>
      <c r="P366" s="2"/>
      <c r="Q366" s="2"/>
      <c r="R366" s="2"/>
      <c r="S366" s="2"/>
      <c r="T366" s="2" t="s">
        <v>7116</v>
      </c>
      <c r="U366" s="2" t="s">
        <v>7117</v>
      </c>
      <c r="V366" s="2" t="s">
        <v>7118</v>
      </c>
      <c r="W366" s="2" t="s">
        <v>7119</v>
      </c>
      <c r="X366" s="2" t="s">
        <v>7120</v>
      </c>
      <c r="Y366" s="2" t="s">
        <v>7121</v>
      </c>
      <c r="Z366" s="2" t="s">
        <v>4472</v>
      </c>
      <c r="AA366" s="2" t="s">
        <v>4473</v>
      </c>
      <c r="AB366" s="2" t="s">
        <v>7122</v>
      </c>
      <c r="AC366" s="2" t="s">
        <v>4475</v>
      </c>
      <c r="AD366" s="2" t="s">
        <v>4476</v>
      </c>
      <c r="AE366" s="2" t="s">
        <v>7123</v>
      </c>
      <c r="AF366" s="2" t="s">
        <v>7124</v>
      </c>
      <c r="AG366" s="2">
        <v>78.0</v>
      </c>
      <c r="AH366" s="2">
        <v>61.0</v>
      </c>
      <c r="AI366" s="2">
        <v>63.0</v>
      </c>
      <c r="AJ366" s="2">
        <v>1.0</v>
      </c>
      <c r="AK366" s="2">
        <v>41.0</v>
      </c>
      <c r="AL366" s="2" t="s">
        <v>216</v>
      </c>
      <c r="AM366" s="2" t="s">
        <v>189</v>
      </c>
      <c r="AN366" s="2" t="s">
        <v>217</v>
      </c>
      <c r="AO366" s="2" t="s">
        <v>7125</v>
      </c>
      <c r="AP366" s="2"/>
      <c r="AQ366" s="2"/>
      <c r="AR366" s="2" t="s">
        <v>7126</v>
      </c>
      <c r="AS366" s="2" t="s">
        <v>7127</v>
      </c>
      <c r="AT366" s="2" t="s">
        <v>358</v>
      </c>
      <c r="AU366" s="2">
        <v>2016.0</v>
      </c>
      <c r="AV366" s="2">
        <v>55.0</v>
      </c>
      <c r="AW366" s="2"/>
      <c r="AX366" s="2"/>
      <c r="AY366" s="2"/>
      <c r="AZ366" s="2"/>
      <c r="BA366" s="2"/>
      <c r="BB366" s="2">
        <v>811.0</v>
      </c>
      <c r="BC366" s="2">
        <v>822.0</v>
      </c>
      <c r="BD366" s="2"/>
      <c r="BE366" s="2" t="s">
        <v>7128</v>
      </c>
      <c r="BF366" s="3" t="str">
        <f>HYPERLINK("http://dx.doi.org/10.1016/j.rser.2015.10.144","http://dx.doi.org/10.1016/j.rser.2015.10.144")</f>
        <v>http://dx.doi.org/10.1016/j.rser.2015.10.144</v>
      </c>
      <c r="BG366" s="2"/>
      <c r="BH366" s="2"/>
      <c r="BI366" s="2">
        <v>12.0</v>
      </c>
      <c r="BJ366" s="2" t="s">
        <v>3335</v>
      </c>
      <c r="BK366" s="2" t="s">
        <v>363</v>
      </c>
      <c r="BL366" s="2" t="s">
        <v>3336</v>
      </c>
      <c r="BM366" s="2" t="s">
        <v>7129</v>
      </c>
      <c r="BN366" s="2"/>
      <c r="BO366" s="2"/>
      <c r="BP366" s="2"/>
      <c r="BQ366" s="2"/>
      <c r="BR366" s="2" t="s">
        <v>99</v>
      </c>
      <c r="BS366" s="2" t="s">
        <v>7130</v>
      </c>
      <c r="BT366" s="2" t="str">
        <f>HYPERLINK("https%3A%2F%2Fwww.webofscience.com%2Fwos%2Fwoscc%2Ffull-record%2FWOS:000368959200058","View Full Record in Web of Science")</f>
        <v>View Full Record in Web of Science</v>
      </c>
    </row>
    <row r="367" ht="64.5" customHeight="1">
      <c r="A367" s="2" t="s">
        <v>72</v>
      </c>
      <c r="B367" s="2" t="s">
        <v>7131</v>
      </c>
      <c r="C367" s="2"/>
      <c r="D367" s="2"/>
      <c r="E367" s="2"/>
      <c r="F367" s="2" t="s">
        <v>7132</v>
      </c>
      <c r="G367" s="2"/>
      <c r="H367" s="2"/>
      <c r="I367" s="2" t="s">
        <v>7133</v>
      </c>
      <c r="J367" s="2" t="s">
        <v>7134</v>
      </c>
      <c r="K367" s="2"/>
      <c r="L367" s="2"/>
      <c r="M367" s="2" t="s">
        <v>116</v>
      </c>
      <c r="N367" s="2" t="s">
        <v>4280</v>
      </c>
      <c r="O367" s="2"/>
      <c r="P367" s="2"/>
      <c r="Q367" s="2"/>
      <c r="R367" s="2"/>
      <c r="S367" s="2"/>
      <c r="T367" s="2" t="s">
        <v>7135</v>
      </c>
      <c r="U367" s="2" t="s">
        <v>7136</v>
      </c>
      <c r="V367" s="2" t="s">
        <v>7137</v>
      </c>
      <c r="W367" s="2" t="s">
        <v>7138</v>
      </c>
      <c r="X367" s="2" t="s">
        <v>7139</v>
      </c>
      <c r="Y367" s="2" t="s">
        <v>7140</v>
      </c>
      <c r="Z367" s="2" t="s">
        <v>7141</v>
      </c>
      <c r="AA367" s="2" t="s">
        <v>7142</v>
      </c>
      <c r="AB367" s="2" t="s">
        <v>7143</v>
      </c>
      <c r="AC367" s="2" t="s">
        <v>7144</v>
      </c>
      <c r="AD367" s="2" t="s">
        <v>7145</v>
      </c>
      <c r="AE367" s="2" t="s">
        <v>7146</v>
      </c>
      <c r="AF367" s="2" t="s">
        <v>7147</v>
      </c>
      <c r="AG367" s="2">
        <v>39.0</v>
      </c>
      <c r="AH367" s="2">
        <v>6.0</v>
      </c>
      <c r="AI367" s="2">
        <v>7.0</v>
      </c>
      <c r="AJ367" s="2">
        <v>0.0</v>
      </c>
      <c r="AK367" s="2">
        <v>16.0</v>
      </c>
      <c r="AL367" s="2" t="s">
        <v>656</v>
      </c>
      <c r="AM367" s="2" t="s">
        <v>657</v>
      </c>
      <c r="AN367" s="2" t="s">
        <v>658</v>
      </c>
      <c r="AO367" s="2" t="s">
        <v>7148</v>
      </c>
      <c r="AP367" s="2" t="s">
        <v>7149</v>
      </c>
      <c r="AQ367" s="2"/>
      <c r="AR367" s="2" t="s">
        <v>7150</v>
      </c>
      <c r="AS367" s="2" t="s">
        <v>7151</v>
      </c>
      <c r="AT367" s="2" t="s">
        <v>222</v>
      </c>
      <c r="AU367" s="2">
        <v>2022.0</v>
      </c>
      <c r="AV367" s="2">
        <v>101.0</v>
      </c>
      <c r="AW367" s="2">
        <v>2.0</v>
      </c>
      <c r="AX367" s="2"/>
      <c r="AY367" s="2"/>
      <c r="AZ367" s="2" t="s">
        <v>359</v>
      </c>
      <c r="BA367" s="2"/>
      <c r="BB367" s="2">
        <v>342.0</v>
      </c>
      <c r="BC367" s="2">
        <v>350.0</v>
      </c>
      <c r="BD367" s="2"/>
      <c r="BE367" s="2" t="s">
        <v>7152</v>
      </c>
      <c r="BF367" s="3" t="str">
        <f>HYPERLINK("http://dx.doi.org/10.1111/jfb.15168","http://dx.doi.org/10.1111/jfb.15168")</f>
        <v>http://dx.doi.org/10.1111/jfb.15168</v>
      </c>
      <c r="BG367" s="2"/>
      <c r="BH367" s="2"/>
      <c r="BI367" s="2">
        <v>9.0</v>
      </c>
      <c r="BJ367" s="2" t="s">
        <v>362</v>
      </c>
      <c r="BK367" s="2" t="s">
        <v>226</v>
      </c>
      <c r="BL367" s="2" t="s">
        <v>362</v>
      </c>
      <c r="BM367" s="2" t="s">
        <v>7153</v>
      </c>
      <c r="BN367" s="2">
        <v>3.584128E7</v>
      </c>
      <c r="BO367" s="2" t="s">
        <v>771</v>
      </c>
      <c r="BP367" s="2"/>
      <c r="BQ367" s="2"/>
      <c r="BR367" s="2" t="s">
        <v>99</v>
      </c>
      <c r="BS367" s="2" t="s">
        <v>7154</v>
      </c>
      <c r="BT367" s="2" t="str">
        <f>HYPERLINK("https%3A%2F%2Fwww.webofscience.com%2Fwos%2Fwoscc%2Ffull-record%2FWOS:000840972300004","View Full Record in Web of Science")</f>
        <v>View Full Record in Web of Science</v>
      </c>
    </row>
    <row r="368" ht="64.5" customHeight="1">
      <c r="A368" s="2" t="s">
        <v>72</v>
      </c>
      <c r="B368" s="2" t="s">
        <v>7155</v>
      </c>
      <c r="C368" s="2"/>
      <c r="D368" s="2"/>
      <c r="E368" s="2"/>
      <c r="F368" s="2" t="s">
        <v>7156</v>
      </c>
      <c r="G368" s="2"/>
      <c r="H368" s="2"/>
      <c r="I368" s="2" t="s">
        <v>7157</v>
      </c>
      <c r="J368" s="2" t="s">
        <v>174</v>
      </c>
      <c r="K368" s="2"/>
      <c r="L368" s="2"/>
      <c r="M368" s="2" t="s">
        <v>116</v>
      </c>
      <c r="N368" s="2" t="s">
        <v>78</v>
      </c>
      <c r="O368" s="2"/>
      <c r="P368" s="2"/>
      <c r="Q368" s="2"/>
      <c r="R368" s="2"/>
      <c r="S368" s="2"/>
      <c r="T368" s="4" t="s">
        <v>121</v>
      </c>
      <c r="U368" s="2" t="s">
        <v>7158</v>
      </c>
      <c r="V368" s="2" t="s">
        <v>7159</v>
      </c>
      <c r="W368" s="2" t="s">
        <v>7160</v>
      </c>
      <c r="X368" s="2" t="s">
        <v>7161</v>
      </c>
      <c r="Y368" s="2" t="s">
        <v>763</v>
      </c>
      <c r="Z368" s="2"/>
      <c r="AA368" s="2" t="s">
        <v>7162</v>
      </c>
      <c r="AB368" s="2" t="s">
        <v>7163</v>
      </c>
      <c r="AC368" s="2"/>
      <c r="AD368" s="2"/>
      <c r="AE368" s="2"/>
      <c r="AF368" s="2" t="s">
        <v>7164</v>
      </c>
      <c r="AG368" s="2">
        <v>31.0</v>
      </c>
      <c r="AH368" s="2">
        <v>22.0</v>
      </c>
      <c r="AI368" s="2">
        <v>24.0</v>
      </c>
      <c r="AJ368" s="2">
        <v>1.0</v>
      </c>
      <c r="AK368" s="2">
        <v>19.0</v>
      </c>
      <c r="AL368" s="2" t="s">
        <v>188</v>
      </c>
      <c r="AM368" s="2" t="s">
        <v>189</v>
      </c>
      <c r="AN368" s="2" t="s">
        <v>190</v>
      </c>
      <c r="AO368" s="2" t="s">
        <v>191</v>
      </c>
      <c r="AP368" s="2" t="s">
        <v>192</v>
      </c>
      <c r="AQ368" s="2"/>
      <c r="AR368" s="2" t="s">
        <v>193</v>
      </c>
      <c r="AS368" s="2" t="s">
        <v>194</v>
      </c>
      <c r="AT368" s="2" t="s">
        <v>1073</v>
      </c>
      <c r="AU368" s="2">
        <v>2018.0</v>
      </c>
      <c r="AV368" s="2">
        <v>91.0</v>
      </c>
      <c r="AW368" s="2"/>
      <c r="AX368" s="2"/>
      <c r="AY368" s="2"/>
      <c r="AZ368" s="2"/>
      <c r="BA368" s="2"/>
      <c r="BB368" s="2">
        <v>85.0</v>
      </c>
      <c r="BC368" s="2">
        <v>96.0</v>
      </c>
      <c r="BD368" s="2"/>
      <c r="BE368" s="2" t="s">
        <v>7165</v>
      </c>
      <c r="BF368" s="3" t="str">
        <f>HYPERLINK("http://dx.doi.org/10.1016/j.marpol.2018.01.034","http://dx.doi.org/10.1016/j.marpol.2018.01.034")</f>
        <v>http://dx.doi.org/10.1016/j.marpol.2018.01.034</v>
      </c>
      <c r="BG368" s="2"/>
      <c r="BH368" s="2"/>
      <c r="BI368" s="2">
        <v>12.0</v>
      </c>
      <c r="BJ368" s="2" t="s">
        <v>198</v>
      </c>
      <c r="BK368" s="2" t="s">
        <v>166</v>
      </c>
      <c r="BL368" s="2" t="s">
        <v>199</v>
      </c>
      <c r="BM368" s="2" t="s">
        <v>7166</v>
      </c>
      <c r="BN368" s="2"/>
      <c r="BO368" s="2" t="s">
        <v>4729</v>
      </c>
      <c r="BP368" s="2"/>
      <c r="BQ368" s="2"/>
      <c r="BR368" s="2" t="s">
        <v>99</v>
      </c>
      <c r="BS368" s="2" t="s">
        <v>7167</v>
      </c>
      <c r="BT368" s="2" t="str">
        <f>HYPERLINK("https%3A%2F%2Fwww.webofscience.com%2Fwos%2Fwoscc%2Ffull-record%2FWOS:000429393500011","View Full Record in Web of Science")</f>
        <v>View Full Record in Web of Science</v>
      </c>
    </row>
    <row r="369" ht="64.5" customHeight="1">
      <c r="A369" s="2" t="s">
        <v>72</v>
      </c>
      <c r="B369" s="2" t="s">
        <v>7168</v>
      </c>
      <c r="C369" s="2"/>
      <c r="D369" s="2"/>
      <c r="E369" s="2"/>
      <c r="F369" s="2" t="s">
        <v>7168</v>
      </c>
      <c r="G369" s="2"/>
      <c r="H369" s="2"/>
      <c r="I369" s="2" t="s">
        <v>7169</v>
      </c>
      <c r="J369" s="2" t="s">
        <v>7170</v>
      </c>
      <c r="K369" s="2"/>
      <c r="L369" s="2"/>
      <c r="M369" s="2" t="s">
        <v>116</v>
      </c>
      <c r="N369" s="2" t="s">
        <v>78</v>
      </c>
      <c r="O369" s="2"/>
      <c r="P369" s="2"/>
      <c r="Q369" s="2"/>
      <c r="R369" s="2"/>
      <c r="S369" s="2"/>
      <c r="T369" s="4" t="s">
        <v>121</v>
      </c>
      <c r="U369" s="2"/>
      <c r="V369" s="2" t="s">
        <v>7171</v>
      </c>
      <c r="W369" s="2" t="s">
        <v>7172</v>
      </c>
      <c r="X369" s="2" t="s">
        <v>7173</v>
      </c>
      <c r="Y369" s="2" t="s">
        <v>7174</v>
      </c>
      <c r="Z369" s="2"/>
      <c r="AA369" s="2"/>
      <c r="AB369" s="2"/>
      <c r="AC369" s="2"/>
      <c r="AD369" s="2"/>
      <c r="AE369" s="2"/>
      <c r="AF369" s="2" t="s">
        <v>7175</v>
      </c>
      <c r="AG369" s="2">
        <v>24.0</v>
      </c>
      <c r="AH369" s="2">
        <v>12.0</v>
      </c>
      <c r="AI369" s="2">
        <v>14.0</v>
      </c>
      <c r="AJ369" s="2">
        <v>0.0</v>
      </c>
      <c r="AK369" s="2">
        <v>7.0</v>
      </c>
      <c r="AL369" s="2" t="s">
        <v>7176</v>
      </c>
      <c r="AM369" s="2" t="s">
        <v>6081</v>
      </c>
      <c r="AN369" s="2" t="s">
        <v>7177</v>
      </c>
      <c r="AO369" s="2" t="s">
        <v>7178</v>
      </c>
      <c r="AP369" s="2"/>
      <c r="AQ369" s="2"/>
      <c r="AR369" s="2" t="s">
        <v>7179</v>
      </c>
      <c r="AS369" s="2" t="s">
        <v>7180</v>
      </c>
      <c r="AT369" s="2" t="s">
        <v>358</v>
      </c>
      <c r="AU369" s="2">
        <v>1999.0</v>
      </c>
      <c r="AV369" s="2">
        <v>164.0</v>
      </c>
      <c r="AW369" s="2">
        <v>3.0</v>
      </c>
      <c r="AX369" s="2"/>
      <c r="AY369" s="2"/>
      <c r="AZ369" s="2"/>
      <c r="BA369" s="2"/>
      <c r="BB369" s="2">
        <v>198.0</v>
      </c>
      <c r="BC369" s="2">
        <v>201.0</v>
      </c>
      <c r="BD369" s="2"/>
      <c r="BE369" s="2" t="s">
        <v>7181</v>
      </c>
      <c r="BF369" s="3" t="str">
        <f>HYPERLINK("http://dx.doi.org/10.1093/milmed/164.3.198","http://dx.doi.org/10.1093/milmed/164.3.198")</f>
        <v>http://dx.doi.org/10.1093/milmed/164.3.198</v>
      </c>
      <c r="BG369" s="2"/>
      <c r="BH369" s="2"/>
      <c r="BI369" s="2">
        <v>4.0</v>
      </c>
      <c r="BJ369" s="2" t="s">
        <v>7182</v>
      </c>
      <c r="BK369" s="2" t="s">
        <v>226</v>
      </c>
      <c r="BL369" s="2" t="s">
        <v>7183</v>
      </c>
      <c r="BM369" s="2" t="s">
        <v>7184</v>
      </c>
      <c r="BN369" s="2">
        <v>1.0091493E7</v>
      </c>
      <c r="BO369" s="2" t="s">
        <v>2170</v>
      </c>
      <c r="BP369" s="2"/>
      <c r="BQ369" s="2"/>
      <c r="BR369" s="2" t="s">
        <v>99</v>
      </c>
      <c r="BS369" s="2" t="s">
        <v>7185</v>
      </c>
      <c r="BT369" s="2" t="str">
        <f>HYPERLINK("https%3A%2F%2Fwww.webofscience.com%2Fwos%2Fwoscc%2Ffull-record%2FWOS:000079153800007","View Full Record in Web of Science")</f>
        <v>View Full Record in Web of Science</v>
      </c>
    </row>
    <row r="370" ht="64.5" customHeight="1">
      <c r="A370" s="2" t="s">
        <v>72</v>
      </c>
      <c r="B370" s="2" t="s">
        <v>7186</v>
      </c>
      <c r="C370" s="2"/>
      <c r="D370" s="2"/>
      <c r="E370" s="2"/>
      <c r="F370" s="2" t="s">
        <v>7187</v>
      </c>
      <c r="G370" s="2"/>
      <c r="H370" s="2"/>
      <c r="I370" s="2" t="s">
        <v>7188</v>
      </c>
      <c r="J370" s="2" t="s">
        <v>1553</v>
      </c>
      <c r="K370" s="2"/>
      <c r="L370" s="2"/>
      <c r="M370" s="2" t="s">
        <v>116</v>
      </c>
      <c r="N370" s="2" t="s">
        <v>78</v>
      </c>
      <c r="O370" s="2"/>
      <c r="P370" s="2"/>
      <c r="Q370" s="2"/>
      <c r="R370" s="2"/>
      <c r="S370" s="2"/>
      <c r="T370" s="2" t="s">
        <v>7189</v>
      </c>
      <c r="U370" s="2"/>
      <c r="V370" s="2" t="s">
        <v>7190</v>
      </c>
      <c r="W370" s="2" t="s">
        <v>7191</v>
      </c>
      <c r="X370" s="2"/>
      <c r="Y370" s="2" t="s">
        <v>7192</v>
      </c>
      <c r="Z370" s="2"/>
      <c r="AA370" s="2"/>
      <c r="AB370" s="2"/>
      <c r="AC370" s="2"/>
      <c r="AD370" s="2"/>
      <c r="AE370" s="2"/>
      <c r="AF370" s="2" t="s">
        <v>7193</v>
      </c>
      <c r="AG370" s="2">
        <v>20.0</v>
      </c>
      <c r="AH370" s="2">
        <v>0.0</v>
      </c>
      <c r="AI370" s="2">
        <v>0.0</v>
      </c>
      <c r="AJ370" s="2">
        <v>0.0</v>
      </c>
      <c r="AK370" s="2">
        <v>0.0</v>
      </c>
      <c r="AL370" s="2" t="s">
        <v>1562</v>
      </c>
      <c r="AM370" s="2" t="s">
        <v>1563</v>
      </c>
      <c r="AN370" s="2" t="s">
        <v>1564</v>
      </c>
      <c r="AO370" s="2" t="s">
        <v>1565</v>
      </c>
      <c r="AP370" s="2" t="s">
        <v>1566</v>
      </c>
      <c r="AQ370" s="2"/>
      <c r="AR370" s="2" t="s">
        <v>1567</v>
      </c>
      <c r="AS370" s="2" t="s">
        <v>1568</v>
      </c>
      <c r="AT370" s="2"/>
      <c r="AU370" s="2">
        <v>2023.0</v>
      </c>
      <c r="AV370" s="2">
        <v>12.0</v>
      </c>
      <c r="AW370" s="2">
        <v>4.0</v>
      </c>
      <c r="AX370" s="2"/>
      <c r="AY370" s="2"/>
      <c r="AZ370" s="2"/>
      <c r="BA370" s="2"/>
      <c r="BB370" s="2">
        <v>119.0</v>
      </c>
      <c r="BC370" s="2">
        <v>128.0</v>
      </c>
      <c r="BD370" s="2"/>
      <c r="BE370" s="2" t="s">
        <v>7194</v>
      </c>
      <c r="BF370" s="3" t="str">
        <f>HYPERLINK("http://dx.doi.org/10.14207/ejsd.2023.v12n4p119","http://dx.doi.org/10.14207/ejsd.2023.v12n4p119")</f>
        <v>http://dx.doi.org/10.14207/ejsd.2023.v12n4p119</v>
      </c>
      <c r="BG370" s="2"/>
      <c r="BH370" s="2"/>
      <c r="BI370" s="2">
        <v>10.0</v>
      </c>
      <c r="BJ370" s="2" t="s">
        <v>1570</v>
      </c>
      <c r="BK370" s="2" t="s">
        <v>96</v>
      </c>
      <c r="BL370" s="2" t="s">
        <v>97</v>
      </c>
      <c r="BM370" s="2" t="s">
        <v>7195</v>
      </c>
      <c r="BN370" s="2"/>
      <c r="BO370" s="2" t="s">
        <v>255</v>
      </c>
      <c r="BP370" s="2"/>
      <c r="BQ370" s="2"/>
      <c r="BR370" s="2" t="s">
        <v>99</v>
      </c>
      <c r="BS370" s="2" t="s">
        <v>7196</v>
      </c>
      <c r="BT370" s="2" t="str">
        <f>HYPERLINK("https%3A%2F%2Fwww.webofscience.com%2Fwos%2Fwoscc%2Ffull-record%2FWOS:001149319600010","View Full Record in Web of Science")</f>
        <v>View Full Record in Web of Science</v>
      </c>
    </row>
    <row r="371" ht="64.5" customHeight="1">
      <c r="A371" s="2" t="s">
        <v>72</v>
      </c>
      <c r="B371" s="2" t="s">
        <v>7197</v>
      </c>
      <c r="C371" s="2"/>
      <c r="D371" s="2"/>
      <c r="E371" s="2"/>
      <c r="F371" s="2" t="s">
        <v>7198</v>
      </c>
      <c r="G371" s="2"/>
      <c r="H371" s="2"/>
      <c r="I371" s="2" t="s">
        <v>7199</v>
      </c>
      <c r="J371" s="2" t="s">
        <v>712</v>
      </c>
      <c r="K371" s="2"/>
      <c r="L371" s="2"/>
      <c r="M371" s="2" t="s">
        <v>116</v>
      </c>
      <c r="N371" s="2" t="s">
        <v>4280</v>
      </c>
      <c r="O371" s="2"/>
      <c r="P371" s="2"/>
      <c r="Q371" s="2"/>
      <c r="R371" s="2"/>
      <c r="S371" s="2"/>
      <c r="T371" s="4" t="s">
        <v>121</v>
      </c>
      <c r="U371" s="2" t="s">
        <v>7200</v>
      </c>
      <c r="V371" s="2"/>
      <c r="W371" s="2" t="s">
        <v>7201</v>
      </c>
      <c r="X371" s="2" t="s">
        <v>7202</v>
      </c>
      <c r="Y371" s="2" t="s">
        <v>3459</v>
      </c>
      <c r="Z371" s="2"/>
      <c r="AA371" s="2" t="s">
        <v>7203</v>
      </c>
      <c r="AB371" s="2" t="s">
        <v>7204</v>
      </c>
      <c r="AC371" s="2"/>
      <c r="AD371" s="2"/>
      <c r="AE371" s="2"/>
      <c r="AF371" s="2" t="s">
        <v>7205</v>
      </c>
      <c r="AG371" s="2">
        <v>22.0</v>
      </c>
      <c r="AH371" s="2">
        <v>4.0</v>
      </c>
      <c r="AI371" s="2">
        <v>4.0</v>
      </c>
      <c r="AJ371" s="2">
        <v>0.0</v>
      </c>
      <c r="AK371" s="2">
        <v>5.0</v>
      </c>
      <c r="AL371" s="2" t="s">
        <v>726</v>
      </c>
      <c r="AM371" s="2" t="s">
        <v>727</v>
      </c>
      <c r="AN371" s="2" t="s">
        <v>728</v>
      </c>
      <c r="AO371" s="2" t="s">
        <v>729</v>
      </c>
      <c r="AP371" s="2"/>
      <c r="AQ371" s="2"/>
      <c r="AR371" s="2" t="s">
        <v>730</v>
      </c>
      <c r="AS371" s="2" t="s">
        <v>731</v>
      </c>
      <c r="AT371" s="2"/>
      <c r="AU371" s="2">
        <v>2022.0</v>
      </c>
      <c r="AV371" s="2">
        <v>23.0</v>
      </c>
      <c r="AW371" s="2">
        <v>2.0</v>
      </c>
      <c r="AX371" s="2"/>
      <c r="AY371" s="2"/>
      <c r="AZ371" s="2"/>
      <c r="BA371" s="2"/>
      <c r="BB371" s="2">
        <v>266.0</v>
      </c>
      <c r="BC371" s="2">
        <v>269.0</v>
      </c>
      <c r="BD371" s="2"/>
      <c r="BE371" s="2" t="s">
        <v>7206</v>
      </c>
      <c r="BF371" s="3" t="str">
        <f>HYPERLINK("http://dx.doi.org/10.12681/mms.30099","http://dx.doi.org/10.12681/mms.30099")</f>
        <v>http://dx.doi.org/10.12681/mms.30099</v>
      </c>
      <c r="BG371" s="2"/>
      <c r="BH371" s="2"/>
      <c r="BI371" s="2">
        <v>5.0</v>
      </c>
      <c r="BJ371" s="2" t="s">
        <v>733</v>
      </c>
      <c r="BK371" s="2" t="s">
        <v>226</v>
      </c>
      <c r="BL371" s="2" t="s">
        <v>734</v>
      </c>
      <c r="BM371" s="2" t="s">
        <v>7207</v>
      </c>
      <c r="BN371" s="2"/>
      <c r="BO371" s="2" t="s">
        <v>255</v>
      </c>
      <c r="BP371" s="2"/>
      <c r="BQ371" s="2"/>
      <c r="BR371" s="2" t="s">
        <v>99</v>
      </c>
      <c r="BS371" s="2" t="s">
        <v>7208</v>
      </c>
      <c r="BT371" s="2" t="str">
        <f>HYPERLINK("https%3A%2F%2Fwww.webofscience.com%2Fwos%2Fwoscc%2Ffull-record%2FWOS:000782799900001","View Full Record in Web of Science")</f>
        <v>View Full Record in Web of Science</v>
      </c>
    </row>
    <row r="372" ht="64.5" customHeight="1">
      <c r="A372" s="2" t="s">
        <v>72</v>
      </c>
      <c r="B372" s="2" t="s">
        <v>7209</v>
      </c>
      <c r="C372" s="2"/>
      <c r="D372" s="2"/>
      <c r="E372" s="2"/>
      <c r="F372" s="2" t="s">
        <v>7210</v>
      </c>
      <c r="G372" s="2"/>
      <c r="H372" s="2"/>
      <c r="I372" s="2" t="s">
        <v>7211</v>
      </c>
      <c r="J372" s="2" t="s">
        <v>7212</v>
      </c>
      <c r="K372" s="2"/>
      <c r="L372" s="2"/>
      <c r="M372" s="2" t="s">
        <v>116</v>
      </c>
      <c r="N372" s="2" t="s">
        <v>78</v>
      </c>
      <c r="O372" s="2"/>
      <c r="P372" s="2"/>
      <c r="Q372" s="2"/>
      <c r="R372" s="2"/>
      <c r="S372" s="2"/>
      <c r="T372" s="2" t="s">
        <v>7213</v>
      </c>
      <c r="U372" s="2"/>
      <c r="V372" s="2" t="s">
        <v>7214</v>
      </c>
      <c r="W372" s="2" t="s">
        <v>7215</v>
      </c>
      <c r="X372" s="2" t="s">
        <v>7216</v>
      </c>
      <c r="Y372" s="2" t="s">
        <v>7217</v>
      </c>
      <c r="Z372" s="2" t="s">
        <v>7218</v>
      </c>
      <c r="AA372" s="2"/>
      <c r="AB372" s="2" t="s">
        <v>7219</v>
      </c>
      <c r="AC372" s="2"/>
      <c r="AD372" s="2"/>
      <c r="AE372" s="2"/>
      <c r="AF372" s="2" t="s">
        <v>7220</v>
      </c>
      <c r="AG372" s="2">
        <v>13.0</v>
      </c>
      <c r="AH372" s="2">
        <v>1.0</v>
      </c>
      <c r="AI372" s="2">
        <v>1.0</v>
      </c>
      <c r="AJ372" s="2">
        <v>3.0</v>
      </c>
      <c r="AK372" s="2">
        <v>11.0</v>
      </c>
      <c r="AL372" s="2" t="s">
        <v>7221</v>
      </c>
      <c r="AM372" s="2" t="s">
        <v>7222</v>
      </c>
      <c r="AN372" s="2" t="s">
        <v>7223</v>
      </c>
      <c r="AO372" s="2" t="s">
        <v>7224</v>
      </c>
      <c r="AP372" s="2"/>
      <c r="AQ372" s="2"/>
      <c r="AR372" s="2" t="s">
        <v>7225</v>
      </c>
      <c r="AS372" s="2" t="s">
        <v>7226</v>
      </c>
      <c r="AT372" s="2" t="s">
        <v>292</v>
      </c>
      <c r="AU372" s="2">
        <v>2022.0</v>
      </c>
      <c r="AV372" s="2">
        <v>62.0</v>
      </c>
      <c r="AW372" s="2">
        <v>3.0</v>
      </c>
      <c r="AX372" s="2"/>
      <c r="AY372" s="2"/>
      <c r="AZ372" s="2"/>
      <c r="BA372" s="2"/>
      <c r="BB372" s="2">
        <v>414.0</v>
      </c>
      <c r="BC372" s="2">
        <v>423.0</v>
      </c>
      <c r="BD372" s="2"/>
      <c r="BE372" s="2"/>
      <c r="BF372" s="2"/>
      <c r="BG372" s="2"/>
      <c r="BH372" s="2"/>
      <c r="BI372" s="2">
        <v>10.0</v>
      </c>
      <c r="BJ372" s="2" t="s">
        <v>331</v>
      </c>
      <c r="BK372" s="2" t="s">
        <v>166</v>
      </c>
      <c r="BL372" s="2" t="s">
        <v>331</v>
      </c>
      <c r="BM372" s="2" t="s">
        <v>7227</v>
      </c>
      <c r="BN372" s="2"/>
      <c r="BO372" s="2"/>
      <c r="BP372" s="2"/>
      <c r="BQ372" s="2"/>
      <c r="BR372" s="2" t="s">
        <v>99</v>
      </c>
      <c r="BS372" s="2" t="s">
        <v>7228</v>
      </c>
      <c r="BT372" s="2" t="str">
        <f>HYPERLINK("https%3A%2F%2Fwww.webofscience.com%2Fwos%2Fwoscc%2Ffull-record%2FWOS:000942911400008","View Full Record in Web of Science")</f>
        <v>View Full Record in Web of Science</v>
      </c>
    </row>
    <row r="373" ht="64.5" customHeight="1">
      <c r="A373" s="2" t="s">
        <v>72</v>
      </c>
      <c r="B373" s="2" t="s">
        <v>7229</v>
      </c>
      <c r="C373" s="2"/>
      <c r="D373" s="2"/>
      <c r="E373" s="2"/>
      <c r="F373" s="2" t="s">
        <v>7230</v>
      </c>
      <c r="G373" s="2"/>
      <c r="H373" s="2"/>
      <c r="I373" s="2" t="s">
        <v>7231</v>
      </c>
      <c r="J373" s="2" t="s">
        <v>2878</v>
      </c>
      <c r="K373" s="2"/>
      <c r="L373" s="2"/>
      <c r="M373" s="2" t="s">
        <v>116</v>
      </c>
      <c r="N373" s="2" t="s">
        <v>78</v>
      </c>
      <c r="O373" s="2"/>
      <c r="P373" s="2"/>
      <c r="Q373" s="2"/>
      <c r="R373" s="2"/>
      <c r="S373" s="2"/>
      <c r="T373" s="2" t="s">
        <v>7232</v>
      </c>
      <c r="U373" s="2" t="s">
        <v>7233</v>
      </c>
      <c r="V373" s="2" t="s">
        <v>7234</v>
      </c>
      <c r="W373" s="2" t="s">
        <v>7235</v>
      </c>
      <c r="X373" s="2" t="s">
        <v>7236</v>
      </c>
      <c r="Y373" s="2" t="s">
        <v>7237</v>
      </c>
      <c r="Z373" s="2" t="s">
        <v>7238</v>
      </c>
      <c r="AA373" s="2"/>
      <c r="AB373" s="2" t="s">
        <v>7239</v>
      </c>
      <c r="AC373" s="2" t="s">
        <v>7240</v>
      </c>
      <c r="AD373" s="2" t="s">
        <v>7241</v>
      </c>
      <c r="AE373" s="2" t="s">
        <v>7242</v>
      </c>
      <c r="AF373" s="2" t="s">
        <v>7243</v>
      </c>
      <c r="AG373" s="2">
        <v>56.0</v>
      </c>
      <c r="AH373" s="2">
        <v>2.0</v>
      </c>
      <c r="AI373" s="2">
        <v>2.0</v>
      </c>
      <c r="AJ373" s="2">
        <v>5.0</v>
      </c>
      <c r="AK373" s="2">
        <v>11.0</v>
      </c>
      <c r="AL373" s="2" t="s">
        <v>1346</v>
      </c>
      <c r="AM373" s="2" t="s">
        <v>428</v>
      </c>
      <c r="AN373" s="2" t="s">
        <v>1347</v>
      </c>
      <c r="AO373" s="2" t="s">
        <v>2888</v>
      </c>
      <c r="AP373" s="2" t="s">
        <v>2889</v>
      </c>
      <c r="AQ373" s="2"/>
      <c r="AR373" s="2" t="s">
        <v>2890</v>
      </c>
      <c r="AS373" s="2" t="s">
        <v>2891</v>
      </c>
      <c r="AT373" s="2" t="s">
        <v>195</v>
      </c>
      <c r="AU373" s="2">
        <v>2023.0</v>
      </c>
      <c r="AV373" s="2">
        <v>120.0</v>
      </c>
      <c r="AW373" s="2"/>
      <c r="AX373" s="2"/>
      <c r="AY373" s="2"/>
      <c r="AZ373" s="2"/>
      <c r="BA373" s="2"/>
      <c r="BB373" s="2"/>
      <c r="BC373" s="2"/>
      <c r="BD373" s="2">
        <v>106583.0</v>
      </c>
      <c r="BE373" s="2" t="s">
        <v>7244</v>
      </c>
      <c r="BF373" s="3" t="str">
        <f>HYPERLINK("http://dx.doi.org/10.1016/j.eneco.2023.106583","http://dx.doi.org/10.1016/j.eneco.2023.106583")</f>
        <v>http://dx.doi.org/10.1016/j.eneco.2023.106583</v>
      </c>
      <c r="BG373" s="2"/>
      <c r="BH373" s="2" t="s">
        <v>197</v>
      </c>
      <c r="BI373" s="2">
        <v>16.0</v>
      </c>
      <c r="BJ373" s="2" t="s">
        <v>2893</v>
      </c>
      <c r="BK373" s="2" t="s">
        <v>166</v>
      </c>
      <c r="BL373" s="2" t="s">
        <v>2894</v>
      </c>
      <c r="BM373" s="2" t="s">
        <v>7245</v>
      </c>
      <c r="BN373" s="2"/>
      <c r="BO373" s="2"/>
      <c r="BP373" s="2"/>
      <c r="BQ373" s="2"/>
      <c r="BR373" s="2" t="s">
        <v>99</v>
      </c>
      <c r="BS373" s="2" t="s">
        <v>7246</v>
      </c>
      <c r="BT373" s="2" t="str">
        <f>HYPERLINK("https%3A%2F%2Fwww.webofscience.com%2Fwos%2Fwoscc%2Ffull-record%2FWOS:000991973600001","View Full Record in Web of Science")</f>
        <v>View Full Record in Web of Science</v>
      </c>
    </row>
    <row r="374" ht="64.5" customHeight="1">
      <c r="A374" s="2" t="s">
        <v>72</v>
      </c>
      <c r="B374" s="2" t="s">
        <v>7247</v>
      </c>
      <c r="C374" s="2"/>
      <c r="D374" s="2"/>
      <c r="E374" s="2"/>
      <c r="F374" s="2" t="s">
        <v>7248</v>
      </c>
      <c r="G374" s="2"/>
      <c r="H374" s="2"/>
      <c r="I374" s="2" t="s">
        <v>7249</v>
      </c>
      <c r="J374" s="2" t="s">
        <v>7250</v>
      </c>
      <c r="K374" s="2"/>
      <c r="L374" s="2"/>
      <c r="M374" s="2" t="s">
        <v>116</v>
      </c>
      <c r="N374" s="2" t="s">
        <v>78</v>
      </c>
      <c r="O374" s="2"/>
      <c r="P374" s="2"/>
      <c r="Q374" s="2"/>
      <c r="R374" s="2"/>
      <c r="S374" s="2"/>
      <c r="T374" s="2" t="s">
        <v>7251</v>
      </c>
      <c r="U374" s="2" t="s">
        <v>7252</v>
      </c>
      <c r="V374" s="2" t="s">
        <v>7253</v>
      </c>
      <c r="W374" s="2" t="s">
        <v>7254</v>
      </c>
      <c r="X374" s="2" t="s">
        <v>7255</v>
      </c>
      <c r="Y374" s="2" t="s">
        <v>7256</v>
      </c>
      <c r="Z374" s="2" t="s">
        <v>7257</v>
      </c>
      <c r="AA374" s="2"/>
      <c r="AB374" s="2" t="s">
        <v>7258</v>
      </c>
      <c r="AC374" s="2" t="s">
        <v>7259</v>
      </c>
      <c r="AD374" s="2" t="s">
        <v>7260</v>
      </c>
      <c r="AE374" s="2" t="s">
        <v>7261</v>
      </c>
      <c r="AF374" s="2" t="s">
        <v>7262</v>
      </c>
      <c r="AG374" s="2">
        <v>57.0</v>
      </c>
      <c r="AH374" s="2">
        <v>27.0</v>
      </c>
      <c r="AI374" s="2">
        <v>31.0</v>
      </c>
      <c r="AJ374" s="2">
        <v>5.0</v>
      </c>
      <c r="AK374" s="2">
        <v>79.0</v>
      </c>
      <c r="AL374" s="2" t="s">
        <v>188</v>
      </c>
      <c r="AM374" s="2" t="s">
        <v>189</v>
      </c>
      <c r="AN374" s="2" t="s">
        <v>190</v>
      </c>
      <c r="AO374" s="2" t="s">
        <v>7263</v>
      </c>
      <c r="AP374" s="2" t="s">
        <v>7264</v>
      </c>
      <c r="AQ374" s="2"/>
      <c r="AR374" s="2" t="s">
        <v>7265</v>
      </c>
      <c r="AS374" s="2" t="s">
        <v>7266</v>
      </c>
      <c r="AT374" s="2" t="s">
        <v>358</v>
      </c>
      <c r="AU374" s="2">
        <v>2018.0</v>
      </c>
      <c r="AV374" s="2">
        <v>49.0</v>
      </c>
      <c r="AW374" s="2"/>
      <c r="AX374" s="2"/>
      <c r="AY374" s="2"/>
      <c r="AZ374" s="2"/>
      <c r="BA374" s="2"/>
      <c r="BB374" s="2">
        <v>1.0</v>
      </c>
      <c r="BC374" s="2">
        <v>9.0</v>
      </c>
      <c r="BD374" s="2"/>
      <c r="BE374" s="2" t="s">
        <v>7267</v>
      </c>
      <c r="BF374" s="3" t="str">
        <f>HYPERLINK("http://dx.doi.org/10.1016/j.gloenvcha.2017.12.007","http://dx.doi.org/10.1016/j.gloenvcha.2017.12.007")</f>
        <v>http://dx.doi.org/10.1016/j.gloenvcha.2017.12.007</v>
      </c>
      <c r="BG374" s="2"/>
      <c r="BH374" s="2"/>
      <c r="BI374" s="2">
        <v>9.0</v>
      </c>
      <c r="BJ374" s="2" t="s">
        <v>7268</v>
      </c>
      <c r="BK374" s="2" t="s">
        <v>363</v>
      </c>
      <c r="BL374" s="2" t="s">
        <v>7269</v>
      </c>
      <c r="BM374" s="2" t="s">
        <v>7270</v>
      </c>
      <c r="BN374" s="2"/>
      <c r="BO374" s="2" t="s">
        <v>2170</v>
      </c>
      <c r="BP374" s="2"/>
      <c r="BQ374" s="2"/>
      <c r="BR374" s="2" t="s">
        <v>99</v>
      </c>
      <c r="BS374" s="2" t="s">
        <v>7271</v>
      </c>
      <c r="BT374" s="2" t="str">
        <f>HYPERLINK("https%3A%2F%2Fwww.webofscience.com%2Fwos%2Fwoscc%2Ffull-record%2FWOS:000429509100001","View Full Record in Web of Science")</f>
        <v>View Full Record in Web of Science</v>
      </c>
    </row>
    <row r="375" ht="64.5" customHeight="1">
      <c r="A375" s="2" t="s">
        <v>72</v>
      </c>
      <c r="B375" s="2" t="s">
        <v>7272</v>
      </c>
      <c r="C375" s="2"/>
      <c r="D375" s="2"/>
      <c r="E375" s="2"/>
      <c r="F375" s="2" t="s">
        <v>7273</v>
      </c>
      <c r="G375" s="2"/>
      <c r="H375" s="2"/>
      <c r="I375" s="2" t="s">
        <v>7274</v>
      </c>
      <c r="J375" s="2" t="s">
        <v>370</v>
      </c>
      <c r="K375" s="2"/>
      <c r="L375" s="2"/>
      <c r="M375" s="2" t="s">
        <v>116</v>
      </c>
      <c r="N375" s="2" t="s">
        <v>78</v>
      </c>
      <c r="O375" s="2"/>
      <c r="P375" s="2"/>
      <c r="Q375" s="2"/>
      <c r="R375" s="2"/>
      <c r="S375" s="2"/>
      <c r="T375" s="2" t="s">
        <v>7275</v>
      </c>
      <c r="U375" s="2" t="s">
        <v>7276</v>
      </c>
      <c r="V375" s="2" t="s">
        <v>7277</v>
      </c>
      <c r="W375" s="2" t="s">
        <v>7278</v>
      </c>
      <c r="X375" s="2" t="s">
        <v>7279</v>
      </c>
      <c r="Y375" s="2" t="s">
        <v>7280</v>
      </c>
      <c r="Z375" s="2" t="s">
        <v>7281</v>
      </c>
      <c r="AA375" s="2" t="s">
        <v>7282</v>
      </c>
      <c r="AB375" s="2" t="s">
        <v>7283</v>
      </c>
      <c r="AC375" s="2" t="s">
        <v>7284</v>
      </c>
      <c r="AD375" s="2" t="s">
        <v>7285</v>
      </c>
      <c r="AE375" s="2" t="s">
        <v>7286</v>
      </c>
      <c r="AF375" s="2" t="s">
        <v>7287</v>
      </c>
      <c r="AG375" s="2">
        <v>29.0</v>
      </c>
      <c r="AH375" s="2">
        <v>9.0</v>
      </c>
      <c r="AI375" s="2">
        <v>9.0</v>
      </c>
      <c r="AJ375" s="2">
        <v>10.0</v>
      </c>
      <c r="AK375" s="2">
        <v>97.0</v>
      </c>
      <c r="AL375" s="2" t="s">
        <v>383</v>
      </c>
      <c r="AM375" s="2" t="s">
        <v>384</v>
      </c>
      <c r="AN375" s="2" t="s">
        <v>385</v>
      </c>
      <c r="AO375" s="2"/>
      <c r="AP375" s="2" t="s">
        <v>386</v>
      </c>
      <c r="AQ375" s="2"/>
      <c r="AR375" s="2" t="s">
        <v>387</v>
      </c>
      <c r="AS375" s="2" t="s">
        <v>388</v>
      </c>
      <c r="AT375" s="2" t="s">
        <v>938</v>
      </c>
      <c r="AU375" s="2">
        <v>2017.0</v>
      </c>
      <c r="AV375" s="2">
        <v>9.0</v>
      </c>
      <c r="AW375" s="2">
        <v>6.0</v>
      </c>
      <c r="AX375" s="2"/>
      <c r="AY375" s="2"/>
      <c r="AZ375" s="2"/>
      <c r="BA375" s="2"/>
      <c r="BB375" s="2"/>
      <c r="BC375" s="2"/>
      <c r="BD375" s="2">
        <v>921.0</v>
      </c>
      <c r="BE375" s="2" t="s">
        <v>7288</v>
      </c>
      <c r="BF375" s="3" t="str">
        <f>HYPERLINK("http://dx.doi.org/10.3390/su9060921","http://dx.doi.org/10.3390/su9060921")</f>
        <v>http://dx.doi.org/10.3390/su9060921</v>
      </c>
      <c r="BG375" s="2"/>
      <c r="BH375" s="2"/>
      <c r="BI375" s="2">
        <v>11.0</v>
      </c>
      <c r="BJ375" s="2" t="s">
        <v>390</v>
      </c>
      <c r="BK375" s="2" t="s">
        <v>363</v>
      </c>
      <c r="BL375" s="2" t="s">
        <v>391</v>
      </c>
      <c r="BM375" s="2" t="s">
        <v>7289</v>
      </c>
      <c r="BN375" s="2"/>
      <c r="BO375" s="2" t="s">
        <v>1594</v>
      </c>
      <c r="BP375" s="2"/>
      <c r="BQ375" s="2"/>
      <c r="BR375" s="2" t="s">
        <v>99</v>
      </c>
      <c r="BS375" s="2" t="s">
        <v>7290</v>
      </c>
      <c r="BT375" s="2" t="str">
        <f>HYPERLINK("https%3A%2F%2Fwww.webofscience.com%2Fwos%2Fwoscc%2Ffull-record%2FWOS:000404133200052","View Full Record in Web of Science")</f>
        <v>View Full Record in Web of Science</v>
      </c>
    </row>
    <row r="376" ht="64.5" customHeight="1">
      <c r="A376" s="2" t="s">
        <v>72</v>
      </c>
      <c r="B376" s="2" t="s">
        <v>7291</v>
      </c>
      <c r="C376" s="2"/>
      <c r="D376" s="2"/>
      <c r="E376" s="2"/>
      <c r="F376" s="2" t="s">
        <v>7292</v>
      </c>
      <c r="G376" s="2"/>
      <c r="H376" s="2"/>
      <c r="I376" s="2" t="s">
        <v>7293</v>
      </c>
      <c r="J376" s="2" t="s">
        <v>233</v>
      </c>
      <c r="K376" s="2"/>
      <c r="L376" s="2"/>
      <c r="M376" s="2" t="s">
        <v>116</v>
      </c>
      <c r="N376" s="2" t="s">
        <v>78</v>
      </c>
      <c r="O376" s="2"/>
      <c r="P376" s="2"/>
      <c r="Q376" s="2"/>
      <c r="R376" s="2"/>
      <c r="S376" s="2"/>
      <c r="T376" s="2" t="s">
        <v>7294</v>
      </c>
      <c r="U376" s="2" t="s">
        <v>7295</v>
      </c>
      <c r="V376" s="2" t="s">
        <v>7296</v>
      </c>
      <c r="W376" s="2" t="s">
        <v>7297</v>
      </c>
      <c r="X376" s="2" t="s">
        <v>7298</v>
      </c>
      <c r="Y376" s="2" t="s">
        <v>7299</v>
      </c>
      <c r="Z376" s="2" t="s">
        <v>7300</v>
      </c>
      <c r="AA376" s="2" t="s">
        <v>7301</v>
      </c>
      <c r="AB376" s="2" t="s">
        <v>7302</v>
      </c>
      <c r="AC376" s="2"/>
      <c r="AD376" s="2"/>
      <c r="AE376" s="2"/>
      <c r="AF376" s="2" t="s">
        <v>7303</v>
      </c>
      <c r="AG376" s="2">
        <v>47.0</v>
      </c>
      <c r="AH376" s="2">
        <v>4.0</v>
      </c>
      <c r="AI376" s="2">
        <v>5.0</v>
      </c>
      <c r="AJ376" s="2">
        <v>1.0</v>
      </c>
      <c r="AK376" s="2">
        <v>12.0</v>
      </c>
      <c r="AL376" s="2" t="s">
        <v>246</v>
      </c>
      <c r="AM376" s="2" t="s">
        <v>247</v>
      </c>
      <c r="AN376" s="2" t="s">
        <v>248</v>
      </c>
      <c r="AO376" s="2"/>
      <c r="AP376" s="2" t="s">
        <v>249</v>
      </c>
      <c r="AQ376" s="2"/>
      <c r="AR376" s="2" t="s">
        <v>250</v>
      </c>
      <c r="AS376" s="2" t="s">
        <v>251</v>
      </c>
      <c r="AT376" s="2" t="s">
        <v>7304</v>
      </c>
      <c r="AU376" s="2">
        <v>2021.0</v>
      </c>
      <c r="AV376" s="2">
        <v>8.0</v>
      </c>
      <c r="AW376" s="2"/>
      <c r="AX376" s="2"/>
      <c r="AY376" s="2"/>
      <c r="AZ376" s="2"/>
      <c r="BA376" s="2"/>
      <c r="BB376" s="2"/>
      <c r="BC376" s="2"/>
      <c r="BD376" s="2"/>
      <c r="BE376" s="2" t="s">
        <v>7305</v>
      </c>
      <c r="BF376" s="3" t="str">
        <f>HYPERLINK("http://dx.doi.org/10.3389/fmars.2021.619638","http://dx.doi.org/10.3389/fmars.2021.619638")</f>
        <v>http://dx.doi.org/10.3389/fmars.2021.619638</v>
      </c>
      <c r="BG376" s="2"/>
      <c r="BH376" s="2"/>
      <c r="BI376" s="2">
        <v>12.0</v>
      </c>
      <c r="BJ376" s="2" t="s">
        <v>225</v>
      </c>
      <c r="BK376" s="2" t="s">
        <v>363</v>
      </c>
      <c r="BL376" s="2" t="s">
        <v>227</v>
      </c>
      <c r="BM376" s="2" t="s">
        <v>7306</v>
      </c>
      <c r="BN376" s="2"/>
      <c r="BO376" s="2" t="s">
        <v>255</v>
      </c>
      <c r="BP376" s="2"/>
      <c r="BQ376" s="2"/>
      <c r="BR376" s="2" t="s">
        <v>99</v>
      </c>
      <c r="BS376" s="2" t="s">
        <v>7307</v>
      </c>
      <c r="BT376" s="2" t="str">
        <f>HYPERLINK("https%3A%2F%2Fwww.webofscience.com%2Fwos%2Fwoscc%2Ffull-record%2FWOS:000625083900001","View Full Record in Web of Science")</f>
        <v>View Full Record in Web of Science</v>
      </c>
    </row>
    <row r="377" ht="64.5" customHeight="1">
      <c r="A377" s="2" t="s">
        <v>110</v>
      </c>
      <c r="B377" s="2" t="s">
        <v>7308</v>
      </c>
      <c r="C377" s="2"/>
      <c r="D377" s="2" t="s">
        <v>7309</v>
      </c>
      <c r="E377" s="2"/>
      <c r="F377" s="2" t="s">
        <v>7310</v>
      </c>
      <c r="G377" s="2"/>
      <c r="H377" s="2"/>
      <c r="I377" s="2" t="s">
        <v>7311</v>
      </c>
      <c r="J377" s="2" t="s">
        <v>7312</v>
      </c>
      <c r="K377" s="2" t="s">
        <v>2288</v>
      </c>
      <c r="L377" s="2"/>
      <c r="M377" s="2" t="s">
        <v>116</v>
      </c>
      <c r="N377" s="2" t="s">
        <v>117</v>
      </c>
      <c r="O377" s="2" t="s">
        <v>7313</v>
      </c>
      <c r="P377" s="2" t="s">
        <v>7314</v>
      </c>
      <c r="Q377" s="2" t="s">
        <v>7315</v>
      </c>
      <c r="R377" s="2"/>
      <c r="S377" s="2" t="s">
        <v>7316</v>
      </c>
      <c r="T377" s="4" t="s">
        <v>121</v>
      </c>
      <c r="U377" s="2"/>
      <c r="V377" s="2" t="s">
        <v>7317</v>
      </c>
      <c r="W377" s="2" t="s">
        <v>7318</v>
      </c>
      <c r="X377" s="2" t="s">
        <v>7319</v>
      </c>
      <c r="Y377" s="2" t="s">
        <v>7320</v>
      </c>
      <c r="Z377" s="2" t="s">
        <v>7321</v>
      </c>
      <c r="AA377" s="2" t="s">
        <v>7322</v>
      </c>
      <c r="AB377" s="2" t="s">
        <v>7323</v>
      </c>
      <c r="AC377" s="2" t="s">
        <v>7324</v>
      </c>
      <c r="AD377" s="2" t="s">
        <v>7325</v>
      </c>
      <c r="AE377" s="2" t="s">
        <v>7326</v>
      </c>
      <c r="AF377" s="2" t="s">
        <v>7327</v>
      </c>
      <c r="AG377" s="2">
        <v>10.0</v>
      </c>
      <c r="AH377" s="2">
        <v>1.0</v>
      </c>
      <c r="AI377" s="2">
        <v>1.0</v>
      </c>
      <c r="AJ377" s="2">
        <v>0.0</v>
      </c>
      <c r="AK377" s="2">
        <v>2.0</v>
      </c>
      <c r="AL377" s="2" t="s">
        <v>2301</v>
      </c>
      <c r="AM377" s="2" t="s">
        <v>2302</v>
      </c>
      <c r="AN377" s="2" t="s">
        <v>2303</v>
      </c>
      <c r="AO377" s="2" t="s">
        <v>2304</v>
      </c>
      <c r="AP377" s="2" t="s">
        <v>2305</v>
      </c>
      <c r="AQ377" s="2"/>
      <c r="AR377" s="2" t="s">
        <v>2306</v>
      </c>
      <c r="AS377" s="2"/>
      <c r="AT377" s="2"/>
      <c r="AU377" s="2">
        <v>2019.0</v>
      </c>
      <c r="AV377" s="2">
        <v>1402.0</v>
      </c>
      <c r="AW377" s="2"/>
      <c r="AX377" s="2"/>
      <c r="AY377" s="2"/>
      <c r="AZ377" s="2"/>
      <c r="BA377" s="2"/>
      <c r="BB377" s="2"/>
      <c r="BC377" s="2"/>
      <c r="BD377" s="2">
        <v>44060.0</v>
      </c>
      <c r="BE377" s="2" t="s">
        <v>7328</v>
      </c>
      <c r="BF377" s="3" t="str">
        <f>HYPERLINK("http://dx.doi.org/10.1088/1742-6596/1402/4/044060","http://dx.doi.org/10.1088/1742-6596/1402/4/044060")</f>
        <v>http://dx.doi.org/10.1088/1742-6596/1402/4/044060</v>
      </c>
      <c r="BG377" s="2"/>
      <c r="BH377" s="2"/>
      <c r="BI377" s="2">
        <v>5.0</v>
      </c>
      <c r="BJ377" s="2" t="s">
        <v>7329</v>
      </c>
      <c r="BK377" s="2" t="s">
        <v>135</v>
      </c>
      <c r="BL377" s="2" t="s">
        <v>7330</v>
      </c>
      <c r="BM377" s="2" t="s">
        <v>7331</v>
      </c>
      <c r="BN377" s="2"/>
      <c r="BO377" s="2" t="s">
        <v>255</v>
      </c>
      <c r="BP377" s="2"/>
      <c r="BQ377" s="2"/>
      <c r="BR377" s="2" t="s">
        <v>99</v>
      </c>
      <c r="BS377" s="2" t="s">
        <v>7332</v>
      </c>
      <c r="BT377" s="2" t="str">
        <f>HYPERLINK("https%3A%2F%2Fwww.webofscience.com%2Fwos%2Fwoscc%2Ffull-record%2FWOS:000547736102020","View Full Record in Web of Science")</f>
        <v>View Full Record in Web of Science</v>
      </c>
    </row>
    <row r="378" ht="64.5" customHeight="1">
      <c r="A378" s="2" t="s">
        <v>72</v>
      </c>
      <c r="B378" s="2" t="s">
        <v>7333</v>
      </c>
      <c r="C378" s="2"/>
      <c r="D378" s="2"/>
      <c r="E378" s="2"/>
      <c r="F378" s="2" t="s">
        <v>7334</v>
      </c>
      <c r="G378" s="2"/>
      <c r="H378" s="2"/>
      <c r="I378" s="2" t="s">
        <v>7335</v>
      </c>
      <c r="J378" s="2" t="s">
        <v>233</v>
      </c>
      <c r="K378" s="2"/>
      <c r="L378" s="2"/>
      <c r="M378" s="2" t="s">
        <v>116</v>
      </c>
      <c r="N378" s="2" t="s">
        <v>78</v>
      </c>
      <c r="O378" s="2"/>
      <c r="P378" s="2"/>
      <c r="Q378" s="2"/>
      <c r="R378" s="2"/>
      <c r="S378" s="2"/>
      <c r="T378" s="2" t="s">
        <v>7336</v>
      </c>
      <c r="U378" s="2" t="s">
        <v>2491</v>
      </c>
      <c r="V378" s="2" t="s">
        <v>7337</v>
      </c>
      <c r="W378" s="2" t="s">
        <v>7338</v>
      </c>
      <c r="X378" s="2" t="s">
        <v>7339</v>
      </c>
      <c r="Y378" s="2" t="s">
        <v>7340</v>
      </c>
      <c r="Z378" s="2" t="s">
        <v>3907</v>
      </c>
      <c r="AA378" s="2" t="s">
        <v>7341</v>
      </c>
      <c r="AB378" s="2" t="s">
        <v>7342</v>
      </c>
      <c r="AC378" s="2" t="s">
        <v>7343</v>
      </c>
      <c r="AD378" s="2" t="s">
        <v>7344</v>
      </c>
      <c r="AE378" s="2" t="s">
        <v>7345</v>
      </c>
      <c r="AF378" s="2" t="s">
        <v>7346</v>
      </c>
      <c r="AG378" s="2">
        <v>26.0</v>
      </c>
      <c r="AH378" s="2">
        <v>9.0</v>
      </c>
      <c r="AI378" s="2">
        <v>9.0</v>
      </c>
      <c r="AJ378" s="2">
        <v>1.0</v>
      </c>
      <c r="AK378" s="2">
        <v>25.0</v>
      </c>
      <c r="AL378" s="2" t="s">
        <v>246</v>
      </c>
      <c r="AM378" s="2" t="s">
        <v>247</v>
      </c>
      <c r="AN378" s="2" t="s">
        <v>248</v>
      </c>
      <c r="AO378" s="2"/>
      <c r="AP378" s="2" t="s">
        <v>249</v>
      </c>
      <c r="AQ378" s="2"/>
      <c r="AR378" s="2" t="s">
        <v>250</v>
      </c>
      <c r="AS378" s="2" t="s">
        <v>251</v>
      </c>
      <c r="AT378" s="2" t="s">
        <v>3860</v>
      </c>
      <c r="AU378" s="2">
        <v>2019.0</v>
      </c>
      <c r="AV378" s="2">
        <v>6.0</v>
      </c>
      <c r="AW378" s="2"/>
      <c r="AX378" s="2"/>
      <c r="AY378" s="2"/>
      <c r="AZ378" s="2"/>
      <c r="BA378" s="2"/>
      <c r="BB378" s="2"/>
      <c r="BC378" s="2"/>
      <c r="BD378" s="2">
        <v>576.0</v>
      </c>
      <c r="BE378" s="2" t="s">
        <v>7347</v>
      </c>
      <c r="BF378" s="3" t="str">
        <f>HYPERLINK("http://dx.doi.org/10.3389/fmars.2019.00576","http://dx.doi.org/10.3389/fmars.2019.00576")</f>
        <v>http://dx.doi.org/10.3389/fmars.2019.00576</v>
      </c>
      <c r="BG378" s="2"/>
      <c r="BH378" s="2"/>
      <c r="BI378" s="2">
        <v>8.0</v>
      </c>
      <c r="BJ378" s="2" t="s">
        <v>225</v>
      </c>
      <c r="BK378" s="2" t="s">
        <v>363</v>
      </c>
      <c r="BL378" s="2" t="s">
        <v>227</v>
      </c>
      <c r="BM378" s="2" t="s">
        <v>7348</v>
      </c>
      <c r="BN378" s="2"/>
      <c r="BO378" s="2" t="s">
        <v>601</v>
      </c>
      <c r="BP378" s="2"/>
      <c r="BQ378" s="2"/>
      <c r="BR378" s="2" t="s">
        <v>99</v>
      </c>
      <c r="BS378" s="2" t="s">
        <v>7349</v>
      </c>
      <c r="BT378" s="2" t="str">
        <f>HYPERLINK("https%3A%2F%2Fwww.webofscience.com%2Fwos%2Fwoscc%2Ffull-record%2FWOS:000485752600001","View Full Record in Web of Science")</f>
        <v>View Full Record in Web of Science</v>
      </c>
    </row>
    <row r="379" ht="64.5" customHeight="1">
      <c r="A379" s="2" t="s">
        <v>72</v>
      </c>
      <c r="B379" s="2" t="s">
        <v>7350</v>
      </c>
      <c r="C379" s="2"/>
      <c r="D379" s="2"/>
      <c r="E379" s="2"/>
      <c r="F379" s="2" t="s">
        <v>7351</v>
      </c>
      <c r="G379" s="2"/>
      <c r="H379" s="2"/>
      <c r="I379" s="2" t="s">
        <v>7352</v>
      </c>
      <c r="J379" s="2" t="s">
        <v>6506</v>
      </c>
      <c r="K379" s="2"/>
      <c r="L379" s="2"/>
      <c r="M379" s="2" t="s">
        <v>116</v>
      </c>
      <c r="N379" s="2" t="s">
        <v>78</v>
      </c>
      <c r="O379" s="2"/>
      <c r="P379" s="2"/>
      <c r="Q379" s="2"/>
      <c r="R379" s="2"/>
      <c r="S379" s="2"/>
      <c r="T379" s="4" t="s">
        <v>121</v>
      </c>
      <c r="U379" s="2" t="s">
        <v>7353</v>
      </c>
      <c r="V379" s="2" t="s">
        <v>7354</v>
      </c>
      <c r="W379" s="2" t="s">
        <v>7355</v>
      </c>
      <c r="X379" s="2" t="s">
        <v>7356</v>
      </c>
      <c r="Y379" s="2" t="s">
        <v>7357</v>
      </c>
      <c r="Z379" s="2" t="s">
        <v>7358</v>
      </c>
      <c r="AA379" s="2" t="s">
        <v>7359</v>
      </c>
      <c r="AB379" s="2" t="s">
        <v>7360</v>
      </c>
      <c r="AC379" s="2" t="s">
        <v>7361</v>
      </c>
      <c r="AD379" s="2" t="s">
        <v>7361</v>
      </c>
      <c r="AE379" s="2" t="s">
        <v>7362</v>
      </c>
      <c r="AF379" s="2" t="s">
        <v>7363</v>
      </c>
      <c r="AG379" s="2">
        <v>34.0</v>
      </c>
      <c r="AH379" s="2">
        <v>19.0</v>
      </c>
      <c r="AI379" s="2">
        <v>21.0</v>
      </c>
      <c r="AJ379" s="2">
        <v>1.0</v>
      </c>
      <c r="AK379" s="2">
        <v>17.0</v>
      </c>
      <c r="AL379" s="2" t="s">
        <v>6518</v>
      </c>
      <c r="AM379" s="2" t="s">
        <v>6519</v>
      </c>
      <c r="AN379" s="2" t="s">
        <v>6520</v>
      </c>
      <c r="AO379" s="2" t="s">
        <v>6521</v>
      </c>
      <c r="AP379" s="2"/>
      <c r="AQ379" s="2"/>
      <c r="AR379" s="2" t="s">
        <v>6506</v>
      </c>
      <c r="AS379" s="2" t="s">
        <v>6522</v>
      </c>
      <c r="AT379" s="2" t="s">
        <v>7364</v>
      </c>
      <c r="AU379" s="2">
        <v>2017.0</v>
      </c>
      <c r="AV379" s="2">
        <v>12.0</v>
      </c>
      <c r="AW379" s="2">
        <v>1.0</v>
      </c>
      <c r="AX379" s="2"/>
      <c r="AY379" s="2"/>
      <c r="AZ379" s="2"/>
      <c r="BA379" s="2"/>
      <c r="BB379" s="2"/>
      <c r="BC379" s="2"/>
      <c r="BD379" s="2" t="s">
        <v>7365</v>
      </c>
      <c r="BE379" s="2" t="s">
        <v>7366</v>
      </c>
      <c r="BF379" s="3" t="str">
        <f>HYPERLINK("http://dx.doi.org/10.1371/journal.pone.0171130","http://dx.doi.org/10.1371/journal.pone.0171130")</f>
        <v>http://dx.doi.org/10.1371/journal.pone.0171130</v>
      </c>
      <c r="BG379" s="2"/>
      <c r="BH379" s="2"/>
      <c r="BI379" s="2">
        <v>20.0</v>
      </c>
      <c r="BJ379" s="2" t="s">
        <v>2066</v>
      </c>
      <c r="BK379" s="2" t="s">
        <v>363</v>
      </c>
      <c r="BL379" s="2" t="s">
        <v>2067</v>
      </c>
      <c r="BM379" s="2" t="s">
        <v>7367</v>
      </c>
      <c r="BN379" s="2">
        <v>2.8135337E7</v>
      </c>
      <c r="BO379" s="2" t="s">
        <v>4433</v>
      </c>
      <c r="BP379" s="2"/>
      <c r="BQ379" s="2"/>
      <c r="BR379" s="2" t="s">
        <v>99</v>
      </c>
      <c r="BS379" s="2" t="s">
        <v>7368</v>
      </c>
      <c r="BT379" s="2" t="str">
        <f>HYPERLINK("https%3A%2F%2Fwww.webofscience.com%2Fwos%2Fwoscc%2Ffull-record%2FWOS:000396124700051","View Full Record in Web of Science")</f>
        <v>View Full Record in Web of Science</v>
      </c>
    </row>
    <row r="380" ht="64.5" customHeight="1">
      <c r="A380" s="2" t="s">
        <v>110</v>
      </c>
      <c r="B380" s="2" t="s">
        <v>7369</v>
      </c>
      <c r="C380" s="2"/>
      <c r="D380" s="2"/>
      <c r="E380" s="2" t="s">
        <v>7370</v>
      </c>
      <c r="F380" s="2" t="s">
        <v>7371</v>
      </c>
      <c r="G380" s="2"/>
      <c r="H380" s="2"/>
      <c r="I380" s="2" t="s">
        <v>7372</v>
      </c>
      <c r="J380" s="2" t="s">
        <v>7373</v>
      </c>
      <c r="K380" s="2" t="s">
        <v>7374</v>
      </c>
      <c r="L380" s="2"/>
      <c r="M380" s="2" t="s">
        <v>116</v>
      </c>
      <c r="N380" s="2" t="s">
        <v>117</v>
      </c>
      <c r="O380" s="2" t="s">
        <v>7375</v>
      </c>
      <c r="P380" s="2" t="s">
        <v>7376</v>
      </c>
      <c r="Q380" s="2" t="s">
        <v>1988</v>
      </c>
      <c r="R380" s="2"/>
      <c r="S380" s="2"/>
      <c r="T380" s="4" t="s">
        <v>121</v>
      </c>
      <c r="U380" s="2"/>
      <c r="V380" s="2" t="s">
        <v>7377</v>
      </c>
      <c r="W380" s="2" t="s">
        <v>7378</v>
      </c>
      <c r="X380" s="2" t="s">
        <v>697</v>
      </c>
      <c r="Y380" s="2" t="s">
        <v>7379</v>
      </c>
      <c r="Z380" s="2"/>
      <c r="AA380" s="2" t="s">
        <v>700</v>
      </c>
      <c r="AB380" s="2" t="s">
        <v>1470</v>
      </c>
      <c r="AC380" s="2"/>
      <c r="AD380" s="2"/>
      <c r="AE380" s="2"/>
      <c r="AF380" s="2" t="s">
        <v>7380</v>
      </c>
      <c r="AG380" s="2">
        <v>25.0</v>
      </c>
      <c r="AH380" s="2">
        <v>1.0</v>
      </c>
      <c r="AI380" s="2">
        <v>1.0</v>
      </c>
      <c r="AJ380" s="2">
        <v>0.0</v>
      </c>
      <c r="AK380" s="2">
        <v>0.0</v>
      </c>
      <c r="AL380" s="2" t="s">
        <v>7381</v>
      </c>
      <c r="AM380" s="2" t="s">
        <v>3441</v>
      </c>
      <c r="AN380" s="2" t="s">
        <v>7382</v>
      </c>
      <c r="AO380" s="2" t="s">
        <v>7383</v>
      </c>
      <c r="AP380" s="2"/>
      <c r="AQ380" s="2"/>
      <c r="AR380" s="2" t="s">
        <v>7384</v>
      </c>
      <c r="AS380" s="2"/>
      <c r="AT380" s="2"/>
      <c r="AU380" s="2">
        <v>2011.0</v>
      </c>
      <c r="AV380" s="2"/>
      <c r="AW380" s="2"/>
      <c r="AX380" s="2"/>
      <c r="AY380" s="2"/>
      <c r="AZ380" s="2"/>
      <c r="BA380" s="2"/>
      <c r="BB380" s="2"/>
      <c r="BC380" s="2"/>
      <c r="BD380" s="2"/>
      <c r="BE380" s="2"/>
      <c r="BF380" s="2"/>
      <c r="BG380" s="2"/>
      <c r="BH380" s="2"/>
      <c r="BI380" s="2">
        <v>14.0</v>
      </c>
      <c r="BJ380" s="2" t="s">
        <v>5670</v>
      </c>
      <c r="BK380" s="2" t="s">
        <v>1053</v>
      </c>
      <c r="BL380" s="2" t="s">
        <v>1795</v>
      </c>
      <c r="BM380" s="2" t="s">
        <v>7385</v>
      </c>
      <c r="BN380" s="2"/>
      <c r="BO380" s="2"/>
      <c r="BP380" s="2"/>
      <c r="BQ380" s="2"/>
      <c r="BR380" s="2" t="s">
        <v>99</v>
      </c>
      <c r="BS380" s="2" t="s">
        <v>7386</v>
      </c>
      <c r="BT380" s="2" t="str">
        <f>HYPERLINK("https%3A%2F%2Fwww.webofscience.com%2Fwos%2Fwoscc%2Ffull-record%2FWOS:000378523002044","View Full Record in Web of Science")</f>
        <v>View Full Record in Web of Science</v>
      </c>
    </row>
    <row r="381" ht="64.5" customHeight="1">
      <c r="A381" s="2" t="s">
        <v>72</v>
      </c>
      <c r="B381" s="2" t="s">
        <v>7387</v>
      </c>
      <c r="C381" s="2"/>
      <c r="D381" s="2"/>
      <c r="E381" s="2"/>
      <c r="F381" s="2" t="s">
        <v>7388</v>
      </c>
      <c r="G381" s="2"/>
      <c r="H381" s="2"/>
      <c r="I381" s="2" t="s">
        <v>7389</v>
      </c>
      <c r="J381" s="2" t="s">
        <v>370</v>
      </c>
      <c r="K381" s="2"/>
      <c r="L381" s="2"/>
      <c r="M381" s="2" t="s">
        <v>116</v>
      </c>
      <c r="N381" s="2" t="s">
        <v>78</v>
      </c>
      <c r="O381" s="2"/>
      <c r="P381" s="2"/>
      <c r="Q381" s="2"/>
      <c r="R381" s="2"/>
      <c r="S381" s="2"/>
      <c r="T381" s="2" t="s">
        <v>7390</v>
      </c>
      <c r="U381" s="2" t="s">
        <v>7391</v>
      </c>
      <c r="V381" s="2" t="s">
        <v>7392</v>
      </c>
      <c r="W381" s="2" t="s">
        <v>7393</v>
      </c>
      <c r="X381" s="2" t="s">
        <v>7394</v>
      </c>
      <c r="Y381" s="2" t="s">
        <v>7395</v>
      </c>
      <c r="Z381" s="2" t="s">
        <v>7396</v>
      </c>
      <c r="AA381" s="2"/>
      <c r="AB381" s="2" t="s">
        <v>7397</v>
      </c>
      <c r="AC381" s="2" t="s">
        <v>7398</v>
      </c>
      <c r="AD381" s="2" t="s">
        <v>7399</v>
      </c>
      <c r="AE381" s="2" t="s">
        <v>7400</v>
      </c>
      <c r="AF381" s="2" t="s">
        <v>7401</v>
      </c>
      <c r="AG381" s="2">
        <v>50.0</v>
      </c>
      <c r="AH381" s="2">
        <v>106.0</v>
      </c>
      <c r="AI381" s="2">
        <v>125.0</v>
      </c>
      <c r="AJ381" s="2">
        <v>6.0</v>
      </c>
      <c r="AK381" s="2">
        <v>88.0</v>
      </c>
      <c r="AL381" s="2" t="s">
        <v>383</v>
      </c>
      <c r="AM381" s="2" t="s">
        <v>384</v>
      </c>
      <c r="AN381" s="2" t="s">
        <v>385</v>
      </c>
      <c r="AO381" s="2"/>
      <c r="AP381" s="2" t="s">
        <v>386</v>
      </c>
      <c r="AQ381" s="2"/>
      <c r="AR381" s="2" t="s">
        <v>387</v>
      </c>
      <c r="AS381" s="2" t="s">
        <v>388</v>
      </c>
      <c r="AT381" s="2" t="s">
        <v>453</v>
      </c>
      <c r="AU381" s="2">
        <v>2016.0</v>
      </c>
      <c r="AV381" s="2">
        <v>8.0</v>
      </c>
      <c r="AW381" s="2">
        <v>1.0</v>
      </c>
      <c r="AX381" s="2"/>
      <c r="AY381" s="2"/>
      <c r="AZ381" s="2"/>
      <c r="BA381" s="2"/>
      <c r="BB381" s="2"/>
      <c r="BC381" s="2"/>
      <c r="BD381" s="2">
        <v>6.0</v>
      </c>
      <c r="BE381" s="2" t="s">
        <v>7402</v>
      </c>
      <c r="BF381" s="3" t="str">
        <f>HYPERLINK("http://dx.doi.org/10.3390/su8010006","http://dx.doi.org/10.3390/su8010006")</f>
        <v>http://dx.doi.org/10.3390/su8010006</v>
      </c>
      <c r="BG381" s="2"/>
      <c r="BH381" s="2"/>
      <c r="BI381" s="2">
        <v>10.0</v>
      </c>
      <c r="BJ381" s="2" t="s">
        <v>390</v>
      </c>
      <c r="BK381" s="2" t="s">
        <v>363</v>
      </c>
      <c r="BL381" s="2" t="s">
        <v>391</v>
      </c>
      <c r="BM381" s="2" t="s">
        <v>7403</v>
      </c>
      <c r="BN381" s="2"/>
      <c r="BO381" s="2" t="s">
        <v>601</v>
      </c>
      <c r="BP381" s="2"/>
      <c r="BQ381" s="2"/>
      <c r="BR381" s="2" t="s">
        <v>99</v>
      </c>
      <c r="BS381" s="2" t="s">
        <v>7404</v>
      </c>
      <c r="BT381" s="2" t="str">
        <f>HYPERLINK("https%3A%2F%2Fwww.webofscience.com%2Fwos%2Fwoscc%2Ffull-record%2FWOS:000372456200006","View Full Record in Web of Science")</f>
        <v>View Full Record in Web of Science</v>
      </c>
    </row>
    <row r="382" ht="64.5" customHeight="1">
      <c r="A382" s="2" t="s">
        <v>72</v>
      </c>
      <c r="B382" s="2" t="s">
        <v>7405</v>
      </c>
      <c r="C382" s="2"/>
      <c r="D382" s="2"/>
      <c r="E382" s="2"/>
      <c r="F382" s="2" t="s">
        <v>7406</v>
      </c>
      <c r="G382" s="2"/>
      <c r="H382" s="2"/>
      <c r="I382" s="2" t="s">
        <v>7407</v>
      </c>
      <c r="J382" s="2" t="s">
        <v>1823</v>
      </c>
      <c r="K382" s="2"/>
      <c r="L382" s="2"/>
      <c r="M382" s="2" t="s">
        <v>116</v>
      </c>
      <c r="N382" s="2" t="s">
        <v>78</v>
      </c>
      <c r="O382" s="2"/>
      <c r="P382" s="2"/>
      <c r="Q382" s="2"/>
      <c r="R382" s="2"/>
      <c r="S382" s="2"/>
      <c r="T382" s="2" t="s">
        <v>7408</v>
      </c>
      <c r="U382" s="2" t="s">
        <v>7409</v>
      </c>
      <c r="V382" s="2" t="s">
        <v>7410</v>
      </c>
      <c r="W382" s="2" t="s">
        <v>7411</v>
      </c>
      <c r="X382" s="2" t="s">
        <v>7412</v>
      </c>
      <c r="Y382" s="2" t="s">
        <v>7413</v>
      </c>
      <c r="Z382" s="2" t="s">
        <v>7414</v>
      </c>
      <c r="AA382" s="2"/>
      <c r="AB382" s="2" t="s">
        <v>7415</v>
      </c>
      <c r="AC382" s="2" t="s">
        <v>7416</v>
      </c>
      <c r="AD382" s="2" t="s">
        <v>7417</v>
      </c>
      <c r="AE382" s="2" t="s">
        <v>7418</v>
      </c>
      <c r="AF382" s="2" t="s">
        <v>7419</v>
      </c>
      <c r="AG382" s="2">
        <v>116.0</v>
      </c>
      <c r="AH382" s="2">
        <v>7.0</v>
      </c>
      <c r="AI382" s="2">
        <v>7.0</v>
      </c>
      <c r="AJ382" s="2">
        <v>3.0</v>
      </c>
      <c r="AK382" s="2">
        <v>14.0</v>
      </c>
      <c r="AL382" s="2" t="s">
        <v>188</v>
      </c>
      <c r="AM382" s="2" t="s">
        <v>189</v>
      </c>
      <c r="AN382" s="2" t="s">
        <v>190</v>
      </c>
      <c r="AO382" s="2" t="s">
        <v>1836</v>
      </c>
      <c r="AP382" s="2" t="s">
        <v>1837</v>
      </c>
      <c r="AQ382" s="2"/>
      <c r="AR382" s="2" t="s">
        <v>1838</v>
      </c>
      <c r="AS382" s="2" t="s">
        <v>1839</v>
      </c>
      <c r="AT382" s="2" t="s">
        <v>7420</v>
      </c>
      <c r="AU382" s="2">
        <v>2022.0</v>
      </c>
      <c r="AV382" s="2">
        <v>220.0</v>
      </c>
      <c r="AW382" s="2"/>
      <c r="AX382" s="2"/>
      <c r="AY382" s="2"/>
      <c r="AZ382" s="2"/>
      <c r="BA382" s="2"/>
      <c r="BB382" s="2"/>
      <c r="BC382" s="2"/>
      <c r="BD382" s="2">
        <v>106070.0</v>
      </c>
      <c r="BE382" s="2" t="s">
        <v>7421</v>
      </c>
      <c r="BF382" s="3" t="str">
        <f>HYPERLINK("http://dx.doi.org/10.1016/j.ocecoaman.2022.106070","http://dx.doi.org/10.1016/j.ocecoaman.2022.106070")</f>
        <v>http://dx.doi.org/10.1016/j.ocecoaman.2022.106070</v>
      </c>
      <c r="BG382" s="2"/>
      <c r="BH382" s="2" t="s">
        <v>2700</v>
      </c>
      <c r="BI382" s="2">
        <v>13.0</v>
      </c>
      <c r="BJ382" s="2" t="s">
        <v>1842</v>
      </c>
      <c r="BK382" s="2" t="s">
        <v>363</v>
      </c>
      <c r="BL382" s="2" t="s">
        <v>1842</v>
      </c>
      <c r="BM382" s="2" t="s">
        <v>7422</v>
      </c>
      <c r="BN382" s="2"/>
      <c r="BO382" s="2"/>
      <c r="BP382" s="2"/>
      <c r="BQ382" s="2"/>
      <c r="BR382" s="2" t="s">
        <v>99</v>
      </c>
      <c r="BS382" s="2" t="s">
        <v>7423</v>
      </c>
      <c r="BT382" s="2" t="str">
        <f>HYPERLINK("https%3A%2F%2Fwww.webofscience.com%2Fwos%2Fwoscc%2Ffull-record%2FWOS:000782561900001","View Full Record in Web of Science")</f>
        <v>View Full Record in Web of Science</v>
      </c>
    </row>
    <row r="383" ht="64.5" customHeight="1">
      <c r="A383" s="2" t="s">
        <v>110</v>
      </c>
      <c r="B383" s="2" t="s">
        <v>7424</v>
      </c>
      <c r="C383" s="2"/>
      <c r="D383" s="2"/>
      <c r="E383" s="2" t="s">
        <v>5013</v>
      </c>
      <c r="F383" s="2" t="s">
        <v>7425</v>
      </c>
      <c r="G383" s="2"/>
      <c r="H383" s="2"/>
      <c r="I383" s="2" t="s">
        <v>7426</v>
      </c>
      <c r="J383" s="2" t="s">
        <v>7427</v>
      </c>
      <c r="K383" s="2"/>
      <c r="L383" s="2"/>
      <c r="M383" s="2" t="s">
        <v>116</v>
      </c>
      <c r="N383" s="2" t="s">
        <v>117</v>
      </c>
      <c r="O383" s="2" t="s">
        <v>7428</v>
      </c>
      <c r="P383" s="2" t="s">
        <v>7429</v>
      </c>
      <c r="Q383" s="2" t="s">
        <v>7430</v>
      </c>
      <c r="R383" s="2"/>
      <c r="S383" s="2"/>
      <c r="T383" s="2" t="s">
        <v>7431</v>
      </c>
      <c r="U383" s="2"/>
      <c r="V383" s="2" t="s">
        <v>7432</v>
      </c>
      <c r="W383" s="2" t="s">
        <v>7433</v>
      </c>
      <c r="X383" s="2"/>
      <c r="Y383" s="2" t="s">
        <v>7434</v>
      </c>
      <c r="Z383" s="2" t="s">
        <v>7435</v>
      </c>
      <c r="AA383" s="2"/>
      <c r="AB383" s="2" t="s">
        <v>7436</v>
      </c>
      <c r="AC383" s="2" t="s">
        <v>7437</v>
      </c>
      <c r="AD383" s="2" t="s">
        <v>7438</v>
      </c>
      <c r="AE383" s="2" t="s">
        <v>7439</v>
      </c>
      <c r="AF383" s="2" t="s">
        <v>7440</v>
      </c>
      <c r="AG383" s="2">
        <v>40.0</v>
      </c>
      <c r="AH383" s="2">
        <v>0.0</v>
      </c>
      <c r="AI383" s="2">
        <v>0.0</v>
      </c>
      <c r="AJ383" s="2">
        <v>1.0</v>
      </c>
      <c r="AK383" s="2">
        <v>1.0</v>
      </c>
      <c r="AL383" s="2" t="s">
        <v>1397</v>
      </c>
      <c r="AM383" s="2" t="s">
        <v>130</v>
      </c>
      <c r="AN383" s="2" t="s">
        <v>1398</v>
      </c>
      <c r="AO383" s="2"/>
      <c r="AP383" s="2"/>
      <c r="AQ383" s="2" t="s">
        <v>7441</v>
      </c>
      <c r="AR383" s="2"/>
      <c r="AS383" s="2"/>
      <c r="AT383" s="2"/>
      <c r="AU383" s="2">
        <v>2022.0</v>
      </c>
      <c r="AV383" s="2"/>
      <c r="AW383" s="2"/>
      <c r="AX383" s="2"/>
      <c r="AY383" s="2"/>
      <c r="AZ383" s="2"/>
      <c r="BA383" s="2"/>
      <c r="BB383" s="2">
        <v>583.0</v>
      </c>
      <c r="BC383" s="2">
        <v>589.0</v>
      </c>
      <c r="BD383" s="2"/>
      <c r="BE383" s="2" t="s">
        <v>7442</v>
      </c>
      <c r="BF383" s="3" t="str">
        <f>HYPERLINK("http://dx.doi.org/10.1145/3501712.3535291","http://dx.doi.org/10.1145/3501712.3535291")</f>
        <v>http://dx.doi.org/10.1145/3501712.3535291</v>
      </c>
      <c r="BG383" s="2"/>
      <c r="BH383" s="2"/>
      <c r="BI383" s="2">
        <v>7.0</v>
      </c>
      <c r="BJ383" s="2" t="s">
        <v>7443</v>
      </c>
      <c r="BK383" s="2" t="s">
        <v>135</v>
      </c>
      <c r="BL383" s="2" t="s">
        <v>1402</v>
      </c>
      <c r="BM383" s="2" t="s">
        <v>7444</v>
      </c>
      <c r="BN383" s="2"/>
      <c r="BO383" s="2"/>
      <c r="BP383" s="2"/>
      <c r="BQ383" s="2"/>
      <c r="BR383" s="2" t="s">
        <v>99</v>
      </c>
      <c r="BS383" s="2" t="s">
        <v>7445</v>
      </c>
      <c r="BT383" s="2" t="str">
        <f>HYPERLINK("https%3A%2F%2Fwww.webofscience.com%2Fwos%2Fwoscc%2Ffull-record%2FWOS:001103410100058","View Full Record in Web of Science")</f>
        <v>View Full Record in Web of Science</v>
      </c>
    </row>
    <row r="384" ht="64.5" customHeight="1">
      <c r="A384" s="2" t="s">
        <v>72</v>
      </c>
      <c r="B384" s="2" t="s">
        <v>7446</v>
      </c>
      <c r="C384" s="2"/>
      <c r="D384" s="2"/>
      <c r="E384" s="2"/>
      <c r="F384" s="2" t="s">
        <v>7447</v>
      </c>
      <c r="G384" s="2"/>
      <c r="H384" s="2"/>
      <c r="I384" s="2" t="s">
        <v>7448</v>
      </c>
      <c r="J384" s="2" t="s">
        <v>7449</v>
      </c>
      <c r="K384" s="2"/>
      <c r="L384" s="2"/>
      <c r="M384" s="2" t="s">
        <v>116</v>
      </c>
      <c r="N384" s="2" t="s">
        <v>78</v>
      </c>
      <c r="O384" s="2"/>
      <c r="P384" s="2"/>
      <c r="Q384" s="2"/>
      <c r="R384" s="2"/>
      <c r="S384" s="2"/>
      <c r="T384" s="2" t="s">
        <v>7450</v>
      </c>
      <c r="U384" s="2" t="s">
        <v>7451</v>
      </c>
      <c r="V384" s="2" t="s">
        <v>7452</v>
      </c>
      <c r="W384" s="2" t="s">
        <v>7453</v>
      </c>
      <c r="X384" s="2" t="s">
        <v>7454</v>
      </c>
      <c r="Y384" s="2" t="s">
        <v>7455</v>
      </c>
      <c r="Z384" s="2" t="s">
        <v>7456</v>
      </c>
      <c r="AA384" s="2" t="s">
        <v>7457</v>
      </c>
      <c r="AB384" s="2" t="s">
        <v>7458</v>
      </c>
      <c r="AC384" s="2"/>
      <c r="AD384" s="2"/>
      <c r="AE384" s="2"/>
      <c r="AF384" s="2" t="s">
        <v>7459</v>
      </c>
      <c r="AG384" s="2">
        <v>31.0</v>
      </c>
      <c r="AH384" s="2">
        <v>1.0</v>
      </c>
      <c r="AI384" s="2">
        <v>1.0</v>
      </c>
      <c r="AJ384" s="2">
        <v>2.0</v>
      </c>
      <c r="AK384" s="2">
        <v>20.0</v>
      </c>
      <c r="AL384" s="2" t="s">
        <v>156</v>
      </c>
      <c r="AM384" s="2" t="s">
        <v>157</v>
      </c>
      <c r="AN384" s="2" t="s">
        <v>158</v>
      </c>
      <c r="AO384" s="2" t="s">
        <v>7460</v>
      </c>
      <c r="AP384" s="2" t="s">
        <v>7461</v>
      </c>
      <c r="AQ384" s="2"/>
      <c r="AR384" s="2" t="s">
        <v>7462</v>
      </c>
      <c r="AS384" s="2" t="s">
        <v>7463</v>
      </c>
      <c r="AT384" s="2" t="s">
        <v>1114</v>
      </c>
      <c r="AU384" s="2">
        <v>2020.0</v>
      </c>
      <c r="AV384" s="2">
        <v>26.0</v>
      </c>
      <c r="AW384" s="2">
        <v>1.0</v>
      </c>
      <c r="AX384" s="2"/>
      <c r="AY384" s="2"/>
      <c r="AZ384" s="2" t="s">
        <v>359</v>
      </c>
      <c r="BA384" s="2"/>
      <c r="BB384" s="2">
        <v>5.0</v>
      </c>
      <c r="BC384" s="2">
        <v>17.0</v>
      </c>
      <c r="BD384" s="2"/>
      <c r="BE384" s="2" t="s">
        <v>7464</v>
      </c>
      <c r="BF384" s="3" t="str">
        <f>HYPERLINK("http://dx.doi.org/10.1080/1389224X.2019.1699126","http://dx.doi.org/10.1080/1389224X.2019.1699126")</f>
        <v>http://dx.doi.org/10.1080/1389224X.2019.1699126</v>
      </c>
      <c r="BG384" s="2"/>
      <c r="BH384" s="2"/>
      <c r="BI384" s="2">
        <v>13.0</v>
      </c>
      <c r="BJ384" s="2" t="s">
        <v>165</v>
      </c>
      <c r="BK384" s="2" t="s">
        <v>166</v>
      </c>
      <c r="BL384" s="2" t="s">
        <v>167</v>
      </c>
      <c r="BM384" s="2" t="s">
        <v>7465</v>
      </c>
      <c r="BN384" s="2"/>
      <c r="BO384" s="2"/>
      <c r="BP384" s="2"/>
      <c r="BQ384" s="2"/>
      <c r="BR384" s="2" t="s">
        <v>99</v>
      </c>
      <c r="BS384" s="2" t="s">
        <v>7466</v>
      </c>
      <c r="BT384" s="2" t="str">
        <f>HYPERLINK("https%3A%2F%2Fwww.webofscience.com%2Fwos%2Fwoscc%2Ffull-record%2FWOS:000529143800002","View Full Record in Web of Science")</f>
        <v>View Full Record in Web of Science</v>
      </c>
    </row>
    <row r="385" ht="64.5" customHeight="1">
      <c r="A385" s="2" t="s">
        <v>72</v>
      </c>
      <c r="B385" s="2" t="s">
        <v>7467</v>
      </c>
      <c r="C385" s="2"/>
      <c r="D385" s="2"/>
      <c r="E385" s="2"/>
      <c r="F385" s="2" t="s">
        <v>7468</v>
      </c>
      <c r="G385" s="2"/>
      <c r="H385" s="2"/>
      <c r="I385" s="2" t="s">
        <v>7469</v>
      </c>
      <c r="J385" s="2" t="s">
        <v>370</v>
      </c>
      <c r="K385" s="2"/>
      <c r="L385" s="2"/>
      <c r="M385" s="2" t="s">
        <v>116</v>
      </c>
      <c r="N385" s="2" t="s">
        <v>78</v>
      </c>
      <c r="O385" s="2"/>
      <c r="P385" s="2"/>
      <c r="Q385" s="2"/>
      <c r="R385" s="2"/>
      <c r="S385" s="2"/>
      <c r="T385" s="2" t="s">
        <v>7470</v>
      </c>
      <c r="U385" s="2" t="s">
        <v>7471</v>
      </c>
      <c r="V385" s="2" t="s">
        <v>7472</v>
      </c>
      <c r="W385" s="2" t="s">
        <v>7473</v>
      </c>
      <c r="X385" s="2"/>
      <c r="Y385" s="2" t="s">
        <v>7474</v>
      </c>
      <c r="Z385" s="2" t="s">
        <v>7475</v>
      </c>
      <c r="AA385" s="2"/>
      <c r="AB385" s="2"/>
      <c r="AC385" s="2" t="s">
        <v>7476</v>
      </c>
      <c r="AD385" s="2" t="s">
        <v>7476</v>
      </c>
      <c r="AE385" s="2" t="s">
        <v>7477</v>
      </c>
      <c r="AF385" s="2" t="s">
        <v>7478</v>
      </c>
      <c r="AG385" s="2">
        <v>45.0</v>
      </c>
      <c r="AH385" s="2">
        <v>9.0</v>
      </c>
      <c r="AI385" s="2">
        <v>13.0</v>
      </c>
      <c r="AJ385" s="2">
        <v>2.0</v>
      </c>
      <c r="AK385" s="2">
        <v>27.0</v>
      </c>
      <c r="AL385" s="2" t="s">
        <v>383</v>
      </c>
      <c r="AM385" s="2" t="s">
        <v>384</v>
      </c>
      <c r="AN385" s="2" t="s">
        <v>385</v>
      </c>
      <c r="AO385" s="2"/>
      <c r="AP385" s="2" t="s">
        <v>386</v>
      </c>
      <c r="AQ385" s="2"/>
      <c r="AR385" s="2" t="s">
        <v>387</v>
      </c>
      <c r="AS385" s="2" t="s">
        <v>388</v>
      </c>
      <c r="AT385" s="2" t="s">
        <v>938</v>
      </c>
      <c r="AU385" s="2">
        <v>2017.0</v>
      </c>
      <c r="AV385" s="2">
        <v>9.0</v>
      </c>
      <c r="AW385" s="2">
        <v>6.0</v>
      </c>
      <c r="AX385" s="2"/>
      <c r="AY385" s="2"/>
      <c r="AZ385" s="2"/>
      <c r="BA385" s="2"/>
      <c r="BB385" s="2"/>
      <c r="BC385" s="2"/>
      <c r="BD385" s="2">
        <v>913.0</v>
      </c>
      <c r="BE385" s="2" t="s">
        <v>7479</v>
      </c>
      <c r="BF385" s="3" t="str">
        <f>HYPERLINK("http://dx.doi.org/10.3390/su9060913","http://dx.doi.org/10.3390/su9060913")</f>
        <v>http://dx.doi.org/10.3390/su9060913</v>
      </c>
      <c r="BG385" s="2"/>
      <c r="BH385" s="2"/>
      <c r="BI385" s="2">
        <v>28.0</v>
      </c>
      <c r="BJ385" s="2" t="s">
        <v>390</v>
      </c>
      <c r="BK385" s="2" t="s">
        <v>363</v>
      </c>
      <c r="BL385" s="2" t="s">
        <v>391</v>
      </c>
      <c r="BM385" s="2" t="s">
        <v>7289</v>
      </c>
      <c r="BN385" s="2"/>
      <c r="BO385" s="2" t="s">
        <v>2100</v>
      </c>
      <c r="BP385" s="2"/>
      <c r="BQ385" s="2"/>
      <c r="BR385" s="2" t="s">
        <v>99</v>
      </c>
      <c r="BS385" s="2" t="s">
        <v>7480</v>
      </c>
      <c r="BT385" s="2" t="str">
        <f>HYPERLINK("https%3A%2F%2Fwww.webofscience.com%2Fwos%2Fwoscc%2Ffull-record%2FWOS:000404133200044","View Full Record in Web of Science")</f>
        <v>View Full Record in Web of Science</v>
      </c>
    </row>
    <row r="386" ht="64.5" customHeight="1">
      <c r="A386" s="2" t="s">
        <v>72</v>
      </c>
      <c r="B386" s="2" t="s">
        <v>7481</v>
      </c>
      <c r="C386" s="2"/>
      <c r="D386" s="2"/>
      <c r="E386" s="2"/>
      <c r="F386" s="2" t="s">
        <v>7482</v>
      </c>
      <c r="G386" s="2"/>
      <c r="H386" s="2"/>
      <c r="I386" s="2" t="s">
        <v>7483</v>
      </c>
      <c r="J386" s="2" t="s">
        <v>7484</v>
      </c>
      <c r="K386" s="2"/>
      <c r="L386" s="2"/>
      <c r="M386" s="2" t="s">
        <v>116</v>
      </c>
      <c r="N386" s="2" t="s">
        <v>4280</v>
      </c>
      <c r="O386" s="2"/>
      <c r="P386" s="2"/>
      <c r="Q386" s="2"/>
      <c r="R386" s="2"/>
      <c r="S386" s="2"/>
      <c r="T386" s="2" t="s">
        <v>7485</v>
      </c>
      <c r="U386" s="2"/>
      <c r="V386" s="2" t="s">
        <v>7486</v>
      </c>
      <c r="W386" s="2" t="s">
        <v>7487</v>
      </c>
      <c r="X386" s="2" t="s">
        <v>7488</v>
      </c>
      <c r="Y386" s="2" t="s">
        <v>7489</v>
      </c>
      <c r="Z386" s="2" t="s">
        <v>7490</v>
      </c>
      <c r="AA386" s="2"/>
      <c r="AB386" s="2"/>
      <c r="AC386" s="2"/>
      <c r="AD386" s="2"/>
      <c r="AE386" s="2"/>
      <c r="AF386" s="2" t="s">
        <v>7491</v>
      </c>
      <c r="AG386" s="2">
        <v>14.0</v>
      </c>
      <c r="AH386" s="2">
        <v>5.0</v>
      </c>
      <c r="AI386" s="2">
        <v>6.0</v>
      </c>
      <c r="AJ386" s="2">
        <v>0.0</v>
      </c>
      <c r="AK386" s="2">
        <v>0.0</v>
      </c>
      <c r="AL386" s="2" t="s">
        <v>7492</v>
      </c>
      <c r="AM386" s="2" t="s">
        <v>1513</v>
      </c>
      <c r="AN386" s="2" t="s">
        <v>7493</v>
      </c>
      <c r="AO386" s="2" t="s">
        <v>7494</v>
      </c>
      <c r="AP386" s="2"/>
      <c r="AQ386" s="2"/>
      <c r="AR386" s="2" t="s">
        <v>7495</v>
      </c>
      <c r="AS386" s="2" t="s">
        <v>7496</v>
      </c>
      <c r="AT386" s="2"/>
      <c r="AU386" s="2">
        <v>2020.0</v>
      </c>
      <c r="AV386" s="2">
        <v>1.0</v>
      </c>
      <c r="AW386" s="2">
        <v>1.0</v>
      </c>
      <c r="AX386" s="2"/>
      <c r="AY386" s="2"/>
      <c r="AZ386" s="2"/>
      <c r="BA386" s="2"/>
      <c r="BB386" s="2">
        <v>687.0</v>
      </c>
      <c r="BC386" s="2">
        <v>696.0</v>
      </c>
      <c r="BD386" s="2"/>
      <c r="BE386" s="2" t="s">
        <v>7497</v>
      </c>
      <c r="BF386" s="3" t="str">
        <f>HYPERLINK("http://dx.doi.org/10.5334/bc.84","http://dx.doi.org/10.5334/bc.84")</f>
        <v>http://dx.doi.org/10.5334/bc.84</v>
      </c>
      <c r="BG386" s="2"/>
      <c r="BH386" s="2"/>
      <c r="BI386" s="2">
        <v>10.0</v>
      </c>
      <c r="BJ386" s="2" t="s">
        <v>7498</v>
      </c>
      <c r="BK386" s="2" t="s">
        <v>96</v>
      </c>
      <c r="BL386" s="2" t="s">
        <v>7498</v>
      </c>
      <c r="BM386" s="2" t="s">
        <v>7499</v>
      </c>
      <c r="BN386" s="2"/>
      <c r="BO386" s="2" t="s">
        <v>7500</v>
      </c>
      <c r="BP386" s="2"/>
      <c r="BQ386" s="2"/>
      <c r="BR386" s="2" t="s">
        <v>99</v>
      </c>
      <c r="BS386" s="2" t="s">
        <v>7501</v>
      </c>
      <c r="BT386" s="2" t="str">
        <f>HYPERLINK("https%3A%2F%2Fwww.webofscience.com%2Fwos%2Fwoscc%2Ffull-record%2FWOS:001208106700021","View Full Record in Web of Science")</f>
        <v>View Full Record in Web of Science</v>
      </c>
    </row>
    <row r="387" ht="64.5" customHeight="1">
      <c r="A387" s="2" t="s">
        <v>72</v>
      </c>
      <c r="B387" s="2" t="s">
        <v>7502</v>
      </c>
      <c r="C387" s="2"/>
      <c r="D387" s="2"/>
      <c r="E387" s="2"/>
      <c r="F387" s="2" t="s">
        <v>7503</v>
      </c>
      <c r="G387" s="2"/>
      <c r="H387" s="2"/>
      <c r="I387" s="2" t="s">
        <v>7504</v>
      </c>
      <c r="J387" s="2" t="s">
        <v>4465</v>
      </c>
      <c r="K387" s="2"/>
      <c r="L387" s="2"/>
      <c r="M387" s="2" t="s">
        <v>116</v>
      </c>
      <c r="N387" s="2" t="s">
        <v>78</v>
      </c>
      <c r="O387" s="2"/>
      <c r="P387" s="2"/>
      <c r="Q387" s="2"/>
      <c r="R387" s="2"/>
      <c r="S387" s="2"/>
      <c r="T387" s="2" t="s">
        <v>7505</v>
      </c>
      <c r="U387" s="2"/>
      <c r="V387" s="2" t="s">
        <v>7506</v>
      </c>
      <c r="W387" s="2" t="s">
        <v>7507</v>
      </c>
      <c r="X387" s="2" t="s">
        <v>7508</v>
      </c>
      <c r="Y387" s="2" t="s">
        <v>7509</v>
      </c>
      <c r="Z387" s="2" t="s">
        <v>7510</v>
      </c>
      <c r="AA387" s="2" t="s">
        <v>7511</v>
      </c>
      <c r="AB387" s="2" t="s">
        <v>7512</v>
      </c>
      <c r="AC387" s="2"/>
      <c r="AD387" s="2"/>
      <c r="AE387" s="2"/>
      <c r="AF387" s="2" t="s">
        <v>7513</v>
      </c>
      <c r="AG387" s="2">
        <v>47.0</v>
      </c>
      <c r="AH387" s="2">
        <v>5.0</v>
      </c>
      <c r="AI387" s="2">
        <v>5.0</v>
      </c>
      <c r="AJ387" s="2">
        <v>3.0</v>
      </c>
      <c r="AK387" s="2">
        <v>21.0</v>
      </c>
      <c r="AL387" s="2" t="s">
        <v>188</v>
      </c>
      <c r="AM387" s="2" t="s">
        <v>189</v>
      </c>
      <c r="AN387" s="2" t="s">
        <v>190</v>
      </c>
      <c r="AO387" s="2" t="s">
        <v>4479</v>
      </c>
      <c r="AP387" s="2" t="s">
        <v>4480</v>
      </c>
      <c r="AQ387" s="2"/>
      <c r="AR387" s="2" t="s">
        <v>4481</v>
      </c>
      <c r="AS387" s="2" t="s">
        <v>4482</v>
      </c>
      <c r="AT387" s="2" t="s">
        <v>1017</v>
      </c>
      <c r="AU387" s="2">
        <v>2022.0</v>
      </c>
      <c r="AV387" s="2">
        <v>128.0</v>
      </c>
      <c r="AW387" s="2"/>
      <c r="AX387" s="2"/>
      <c r="AY387" s="2"/>
      <c r="AZ387" s="2"/>
      <c r="BA387" s="2"/>
      <c r="BB387" s="2">
        <v>336.0</v>
      </c>
      <c r="BC387" s="2">
        <v>346.0</v>
      </c>
      <c r="BD387" s="2"/>
      <c r="BE387" s="2" t="s">
        <v>7514</v>
      </c>
      <c r="BF387" s="3" t="str">
        <f>HYPERLINK("http://dx.doi.org/10.1016/j.envsci.2021.12.008","http://dx.doi.org/10.1016/j.envsci.2021.12.008")</f>
        <v>http://dx.doi.org/10.1016/j.envsci.2021.12.008</v>
      </c>
      <c r="BG387" s="2"/>
      <c r="BH387" s="2"/>
      <c r="BI387" s="2">
        <v>11.0</v>
      </c>
      <c r="BJ387" s="2" t="s">
        <v>1570</v>
      </c>
      <c r="BK387" s="2" t="s">
        <v>363</v>
      </c>
      <c r="BL387" s="2" t="s">
        <v>97</v>
      </c>
      <c r="BM387" s="2" t="s">
        <v>7515</v>
      </c>
      <c r="BN387" s="2"/>
      <c r="BO387" s="2"/>
      <c r="BP387" s="2"/>
      <c r="BQ387" s="2"/>
      <c r="BR387" s="2" t="s">
        <v>99</v>
      </c>
      <c r="BS387" s="2" t="s">
        <v>7516</v>
      </c>
      <c r="BT387" s="2" t="str">
        <f>HYPERLINK("https%3A%2F%2Fwww.webofscience.com%2Fwos%2Fwoscc%2Ffull-record%2FWOS:000787256200009","View Full Record in Web of Science")</f>
        <v>View Full Record in Web of Science</v>
      </c>
    </row>
    <row r="388" ht="64.5" customHeight="1">
      <c r="A388" s="2" t="s">
        <v>72</v>
      </c>
      <c r="B388" s="2" t="s">
        <v>7517</v>
      </c>
      <c r="C388" s="2"/>
      <c r="D388" s="2"/>
      <c r="E388" s="2"/>
      <c r="F388" s="2" t="s">
        <v>7518</v>
      </c>
      <c r="G388" s="2"/>
      <c r="H388" s="2"/>
      <c r="I388" s="2" t="s">
        <v>7519</v>
      </c>
      <c r="J388" s="2" t="s">
        <v>7520</v>
      </c>
      <c r="K388" s="2"/>
      <c r="L388" s="2"/>
      <c r="M388" s="2" t="s">
        <v>116</v>
      </c>
      <c r="N388" s="2" t="s">
        <v>78</v>
      </c>
      <c r="O388" s="2"/>
      <c r="P388" s="2"/>
      <c r="Q388" s="2"/>
      <c r="R388" s="2"/>
      <c r="S388" s="2"/>
      <c r="T388" s="2" t="s">
        <v>7521</v>
      </c>
      <c r="U388" s="2" t="s">
        <v>7522</v>
      </c>
      <c r="V388" s="2" t="s">
        <v>7523</v>
      </c>
      <c r="W388" s="2" t="s">
        <v>7524</v>
      </c>
      <c r="X388" s="2" t="s">
        <v>7525</v>
      </c>
      <c r="Y388" s="2" t="s">
        <v>7526</v>
      </c>
      <c r="Z388" s="2" t="s">
        <v>7527</v>
      </c>
      <c r="AA388" s="2" t="s">
        <v>7528</v>
      </c>
      <c r="AB388" s="2" t="s">
        <v>7529</v>
      </c>
      <c r="AC388" s="2"/>
      <c r="AD388" s="2"/>
      <c r="AE388" s="2"/>
      <c r="AF388" s="2" t="s">
        <v>7530</v>
      </c>
      <c r="AG388" s="2">
        <v>42.0</v>
      </c>
      <c r="AH388" s="2">
        <v>7.0</v>
      </c>
      <c r="AI388" s="2">
        <v>7.0</v>
      </c>
      <c r="AJ388" s="2">
        <v>21.0</v>
      </c>
      <c r="AK388" s="2">
        <v>101.0</v>
      </c>
      <c r="AL388" s="2" t="s">
        <v>5311</v>
      </c>
      <c r="AM388" s="2" t="s">
        <v>1513</v>
      </c>
      <c r="AN388" s="2" t="s">
        <v>5312</v>
      </c>
      <c r="AO388" s="2" t="s">
        <v>7531</v>
      </c>
      <c r="AP388" s="2" t="s">
        <v>7532</v>
      </c>
      <c r="AQ388" s="2"/>
      <c r="AR388" s="2" t="s">
        <v>7533</v>
      </c>
      <c r="AS388" s="2" t="s">
        <v>7534</v>
      </c>
      <c r="AT388" s="2" t="s">
        <v>7535</v>
      </c>
      <c r="AU388" s="2">
        <v>2023.0</v>
      </c>
      <c r="AV388" s="2">
        <v>332.0</v>
      </c>
      <c r="AW388" s="2"/>
      <c r="AX388" s="2"/>
      <c r="AY388" s="2"/>
      <c r="AZ388" s="2"/>
      <c r="BA388" s="2"/>
      <c r="BB388" s="2"/>
      <c r="BC388" s="2"/>
      <c r="BD388" s="2">
        <v>117433.0</v>
      </c>
      <c r="BE388" s="2" t="s">
        <v>7536</v>
      </c>
      <c r="BF388" s="3" t="str">
        <f>HYPERLINK("http://dx.doi.org/10.1016/j.jenvman.2023.117433","http://dx.doi.org/10.1016/j.jenvman.2023.117433")</f>
        <v>http://dx.doi.org/10.1016/j.jenvman.2023.117433</v>
      </c>
      <c r="BG388" s="2"/>
      <c r="BH388" s="2" t="s">
        <v>7537</v>
      </c>
      <c r="BI388" s="2">
        <v>12.0</v>
      </c>
      <c r="BJ388" s="2" t="s">
        <v>1570</v>
      </c>
      <c r="BK388" s="2" t="s">
        <v>226</v>
      </c>
      <c r="BL388" s="2" t="s">
        <v>97</v>
      </c>
      <c r="BM388" s="2" t="s">
        <v>7538</v>
      </c>
      <c r="BN388" s="2">
        <v>3.6738724E7</v>
      </c>
      <c r="BO388" s="2"/>
      <c r="BP388" s="2"/>
      <c r="BQ388" s="2"/>
      <c r="BR388" s="2" t="s">
        <v>99</v>
      </c>
      <c r="BS388" s="2" t="s">
        <v>7539</v>
      </c>
      <c r="BT388" s="2" t="str">
        <f>HYPERLINK("https%3A%2F%2Fwww.webofscience.com%2Fwos%2Fwoscc%2Ffull-record%2FWOS:000934274900001","View Full Record in Web of Science")</f>
        <v>View Full Record in Web of Science</v>
      </c>
    </row>
    <row r="389" ht="64.5" customHeight="1">
      <c r="A389" s="2" t="s">
        <v>72</v>
      </c>
      <c r="B389" s="2" t="s">
        <v>3697</v>
      </c>
      <c r="C389" s="2"/>
      <c r="D389" s="2"/>
      <c r="E389" s="2"/>
      <c r="F389" s="2" t="s">
        <v>7540</v>
      </c>
      <c r="G389" s="2"/>
      <c r="H389" s="2"/>
      <c r="I389" s="2" t="s">
        <v>7541</v>
      </c>
      <c r="J389" s="2" t="s">
        <v>1337</v>
      </c>
      <c r="K389" s="2"/>
      <c r="L389" s="2"/>
      <c r="M389" s="2" t="s">
        <v>116</v>
      </c>
      <c r="N389" s="2" t="s">
        <v>78</v>
      </c>
      <c r="O389" s="2"/>
      <c r="P389" s="2"/>
      <c r="Q389" s="2"/>
      <c r="R389" s="2"/>
      <c r="S389" s="2"/>
      <c r="T389" s="2" t="s">
        <v>7542</v>
      </c>
      <c r="U389" s="2" t="s">
        <v>7543</v>
      </c>
      <c r="V389" s="2" t="s">
        <v>7544</v>
      </c>
      <c r="W389" s="2" t="s">
        <v>7545</v>
      </c>
      <c r="X389" s="2" t="s">
        <v>7546</v>
      </c>
      <c r="Y389" s="2" t="s">
        <v>7547</v>
      </c>
      <c r="Z389" s="2" t="s">
        <v>7548</v>
      </c>
      <c r="AA389" s="2" t="s">
        <v>7549</v>
      </c>
      <c r="AB389" s="2" t="s">
        <v>7550</v>
      </c>
      <c r="AC389" s="2"/>
      <c r="AD389" s="2"/>
      <c r="AE389" s="2"/>
      <c r="AF389" s="2" t="s">
        <v>7551</v>
      </c>
      <c r="AG389" s="2">
        <v>73.0</v>
      </c>
      <c r="AH389" s="2">
        <v>16.0</v>
      </c>
      <c r="AI389" s="2">
        <v>17.0</v>
      </c>
      <c r="AJ389" s="2">
        <v>3.0</v>
      </c>
      <c r="AK389" s="2">
        <v>28.0</v>
      </c>
      <c r="AL389" s="2" t="s">
        <v>427</v>
      </c>
      <c r="AM389" s="2" t="s">
        <v>428</v>
      </c>
      <c r="AN389" s="2" t="s">
        <v>3025</v>
      </c>
      <c r="AO389" s="2" t="s">
        <v>1348</v>
      </c>
      <c r="AP389" s="2" t="s">
        <v>1349</v>
      </c>
      <c r="AQ389" s="2"/>
      <c r="AR389" s="2" t="s">
        <v>1350</v>
      </c>
      <c r="AS389" s="2" t="s">
        <v>1351</v>
      </c>
      <c r="AT389" s="2" t="s">
        <v>596</v>
      </c>
      <c r="AU389" s="2">
        <v>2018.0</v>
      </c>
      <c r="AV389" s="2">
        <v>44.0</v>
      </c>
      <c r="AW389" s="2"/>
      <c r="AX389" s="2"/>
      <c r="AY389" s="2"/>
      <c r="AZ389" s="2"/>
      <c r="BA389" s="2"/>
      <c r="BB389" s="2">
        <v>178.0</v>
      </c>
      <c r="BC389" s="2">
        <v>186.0</v>
      </c>
      <c r="BD389" s="2"/>
      <c r="BE389" s="2" t="s">
        <v>7552</v>
      </c>
      <c r="BF389" s="3" t="str">
        <f>HYPERLINK("http://dx.doi.org/10.1016/j.erss.2018.04.020","http://dx.doi.org/10.1016/j.erss.2018.04.020")</f>
        <v>http://dx.doi.org/10.1016/j.erss.2018.04.020</v>
      </c>
      <c r="BG389" s="2"/>
      <c r="BH389" s="2"/>
      <c r="BI389" s="2">
        <v>9.0</v>
      </c>
      <c r="BJ389" s="2" t="s">
        <v>95</v>
      </c>
      <c r="BK389" s="2" t="s">
        <v>166</v>
      </c>
      <c r="BL389" s="2" t="s">
        <v>97</v>
      </c>
      <c r="BM389" s="2" t="s">
        <v>7553</v>
      </c>
      <c r="BN389" s="2"/>
      <c r="BO389" s="2"/>
      <c r="BP389" s="2"/>
      <c r="BQ389" s="2"/>
      <c r="BR389" s="2" t="s">
        <v>99</v>
      </c>
      <c r="BS389" s="2" t="s">
        <v>7554</v>
      </c>
      <c r="BT389" s="2" t="str">
        <f>HYPERLINK("https%3A%2F%2Fwww.webofscience.com%2Fwos%2Fwoscc%2Ffull-record%2FWOS:000444920000020","View Full Record in Web of Science")</f>
        <v>View Full Record in Web of Science</v>
      </c>
    </row>
    <row r="390" ht="64.5" customHeight="1">
      <c r="A390" s="2" t="s">
        <v>72</v>
      </c>
      <c r="B390" s="2" t="s">
        <v>7555</v>
      </c>
      <c r="C390" s="2"/>
      <c r="D390" s="2"/>
      <c r="E390" s="2"/>
      <c r="F390" s="2" t="s">
        <v>7556</v>
      </c>
      <c r="G390" s="2"/>
      <c r="H390" s="2"/>
      <c r="I390" s="2" t="s">
        <v>7557</v>
      </c>
      <c r="J390" s="2" t="s">
        <v>7558</v>
      </c>
      <c r="K390" s="2"/>
      <c r="L390" s="2"/>
      <c r="M390" s="2" t="s">
        <v>116</v>
      </c>
      <c r="N390" s="2" t="s">
        <v>78</v>
      </c>
      <c r="O390" s="2"/>
      <c r="P390" s="2"/>
      <c r="Q390" s="2"/>
      <c r="R390" s="2"/>
      <c r="S390" s="2"/>
      <c r="T390" s="2" t="s">
        <v>7559</v>
      </c>
      <c r="U390" s="2" t="s">
        <v>7560</v>
      </c>
      <c r="V390" s="2" t="s">
        <v>7561</v>
      </c>
      <c r="W390" s="2" t="s">
        <v>7562</v>
      </c>
      <c r="X390" s="2" t="s">
        <v>4259</v>
      </c>
      <c r="Y390" s="2" t="s">
        <v>7563</v>
      </c>
      <c r="Z390" s="2" t="s">
        <v>7564</v>
      </c>
      <c r="AA390" s="2" t="s">
        <v>7565</v>
      </c>
      <c r="AB390" s="2" t="s">
        <v>7566</v>
      </c>
      <c r="AC390" s="2" t="s">
        <v>7567</v>
      </c>
      <c r="AD390" s="2" t="s">
        <v>7568</v>
      </c>
      <c r="AE390" s="2" t="s">
        <v>7569</v>
      </c>
      <c r="AF390" s="2" t="s">
        <v>7570</v>
      </c>
      <c r="AG390" s="2">
        <v>27.0</v>
      </c>
      <c r="AH390" s="2">
        <v>14.0</v>
      </c>
      <c r="AI390" s="2">
        <v>14.0</v>
      </c>
      <c r="AJ390" s="2">
        <v>1.0</v>
      </c>
      <c r="AK390" s="2">
        <v>25.0</v>
      </c>
      <c r="AL390" s="2" t="s">
        <v>1735</v>
      </c>
      <c r="AM390" s="2" t="s">
        <v>1736</v>
      </c>
      <c r="AN390" s="2" t="s">
        <v>1737</v>
      </c>
      <c r="AO390" s="2" t="s">
        <v>7571</v>
      </c>
      <c r="AP390" s="2" t="s">
        <v>7572</v>
      </c>
      <c r="AQ390" s="2"/>
      <c r="AR390" s="2" t="s">
        <v>7573</v>
      </c>
      <c r="AS390" s="2" t="s">
        <v>7574</v>
      </c>
      <c r="AT390" s="2"/>
      <c r="AU390" s="2">
        <v>2015.0</v>
      </c>
      <c r="AV390" s="2">
        <v>11.0</v>
      </c>
      <c r="AW390" s="2">
        <v>1.0</v>
      </c>
      <c r="AX390" s="2"/>
      <c r="AY390" s="2"/>
      <c r="AZ390" s="2" t="s">
        <v>359</v>
      </c>
      <c r="BA390" s="2"/>
      <c r="BB390" s="2">
        <v>78.0</v>
      </c>
      <c r="BC390" s="2">
        <v>101.0</v>
      </c>
      <c r="BD390" s="2"/>
      <c r="BE390" s="2" t="s">
        <v>7575</v>
      </c>
      <c r="BF390" s="3" t="str">
        <f>HYPERLINK("http://dx.doi.org/10.1504/IJWGS.2015.067157","http://dx.doi.org/10.1504/IJWGS.2015.067157")</f>
        <v>http://dx.doi.org/10.1504/IJWGS.2015.067157</v>
      </c>
      <c r="BG390" s="2"/>
      <c r="BH390" s="2"/>
      <c r="BI390" s="2">
        <v>24.0</v>
      </c>
      <c r="BJ390" s="2" t="s">
        <v>7576</v>
      </c>
      <c r="BK390" s="2" t="s">
        <v>226</v>
      </c>
      <c r="BL390" s="2" t="s">
        <v>1402</v>
      </c>
      <c r="BM390" s="2" t="s">
        <v>7577</v>
      </c>
      <c r="BN390" s="2"/>
      <c r="BO390" s="2"/>
      <c r="BP390" s="2"/>
      <c r="BQ390" s="2"/>
      <c r="BR390" s="2" t="s">
        <v>99</v>
      </c>
      <c r="BS390" s="2" t="s">
        <v>7578</v>
      </c>
      <c r="BT390" s="2" t="str">
        <f>HYPERLINK("https%3A%2F%2Fwww.webofscience.com%2Fwos%2Fwoscc%2Ffull-record%2FWOS:000351951500006","View Full Record in Web of Science")</f>
        <v>View Full Record in Web of Science</v>
      </c>
    </row>
    <row r="391" ht="64.5" customHeight="1">
      <c r="A391" s="2" t="s">
        <v>72</v>
      </c>
      <c r="B391" s="2" t="s">
        <v>7579</v>
      </c>
      <c r="C391" s="2"/>
      <c r="D391" s="2"/>
      <c r="E391" s="2"/>
      <c r="F391" s="2" t="s">
        <v>7580</v>
      </c>
      <c r="G391" s="2"/>
      <c r="H391" s="2"/>
      <c r="I391" s="2" t="s">
        <v>7581</v>
      </c>
      <c r="J391" s="2" t="s">
        <v>7582</v>
      </c>
      <c r="K391" s="2"/>
      <c r="L391" s="2"/>
      <c r="M391" s="2" t="s">
        <v>116</v>
      </c>
      <c r="N391" s="2" t="s">
        <v>78</v>
      </c>
      <c r="O391" s="2"/>
      <c r="P391" s="2"/>
      <c r="Q391" s="2"/>
      <c r="R391" s="2"/>
      <c r="S391" s="2"/>
      <c r="T391" s="4" t="s">
        <v>121</v>
      </c>
      <c r="U391" s="2" t="s">
        <v>7583</v>
      </c>
      <c r="V391" s="2" t="s">
        <v>7584</v>
      </c>
      <c r="W391" s="2" t="s">
        <v>7585</v>
      </c>
      <c r="X391" s="2" t="s">
        <v>7586</v>
      </c>
      <c r="Y391" s="2" t="s">
        <v>7587</v>
      </c>
      <c r="Z391" s="2" t="s">
        <v>7588</v>
      </c>
      <c r="AA391" s="2"/>
      <c r="AB391" s="2" t="s">
        <v>7589</v>
      </c>
      <c r="AC391" s="2" t="s">
        <v>7590</v>
      </c>
      <c r="AD391" s="2" t="s">
        <v>7591</v>
      </c>
      <c r="AE391" s="2" t="s">
        <v>7592</v>
      </c>
      <c r="AF391" s="2" t="s">
        <v>7593</v>
      </c>
      <c r="AG391" s="2">
        <v>41.0</v>
      </c>
      <c r="AH391" s="2">
        <v>7.0</v>
      </c>
      <c r="AI391" s="2">
        <v>7.0</v>
      </c>
      <c r="AJ391" s="2">
        <v>5.0</v>
      </c>
      <c r="AK391" s="2">
        <v>24.0</v>
      </c>
      <c r="AL391" s="2" t="s">
        <v>4864</v>
      </c>
      <c r="AM391" s="2" t="s">
        <v>4865</v>
      </c>
      <c r="AN391" s="2" t="s">
        <v>4866</v>
      </c>
      <c r="AO391" s="2" t="s">
        <v>7594</v>
      </c>
      <c r="AP391" s="2"/>
      <c r="AQ391" s="2"/>
      <c r="AR391" s="2" t="s">
        <v>7595</v>
      </c>
      <c r="AS391" s="2" t="s">
        <v>7596</v>
      </c>
      <c r="AT391" s="2" t="s">
        <v>844</v>
      </c>
      <c r="AU391" s="2">
        <v>2022.0</v>
      </c>
      <c r="AV391" s="2">
        <v>7.0</v>
      </c>
      <c r="AW391" s="2">
        <v>12.0</v>
      </c>
      <c r="AX391" s="2"/>
      <c r="AY391" s="2"/>
      <c r="AZ391" s="2"/>
      <c r="BA391" s="2"/>
      <c r="BB391" s="2">
        <v>1191.0</v>
      </c>
      <c r="BC391" s="2" t="s">
        <v>1458</v>
      </c>
      <c r="BD391" s="2"/>
      <c r="BE391" s="2" t="s">
        <v>7597</v>
      </c>
      <c r="BF391" s="3" t="str">
        <f>HYPERLINK("http://dx.doi.org/10.1038/s41560-022-01156-w","http://dx.doi.org/10.1038/s41560-022-01156-w")</f>
        <v>http://dx.doi.org/10.1038/s41560-022-01156-w</v>
      </c>
      <c r="BG391" s="2"/>
      <c r="BH391" s="2" t="s">
        <v>455</v>
      </c>
      <c r="BI391" s="2">
        <v>12.0</v>
      </c>
      <c r="BJ391" s="2" t="s">
        <v>7598</v>
      </c>
      <c r="BK391" s="2" t="s">
        <v>226</v>
      </c>
      <c r="BL391" s="2" t="s">
        <v>7599</v>
      </c>
      <c r="BM391" s="2" t="s">
        <v>7600</v>
      </c>
      <c r="BN391" s="2"/>
      <c r="BO391" s="2" t="s">
        <v>2170</v>
      </c>
      <c r="BP391" s="2"/>
      <c r="BQ391" s="2"/>
      <c r="BR391" s="2" t="s">
        <v>99</v>
      </c>
      <c r="BS391" s="2" t="s">
        <v>7601</v>
      </c>
      <c r="BT391" s="2" t="str">
        <f>HYPERLINK("https%3A%2F%2Fwww.webofscience.com%2Fwos%2Fwoscc%2Ffull-record%2FWOS:000898288500001","View Full Record in Web of Science")</f>
        <v>View Full Record in Web of Science</v>
      </c>
    </row>
    <row r="392" ht="64.5" customHeight="1">
      <c r="A392" s="2" t="s">
        <v>72</v>
      </c>
      <c r="B392" s="2" t="s">
        <v>7602</v>
      </c>
      <c r="C392" s="2"/>
      <c r="D392" s="2"/>
      <c r="E392" s="2"/>
      <c r="F392" s="2" t="s">
        <v>7603</v>
      </c>
      <c r="G392" s="2"/>
      <c r="H392" s="2"/>
      <c r="I392" s="2" t="s">
        <v>7604</v>
      </c>
      <c r="J392" s="2" t="s">
        <v>7605</v>
      </c>
      <c r="K392" s="2"/>
      <c r="L392" s="2"/>
      <c r="M392" s="2" t="s">
        <v>116</v>
      </c>
      <c r="N392" s="2" t="s">
        <v>78</v>
      </c>
      <c r="O392" s="2"/>
      <c r="P392" s="2"/>
      <c r="Q392" s="2"/>
      <c r="R392" s="2"/>
      <c r="S392" s="2"/>
      <c r="T392" s="2" t="s">
        <v>7606</v>
      </c>
      <c r="U392" s="2" t="s">
        <v>7607</v>
      </c>
      <c r="V392" s="2" t="s">
        <v>7608</v>
      </c>
      <c r="W392" s="2" t="s">
        <v>7609</v>
      </c>
      <c r="X392" s="2" t="s">
        <v>7610</v>
      </c>
      <c r="Y392" s="2" t="s">
        <v>7611</v>
      </c>
      <c r="Z392" s="2" t="s">
        <v>7612</v>
      </c>
      <c r="AA392" s="2" t="s">
        <v>7613</v>
      </c>
      <c r="AB392" s="2" t="s">
        <v>7614</v>
      </c>
      <c r="AC392" s="2" t="s">
        <v>7615</v>
      </c>
      <c r="AD392" s="2" t="s">
        <v>7616</v>
      </c>
      <c r="AE392" s="2"/>
      <c r="AF392" s="2" t="s">
        <v>7617</v>
      </c>
      <c r="AG392" s="2">
        <v>41.0</v>
      </c>
      <c r="AH392" s="2">
        <v>18.0</v>
      </c>
      <c r="AI392" s="2">
        <v>21.0</v>
      </c>
      <c r="AJ392" s="2">
        <v>1.0</v>
      </c>
      <c r="AK392" s="2">
        <v>29.0</v>
      </c>
      <c r="AL392" s="2" t="s">
        <v>156</v>
      </c>
      <c r="AM392" s="2" t="s">
        <v>157</v>
      </c>
      <c r="AN392" s="2" t="s">
        <v>158</v>
      </c>
      <c r="AO392" s="2" t="s">
        <v>7618</v>
      </c>
      <c r="AP392" s="2" t="s">
        <v>7619</v>
      </c>
      <c r="AQ392" s="2"/>
      <c r="AR392" s="2" t="s">
        <v>7620</v>
      </c>
      <c r="AS392" s="2" t="s">
        <v>7621</v>
      </c>
      <c r="AT392" s="2" t="s">
        <v>7622</v>
      </c>
      <c r="AU392" s="2">
        <v>2014.0</v>
      </c>
      <c r="AV392" s="2">
        <v>26.0</v>
      </c>
      <c r="AW392" s="2">
        <v>10.0</v>
      </c>
      <c r="AX392" s="2"/>
      <c r="AY392" s="2"/>
      <c r="AZ392" s="2" t="s">
        <v>359</v>
      </c>
      <c r="BA392" s="2"/>
      <c r="BB392" s="2">
        <v>1212.0</v>
      </c>
      <c r="BC392" s="2">
        <v>1227.0</v>
      </c>
      <c r="BD392" s="2"/>
      <c r="BE392" s="2" t="s">
        <v>7623</v>
      </c>
      <c r="BF392" s="3" t="str">
        <f>HYPERLINK("http://dx.doi.org/10.1080/09537325.2014.978277","http://dx.doi.org/10.1080/09537325.2014.978277")</f>
        <v>http://dx.doi.org/10.1080/09537325.2014.978277</v>
      </c>
      <c r="BG392" s="2"/>
      <c r="BH392" s="2"/>
      <c r="BI392" s="2">
        <v>16.0</v>
      </c>
      <c r="BJ392" s="2" t="s">
        <v>7624</v>
      </c>
      <c r="BK392" s="2" t="s">
        <v>166</v>
      </c>
      <c r="BL392" s="2" t="s">
        <v>7625</v>
      </c>
      <c r="BM392" s="2" t="s">
        <v>7626</v>
      </c>
      <c r="BN392" s="2"/>
      <c r="BO392" s="2" t="s">
        <v>2826</v>
      </c>
      <c r="BP392" s="2"/>
      <c r="BQ392" s="2"/>
      <c r="BR392" s="2" t="s">
        <v>99</v>
      </c>
      <c r="BS392" s="2" t="s">
        <v>7627</v>
      </c>
      <c r="BT392" s="2" t="str">
        <f>HYPERLINK("https%3A%2F%2Fwww.webofscience.com%2Fwos%2Fwoscc%2Ffull-record%2FWOS:000345568700008","View Full Record in Web of Science")</f>
        <v>View Full Record in Web of Science</v>
      </c>
    </row>
    <row r="393" ht="64.5" customHeight="1">
      <c r="A393" s="2" t="s">
        <v>110</v>
      </c>
      <c r="B393" s="2" t="s">
        <v>7628</v>
      </c>
      <c r="C393" s="2"/>
      <c r="D393" s="2" t="s">
        <v>7629</v>
      </c>
      <c r="E393" s="2"/>
      <c r="F393" s="2" t="s">
        <v>7630</v>
      </c>
      <c r="G393" s="2"/>
      <c r="H393" s="2"/>
      <c r="I393" s="2" t="s">
        <v>7631</v>
      </c>
      <c r="J393" s="2" t="s">
        <v>7632</v>
      </c>
      <c r="K393" s="2" t="s">
        <v>415</v>
      </c>
      <c r="L393" s="2"/>
      <c r="M393" s="2" t="s">
        <v>116</v>
      </c>
      <c r="N393" s="2" t="s">
        <v>117</v>
      </c>
      <c r="O393" s="2" t="s">
        <v>7633</v>
      </c>
      <c r="P393" s="2" t="s">
        <v>7634</v>
      </c>
      <c r="Q393" s="2" t="s">
        <v>7635</v>
      </c>
      <c r="R393" s="2"/>
      <c r="S393" s="2"/>
      <c r="T393" s="2" t="s">
        <v>7636</v>
      </c>
      <c r="U393" s="2"/>
      <c r="V393" s="2" t="s">
        <v>7637</v>
      </c>
      <c r="W393" s="2" t="s">
        <v>7638</v>
      </c>
      <c r="X393" s="2" t="s">
        <v>7639</v>
      </c>
      <c r="Y393" s="2" t="s">
        <v>7640</v>
      </c>
      <c r="Z393" s="2" t="s">
        <v>7641</v>
      </c>
      <c r="AA393" s="2"/>
      <c r="AB393" s="2"/>
      <c r="AC393" s="2" t="s">
        <v>7642</v>
      </c>
      <c r="AD393" s="2" t="s">
        <v>7643</v>
      </c>
      <c r="AE393" s="2" t="s">
        <v>7644</v>
      </c>
      <c r="AF393" s="2" t="s">
        <v>7645</v>
      </c>
      <c r="AG393" s="2">
        <v>11.0</v>
      </c>
      <c r="AH393" s="2">
        <v>5.0</v>
      </c>
      <c r="AI393" s="2">
        <v>5.0</v>
      </c>
      <c r="AJ393" s="2">
        <v>0.0</v>
      </c>
      <c r="AK393" s="2">
        <v>4.0</v>
      </c>
      <c r="AL393" s="2" t="s">
        <v>427</v>
      </c>
      <c r="AM393" s="2" t="s">
        <v>428</v>
      </c>
      <c r="AN393" s="2" t="s">
        <v>429</v>
      </c>
      <c r="AO393" s="2" t="s">
        <v>430</v>
      </c>
      <c r="AP393" s="2"/>
      <c r="AQ393" s="2"/>
      <c r="AR393" s="2" t="s">
        <v>431</v>
      </c>
      <c r="AS393" s="2"/>
      <c r="AT393" s="2"/>
      <c r="AU393" s="2">
        <v>2012.0</v>
      </c>
      <c r="AV393" s="2">
        <v>51.0</v>
      </c>
      <c r="AW393" s="2"/>
      <c r="AX393" s="2"/>
      <c r="AY393" s="2"/>
      <c r="AZ393" s="2"/>
      <c r="BA393" s="2"/>
      <c r="BB393" s="2">
        <v>840.0</v>
      </c>
      <c r="BC393" s="2">
        <v>848.0</v>
      </c>
      <c r="BD393" s="2"/>
      <c r="BE393" s="2" t="s">
        <v>7646</v>
      </c>
      <c r="BF393" s="3" t="str">
        <f>HYPERLINK("http://dx.doi.org/10.1016/j.sbspro.2012.08.250","http://dx.doi.org/10.1016/j.sbspro.2012.08.250")</f>
        <v>http://dx.doi.org/10.1016/j.sbspro.2012.08.250</v>
      </c>
      <c r="BG393" s="2"/>
      <c r="BH393" s="2"/>
      <c r="BI393" s="2">
        <v>9.0</v>
      </c>
      <c r="BJ393" s="2" t="s">
        <v>7647</v>
      </c>
      <c r="BK393" s="2" t="s">
        <v>434</v>
      </c>
      <c r="BL393" s="2" t="s">
        <v>7647</v>
      </c>
      <c r="BM393" s="2" t="s">
        <v>7648</v>
      </c>
      <c r="BN393" s="2"/>
      <c r="BO393" s="2" t="s">
        <v>255</v>
      </c>
      <c r="BP393" s="2"/>
      <c r="BQ393" s="2"/>
      <c r="BR393" s="2" t="s">
        <v>99</v>
      </c>
      <c r="BS393" s="2" t="s">
        <v>7649</v>
      </c>
      <c r="BT393" s="2" t="str">
        <f>HYPERLINK("https%3A%2F%2Fwww.webofscience.com%2Fwos%2Fwoscc%2Ffull-record%2FWOS:000316256000142","View Full Record in Web of Science")</f>
        <v>View Full Record in Web of Science</v>
      </c>
    </row>
    <row r="394" ht="64.5" customHeight="1">
      <c r="A394" s="2" t="s">
        <v>72</v>
      </c>
      <c r="B394" s="2" t="s">
        <v>7650</v>
      </c>
      <c r="C394" s="2"/>
      <c r="D394" s="2"/>
      <c r="E394" s="2"/>
      <c r="F394" s="2" t="s">
        <v>7651</v>
      </c>
      <c r="G394" s="2"/>
      <c r="H394" s="2"/>
      <c r="I394" s="2" t="s">
        <v>7652</v>
      </c>
      <c r="J394" s="2" t="s">
        <v>1337</v>
      </c>
      <c r="K394" s="2"/>
      <c r="L394" s="2"/>
      <c r="M394" s="2" t="s">
        <v>116</v>
      </c>
      <c r="N394" s="2" t="s">
        <v>78</v>
      </c>
      <c r="O394" s="2"/>
      <c r="P394" s="2"/>
      <c r="Q394" s="2"/>
      <c r="R394" s="2"/>
      <c r="S394" s="2"/>
      <c r="T394" s="2" t="s">
        <v>7653</v>
      </c>
      <c r="U394" s="2"/>
      <c r="V394" s="2" t="s">
        <v>7654</v>
      </c>
      <c r="W394" s="2" t="s">
        <v>7655</v>
      </c>
      <c r="X394" s="2" t="s">
        <v>7656</v>
      </c>
      <c r="Y394" s="2" t="s">
        <v>7657</v>
      </c>
      <c r="Z394" s="2" t="s">
        <v>7658</v>
      </c>
      <c r="AA394" s="2"/>
      <c r="AB394" s="2" t="s">
        <v>7659</v>
      </c>
      <c r="AC394" s="2" t="s">
        <v>7660</v>
      </c>
      <c r="AD394" s="2" t="s">
        <v>7661</v>
      </c>
      <c r="AE394" s="2" t="s">
        <v>7662</v>
      </c>
      <c r="AF394" s="2" t="s">
        <v>7663</v>
      </c>
      <c r="AG394" s="2">
        <v>42.0</v>
      </c>
      <c r="AH394" s="2">
        <v>8.0</v>
      </c>
      <c r="AI394" s="2">
        <v>8.0</v>
      </c>
      <c r="AJ394" s="2">
        <v>1.0</v>
      </c>
      <c r="AK394" s="2">
        <v>7.0</v>
      </c>
      <c r="AL394" s="2" t="s">
        <v>1346</v>
      </c>
      <c r="AM394" s="2" t="s">
        <v>428</v>
      </c>
      <c r="AN394" s="2" t="s">
        <v>1347</v>
      </c>
      <c r="AO394" s="2" t="s">
        <v>1348</v>
      </c>
      <c r="AP394" s="2" t="s">
        <v>1349</v>
      </c>
      <c r="AQ394" s="2"/>
      <c r="AR394" s="2" t="s">
        <v>1350</v>
      </c>
      <c r="AS394" s="2" t="s">
        <v>1351</v>
      </c>
      <c r="AT394" s="2" t="s">
        <v>358</v>
      </c>
      <c r="AU394" s="2">
        <v>2021.0</v>
      </c>
      <c r="AV394" s="2">
        <v>73.0</v>
      </c>
      <c r="AW394" s="2"/>
      <c r="AX394" s="2"/>
      <c r="AY394" s="2"/>
      <c r="AZ394" s="2"/>
      <c r="BA394" s="2"/>
      <c r="BB394" s="2"/>
      <c r="BC394" s="2"/>
      <c r="BD394" s="2">
        <v>101911.0</v>
      </c>
      <c r="BE394" s="2" t="s">
        <v>7664</v>
      </c>
      <c r="BF394" s="3" t="str">
        <f>HYPERLINK("http://dx.doi.org/10.1016/j.erss.2021.101911","http://dx.doi.org/10.1016/j.erss.2021.101911")</f>
        <v>http://dx.doi.org/10.1016/j.erss.2021.101911</v>
      </c>
      <c r="BG394" s="2"/>
      <c r="BH394" s="2" t="s">
        <v>361</v>
      </c>
      <c r="BI394" s="2">
        <v>9.0</v>
      </c>
      <c r="BJ394" s="2" t="s">
        <v>95</v>
      </c>
      <c r="BK394" s="2" t="s">
        <v>166</v>
      </c>
      <c r="BL394" s="2" t="s">
        <v>97</v>
      </c>
      <c r="BM394" s="2" t="s">
        <v>7665</v>
      </c>
      <c r="BN394" s="2"/>
      <c r="BO394" s="2"/>
      <c r="BP394" s="2"/>
      <c r="BQ394" s="2"/>
      <c r="BR394" s="2" t="s">
        <v>99</v>
      </c>
      <c r="BS394" s="2" t="s">
        <v>7666</v>
      </c>
      <c r="BT394" s="2" t="str">
        <f>HYPERLINK("https%3A%2F%2Fwww.webofscience.com%2Fwos%2Fwoscc%2Ffull-record%2FWOS:000632550400013","View Full Record in Web of Science")</f>
        <v>View Full Record in Web of Science</v>
      </c>
    </row>
    <row r="395" ht="64.5" customHeight="1">
      <c r="A395" s="2" t="s">
        <v>72</v>
      </c>
      <c r="B395" s="2" t="s">
        <v>7667</v>
      </c>
      <c r="C395" s="2"/>
      <c r="D395" s="2"/>
      <c r="E395" s="2"/>
      <c r="F395" s="2" t="s">
        <v>7668</v>
      </c>
      <c r="G395" s="2"/>
      <c r="H395" s="2"/>
      <c r="I395" s="2" t="s">
        <v>7669</v>
      </c>
      <c r="J395" s="2" t="s">
        <v>7670</v>
      </c>
      <c r="K395" s="2"/>
      <c r="L395" s="2"/>
      <c r="M395" s="2" t="s">
        <v>116</v>
      </c>
      <c r="N395" s="2" t="s">
        <v>78</v>
      </c>
      <c r="O395" s="2"/>
      <c r="P395" s="2"/>
      <c r="Q395" s="2"/>
      <c r="R395" s="2"/>
      <c r="S395" s="2"/>
      <c r="T395" s="2" t="s">
        <v>7671</v>
      </c>
      <c r="U395" s="2" t="s">
        <v>7672</v>
      </c>
      <c r="V395" s="2" t="s">
        <v>7673</v>
      </c>
      <c r="W395" s="2" t="s">
        <v>7674</v>
      </c>
      <c r="X395" s="2" t="s">
        <v>7675</v>
      </c>
      <c r="Y395" s="2" t="s">
        <v>7676</v>
      </c>
      <c r="Z395" s="2" t="s">
        <v>7677</v>
      </c>
      <c r="AA395" s="2" t="s">
        <v>7678</v>
      </c>
      <c r="AB395" s="2" t="s">
        <v>7679</v>
      </c>
      <c r="AC395" s="2" t="s">
        <v>7680</v>
      </c>
      <c r="AD395" s="2" t="s">
        <v>7681</v>
      </c>
      <c r="AE395" s="2" t="s">
        <v>7682</v>
      </c>
      <c r="AF395" s="2" t="s">
        <v>7683</v>
      </c>
      <c r="AG395" s="2">
        <v>39.0</v>
      </c>
      <c r="AH395" s="2">
        <v>3.0</v>
      </c>
      <c r="AI395" s="2">
        <v>3.0</v>
      </c>
      <c r="AJ395" s="2">
        <v>2.0</v>
      </c>
      <c r="AK395" s="2">
        <v>34.0</v>
      </c>
      <c r="AL395" s="2" t="s">
        <v>7684</v>
      </c>
      <c r="AM395" s="2" t="s">
        <v>7685</v>
      </c>
      <c r="AN395" s="2" t="s">
        <v>7686</v>
      </c>
      <c r="AO395" s="2" t="s">
        <v>7687</v>
      </c>
      <c r="AP395" s="2" t="s">
        <v>7688</v>
      </c>
      <c r="AQ395" s="2"/>
      <c r="AR395" s="2" t="s">
        <v>7689</v>
      </c>
      <c r="AS395" s="2" t="s">
        <v>7690</v>
      </c>
      <c r="AT395" s="2" t="s">
        <v>533</v>
      </c>
      <c r="AU395" s="2">
        <v>2020.0</v>
      </c>
      <c r="AV395" s="2">
        <v>8.0</v>
      </c>
      <c r="AW395" s="2">
        <v>3.0</v>
      </c>
      <c r="AX395" s="2"/>
      <c r="AY395" s="2"/>
      <c r="AZ395" s="2"/>
      <c r="BA395" s="2"/>
      <c r="BB395" s="2">
        <v>243.0</v>
      </c>
      <c r="BC395" s="2">
        <v>256.0</v>
      </c>
      <c r="BD395" s="2"/>
      <c r="BE395" s="2" t="s">
        <v>7691</v>
      </c>
      <c r="BF395" s="3" t="str">
        <f>HYPERLINK("http://dx.doi.org/10.5890/JEAM.2020.09.003","http://dx.doi.org/10.5890/JEAM.2020.09.003")</f>
        <v>http://dx.doi.org/10.5890/JEAM.2020.09.003</v>
      </c>
      <c r="BG395" s="2"/>
      <c r="BH395" s="2"/>
      <c r="BI395" s="2">
        <v>14.0</v>
      </c>
      <c r="BJ395" s="2" t="s">
        <v>7692</v>
      </c>
      <c r="BK395" s="2" t="s">
        <v>96</v>
      </c>
      <c r="BL395" s="2" t="s">
        <v>2067</v>
      </c>
      <c r="BM395" s="2" t="s">
        <v>7693</v>
      </c>
      <c r="BN395" s="2"/>
      <c r="BO395" s="2"/>
      <c r="BP395" s="2"/>
      <c r="BQ395" s="2"/>
      <c r="BR395" s="2" t="s">
        <v>99</v>
      </c>
      <c r="BS395" s="2" t="s">
        <v>7694</v>
      </c>
      <c r="BT395" s="2" t="str">
        <f>HYPERLINK("https%3A%2F%2Fwww.webofscience.com%2Fwos%2Fwoscc%2Ffull-record%2FWOS:000534520000003","View Full Record in Web of Science")</f>
        <v>View Full Record in Web of Science</v>
      </c>
    </row>
    <row r="396" ht="64.5" customHeight="1">
      <c r="A396" s="2" t="s">
        <v>72</v>
      </c>
      <c r="B396" s="2" t="s">
        <v>7695</v>
      </c>
      <c r="C396" s="2"/>
      <c r="D396" s="2"/>
      <c r="E396" s="2"/>
      <c r="F396" s="2" t="s">
        <v>7696</v>
      </c>
      <c r="G396" s="2"/>
      <c r="H396" s="2"/>
      <c r="I396" s="2" t="s">
        <v>7697</v>
      </c>
      <c r="J396" s="2" t="s">
        <v>712</v>
      </c>
      <c r="K396" s="2"/>
      <c r="L396" s="2"/>
      <c r="M396" s="2" t="s">
        <v>116</v>
      </c>
      <c r="N396" s="2" t="s">
        <v>78</v>
      </c>
      <c r="O396" s="2"/>
      <c r="P396" s="2"/>
      <c r="Q396" s="2"/>
      <c r="R396" s="2"/>
      <c r="S396" s="2"/>
      <c r="T396" s="2" t="s">
        <v>7698</v>
      </c>
      <c r="U396" s="2" t="s">
        <v>7699</v>
      </c>
      <c r="V396" s="2" t="s">
        <v>7700</v>
      </c>
      <c r="W396" s="2" t="s">
        <v>7701</v>
      </c>
      <c r="X396" s="2" t="s">
        <v>7702</v>
      </c>
      <c r="Y396" s="2" t="s">
        <v>7703</v>
      </c>
      <c r="Z396" s="2" t="s">
        <v>7704</v>
      </c>
      <c r="AA396" s="2"/>
      <c r="AB396" s="2" t="s">
        <v>7705</v>
      </c>
      <c r="AC396" s="2"/>
      <c r="AD396" s="2"/>
      <c r="AE396" s="2"/>
      <c r="AF396" s="2" t="s">
        <v>7706</v>
      </c>
      <c r="AG396" s="2">
        <v>57.0</v>
      </c>
      <c r="AH396" s="2">
        <v>2.0</v>
      </c>
      <c r="AI396" s="2">
        <v>2.0</v>
      </c>
      <c r="AJ396" s="2">
        <v>0.0</v>
      </c>
      <c r="AK396" s="2">
        <v>10.0</v>
      </c>
      <c r="AL396" s="2" t="s">
        <v>726</v>
      </c>
      <c r="AM396" s="2" t="s">
        <v>727</v>
      </c>
      <c r="AN396" s="2" t="s">
        <v>728</v>
      </c>
      <c r="AO396" s="2" t="s">
        <v>729</v>
      </c>
      <c r="AP396" s="2"/>
      <c r="AQ396" s="2"/>
      <c r="AR396" s="2" t="s">
        <v>730</v>
      </c>
      <c r="AS396" s="2" t="s">
        <v>731</v>
      </c>
      <c r="AT396" s="2"/>
      <c r="AU396" s="2">
        <v>2022.0</v>
      </c>
      <c r="AV396" s="2">
        <v>23.0</v>
      </c>
      <c r="AW396" s="2">
        <v>2.0</v>
      </c>
      <c r="AX396" s="2"/>
      <c r="AY396" s="2"/>
      <c r="AZ396" s="2"/>
      <c r="BA396" s="2"/>
      <c r="BB396" s="2">
        <v>357.0</v>
      </c>
      <c r="BC396" s="2">
        <v>365.0</v>
      </c>
      <c r="BD396" s="2"/>
      <c r="BE396" s="2" t="s">
        <v>7707</v>
      </c>
      <c r="BF396" s="3" t="str">
        <f>HYPERLINK("http://dx.doi.org/10.12681/mms.26623","http://dx.doi.org/10.12681/mms.26623")</f>
        <v>http://dx.doi.org/10.12681/mms.26623</v>
      </c>
      <c r="BG396" s="2"/>
      <c r="BH396" s="2"/>
      <c r="BI396" s="2">
        <v>10.0</v>
      </c>
      <c r="BJ396" s="2" t="s">
        <v>733</v>
      </c>
      <c r="BK396" s="2" t="s">
        <v>226</v>
      </c>
      <c r="BL396" s="2" t="s">
        <v>734</v>
      </c>
      <c r="BM396" s="2" t="s">
        <v>735</v>
      </c>
      <c r="BN396" s="2"/>
      <c r="BO396" s="2" t="s">
        <v>255</v>
      </c>
      <c r="BP396" s="2"/>
      <c r="BQ396" s="2"/>
      <c r="BR396" s="2" t="s">
        <v>99</v>
      </c>
      <c r="BS396" s="2" t="s">
        <v>7708</v>
      </c>
      <c r="BT396" s="2" t="str">
        <f>HYPERLINK("https%3A%2F%2Fwww.webofscience.com%2Fwos%2Fwoscc%2Ffull-record%2FWOS:000782982600009","View Full Record in Web of Science")</f>
        <v>View Full Record in Web of Science</v>
      </c>
    </row>
    <row r="397" ht="64.5" customHeight="1">
      <c r="A397" s="2" t="s">
        <v>72</v>
      </c>
      <c r="B397" s="2" t="s">
        <v>7709</v>
      </c>
      <c r="C397" s="2"/>
      <c r="D397" s="2"/>
      <c r="E397" s="2"/>
      <c r="F397" s="2" t="s">
        <v>7710</v>
      </c>
      <c r="G397" s="2"/>
      <c r="H397" s="2"/>
      <c r="I397" s="2" t="s">
        <v>7711</v>
      </c>
      <c r="J397" s="2" t="s">
        <v>7712</v>
      </c>
      <c r="K397" s="2"/>
      <c r="L397" s="2"/>
      <c r="M397" s="2" t="s">
        <v>116</v>
      </c>
      <c r="N397" s="2" t="s">
        <v>643</v>
      </c>
      <c r="O397" s="2"/>
      <c r="P397" s="2"/>
      <c r="Q397" s="2"/>
      <c r="R397" s="2"/>
      <c r="S397" s="2"/>
      <c r="T397" s="2" t="s">
        <v>7713</v>
      </c>
      <c r="U397" s="2" t="s">
        <v>7714</v>
      </c>
      <c r="V397" s="2" t="s">
        <v>7715</v>
      </c>
      <c r="W397" s="2" t="s">
        <v>7716</v>
      </c>
      <c r="X397" s="2" t="s">
        <v>7717</v>
      </c>
      <c r="Y397" s="2" t="s">
        <v>7718</v>
      </c>
      <c r="Z397" s="2" t="s">
        <v>7719</v>
      </c>
      <c r="AA397" s="2" t="s">
        <v>7720</v>
      </c>
      <c r="AB397" s="2" t="s">
        <v>7721</v>
      </c>
      <c r="AC397" s="2" t="s">
        <v>7722</v>
      </c>
      <c r="AD397" s="2" t="s">
        <v>7723</v>
      </c>
      <c r="AE397" s="2" t="s">
        <v>7724</v>
      </c>
      <c r="AF397" s="2" t="s">
        <v>7725</v>
      </c>
      <c r="AG397" s="2">
        <v>276.0</v>
      </c>
      <c r="AH397" s="2">
        <v>10.0</v>
      </c>
      <c r="AI397" s="2">
        <v>10.0</v>
      </c>
      <c r="AJ397" s="2">
        <v>2.0</v>
      </c>
      <c r="AK397" s="2">
        <v>54.0</v>
      </c>
      <c r="AL397" s="2" t="s">
        <v>656</v>
      </c>
      <c r="AM397" s="2" t="s">
        <v>657</v>
      </c>
      <c r="AN397" s="2" t="s">
        <v>658</v>
      </c>
      <c r="AO397" s="2" t="s">
        <v>7726</v>
      </c>
      <c r="AP397" s="2" t="s">
        <v>7727</v>
      </c>
      <c r="AQ397" s="2"/>
      <c r="AR397" s="2" t="s">
        <v>7728</v>
      </c>
      <c r="AS397" s="2" t="s">
        <v>7729</v>
      </c>
      <c r="AT397" s="2" t="s">
        <v>596</v>
      </c>
      <c r="AU397" s="2">
        <v>2022.0</v>
      </c>
      <c r="AV397" s="2">
        <v>28.0</v>
      </c>
      <c r="AW397" s="2">
        <v>19.0</v>
      </c>
      <c r="AX397" s="2"/>
      <c r="AY397" s="2"/>
      <c r="AZ397" s="2"/>
      <c r="BA397" s="2"/>
      <c r="BB397" s="2">
        <v>5630.0</v>
      </c>
      <c r="BC397" s="2">
        <v>5653.0</v>
      </c>
      <c r="BD397" s="2"/>
      <c r="BE397" s="2" t="s">
        <v>7730</v>
      </c>
      <c r="BF397" s="3" t="str">
        <f>HYPERLINK("http://dx.doi.org/10.1111/gcb.16343","http://dx.doi.org/10.1111/gcb.16343")</f>
        <v>http://dx.doi.org/10.1111/gcb.16343</v>
      </c>
      <c r="BG397" s="2"/>
      <c r="BH397" s="2" t="s">
        <v>2678</v>
      </c>
      <c r="BI397" s="2">
        <v>24.0</v>
      </c>
      <c r="BJ397" s="2" t="s">
        <v>7731</v>
      </c>
      <c r="BK397" s="2" t="s">
        <v>226</v>
      </c>
      <c r="BL397" s="2" t="s">
        <v>2193</v>
      </c>
      <c r="BM397" s="2" t="s">
        <v>7732</v>
      </c>
      <c r="BN397" s="2">
        <v>3.5929978E7</v>
      </c>
      <c r="BO397" s="2" t="s">
        <v>2826</v>
      </c>
      <c r="BP397" s="2"/>
      <c r="BQ397" s="2"/>
      <c r="BR397" s="2" t="s">
        <v>99</v>
      </c>
      <c r="BS397" s="2" t="s">
        <v>7733</v>
      </c>
      <c r="BT397" s="2" t="str">
        <f>HYPERLINK("https%3A%2F%2Fwww.webofscience.com%2Fwos%2Fwoscc%2Ffull-record%2FWOS:000836335400001","View Full Record in Web of Science")</f>
        <v>View Full Record in Web of Science</v>
      </c>
    </row>
    <row r="398" ht="64.5" customHeight="1">
      <c r="A398" s="2" t="s">
        <v>72</v>
      </c>
      <c r="B398" s="2" t="s">
        <v>7734</v>
      </c>
      <c r="C398" s="2"/>
      <c r="D398" s="2"/>
      <c r="E398" s="2"/>
      <c r="F398" s="2" t="s">
        <v>7735</v>
      </c>
      <c r="G398" s="2"/>
      <c r="H398" s="2"/>
      <c r="I398" s="2" t="s">
        <v>7736</v>
      </c>
      <c r="J398" s="2" t="s">
        <v>7737</v>
      </c>
      <c r="K398" s="2"/>
      <c r="L398" s="2"/>
      <c r="M398" s="2" t="s">
        <v>116</v>
      </c>
      <c r="N398" s="2" t="s">
        <v>78</v>
      </c>
      <c r="O398" s="2"/>
      <c r="P398" s="2"/>
      <c r="Q398" s="2"/>
      <c r="R398" s="2"/>
      <c r="S398" s="2"/>
      <c r="T398" s="2" t="s">
        <v>7738</v>
      </c>
      <c r="U398" s="2" t="s">
        <v>7739</v>
      </c>
      <c r="V398" s="2" t="s">
        <v>7740</v>
      </c>
      <c r="W398" s="2" t="s">
        <v>7741</v>
      </c>
      <c r="X398" s="2" t="s">
        <v>7742</v>
      </c>
      <c r="Y398" s="2" t="s">
        <v>7743</v>
      </c>
      <c r="Z398" s="2" t="s">
        <v>7744</v>
      </c>
      <c r="AA398" s="2"/>
      <c r="AB398" s="2" t="s">
        <v>7745</v>
      </c>
      <c r="AC398" s="2"/>
      <c r="AD398" s="2"/>
      <c r="AE398" s="2"/>
      <c r="AF398" s="2" t="s">
        <v>7746</v>
      </c>
      <c r="AG398" s="2">
        <v>75.0</v>
      </c>
      <c r="AH398" s="2">
        <v>4.0</v>
      </c>
      <c r="AI398" s="2">
        <v>4.0</v>
      </c>
      <c r="AJ398" s="2">
        <v>3.0</v>
      </c>
      <c r="AK398" s="2">
        <v>20.0</v>
      </c>
      <c r="AL398" s="2" t="s">
        <v>656</v>
      </c>
      <c r="AM398" s="2" t="s">
        <v>657</v>
      </c>
      <c r="AN398" s="2" t="s">
        <v>658</v>
      </c>
      <c r="AO398" s="2" t="s">
        <v>7747</v>
      </c>
      <c r="AP398" s="2" t="s">
        <v>7748</v>
      </c>
      <c r="AQ398" s="2"/>
      <c r="AR398" s="2" t="s">
        <v>7749</v>
      </c>
      <c r="AS398" s="2" t="s">
        <v>7750</v>
      </c>
      <c r="AT398" s="2" t="s">
        <v>751</v>
      </c>
      <c r="AU398" s="2">
        <v>2022.0</v>
      </c>
      <c r="AV398" s="2">
        <v>28.0</v>
      </c>
      <c r="AW398" s="2">
        <v>7.0</v>
      </c>
      <c r="AX398" s="2"/>
      <c r="AY398" s="2"/>
      <c r="AZ398" s="2"/>
      <c r="BA398" s="2"/>
      <c r="BB398" s="2">
        <v>1430.0</v>
      </c>
      <c r="BC398" s="2">
        <v>1444.0</v>
      </c>
      <c r="BD398" s="2"/>
      <c r="BE398" s="2" t="s">
        <v>7751</v>
      </c>
      <c r="BF398" s="3" t="str">
        <f>HYPERLINK("http://dx.doi.org/10.1111/ddi.13553","http://dx.doi.org/10.1111/ddi.13553")</f>
        <v>http://dx.doi.org/10.1111/ddi.13553</v>
      </c>
      <c r="BG398" s="2"/>
      <c r="BH398" s="2" t="s">
        <v>6811</v>
      </c>
      <c r="BI398" s="2">
        <v>15.0</v>
      </c>
      <c r="BJ398" s="2" t="s">
        <v>2192</v>
      </c>
      <c r="BK398" s="2" t="s">
        <v>226</v>
      </c>
      <c r="BL398" s="2" t="s">
        <v>2193</v>
      </c>
      <c r="BM398" s="2" t="s">
        <v>7752</v>
      </c>
      <c r="BN398" s="2"/>
      <c r="BO398" s="2" t="s">
        <v>7753</v>
      </c>
      <c r="BP398" s="2"/>
      <c r="BQ398" s="2"/>
      <c r="BR398" s="2" t="s">
        <v>99</v>
      </c>
      <c r="BS398" s="2" t="s">
        <v>7754</v>
      </c>
      <c r="BT398" s="2" t="str">
        <f>HYPERLINK("https%3A%2F%2Fwww.webofscience.com%2Fwos%2Fwoscc%2Ffull-record%2FWOS:000806407600001","View Full Record in Web of Science")</f>
        <v>View Full Record in Web of Science</v>
      </c>
    </row>
    <row r="399" ht="64.5" customHeight="1">
      <c r="A399" s="2" t="s">
        <v>72</v>
      </c>
      <c r="B399" s="2" t="s">
        <v>7755</v>
      </c>
      <c r="C399" s="2"/>
      <c r="D399" s="2"/>
      <c r="E399" s="2"/>
      <c r="F399" s="2" t="s">
        <v>7756</v>
      </c>
      <c r="G399" s="2"/>
      <c r="H399" s="2" t="s">
        <v>7757</v>
      </c>
      <c r="I399" s="2" t="s">
        <v>7758</v>
      </c>
      <c r="J399" s="2" t="s">
        <v>7759</v>
      </c>
      <c r="K399" s="2"/>
      <c r="L399" s="2"/>
      <c r="M399" s="2" t="s">
        <v>116</v>
      </c>
      <c r="N399" s="2" t="s">
        <v>78</v>
      </c>
      <c r="O399" s="2"/>
      <c r="P399" s="2"/>
      <c r="Q399" s="2"/>
      <c r="R399" s="2"/>
      <c r="S399" s="2"/>
      <c r="T399" s="4" t="s">
        <v>121</v>
      </c>
      <c r="U399" s="2" t="s">
        <v>7760</v>
      </c>
      <c r="V399" s="2" t="s">
        <v>7761</v>
      </c>
      <c r="W399" s="2" t="s">
        <v>7762</v>
      </c>
      <c r="X399" s="2" t="s">
        <v>7763</v>
      </c>
      <c r="Y399" s="2" t="s">
        <v>7764</v>
      </c>
      <c r="Z399" s="2" t="s">
        <v>7765</v>
      </c>
      <c r="AA399" s="2" t="s">
        <v>7766</v>
      </c>
      <c r="AB399" s="2" t="s">
        <v>7767</v>
      </c>
      <c r="AC399" s="2" t="s">
        <v>7768</v>
      </c>
      <c r="AD399" s="2" t="s">
        <v>7769</v>
      </c>
      <c r="AE399" s="2" t="s">
        <v>7770</v>
      </c>
      <c r="AF399" s="2" t="s">
        <v>7771</v>
      </c>
      <c r="AG399" s="2">
        <v>65.0</v>
      </c>
      <c r="AH399" s="2">
        <v>4.0</v>
      </c>
      <c r="AI399" s="2">
        <v>5.0</v>
      </c>
      <c r="AJ399" s="2">
        <v>2.0</v>
      </c>
      <c r="AK399" s="2">
        <v>30.0</v>
      </c>
      <c r="AL399" s="2" t="s">
        <v>1346</v>
      </c>
      <c r="AM399" s="2" t="s">
        <v>428</v>
      </c>
      <c r="AN399" s="2" t="s">
        <v>1347</v>
      </c>
      <c r="AO399" s="2" t="s">
        <v>7772</v>
      </c>
      <c r="AP399" s="2" t="s">
        <v>7773</v>
      </c>
      <c r="AQ399" s="2"/>
      <c r="AR399" s="2" t="s">
        <v>7774</v>
      </c>
      <c r="AS399" s="2" t="s">
        <v>7775</v>
      </c>
      <c r="AT399" s="2" t="s">
        <v>7776</v>
      </c>
      <c r="AU399" s="2">
        <v>2017.0</v>
      </c>
      <c r="AV399" s="2">
        <v>196.0</v>
      </c>
      <c r="AW399" s="2"/>
      <c r="AX399" s="2"/>
      <c r="AY399" s="2"/>
      <c r="AZ399" s="2"/>
      <c r="BA399" s="2"/>
      <c r="BB399" s="2">
        <v>181.0</v>
      </c>
      <c r="BC399" s="2">
        <v>190.0</v>
      </c>
      <c r="BD399" s="2"/>
      <c r="BE399" s="2" t="s">
        <v>7777</v>
      </c>
      <c r="BF399" s="3" t="str">
        <f>HYPERLINK("http://dx.doi.org/10.1016/j.marchem.2017.09.002","http://dx.doi.org/10.1016/j.marchem.2017.09.002")</f>
        <v>http://dx.doi.org/10.1016/j.marchem.2017.09.002</v>
      </c>
      <c r="BG399" s="2"/>
      <c r="BH399" s="2"/>
      <c r="BI399" s="2">
        <v>10.0</v>
      </c>
      <c r="BJ399" s="2" t="s">
        <v>7778</v>
      </c>
      <c r="BK399" s="2" t="s">
        <v>226</v>
      </c>
      <c r="BL399" s="2" t="s">
        <v>7779</v>
      </c>
      <c r="BM399" s="2" t="s">
        <v>7780</v>
      </c>
      <c r="BN399" s="2"/>
      <c r="BO399" s="2" t="s">
        <v>5369</v>
      </c>
      <c r="BP399" s="2"/>
      <c r="BQ399" s="2"/>
      <c r="BR399" s="2" t="s">
        <v>99</v>
      </c>
      <c r="BS399" s="2" t="s">
        <v>7781</v>
      </c>
      <c r="BT399" s="2" t="str">
        <f>HYPERLINK("https%3A%2F%2Fwww.webofscience.com%2Fwos%2Fwoscc%2Ffull-record%2FWOS:000415773500017","View Full Record in Web of Science")</f>
        <v>View Full Record in Web of Science</v>
      </c>
    </row>
    <row r="400" ht="64.5" customHeight="1">
      <c r="A400" s="2" t="s">
        <v>72</v>
      </c>
      <c r="B400" s="2" t="s">
        <v>7782</v>
      </c>
      <c r="C400" s="2"/>
      <c r="D400" s="2"/>
      <c r="E400" s="2"/>
      <c r="F400" s="2" t="s">
        <v>7783</v>
      </c>
      <c r="G400" s="2"/>
      <c r="H400" s="2"/>
      <c r="I400" s="2" t="s">
        <v>7784</v>
      </c>
      <c r="J400" s="2" t="s">
        <v>7785</v>
      </c>
      <c r="K400" s="2"/>
      <c r="L400" s="2"/>
      <c r="M400" s="2" t="s">
        <v>116</v>
      </c>
      <c r="N400" s="2" t="s">
        <v>78</v>
      </c>
      <c r="O400" s="2"/>
      <c r="P400" s="2"/>
      <c r="Q400" s="2"/>
      <c r="R400" s="2"/>
      <c r="S400" s="2"/>
      <c r="T400" s="2" t="s">
        <v>7786</v>
      </c>
      <c r="U400" s="2" t="s">
        <v>7787</v>
      </c>
      <c r="V400" s="2" t="s">
        <v>7788</v>
      </c>
      <c r="W400" s="2" t="s">
        <v>7789</v>
      </c>
      <c r="X400" s="2" t="s">
        <v>7790</v>
      </c>
      <c r="Y400" s="2" t="s">
        <v>7791</v>
      </c>
      <c r="Z400" s="2" t="s">
        <v>7792</v>
      </c>
      <c r="AA400" s="2" t="s">
        <v>7793</v>
      </c>
      <c r="AB400" s="2" t="s">
        <v>7794</v>
      </c>
      <c r="AC400" s="2" t="s">
        <v>7795</v>
      </c>
      <c r="AD400" s="2" t="s">
        <v>7796</v>
      </c>
      <c r="AE400" s="2" t="s">
        <v>7797</v>
      </c>
      <c r="AF400" s="2" t="s">
        <v>7798</v>
      </c>
      <c r="AG400" s="2">
        <v>69.0</v>
      </c>
      <c r="AH400" s="2">
        <v>13.0</v>
      </c>
      <c r="AI400" s="2">
        <v>14.0</v>
      </c>
      <c r="AJ400" s="2">
        <v>1.0</v>
      </c>
      <c r="AK400" s="2">
        <v>16.0</v>
      </c>
      <c r="AL400" s="2" t="s">
        <v>383</v>
      </c>
      <c r="AM400" s="2" t="s">
        <v>384</v>
      </c>
      <c r="AN400" s="2" t="s">
        <v>385</v>
      </c>
      <c r="AO400" s="2"/>
      <c r="AP400" s="2" t="s">
        <v>7799</v>
      </c>
      <c r="AQ400" s="2"/>
      <c r="AR400" s="2" t="s">
        <v>7800</v>
      </c>
      <c r="AS400" s="2" t="s">
        <v>7801</v>
      </c>
      <c r="AT400" s="2" t="s">
        <v>358</v>
      </c>
      <c r="AU400" s="2">
        <v>2021.0</v>
      </c>
      <c r="AV400" s="2">
        <v>9.0</v>
      </c>
      <c r="AW400" s="2">
        <v>3.0</v>
      </c>
      <c r="AX400" s="2"/>
      <c r="AY400" s="2"/>
      <c r="AZ400" s="2"/>
      <c r="BA400" s="2"/>
      <c r="BB400" s="2"/>
      <c r="BC400" s="2"/>
      <c r="BD400" s="2">
        <v>306.0</v>
      </c>
      <c r="BE400" s="2" t="s">
        <v>7802</v>
      </c>
      <c r="BF400" s="3" t="str">
        <f>HYPERLINK("http://dx.doi.org/10.3390/jmse9030306","http://dx.doi.org/10.3390/jmse9030306")</f>
        <v>http://dx.doi.org/10.3390/jmse9030306</v>
      </c>
      <c r="BG400" s="2"/>
      <c r="BH400" s="2"/>
      <c r="BI400" s="2">
        <v>18.0</v>
      </c>
      <c r="BJ400" s="2" t="s">
        <v>786</v>
      </c>
      <c r="BK400" s="2" t="s">
        <v>363</v>
      </c>
      <c r="BL400" s="2" t="s">
        <v>136</v>
      </c>
      <c r="BM400" s="2" t="s">
        <v>7803</v>
      </c>
      <c r="BN400" s="2"/>
      <c r="BO400" s="2" t="s">
        <v>601</v>
      </c>
      <c r="BP400" s="2"/>
      <c r="BQ400" s="2"/>
      <c r="BR400" s="2" t="s">
        <v>99</v>
      </c>
      <c r="BS400" s="2" t="s">
        <v>7804</v>
      </c>
      <c r="BT400" s="2" t="str">
        <f>HYPERLINK("https%3A%2F%2Fwww.webofscience.com%2Fwos%2Fwoscc%2Ffull-record%2FWOS:000633797800001","View Full Record in Web of Science")</f>
        <v>View Full Record in Web of Science</v>
      </c>
    </row>
    <row r="401" ht="64.5" customHeight="1">
      <c r="A401" s="2" t="s">
        <v>72</v>
      </c>
      <c r="B401" s="2" t="s">
        <v>7805</v>
      </c>
      <c r="C401" s="2"/>
      <c r="D401" s="2"/>
      <c r="E401" s="2"/>
      <c r="F401" s="2" t="s">
        <v>7806</v>
      </c>
      <c r="G401" s="2"/>
      <c r="H401" s="2"/>
      <c r="I401" s="2" t="s">
        <v>7807</v>
      </c>
      <c r="J401" s="2" t="s">
        <v>4529</v>
      </c>
      <c r="K401" s="2"/>
      <c r="L401" s="2"/>
      <c r="M401" s="2" t="s">
        <v>116</v>
      </c>
      <c r="N401" s="2" t="s">
        <v>78</v>
      </c>
      <c r="O401" s="2"/>
      <c r="P401" s="2"/>
      <c r="Q401" s="2"/>
      <c r="R401" s="2"/>
      <c r="S401" s="2"/>
      <c r="T401" s="2" t="s">
        <v>7808</v>
      </c>
      <c r="U401" s="2" t="s">
        <v>7809</v>
      </c>
      <c r="V401" s="2" t="s">
        <v>7810</v>
      </c>
      <c r="W401" s="2" t="s">
        <v>7811</v>
      </c>
      <c r="X401" s="2" t="s">
        <v>7812</v>
      </c>
      <c r="Y401" s="2" t="s">
        <v>7813</v>
      </c>
      <c r="Z401" s="2" t="s">
        <v>7814</v>
      </c>
      <c r="AA401" s="2" t="s">
        <v>7815</v>
      </c>
      <c r="AB401" s="2" t="s">
        <v>7816</v>
      </c>
      <c r="AC401" s="2"/>
      <c r="AD401" s="2"/>
      <c r="AE401" s="2"/>
      <c r="AF401" s="2" t="s">
        <v>7817</v>
      </c>
      <c r="AG401" s="2">
        <v>130.0</v>
      </c>
      <c r="AH401" s="2">
        <v>7.0</v>
      </c>
      <c r="AI401" s="2">
        <v>7.0</v>
      </c>
      <c r="AJ401" s="2">
        <v>2.0</v>
      </c>
      <c r="AK401" s="2">
        <v>31.0</v>
      </c>
      <c r="AL401" s="2" t="s">
        <v>4539</v>
      </c>
      <c r="AM401" s="2" t="s">
        <v>4540</v>
      </c>
      <c r="AN401" s="2" t="s">
        <v>4541</v>
      </c>
      <c r="AO401" s="2"/>
      <c r="AP401" s="2" t="s">
        <v>4542</v>
      </c>
      <c r="AQ401" s="2"/>
      <c r="AR401" s="2" t="s">
        <v>4543</v>
      </c>
      <c r="AS401" s="2" t="s">
        <v>4544</v>
      </c>
      <c r="AT401" s="2"/>
      <c r="AU401" s="2">
        <v>2021.0</v>
      </c>
      <c r="AV401" s="2">
        <v>69.0</v>
      </c>
      <c r="AW401" s="2"/>
      <c r="AX401" s="2"/>
      <c r="AY401" s="2">
        <v>1.0</v>
      </c>
      <c r="AZ401" s="2"/>
      <c r="BA401" s="2"/>
      <c r="BB401" s="2"/>
      <c r="BC401" s="2"/>
      <c r="BD401" s="2" t="s">
        <v>7818</v>
      </c>
      <c r="BE401" s="2" t="s">
        <v>7819</v>
      </c>
      <c r="BF401" s="3" t="str">
        <f>HYPERLINK("http://dx.doi.org/10.1590/2675-2824069.21019mc","http://dx.doi.org/10.1590/2675-2824069.21019mc")</f>
        <v>http://dx.doi.org/10.1590/2675-2824069.21019mc</v>
      </c>
      <c r="BG401" s="2"/>
      <c r="BH401" s="2"/>
      <c r="BI401" s="2">
        <v>39.0</v>
      </c>
      <c r="BJ401" s="2" t="s">
        <v>4546</v>
      </c>
      <c r="BK401" s="2" t="s">
        <v>226</v>
      </c>
      <c r="BL401" s="2" t="s">
        <v>4546</v>
      </c>
      <c r="BM401" s="2" t="s">
        <v>7820</v>
      </c>
      <c r="BN401" s="2"/>
      <c r="BO401" s="2" t="s">
        <v>601</v>
      </c>
      <c r="BP401" s="2"/>
      <c r="BQ401" s="2"/>
      <c r="BR401" s="2" t="s">
        <v>99</v>
      </c>
      <c r="BS401" s="2" t="s">
        <v>7821</v>
      </c>
      <c r="BT401" s="2" t="str">
        <f>HYPERLINK("https%3A%2F%2Fwww.webofscience.com%2Fwos%2Fwoscc%2Ffull-record%2FWOS:000747950800004","View Full Record in Web of Science")</f>
        <v>View Full Record in Web of Science</v>
      </c>
    </row>
    <row r="402" ht="64.5" customHeight="1">
      <c r="A402" s="2" t="s">
        <v>72</v>
      </c>
      <c r="B402" s="2" t="s">
        <v>7822</v>
      </c>
      <c r="C402" s="2"/>
      <c r="D402" s="2"/>
      <c r="E402" s="2"/>
      <c r="F402" s="2" t="s">
        <v>7823</v>
      </c>
      <c r="G402" s="2"/>
      <c r="H402" s="2"/>
      <c r="I402" s="2" t="s">
        <v>7824</v>
      </c>
      <c r="J402" s="2" t="s">
        <v>7825</v>
      </c>
      <c r="K402" s="2"/>
      <c r="L402" s="2"/>
      <c r="M402" s="2" t="s">
        <v>116</v>
      </c>
      <c r="N402" s="2" t="s">
        <v>78</v>
      </c>
      <c r="O402" s="2"/>
      <c r="P402" s="2"/>
      <c r="Q402" s="2"/>
      <c r="R402" s="2"/>
      <c r="S402" s="2"/>
      <c r="T402" s="2" t="s">
        <v>7826</v>
      </c>
      <c r="U402" s="2" t="s">
        <v>7827</v>
      </c>
      <c r="V402" s="2" t="s">
        <v>7828</v>
      </c>
      <c r="W402" s="2" t="s">
        <v>7829</v>
      </c>
      <c r="X402" s="2" t="s">
        <v>7830</v>
      </c>
      <c r="Y402" s="2" t="s">
        <v>7831</v>
      </c>
      <c r="Z402" s="2" t="s">
        <v>7832</v>
      </c>
      <c r="AA402" s="2" t="s">
        <v>7833</v>
      </c>
      <c r="AB402" s="2" t="s">
        <v>7834</v>
      </c>
      <c r="AC402" s="2" t="s">
        <v>7835</v>
      </c>
      <c r="AD402" s="2" t="s">
        <v>7836</v>
      </c>
      <c r="AE402" s="2" t="s">
        <v>7837</v>
      </c>
      <c r="AF402" s="2" t="s">
        <v>7838</v>
      </c>
      <c r="AG402" s="2">
        <v>45.0</v>
      </c>
      <c r="AH402" s="2">
        <v>26.0</v>
      </c>
      <c r="AI402" s="2">
        <v>28.0</v>
      </c>
      <c r="AJ402" s="2">
        <v>0.0</v>
      </c>
      <c r="AK402" s="2">
        <v>50.0</v>
      </c>
      <c r="AL402" s="2" t="s">
        <v>656</v>
      </c>
      <c r="AM402" s="2" t="s">
        <v>657</v>
      </c>
      <c r="AN402" s="2" t="s">
        <v>658</v>
      </c>
      <c r="AO402" s="2" t="s">
        <v>7839</v>
      </c>
      <c r="AP402" s="2" t="s">
        <v>7840</v>
      </c>
      <c r="AQ402" s="2"/>
      <c r="AR402" s="2" t="s">
        <v>7841</v>
      </c>
      <c r="AS402" s="2" t="s">
        <v>7842</v>
      </c>
      <c r="AT402" s="2" t="s">
        <v>222</v>
      </c>
      <c r="AU402" s="2">
        <v>2017.0</v>
      </c>
      <c r="AV402" s="2">
        <v>8.0</v>
      </c>
      <c r="AW402" s="2">
        <v>8.0</v>
      </c>
      <c r="AX402" s="2"/>
      <c r="AY402" s="2"/>
      <c r="AZ402" s="2"/>
      <c r="BA402" s="2"/>
      <c r="BB402" s="2">
        <v>996.0</v>
      </c>
      <c r="BC402" s="2">
        <v>1004.0</v>
      </c>
      <c r="BD402" s="2"/>
      <c r="BE402" s="2" t="s">
        <v>7843</v>
      </c>
      <c r="BF402" s="3" t="str">
        <f>HYPERLINK("http://dx.doi.org/10.1111/2041-210X.12746","http://dx.doi.org/10.1111/2041-210X.12746")</f>
        <v>http://dx.doi.org/10.1111/2041-210X.12746</v>
      </c>
      <c r="BG402" s="2"/>
      <c r="BH402" s="2"/>
      <c r="BI402" s="2">
        <v>9.0</v>
      </c>
      <c r="BJ402" s="2" t="s">
        <v>7844</v>
      </c>
      <c r="BK402" s="2" t="s">
        <v>226</v>
      </c>
      <c r="BL402" s="2" t="s">
        <v>97</v>
      </c>
      <c r="BM402" s="2" t="s">
        <v>7845</v>
      </c>
      <c r="BN402" s="2"/>
      <c r="BO402" s="2" t="s">
        <v>365</v>
      </c>
      <c r="BP402" s="2"/>
      <c r="BQ402" s="2"/>
      <c r="BR402" s="2" t="s">
        <v>99</v>
      </c>
      <c r="BS402" s="2" t="s">
        <v>7846</v>
      </c>
      <c r="BT402" s="2" t="str">
        <f>HYPERLINK("https%3A%2F%2Fwww.webofscience.com%2Fwos%2Fwoscc%2Ffull-record%2FWOS:000406916200011","View Full Record in Web of Science")</f>
        <v>View Full Record in Web of Science</v>
      </c>
    </row>
    <row r="403" ht="64.5" customHeight="1">
      <c r="A403" s="2" t="s">
        <v>72</v>
      </c>
      <c r="B403" s="2" t="s">
        <v>7847</v>
      </c>
      <c r="C403" s="2"/>
      <c r="D403" s="2"/>
      <c r="E403" s="2"/>
      <c r="F403" s="2" t="s">
        <v>7848</v>
      </c>
      <c r="G403" s="2"/>
      <c r="H403" s="2"/>
      <c r="I403" s="2" t="s">
        <v>7849</v>
      </c>
      <c r="J403" s="2" t="s">
        <v>142</v>
      </c>
      <c r="K403" s="2"/>
      <c r="L403" s="2"/>
      <c r="M403" s="2" t="s">
        <v>116</v>
      </c>
      <c r="N403" s="2" t="s">
        <v>78</v>
      </c>
      <c r="O403" s="2"/>
      <c r="P403" s="2"/>
      <c r="Q403" s="2"/>
      <c r="R403" s="2"/>
      <c r="S403" s="2"/>
      <c r="T403" s="2" t="s">
        <v>7850</v>
      </c>
      <c r="U403" s="2" t="s">
        <v>7851</v>
      </c>
      <c r="V403" s="2" t="s">
        <v>7852</v>
      </c>
      <c r="W403" s="2" t="s">
        <v>7853</v>
      </c>
      <c r="X403" s="2" t="s">
        <v>7854</v>
      </c>
      <c r="Y403" s="2" t="s">
        <v>7855</v>
      </c>
      <c r="Z403" s="2" t="s">
        <v>7856</v>
      </c>
      <c r="AA403" s="2" t="s">
        <v>7857</v>
      </c>
      <c r="AB403" s="2" t="s">
        <v>7858</v>
      </c>
      <c r="AC403" s="2" t="s">
        <v>7859</v>
      </c>
      <c r="AD403" s="2" t="s">
        <v>7860</v>
      </c>
      <c r="AE403" s="2" t="s">
        <v>7861</v>
      </c>
      <c r="AF403" s="2" t="s">
        <v>7862</v>
      </c>
      <c r="AG403" s="2">
        <v>74.0</v>
      </c>
      <c r="AH403" s="2">
        <v>11.0</v>
      </c>
      <c r="AI403" s="2">
        <v>12.0</v>
      </c>
      <c r="AJ403" s="2">
        <v>9.0</v>
      </c>
      <c r="AK403" s="2">
        <v>30.0</v>
      </c>
      <c r="AL403" s="2" t="s">
        <v>156</v>
      </c>
      <c r="AM403" s="2" t="s">
        <v>157</v>
      </c>
      <c r="AN403" s="2" t="s">
        <v>158</v>
      </c>
      <c r="AO403" s="2" t="s">
        <v>159</v>
      </c>
      <c r="AP403" s="2" t="s">
        <v>160</v>
      </c>
      <c r="AQ403" s="2"/>
      <c r="AR403" s="2" t="s">
        <v>161</v>
      </c>
      <c r="AS403" s="2" t="s">
        <v>162</v>
      </c>
      <c r="AT403" s="2" t="s">
        <v>7863</v>
      </c>
      <c r="AU403" s="2">
        <v>2021.0</v>
      </c>
      <c r="AV403" s="2">
        <v>27.0</v>
      </c>
      <c r="AW403" s="2">
        <v>5.0</v>
      </c>
      <c r="AX403" s="2"/>
      <c r="AY403" s="2"/>
      <c r="AZ403" s="2"/>
      <c r="BA403" s="2"/>
      <c r="BB403" s="2">
        <v>762.0</v>
      </c>
      <c r="BC403" s="2">
        <v>778.0</v>
      </c>
      <c r="BD403" s="2"/>
      <c r="BE403" s="2" t="s">
        <v>7864</v>
      </c>
      <c r="BF403" s="3" t="str">
        <f>HYPERLINK("http://dx.doi.org/10.1080/13504622.2021.1909708","http://dx.doi.org/10.1080/13504622.2021.1909708")</f>
        <v>http://dx.doi.org/10.1080/13504622.2021.1909708</v>
      </c>
      <c r="BG403" s="2"/>
      <c r="BH403" s="2" t="s">
        <v>7865</v>
      </c>
      <c r="BI403" s="2">
        <v>17.0</v>
      </c>
      <c r="BJ403" s="2" t="s">
        <v>165</v>
      </c>
      <c r="BK403" s="2" t="s">
        <v>166</v>
      </c>
      <c r="BL403" s="2" t="s">
        <v>167</v>
      </c>
      <c r="BM403" s="2" t="s">
        <v>7866</v>
      </c>
      <c r="BN403" s="2"/>
      <c r="BO403" s="2"/>
      <c r="BP403" s="2"/>
      <c r="BQ403" s="2"/>
      <c r="BR403" s="2" t="s">
        <v>99</v>
      </c>
      <c r="BS403" s="2" t="s">
        <v>7867</v>
      </c>
      <c r="BT403" s="2" t="str">
        <f>HYPERLINK("https%3A%2F%2Fwww.webofscience.com%2Fwos%2Fwoscc%2Ffull-record%2FWOS:000649586700001","View Full Record in Web of Science")</f>
        <v>View Full Record in Web of Science</v>
      </c>
    </row>
    <row r="404" ht="64.5" customHeight="1">
      <c r="A404" s="2" t="s">
        <v>72</v>
      </c>
      <c r="B404" s="2" t="s">
        <v>7868</v>
      </c>
      <c r="C404" s="2"/>
      <c r="D404" s="2"/>
      <c r="E404" s="2"/>
      <c r="F404" s="2" t="s">
        <v>7869</v>
      </c>
      <c r="G404" s="2"/>
      <c r="H404" s="2"/>
      <c r="I404" s="2" t="s">
        <v>7870</v>
      </c>
      <c r="J404" s="2" t="s">
        <v>174</v>
      </c>
      <c r="K404" s="2"/>
      <c r="L404" s="2"/>
      <c r="M404" s="2" t="s">
        <v>116</v>
      </c>
      <c r="N404" s="2" t="s">
        <v>78</v>
      </c>
      <c r="O404" s="2"/>
      <c r="P404" s="2"/>
      <c r="Q404" s="2"/>
      <c r="R404" s="2"/>
      <c r="S404" s="2"/>
      <c r="T404" s="2" t="s">
        <v>7871</v>
      </c>
      <c r="U404" s="2" t="s">
        <v>7872</v>
      </c>
      <c r="V404" s="2" t="s">
        <v>7873</v>
      </c>
      <c r="W404" s="2" t="s">
        <v>7874</v>
      </c>
      <c r="X404" s="2" t="s">
        <v>7875</v>
      </c>
      <c r="Y404" s="2" t="s">
        <v>7876</v>
      </c>
      <c r="Z404" s="2" t="s">
        <v>7877</v>
      </c>
      <c r="AA404" s="2" t="s">
        <v>7878</v>
      </c>
      <c r="AB404" s="2"/>
      <c r="AC404" s="2" t="s">
        <v>7879</v>
      </c>
      <c r="AD404" s="2" t="s">
        <v>7879</v>
      </c>
      <c r="AE404" s="2" t="s">
        <v>7880</v>
      </c>
      <c r="AF404" s="2" t="s">
        <v>7881</v>
      </c>
      <c r="AG404" s="2">
        <v>68.0</v>
      </c>
      <c r="AH404" s="2">
        <v>11.0</v>
      </c>
      <c r="AI404" s="2">
        <v>12.0</v>
      </c>
      <c r="AJ404" s="2">
        <v>4.0</v>
      </c>
      <c r="AK404" s="2">
        <v>55.0</v>
      </c>
      <c r="AL404" s="2" t="s">
        <v>188</v>
      </c>
      <c r="AM404" s="2" t="s">
        <v>189</v>
      </c>
      <c r="AN404" s="2" t="s">
        <v>190</v>
      </c>
      <c r="AO404" s="2" t="s">
        <v>191</v>
      </c>
      <c r="AP404" s="2" t="s">
        <v>192</v>
      </c>
      <c r="AQ404" s="2"/>
      <c r="AR404" s="2" t="s">
        <v>193</v>
      </c>
      <c r="AS404" s="2" t="s">
        <v>194</v>
      </c>
      <c r="AT404" s="2" t="s">
        <v>453</v>
      </c>
      <c r="AU404" s="2">
        <v>2020.0</v>
      </c>
      <c r="AV404" s="2">
        <v>111.0</v>
      </c>
      <c r="AW404" s="2"/>
      <c r="AX404" s="2"/>
      <c r="AY404" s="2"/>
      <c r="AZ404" s="2"/>
      <c r="BA404" s="2"/>
      <c r="BB404" s="2"/>
      <c r="BC404" s="2"/>
      <c r="BD404" s="2">
        <v>103204.0</v>
      </c>
      <c r="BE404" s="2" t="s">
        <v>7882</v>
      </c>
      <c r="BF404" s="3" t="str">
        <f>HYPERLINK("http://dx.doi.org/10.1016/j.marpol.2018.07.007","http://dx.doi.org/10.1016/j.marpol.2018.07.007")</f>
        <v>http://dx.doi.org/10.1016/j.marpol.2018.07.007</v>
      </c>
      <c r="BG404" s="2"/>
      <c r="BH404" s="2"/>
      <c r="BI404" s="2">
        <v>11.0</v>
      </c>
      <c r="BJ404" s="2" t="s">
        <v>198</v>
      </c>
      <c r="BK404" s="2" t="s">
        <v>166</v>
      </c>
      <c r="BL404" s="2" t="s">
        <v>199</v>
      </c>
      <c r="BM404" s="2" t="s">
        <v>7883</v>
      </c>
      <c r="BN404" s="2"/>
      <c r="BO404" s="2" t="s">
        <v>169</v>
      </c>
      <c r="BP404" s="2"/>
      <c r="BQ404" s="2"/>
      <c r="BR404" s="2" t="s">
        <v>99</v>
      </c>
      <c r="BS404" s="2" t="s">
        <v>7884</v>
      </c>
      <c r="BT404" s="2" t="str">
        <f>HYPERLINK("https%3A%2F%2Fwww.webofscience.com%2Fwos%2Fwoscc%2Ffull-record%2FWOS:000503319000020","View Full Record in Web of Science")</f>
        <v>View Full Record in Web of Science</v>
      </c>
    </row>
    <row r="405" ht="64.5" customHeight="1">
      <c r="A405" s="2" t="s">
        <v>72</v>
      </c>
      <c r="B405" s="2" t="s">
        <v>7885</v>
      </c>
      <c r="C405" s="2"/>
      <c r="D405" s="2"/>
      <c r="E405" s="2"/>
      <c r="F405" s="2" t="s">
        <v>7886</v>
      </c>
      <c r="G405" s="2"/>
      <c r="H405" s="2"/>
      <c r="I405" s="2" t="s">
        <v>7887</v>
      </c>
      <c r="J405" s="2" t="s">
        <v>2767</v>
      </c>
      <c r="K405" s="2"/>
      <c r="L405" s="2"/>
      <c r="M405" s="2" t="s">
        <v>116</v>
      </c>
      <c r="N405" s="2" t="s">
        <v>78</v>
      </c>
      <c r="O405" s="2"/>
      <c r="P405" s="2"/>
      <c r="Q405" s="2"/>
      <c r="R405" s="2"/>
      <c r="S405" s="2"/>
      <c r="T405" s="4" t="s">
        <v>121</v>
      </c>
      <c r="U405" s="2" t="s">
        <v>7888</v>
      </c>
      <c r="V405" s="2" t="s">
        <v>7889</v>
      </c>
      <c r="W405" s="2" t="s">
        <v>7890</v>
      </c>
      <c r="X405" s="2" t="s">
        <v>6864</v>
      </c>
      <c r="Y405" s="2" t="s">
        <v>7891</v>
      </c>
      <c r="Z405" s="2" t="s">
        <v>7892</v>
      </c>
      <c r="AA405" s="2"/>
      <c r="AB405" s="2" t="s">
        <v>7893</v>
      </c>
      <c r="AC405" s="2" t="s">
        <v>7894</v>
      </c>
      <c r="AD405" s="2" t="s">
        <v>7894</v>
      </c>
      <c r="AE405" s="2" t="s">
        <v>7895</v>
      </c>
      <c r="AF405" s="2" t="s">
        <v>7896</v>
      </c>
      <c r="AG405" s="2">
        <v>42.0</v>
      </c>
      <c r="AH405" s="2">
        <v>55.0</v>
      </c>
      <c r="AI405" s="2">
        <v>67.0</v>
      </c>
      <c r="AJ405" s="2">
        <v>1.0</v>
      </c>
      <c r="AK405" s="2">
        <v>46.0</v>
      </c>
      <c r="AL405" s="2" t="s">
        <v>351</v>
      </c>
      <c r="AM405" s="2" t="s">
        <v>352</v>
      </c>
      <c r="AN405" s="2" t="s">
        <v>353</v>
      </c>
      <c r="AO405" s="2" t="s">
        <v>2777</v>
      </c>
      <c r="AP405" s="2"/>
      <c r="AQ405" s="2"/>
      <c r="AR405" s="2" t="s">
        <v>2767</v>
      </c>
      <c r="AS405" s="2" t="s">
        <v>2779</v>
      </c>
      <c r="AT405" s="2" t="s">
        <v>751</v>
      </c>
      <c r="AU405" s="2">
        <v>2013.0</v>
      </c>
      <c r="AV405" s="2">
        <v>119.0</v>
      </c>
      <c r="AW405" s="2">
        <v>2.0</v>
      </c>
      <c r="AX405" s="2"/>
      <c r="AY405" s="2"/>
      <c r="AZ405" s="2"/>
      <c r="BA405" s="2"/>
      <c r="BB405" s="2">
        <v>495.0</v>
      </c>
      <c r="BC405" s="2">
        <v>509.0</v>
      </c>
      <c r="BD405" s="2"/>
      <c r="BE405" s="2" t="s">
        <v>7897</v>
      </c>
      <c r="BF405" s="3" t="str">
        <f>HYPERLINK("http://dx.doi.org/10.1007/s10584-013-0703-x","http://dx.doi.org/10.1007/s10584-013-0703-x")</f>
        <v>http://dx.doi.org/10.1007/s10584-013-0703-x</v>
      </c>
      <c r="BG405" s="2"/>
      <c r="BH405" s="2"/>
      <c r="BI405" s="2">
        <v>15.0</v>
      </c>
      <c r="BJ405" s="2" t="s">
        <v>2781</v>
      </c>
      <c r="BK405" s="2" t="s">
        <v>363</v>
      </c>
      <c r="BL405" s="2" t="s">
        <v>1376</v>
      </c>
      <c r="BM405" s="2" t="s">
        <v>7898</v>
      </c>
      <c r="BN405" s="2"/>
      <c r="BO405" s="2" t="s">
        <v>169</v>
      </c>
      <c r="BP405" s="2"/>
      <c r="BQ405" s="2"/>
      <c r="BR405" s="2" t="s">
        <v>99</v>
      </c>
      <c r="BS405" s="2" t="s">
        <v>7899</v>
      </c>
      <c r="BT405" s="2" t="str">
        <f>HYPERLINK("https%3A%2F%2Fwww.webofscience.com%2Fwos%2Fwoscc%2Ffull-record%2FWOS:000321955100021","View Full Record in Web of Science")</f>
        <v>View Full Record in Web of Science</v>
      </c>
    </row>
    <row r="406" ht="64.5" customHeight="1">
      <c r="A406" s="2" t="s">
        <v>72</v>
      </c>
      <c r="B406" s="2" t="s">
        <v>7900</v>
      </c>
      <c r="C406" s="2"/>
      <c r="D406" s="2"/>
      <c r="E406" s="2"/>
      <c r="F406" s="2" t="s">
        <v>7901</v>
      </c>
      <c r="G406" s="2"/>
      <c r="H406" s="2"/>
      <c r="I406" s="2" t="s">
        <v>7902</v>
      </c>
      <c r="J406" s="2" t="s">
        <v>5205</v>
      </c>
      <c r="K406" s="2"/>
      <c r="L406" s="2"/>
      <c r="M406" s="2" t="s">
        <v>116</v>
      </c>
      <c r="N406" s="2" t="s">
        <v>78</v>
      </c>
      <c r="O406" s="2"/>
      <c r="P406" s="2"/>
      <c r="Q406" s="2"/>
      <c r="R406" s="2"/>
      <c r="S406" s="2"/>
      <c r="T406" s="4" t="s">
        <v>121</v>
      </c>
      <c r="U406" s="2" t="s">
        <v>7903</v>
      </c>
      <c r="V406" s="2" t="s">
        <v>7904</v>
      </c>
      <c r="W406" s="2" t="s">
        <v>7905</v>
      </c>
      <c r="X406" s="2" t="s">
        <v>7906</v>
      </c>
      <c r="Y406" s="2" t="s">
        <v>7907</v>
      </c>
      <c r="Z406" s="2" t="s">
        <v>7908</v>
      </c>
      <c r="AA406" s="2" t="s">
        <v>7909</v>
      </c>
      <c r="AB406" s="2" t="s">
        <v>7910</v>
      </c>
      <c r="AC406" s="2"/>
      <c r="AD406" s="2"/>
      <c r="AE406" s="2"/>
      <c r="AF406" s="2" t="s">
        <v>7911</v>
      </c>
      <c r="AG406" s="2">
        <v>82.0</v>
      </c>
      <c r="AH406" s="2">
        <v>22.0</v>
      </c>
      <c r="AI406" s="2">
        <v>28.0</v>
      </c>
      <c r="AJ406" s="2">
        <v>4.0</v>
      </c>
      <c r="AK406" s="2">
        <v>85.0</v>
      </c>
      <c r="AL406" s="2" t="s">
        <v>4027</v>
      </c>
      <c r="AM406" s="2" t="s">
        <v>4028</v>
      </c>
      <c r="AN406" s="2" t="s">
        <v>4887</v>
      </c>
      <c r="AO406" s="2" t="s">
        <v>5217</v>
      </c>
      <c r="AP406" s="2" t="s">
        <v>5218</v>
      </c>
      <c r="AQ406" s="2"/>
      <c r="AR406" s="2" t="s">
        <v>5219</v>
      </c>
      <c r="AS406" s="2" t="s">
        <v>5220</v>
      </c>
      <c r="AT406" s="2" t="s">
        <v>751</v>
      </c>
      <c r="AU406" s="2">
        <v>2017.0</v>
      </c>
      <c r="AV406" s="2">
        <v>9.0</v>
      </c>
      <c r="AW406" s="2">
        <v>3.0</v>
      </c>
      <c r="AX406" s="2"/>
      <c r="AY406" s="2"/>
      <c r="AZ406" s="2"/>
      <c r="BA406" s="2"/>
      <c r="BB406" s="2">
        <v>377.0</v>
      </c>
      <c r="BC406" s="2">
        <v>391.0</v>
      </c>
      <c r="BD406" s="2"/>
      <c r="BE406" s="2" t="s">
        <v>7912</v>
      </c>
      <c r="BF406" s="3" t="str">
        <f>HYPERLINK("http://dx.doi.org/10.1175/WCAS-D-16-0078.1","http://dx.doi.org/10.1175/WCAS-D-16-0078.1")</f>
        <v>http://dx.doi.org/10.1175/WCAS-D-16-0078.1</v>
      </c>
      <c r="BG406" s="2"/>
      <c r="BH406" s="2"/>
      <c r="BI406" s="2">
        <v>15.0</v>
      </c>
      <c r="BJ406" s="2" t="s">
        <v>5222</v>
      </c>
      <c r="BK406" s="2" t="s">
        <v>363</v>
      </c>
      <c r="BL406" s="2" t="s">
        <v>1376</v>
      </c>
      <c r="BM406" s="2" t="s">
        <v>7913</v>
      </c>
      <c r="BN406" s="2"/>
      <c r="BO406" s="2" t="s">
        <v>1424</v>
      </c>
      <c r="BP406" s="2"/>
      <c r="BQ406" s="2"/>
      <c r="BR406" s="2" t="s">
        <v>99</v>
      </c>
      <c r="BS406" s="2" t="s">
        <v>7914</v>
      </c>
      <c r="BT406" s="2" t="str">
        <f>HYPERLINK("https%3A%2F%2Fwww.webofscience.com%2Fwos%2Fwoscc%2Ffull-record%2FWOS:000405925000004","View Full Record in Web of Science")</f>
        <v>View Full Record in Web of Science</v>
      </c>
    </row>
    <row r="407" ht="64.5" customHeight="1">
      <c r="A407" s="2" t="s">
        <v>72</v>
      </c>
      <c r="B407" s="2" t="s">
        <v>7915</v>
      </c>
      <c r="C407" s="2"/>
      <c r="D407" s="2"/>
      <c r="E407" s="2"/>
      <c r="F407" s="2" t="s">
        <v>7916</v>
      </c>
      <c r="G407" s="2"/>
      <c r="H407" s="2"/>
      <c r="I407" s="2" t="s">
        <v>7917</v>
      </c>
      <c r="J407" s="2" t="s">
        <v>851</v>
      </c>
      <c r="K407" s="2"/>
      <c r="L407" s="2"/>
      <c r="M407" s="2" t="s">
        <v>116</v>
      </c>
      <c r="N407" s="2" t="s">
        <v>78</v>
      </c>
      <c r="O407" s="2"/>
      <c r="P407" s="2"/>
      <c r="Q407" s="2"/>
      <c r="R407" s="2"/>
      <c r="S407" s="2"/>
      <c r="T407" s="2" t="s">
        <v>7918</v>
      </c>
      <c r="U407" s="2" t="s">
        <v>7919</v>
      </c>
      <c r="V407" s="2" t="s">
        <v>7920</v>
      </c>
      <c r="W407" s="2" t="s">
        <v>7921</v>
      </c>
      <c r="X407" s="2" t="s">
        <v>7922</v>
      </c>
      <c r="Y407" s="2" t="s">
        <v>7923</v>
      </c>
      <c r="Z407" s="2" t="s">
        <v>7924</v>
      </c>
      <c r="AA407" s="2"/>
      <c r="AB407" s="2" t="s">
        <v>7925</v>
      </c>
      <c r="AC407" s="2" t="s">
        <v>7926</v>
      </c>
      <c r="AD407" s="2" t="s">
        <v>3753</v>
      </c>
      <c r="AE407" s="2" t="s">
        <v>7927</v>
      </c>
      <c r="AF407" s="2" t="s">
        <v>7928</v>
      </c>
      <c r="AG407" s="2">
        <v>74.0</v>
      </c>
      <c r="AH407" s="2">
        <v>1.0</v>
      </c>
      <c r="AI407" s="2">
        <v>1.0</v>
      </c>
      <c r="AJ407" s="2">
        <v>30.0</v>
      </c>
      <c r="AK407" s="2">
        <v>46.0</v>
      </c>
      <c r="AL407" s="2" t="s">
        <v>188</v>
      </c>
      <c r="AM407" s="2" t="s">
        <v>189</v>
      </c>
      <c r="AN407" s="2" t="s">
        <v>190</v>
      </c>
      <c r="AO407" s="2" t="s">
        <v>863</v>
      </c>
      <c r="AP407" s="2" t="s">
        <v>864</v>
      </c>
      <c r="AQ407" s="2"/>
      <c r="AR407" s="2" t="s">
        <v>865</v>
      </c>
      <c r="AS407" s="2" t="s">
        <v>866</v>
      </c>
      <c r="AT407" s="2" t="s">
        <v>7929</v>
      </c>
      <c r="AU407" s="2">
        <v>2023.0</v>
      </c>
      <c r="AV407" s="2">
        <v>422.0</v>
      </c>
      <c r="AW407" s="2"/>
      <c r="AX407" s="2"/>
      <c r="AY407" s="2"/>
      <c r="AZ407" s="2"/>
      <c r="BA407" s="2"/>
      <c r="BB407" s="2"/>
      <c r="BC407" s="2"/>
      <c r="BD407" s="2">
        <v>138589.0</v>
      </c>
      <c r="BE407" s="2" t="s">
        <v>7930</v>
      </c>
      <c r="BF407" s="3" t="str">
        <f>HYPERLINK("http://dx.doi.org/10.1016/j.jclepro.2023.138589","http://dx.doi.org/10.1016/j.jclepro.2023.138589")</f>
        <v>http://dx.doi.org/10.1016/j.jclepro.2023.138589</v>
      </c>
      <c r="BG407" s="2"/>
      <c r="BH407" s="2" t="s">
        <v>294</v>
      </c>
      <c r="BI407" s="2">
        <v>11.0</v>
      </c>
      <c r="BJ407" s="2" t="s">
        <v>870</v>
      </c>
      <c r="BK407" s="2" t="s">
        <v>226</v>
      </c>
      <c r="BL407" s="2" t="s">
        <v>871</v>
      </c>
      <c r="BM407" s="2" t="s">
        <v>7931</v>
      </c>
      <c r="BN407" s="2"/>
      <c r="BO407" s="2"/>
      <c r="BP407" s="2"/>
      <c r="BQ407" s="2"/>
      <c r="BR407" s="2" t="s">
        <v>99</v>
      </c>
      <c r="BS407" s="2" t="s">
        <v>7932</v>
      </c>
      <c r="BT407" s="2" t="str">
        <f>HYPERLINK("https%3A%2F%2Fwww.webofscience.com%2Fwos%2Fwoscc%2Ffull-record%2FWOS:001071740900001","View Full Record in Web of Science")</f>
        <v>View Full Record in Web of Science</v>
      </c>
    </row>
    <row r="408" ht="64.5" customHeight="1">
      <c r="A408" s="2" t="s">
        <v>72</v>
      </c>
      <c r="B408" s="2" t="s">
        <v>7933</v>
      </c>
      <c r="C408" s="2"/>
      <c r="D408" s="2"/>
      <c r="E408" s="2"/>
      <c r="F408" s="2" t="s">
        <v>7934</v>
      </c>
      <c r="G408" s="2"/>
      <c r="H408" s="2"/>
      <c r="I408" s="2" t="s">
        <v>7935</v>
      </c>
      <c r="J408" s="2" t="s">
        <v>462</v>
      </c>
      <c r="K408" s="2"/>
      <c r="L408" s="2"/>
      <c r="M408" s="2" t="s">
        <v>116</v>
      </c>
      <c r="N408" s="2" t="s">
        <v>78</v>
      </c>
      <c r="O408" s="2"/>
      <c r="P408" s="2"/>
      <c r="Q408" s="2"/>
      <c r="R408" s="2"/>
      <c r="S408" s="2"/>
      <c r="T408" s="2" t="s">
        <v>7936</v>
      </c>
      <c r="U408" s="2" t="s">
        <v>7937</v>
      </c>
      <c r="V408" s="2" t="s">
        <v>7938</v>
      </c>
      <c r="W408" s="2" t="s">
        <v>7939</v>
      </c>
      <c r="X408" s="2" t="s">
        <v>7940</v>
      </c>
      <c r="Y408" s="2" t="s">
        <v>7941</v>
      </c>
      <c r="Z408" s="2"/>
      <c r="AA408" s="2" t="s">
        <v>7942</v>
      </c>
      <c r="AB408" s="2" t="s">
        <v>7943</v>
      </c>
      <c r="AC408" s="2"/>
      <c r="AD408" s="2"/>
      <c r="AE408" s="2"/>
      <c r="AF408" s="2" t="s">
        <v>7944</v>
      </c>
      <c r="AG408" s="2">
        <v>86.0</v>
      </c>
      <c r="AH408" s="2">
        <v>1.0</v>
      </c>
      <c r="AI408" s="2">
        <v>1.0</v>
      </c>
      <c r="AJ408" s="2">
        <v>7.0</v>
      </c>
      <c r="AK408" s="2">
        <v>7.0</v>
      </c>
      <c r="AL408" s="2" t="s">
        <v>468</v>
      </c>
      <c r="AM408" s="2" t="s">
        <v>469</v>
      </c>
      <c r="AN408" s="2" t="s">
        <v>470</v>
      </c>
      <c r="AO408" s="2" t="s">
        <v>471</v>
      </c>
      <c r="AP408" s="2"/>
      <c r="AQ408" s="2"/>
      <c r="AR408" s="2" t="s">
        <v>462</v>
      </c>
      <c r="AS408" s="2" t="s">
        <v>472</v>
      </c>
      <c r="AT408" s="2" t="s">
        <v>596</v>
      </c>
      <c r="AU408" s="2">
        <v>2023.0</v>
      </c>
      <c r="AV408" s="2">
        <v>13.0</v>
      </c>
      <c r="AW408" s="2">
        <v>4.0</v>
      </c>
      <c r="AX408" s="2"/>
      <c r="AY408" s="2"/>
      <c r="AZ408" s="2"/>
      <c r="BA408" s="2"/>
      <c r="BB408" s="2"/>
      <c r="BC408" s="2"/>
      <c r="BD408" s="2">
        <v>2.158244023122E16</v>
      </c>
      <c r="BE408" s="2" t="s">
        <v>7945</v>
      </c>
      <c r="BF408" s="3" t="str">
        <f>HYPERLINK("http://dx.doi.org/10.1177/21582440231220097","http://dx.doi.org/10.1177/21582440231220097")</f>
        <v>http://dx.doi.org/10.1177/21582440231220097</v>
      </c>
      <c r="BG408" s="2"/>
      <c r="BH408" s="2"/>
      <c r="BI408" s="2">
        <v>18.0</v>
      </c>
      <c r="BJ408" s="2" t="s">
        <v>475</v>
      </c>
      <c r="BK408" s="2" t="s">
        <v>166</v>
      </c>
      <c r="BL408" s="2" t="s">
        <v>476</v>
      </c>
      <c r="BM408" s="2" t="s">
        <v>7946</v>
      </c>
      <c r="BN408" s="2"/>
      <c r="BO408" s="2" t="s">
        <v>255</v>
      </c>
      <c r="BP408" s="2"/>
      <c r="BQ408" s="2"/>
      <c r="BR408" s="2" t="s">
        <v>99</v>
      </c>
      <c r="BS408" s="2" t="s">
        <v>7947</v>
      </c>
      <c r="BT408" s="2" t="str">
        <f>HYPERLINK("https%3A%2F%2Fwww.webofscience.com%2Fwos%2Fwoscc%2Ffull-record%2FWOS:001127612700001","View Full Record in Web of Science")</f>
        <v>View Full Record in Web of Science</v>
      </c>
    </row>
    <row r="409" ht="64.5" customHeight="1">
      <c r="A409" s="2" t="s">
        <v>110</v>
      </c>
      <c r="B409" s="2" t="s">
        <v>7948</v>
      </c>
      <c r="C409" s="2"/>
      <c r="D409" s="2" t="s">
        <v>7949</v>
      </c>
      <c r="E409" s="2"/>
      <c r="F409" s="2" t="s">
        <v>7950</v>
      </c>
      <c r="G409" s="2"/>
      <c r="H409" s="2"/>
      <c r="I409" s="2" t="s">
        <v>7951</v>
      </c>
      <c r="J409" s="2" t="s">
        <v>7952</v>
      </c>
      <c r="K409" s="2" t="s">
        <v>7953</v>
      </c>
      <c r="L409" s="2"/>
      <c r="M409" s="2" t="s">
        <v>116</v>
      </c>
      <c r="N409" s="2" t="s">
        <v>117</v>
      </c>
      <c r="O409" s="2" t="s">
        <v>7954</v>
      </c>
      <c r="P409" s="2" t="s">
        <v>7955</v>
      </c>
      <c r="Q409" s="2" t="s">
        <v>7956</v>
      </c>
      <c r="R409" s="2"/>
      <c r="S409" s="2" t="s">
        <v>7957</v>
      </c>
      <c r="T409" s="2" t="s">
        <v>7958</v>
      </c>
      <c r="U409" s="2"/>
      <c r="V409" s="2" t="s">
        <v>7959</v>
      </c>
      <c r="W409" s="2" t="s">
        <v>7960</v>
      </c>
      <c r="X409" s="2" t="s">
        <v>7961</v>
      </c>
      <c r="Y409" s="2" t="s">
        <v>7962</v>
      </c>
      <c r="Z409" s="2" t="s">
        <v>7963</v>
      </c>
      <c r="AA409" s="2" t="s">
        <v>7964</v>
      </c>
      <c r="AB409" s="2" t="s">
        <v>7965</v>
      </c>
      <c r="AC409" s="2" t="s">
        <v>7966</v>
      </c>
      <c r="AD409" s="2" t="s">
        <v>153</v>
      </c>
      <c r="AE409" s="2" t="s">
        <v>7967</v>
      </c>
      <c r="AF409" s="2" t="s">
        <v>7968</v>
      </c>
      <c r="AG409" s="2">
        <v>10.0</v>
      </c>
      <c r="AH409" s="2">
        <v>1.0</v>
      </c>
      <c r="AI409" s="2">
        <v>1.0</v>
      </c>
      <c r="AJ409" s="2">
        <v>1.0</v>
      </c>
      <c r="AK409" s="2">
        <v>3.0</v>
      </c>
      <c r="AL409" s="2" t="s">
        <v>7969</v>
      </c>
      <c r="AM409" s="2" t="s">
        <v>7970</v>
      </c>
      <c r="AN409" s="2" t="s">
        <v>7971</v>
      </c>
      <c r="AO409" s="2" t="s">
        <v>7972</v>
      </c>
      <c r="AP409" s="2"/>
      <c r="AQ409" s="2" t="s">
        <v>7973</v>
      </c>
      <c r="AR409" s="2" t="s">
        <v>7974</v>
      </c>
      <c r="AS409" s="2"/>
      <c r="AT409" s="2"/>
      <c r="AU409" s="2">
        <v>2021.0</v>
      </c>
      <c r="AV409" s="2"/>
      <c r="AW409" s="2"/>
      <c r="AX409" s="2"/>
      <c r="AY409" s="2"/>
      <c r="AZ409" s="2"/>
      <c r="BA409" s="2"/>
      <c r="BB409" s="2">
        <v>156.0</v>
      </c>
      <c r="BC409" s="2">
        <v>166.0</v>
      </c>
      <c r="BD409" s="2"/>
      <c r="BE409" s="2" t="s">
        <v>7975</v>
      </c>
      <c r="BF409" s="3" t="str">
        <f>HYPERLINK("http://dx.doi.org/10.2478/9788366675704-017","http://dx.doi.org/10.2478/9788366675704-017")</f>
        <v>http://dx.doi.org/10.2478/9788366675704-017</v>
      </c>
      <c r="BG409" s="2"/>
      <c r="BH409" s="2"/>
      <c r="BI409" s="2">
        <v>11.0</v>
      </c>
      <c r="BJ409" s="2" t="s">
        <v>7976</v>
      </c>
      <c r="BK409" s="2" t="s">
        <v>434</v>
      </c>
      <c r="BL409" s="2" t="s">
        <v>7977</v>
      </c>
      <c r="BM409" s="2" t="s">
        <v>7978</v>
      </c>
      <c r="BN409" s="2"/>
      <c r="BO409" s="2" t="s">
        <v>201</v>
      </c>
      <c r="BP409" s="2"/>
      <c r="BQ409" s="2"/>
      <c r="BR409" s="2" t="s">
        <v>99</v>
      </c>
      <c r="BS409" s="2" t="s">
        <v>7979</v>
      </c>
      <c r="BT409" s="2" t="str">
        <f>HYPERLINK("https%3A%2F%2Fwww.webofscience.com%2Fwos%2Fwoscc%2Ffull-record%2FWOS:000766030100016","View Full Record in Web of Science")</f>
        <v>View Full Record in Web of Science</v>
      </c>
    </row>
    <row r="410" ht="64.5" customHeight="1">
      <c r="A410" s="2" t="s">
        <v>72</v>
      </c>
      <c r="B410" s="2" t="s">
        <v>7980</v>
      </c>
      <c r="C410" s="2"/>
      <c r="D410" s="2"/>
      <c r="E410" s="2"/>
      <c r="F410" s="2" t="s">
        <v>7981</v>
      </c>
      <c r="G410" s="2"/>
      <c r="H410" s="2"/>
      <c r="I410" s="2" t="s">
        <v>7982</v>
      </c>
      <c r="J410" s="2" t="s">
        <v>7983</v>
      </c>
      <c r="K410" s="2"/>
      <c r="L410" s="2"/>
      <c r="M410" s="2" t="s">
        <v>116</v>
      </c>
      <c r="N410" s="2" t="s">
        <v>78</v>
      </c>
      <c r="O410" s="2"/>
      <c r="P410" s="2"/>
      <c r="Q410" s="2"/>
      <c r="R410" s="2"/>
      <c r="S410" s="2"/>
      <c r="T410" s="2" t="s">
        <v>7984</v>
      </c>
      <c r="U410" s="2" t="s">
        <v>7985</v>
      </c>
      <c r="V410" s="2" t="s">
        <v>7986</v>
      </c>
      <c r="W410" s="2" t="s">
        <v>7987</v>
      </c>
      <c r="X410" s="2"/>
      <c r="Y410" s="2" t="s">
        <v>7988</v>
      </c>
      <c r="Z410" s="2" t="s">
        <v>7989</v>
      </c>
      <c r="AA410" s="2"/>
      <c r="AB410" s="2"/>
      <c r="AC410" s="2" t="s">
        <v>7990</v>
      </c>
      <c r="AD410" s="2" t="s">
        <v>7991</v>
      </c>
      <c r="AE410" s="2" t="s">
        <v>7992</v>
      </c>
      <c r="AF410" s="2" t="s">
        <v>7993</v>
      </c>
      <c r="AG410" s="2">
        <v>48.0</v>
      </c>
      <c r="AH410" s="2">
        <v>1.0</v>
      </c>
      <c r="AI410" s="2">
        <v>1.0</v>
      </c>
      <c r="AJ410" s="2">
        <v>10.0</v>
      </c>
      <c r="AK410" s="2">
        <v>38.0</v>
      </c>
      <c r="AL410" s="2" t="s">
        <v>3229</v>
      </c>
      <c r="AM410" s="2" t="s">
        <v>3230</v>
      </c>
      <c r="AN410" s="2" t="s">
        <v>3231</v>
      </c>
      <c r="AO410" s="2" t="s">
        <v>7994</v>
      </c>
      <c r="AP410" s="2" t="s">
        <v>7995</v>
      </c>
      <c r="AQ410" s="2"/>
      <c r="AR410" s="2" t="s">
        <v>7996</v>
      </c>
      <c r="AS410" s="2" t="s">
        <v>7997</v>
      </c>
      <c r="AT410" s="2" t="s">
        <v>222</v>
      </c>
      <c r="AU410" s="2">
        <v>2023.0</v>
      </c>
      <c r="AV410" s="2">
        <v>30.0</v>
      </c>
      <c r="AW410" s="2">
        <v>36.0</v>
      </c>
      <c r="AX410" s="2"/>
      <c r="AY410" s="2"/>
      <c r="AZ410" s="2"/>
      <c r="BA410" s="2"/>
      <c r="BB410" s="2">
        <v>85708.0</v>
      </c>
      <c r="BC410" s="2">
        <v>85720.0</v>
      </c>
      <c r="BD410" s="2"/>
      <c r="BE410" s="2" t="s">
        <v>7998</v>
      </c>
      <c r="BF410" s="3" t="str">
        <f>HYPERLINK("http://dx.doi.org/10.1007/s11356-023-28288-0","http://dx.doi.org/10.1007/s11356-023-28288-0")</f>
        <v>http://dx.doi.org/10.1007/s11356-023-28288-0</v>
      </c>
      <c r="BG410" s="2"/>
      <c r="BH410" s="2" t="s">
        <v>7999</v>
      </c>
      <c r="BI410" s="2">
        <v>13.0</v>
      </c>
      <c r="BJ410" s="2" t="s">
        <v>1570</v>
      </c>
      <c r="BK410" s="2" t="s">
        <v>226</v>
      </c>
      <c r="BL410" s="2" t="s">
        <v>97</v>
      </c>
      <c r="BM410" s="2" t="s">
        <v>8000</v>
      </c>
      <c r="BN410" s="2">
        <v>3.7392296E7</v>
      </c>
      <c r="BO410" s="2"/>
      <c r="BP410" s="2"/>
      <c r="BQ410" s="2"/>
      <c r="BR410" s="2" t="s">
        <v>99</v>
      </c>
      <c r="BS410" s="2" t="s">
        <v>8001</v>
      </c>
      <c r="BT410" s="2" t="str">
        <f>HYPERLINK("https%3A%2F%2Fwww.webofscience.com%2Fwos%2Fwoscc%2Ffull-record%2FWOS:001022144100010","View Full Record in Web of Science")</f>
        <v>View Full Record in Web of Science</v>
      </c>
    </row>
    <row r="411" ht="64.5" customHeight="1">
      <c r="A411" s="2" t="s">
        <v>72</v>
      </c>
      <c r="B411" s="2" t="s">
        <v>8002</v>
      </c>
      <c r="C411" s="2"/>
      <c r="D411" s="2"/>
      <c r="E411" s="2"/>
      <c r="F411" s="2" t="s">
        <v>8003</v>
      </c>
      <c r="G411" s="2"/>
      <c r="H411" s="2"/>
      <c r="I411" s="2" t="s">
        <v>8004</v>
      </c>
      <c r="J411" s="2" t="s">
        <v>8005</v>
      </c>
      <c r="K411" s="2"/>
      <c r="L411" s="2"/>
      <c r="M411" s="2" t="s">
        <v>116</v>
      </c>
      <c r="N411" s="2" t="s">
        <v>8006</v>
      </c>
      <c r="O411" s="2"/>
      <c r="P411" s="2"/>
      <c r="Q411" s="2"/>
      <c r="R411" s="2"/>
      <c r="S411" s="2"/>
      <c r="T411" s="4" t="s">
        <v>121</v>
      </c>
      <c r="U411" s="2"/>
      <c r="V411" s="2" t="s">
        <v>8007</v>
      </c>
      <c r="W411" s="2" t="s">
        <v>8008</v>
      </c>
      <c r="X411" s="2" t="s">
        <v>8009</v>
      </c>
      <c r="Y411" s="2" t="s">
        <v>8010</v>
      </c>
      <c r="Z411" s="2" t="s">
        <v>8011</v>
      </c>
      <c r="AA411" s="2"/>
      <c r="AB411" s="2" t="s">
        <v>8012</v>
      </c>
      <c r="AC411" s="2"/>
      <c r="AD411" s="2"/>
      <c r="AE411" s="2"/>
      <c r="AF411" s="2" t="s">
        <v>8013</v>
      </c>
      <c r="AG411" s="2">
        <v>24.0</v>
      </c>
      <c r="AH411" s="2">
        <v>17.0</v>
      </c>
      <c r="AI411" s="2">
        <v>17.0</v>
      </c>
      <c r="AJ411" s="2">
        <v>2.0</v>
      </c>
      <c r="AK411" s="2">
        <v>13.0</v>
      </c>
      <c r="AL411" s="2" t="s">
        <v>4385</v>
      </c>
      <c r="AM411" s="2" t="s">
        <v>1513</v>
      </c>
      <c r="AN411" s="2" t="s">
        <v>8014</v>
      </c>
      <c r="AO411" s="2"/>
      <c r="AP411" s="2" t="s">
        <v>8015</v>
      </c>
      <c r="AQ411" s="2"/>
      <c r="AR411" s="2" t="s">
        <v>8016</v>
      </c>
      <c r="AS411" s="2" t="s">
        <v>8017</v>
      </c>
      <c r="AT411" s="2" t="s">
        <v>7622</v>
      </c>
      <c r="AU411" s="2">
        <v>2019.0</v>
      </c>
      <c r="AV411" s="2">
        <v>6.0</v>
      </c>
      <c r="AW411" s="2"/>
      <c r="AX411" s="2"/>
      <c r="AY411" s="2"/>
      <c r="AZ411" s="2"/>
      <c r="BA411" s="2"/>
      <c r="BB411" s="2"/>
      <c r="BC411" s="2"/>
      <c r="BD411" s="2">
        <v>291.0</v>
      </c>
      <c r="BE411" s="2" t="s">
        <v>8018</v>
      </c>
      <c r="BF411" s="3" t="str">
        <f>HYPERLINK("http://dx.doi.org/10.1038/s41597-019-0275-3","http://dx.doi.org/10.1038/s41597-019-0275-3")</f>
        <v>http://dx.doi.org/10.1038/s41597-019-0275-3</v>
      </c>
      <c r="BG411" s="2"/>
      <c r="BH411" s="2"/>
      <c r="BI411" s="2">
        <v>9.0</v>
      </c>
      <c r="BJ411" s="2" t="s">
        <v>2066</v>
      </c>
      <c r="BK411" s="2" t="s">
        <v>363</v>
      </c>
      <c r="BL411" s="2" t="s">
        <v>2067</v>
      </c>
      <c r="BM411" s="2" t="s">
        <v>8019</v>
      </c>
      <c r="BN411" s="2">
        <v>3.177222E7</v>
      </c>
      <c r="BO411" s="2" t="s">
        <v>601</v>
      </c>
      <c r="BP411" s="2"/>
      <c r="BQ411" s="2"/>
      <c r="BR411" s="2" t="s">
        <v>99</v>
      </c>
      <c r="BS411" s="2" t="s">
        <v>8020</v>
      </c>
      <c r="BT411" s="2" t="str">
        <f>HYPERLINK("https%3A%2F%2Fwww.webofscience.com%2Fwos%2Fwoscc%2Ffull-record%2FWOS:000501873300007","View Full Record in Web of Science")</f>
        <v>View Full Record in Web of Science</v>
      </c>
    </row>
    <row r="412" ht="64.5" customHeight="1">
      <c r="A412" s="2" t="s">
        <v>72</v>
      </c>
      <c r="B412" s="2" t="s">
        <v>8021</v>
      </c>
      <c r="C412" s="2"/>
      <c r="D412" s="2"/>
      <c r="E412" s="2"/>
      <c r="F412" s="2" t="s">
        <v>8022</v>
      </c>
      <c r="G412" s="2"/>
      <c r="H412" s="2"/>
      <c r="I412" s="2" t="s">
        <v>8023</v>
      </c>
      <c r="J412" s="2" t="s">
        <v>8024</v>
      </c>
      <c r="K412" s="2"/>
      <c r="L412" s="2"/>
      <c r="M412" s="2" t="s">
        <v>116</v>
      </c>
      <c r="N412" s="2" t="s">
        <v>78</v>
      </c>
      <c r="O412" s="2"/>
      <c r="P412" s="2"/>
      <c r="Q412" s="2"/>
      <c r="R412" s="2"/>
      <c r="S412" s="2"/>
      <c r="T412" s="2" t="s">
        <v>8025</v>
      </c>
      <c r="U412" s="2" t="s">
        <v>8026</v>
      </c>
      <c r="V412" s="2" t="s">
        <v>8027</v>
      </c>
      <c r="W412" s="2" t="s">
        <v>8028</v>
      </c>
      <c r="X412" s="2" t="s">
        <v>8029</v>
      </c>
      <c r="Y412" s="2" t="s">
        <v>8030</v>
      </c>
      <c r="Z412" s="2" t="s">
        <v>8031</v>
      </c>
      <c r="AA412" s="2" t="s">
        <v>8032</v>
      </c>
      <c r="AB412" s="2" t="s">
        <v>8033</v>
      </c>
      <c r="AC412" s="2" t="s">
        <v>8034</v>
      </c>
      <c r="AD412" s="2" t="s">
        <v>8035</v>
      </c>
      <c r="AE412" s="2" t="s">
        <v>8036</v>
      </c>
      <c r="AF412" s="2" t="s">
        <v>8037</v>
      </c>
      <c r="AG412" s="2">
        <v>54.0</v>
      </c>
      <c r="AH412" s="2">
        <v>0.0</v>
      </c>
      <c r="AI412" s="2">
        <v>0.0</v>
      </c>
      <c r="AJ412" s="2">
        <v>1.0</v>
      </c>
      <c r="AK412" s="2">
        <v>1.0</v>
      </c>
      <c r="AL412" s="2" t="s">
        <v>1346</v>
      </c>
      <c r="AM412" s="2" t="s">
        <v>428</v>
      </c>
      <c r="AN412" s="2" t="s">
        <v>1347</v>
      </c>
      <c r="AO412" s="2" t="s">
        <v>8038</v>
      </c>
      <c r="AP412" s="2"/>
      <c r="AQ412" s="2"/>
      <c r="AR412" s="2" t="s">
        <v>8039</v>
      </c>
      <c r="AS412" s="2" t="s">
        <v>8040</v>
      </c>
      <c r="AT412" s="2" t="s">
        <v>1073</v>
      </c>
      <c r="AU412" s="2">
        <v>2024.0</v>
      </c>
      <c r="AV412" s="2">
        <v>14.0</v>
      </c>
      <c r="AW412" s="2"/>
      <c r="AX412" s="2"/>
      <c r="AY412" s="2"/>
      <c r="AZ412" s="2"/>
      <c r="BA412" s="2"/>
      <c r="BB412" s="2"/>
      <c r="BC412" s="2"/>
      <c r="BD412" s="2">
        <v>100140.0</v>
      </c>
      <c r="BE412" s="2" t="s">
        <v>8041</v>
      </c>
      <c r="BF412" s="3" t="str">
        <f>HYPERLINK("http://dx.doi.org/10.1016/j.segy.2024.100140","http://dx.doi.org/10.1016/j.segy.2024.100140")</f>
        <v>http://dx.doi.org/10.1016/j.segy.2024.100140</v>
      </c>
      <c r="BG412" s="2"/>
      <c r="BH412" s="2" t="s">
        <v>2445</v>
      </c>
      <c r="BI412" s="2">
        <v>17.0</v>
      </c>
      <c r="BJ412" s="2" t="s">
        <v>1592</v>
      </c>
      <c r="BK412" s="2" t="s">
        <v>96</v>
      </c>
      <c r="BL412" s="2" t="s">
        <v>1592</v>
      </c>
      <c r="BM412" s="2" t="s">
        <v>8042</v>
      </c>
      <c r="BN412" s="2"/>
      <c r="BO412" s="2" t="s">
        <v>255</v>
      </c>
      <c r="BP412" s="2"/>
      <c r="BQ412" s="2"/>
      <c r="BR412" s="2" t="s">
        <v>99</v>
      </c>
      <c r="BS412" s="2" t="s">
        <v>8043</v>
      </c>
      <c r="BT412" s="2" t="str">
        <f>HYPERLINK("https%3A%2F%2Fwww.webofscience.com%2Fwos%2Fwoscc%2Ffull-record%2FWOS:001215623100001","View Full Record in Web of Science")</f>
        <v>View Full Record in Web of Science</v>
      </c>
    </row>
    <row r="413" ht="64.5" customHeight="1">
      <c r="A413" s="2" t="s">
        <v>72</v>
      </c>
      <c r="B413" s="2" t="s">
        <v>8044</v>
      </c>
      <c r="C413" s="2"/>
      <c r="D413" s="2"/>
      <c r="E413" s="2"/>
      <c r="F413" s="2" t="s">
        <v>8045</v>
      </c>
      <c r="G413" s="2"/>
      <c r="H413" s="2"/>
      <c r="I413" s="2" t="s">
        <v>8046</v>
      </c>
      <c r="J413" s="2" t="s">
        <v>8047</v>
      </c>
      <c r="K413" s="2"/>
      <c r="L413" s="2"/>
      <c r="M413" s="2" t="s">
        <v>116</v>
      </c>
      <c r="N413" s="2" t="s">
        <v>78</v>
      </c>
      <c r="O413" s="2"/>
      <c r="P413" s="2"/>
      <c r="Q413" s="2"/>
      <c r="R413" s="2"/>
      <c r="S413" s="2"/>
      <c r="T413" s="2" t="s">
        <v>8048</v>
      </c>
      <c r="U413" s="2" t="s">
        <v>8049</v>
      </c>
      <c r="V413" s="2" t="s">
        <v>8050</v>
      </c>
      <c r="W413" s="2" t="s">
        <v>8051</v>
      </c>
      <c r="X413" s="2" t="s">
        <v>8052</v>
      </c>
      <c r="Y413" s="2" t="s">
        <v>8053</v>
      </c>
      <c r="Z413" s="2" t="s">
        <v>8054</v>
      </c>
      <c r="AA413" s="2" t="s">
        <v>8055</v>
      </c>
      <c r="AB413" s="2" t="s">
        <v>8056</v>
      </c>
      <c r="AC413" s="2" t="s">
        <v>8057</v>
      </c>
      <c r="AD413" s="2" t="s">
        <v>8058</v>
      </c>
      <c r="AE413" s="2" t="s">
        <v>8059</v>
      </c>
      <c r="AF413" s="2" t="s">
        <v>8060</v>
      </c>
      <c r="AG413" s="2">
        <v>38.0</v>
      </c>
      <c r="AH413" s="2">
        <v>9.0</v>
      </c>
      <c r="AI413" s="2">
        <v>9.0</v>
      </c>
      <c r="AJ413" s="2">
        <v>5.0</v>
      </c>
      <c r="AK413" s="2">
        <v>11.0</v>
      </c>
      <c r="AL413" s="2" t="s">
        <v>383</v>
      </c>
      <c r="AM413" s="2" t="s">
        <v>384</v>
      </c>
      <c r="AN413" s="2" t="s">
        <v>385</v>
      </c>
      <c r="AO413" s="2"/>
      <c r="AP413" s="2" t="s">
        <v>8061</v>
      </c>
      <c r="AQ413" s="2"/>
      <c r="AR413" s="2" t="s">
        <v>8062</v>
      </c>
      <c r="AS413" s="2" t="s">
        <v>8062</v>
      </c>
      <c r="AT413" s="2" t="s">
        <v>938</v>
      </c>
      <c r="AU413" s="2">
        <v>2022.0</v>
      </c>
      <c r="AV413" s="2">
        <v>12.0</v>
      </c>
      <c r="AW413" s="2">
        <v>6.0</v>
      </c>
      <c r="AX413" s="2"/>
      <c r="AY413" s="2"/>
      <c r="AZ413" s="2"/>
      <c r="BA413" s="2"/>
      <c r="BB413" s="2"/>
      <c r="BC413" s="2"/>
      <c r="BD413" s="2">
        <v>708.0</v>
      </c>
      <c r="BE413" s="2" t="s">
        <v>8063</v>
      </c>
      <c r="BF413" s="3" t="str">
        <f>HYPERLINK("http://dx.doi.org/10.3390/buildings12060708","http://dx.doi.org/10.3390/buildings12060708")</f>
        <v>http://dx.doi.org/10.3390/buildings12060708</v>
      </c>
      <c r="BG413" s="2"/>
      <c r="BH413" s="2"/>
      <c r="BI413" s="2">
        <v>12.0</v>
      </c>
      <c r="BJ413" s="2" t="s">
        <v>8064</v>
      </c>
      <c r="BK413" s="2" t="s">
        <v>226</v>
      </c>
      <c r="BL413" s="2" t="s">
        <v>2761</v>
      </c>
      <c r="BM413" s="2" t="s">
        <v>8065</v>
      </c>
      <c r="BN413" s="2"/>
      <c r="BO413" s="2" t="s">
        <v>272</v>
      </c>
      <c r="BP413" s="2"/>
      <c r="BQ413" s="2"/>
      <c r="BR413" s="2" t="s">
        <v>99</v>
      </c>
      <c r="BS413" s="2" t="s">
        <v>8066</v>
      </c>
      <c r="BT413" s="2" t="str">
        <f>HYPERLINK("https%3A%2F%2Fwww.webofscience.com%2Fwos%2Fwoscc%2Ffull-record%2FWOS:000817675000001","View Full Record in Web of Science")</f>
        <v>View Full Record in Web of Science</v>
      </c>
    </row>
    <row r="414" ht="64.5" customHeight="1">
      <c r="A414" s="2" t="s">
        <v>72</v>
      </c>
      <c r="B414" s="2" t="s">
        <v>8067</v>
      </c>
      <c r="C414" s="2"/>
      <c r="D414" s="2"/>
      <c r="E414" s="2"/>
      <c r="F414" s="2" t="s">
        <v>8068</v>
      </c>
      <c r="G414" s="2"/>
      <c r="H414" s="2"/>
      <c r="I414" s="2" t="s">
        <v>8069</v>
      </c>
      <c r="J414" s="2" t="s">
        <v>2489</v>
      </c>
      <c r="K414" s="2"/>
      <c r="L414" s="2"/>
      <c r="M414" s="2" t="s">
        <v>116</v>
      </c>
      <c r="N414" s="2" t="s">
        <v>78</v>
      </c>
      <c r="O414" s="2"/>
      <c r="P414" s="2"/>
      <c r="Q414" s="2"/>
      <c r="R414" s="2"/>
      <c r="S414" s="2"/>
      <c r="T414" s="2" t="s">
        <v>8070</v>
      </c>
      <c r="U414" s="2" t="s">
        <v>8071</v>
      </c>
      <c r="V414" s="2" t="s">
        <v>8072</v>
      </c>
      <c r="W414" s="2" t="s">
        <v>8073</v>
      </c>
      <c r="X414" s="2" t="s">
        <v>2266</v>
      </c>
      <c r="Y414" s="2" t="s">
        <v>8074</v>
      </c>
      <c r="Z414" s="2" t="s">
        <v>8075</v>
      </c>
      <c r="AA414" s="2" t="s">
        <v>8076</v>
      </c>
      <c r="AB414" s="2"/>
      <c r="AC414" s="2" t="s">
        <v>8077</v>
      </c>
      <c r="AD414" s="2" t="s">
        <v>8078</v>
      </c>
      <c r="AE414" s="2" t="s">
        <v>8079</v>
      </c>
      <c r="AF414" s="2" t="s">
        <v>8080</v>
      </c>
      <c r="AG414" s="2">
        <v>65.0</v>
      </c>
      <c r="AH414" s="2">
        <v>25.0</v>
      </c>
      <c r="AI414" s="2">
        <v>29.0</v>
      </c>
      <c r="AJ414" s="2">
        <v>1.0</v>
      </c>
      <c r="AK414" s="2">
        <v>64.0</v>
      </c>
      <c r="AL414" s="2" t="s">
        <v>188</v>
      </c>
      <c r="AM414" s="2" t="s">
        <v>189</v>
      </c>
      <c r="AN414" s="2" t="s">
        <v>190</v>
      </c>
      <c r="AO414" s="2" t="s">
        <v>2501</v>
      </c>
      <c r="AP414" s="2" t="s">
        <v>2502</v>
      </c>
      <c r="AQ414" s="2"/>
      <c r="AR414" s="2" t="s">
        <v>2503</v>
      </c>
      <c r="AS414" s="2" t="s">
        <v>2504</v>
      </c>
      <c r="AT414" s="2" t="s">
        <v>195</v>
      </c>
      <c r="AU414" s="2">
        <v>2013.0</v>
      </c>
      <c r="AV414" s="2">
        <v>55.0</v>
      </c>
      <c r="AW414" s="2"/>
      <c r="AX414" s="2"/>
      <c r="AY414" s="2"/>
      <c r="AZ414" s="2"/>
      <c r="BA414" s="2"/>
      <c r="BB414" s="2">
        <v>396.0</v>
      </c>
      <c r="BC414" s="2">
        <v>403.0</v>
      </c>
      <c r="BD414" s="2"/>
      <c r="BE414" s="2" t="s">
        <v>8081</v>
      </c>
      <c r="BF414" s="3" t="str">
        <f>HYPERLINK("http://dx.doi.org/10.1016/j.enpol.2012.12.025","http://dx.doi.org/10.1016/j.enpol.2012.12.025")</f>
        <v>http://dx.doi.org/10.1016/j.enpol.2012.12.025</v>
      </c>
      <c r="BG414" s="2"/>
      <c r="BH414" s="2"/>
      <c r="BI414" s="2">
        <v>8.0</v>
      </c>
      <c r="BJ414" s="2" t="s">
        <v>2506</v>
      </c>
      <c r="BK414" s="2" t="s">
        <v>363</v>
      </c>
      <c r="BL414" s="2" t="s">
        <v>2507</v>
      </c>
      <c r="BM414" s="2" t="s">
        <v>8082</v>
      </c>
      <c r="BN414" s="2"/>
      <c r="BO414" s="2"/>
      <c r="BP414" s="2"/>
      <c r="BQ414" s="2"/>
      <c r="BR414" s="2" t="s">
        <v>99</v>
      </c>
      <c r="BS414" s="2" t="s">
        <v>8083</v>
      </c>
      <c r="BT414" s="2" t="str">
        <f>HYPERLINK("https%3A%2F%2Fwww.webofscience.com%2Fwos%2Fwoscc%2Ffull-record%2FWOS:000315606700036","View Full Record in Web of Science")</f>
        <v>View Full Record in Web of Science</v>
      </c>
    </row>
    <row r="415" ht="64.5" customHeight="1">
      <c r="A415" s="2" t="s">
        <v>72</v>
      </c>
      <c r="B415" s="2" t="s">
        <v>3035</v>
      </c>
      <c r="C415" s="2"/>
      <c r="D415" s="2"/>
      <c r="E415" s="2"/>
      <c r="F415" s="2" t="s">
        <v>3036</v>
      </c>
      <c r="G415" s="2"/>
      <c r="H415" s="2"/>
      <c r="I415" s="2" t="s">
        <v>8084</v>
      </c>
      <c r="J415" s="2" t="s">
        <v>3038</v>
      </c>
      <c r="K415" s="2"/>
      <c r="L415" s="2"/>
      <c r="M415" s="2" t="s">
        <v>116</v>
      </c>
      <c r="N415" s="2" t="s">
        <v>8085</v>
      </c>
      <c r="O415" s="2"/>
      <c r="P415" s="2"/>
      <c r="Q415" s="2"/>
      <c r="R415" s="2"/>
      <c r="S415" s="2"/>
      <c r="T415" s="4" t="s">
        <v>121</v>
      </c>
      <c r="U415" s="2"/>
      <c r="V415" s="2"/>
      <c r="W415" s="2"/>
      <c r="X415" s="2"/>
      <c r="Y415" s="2"/>
      <c r="Z415" s="2"/>
      <c r="AA415" s="2"/>
      <c r="AB415" s="2"/>
      <c r="AC415" s="2"/>
      <c r="AD415" s="2"/>
      <c r="AE415" s="2"/>
      <c r="AF415" s="2" t="s">
        <v>8086</v>
      </c>
      <c r="AG415" s="2">
        <v>1.0</v>
      </c>
      <c r="AH415" s="2">
        <v>0.0</v>
      </c>
      <c r="AI415" s="2">
        <v>0.0</v>
      </c>
      <c r="AJ415" s="2">
        <v>2.0</v>
      </c>
      <c r="AK415" s="2">
        <v>3.0</v>
      </c>
      <c r="AL415" s="2" t="s">
        <v>1220</v>
      </c>
      <c r="AM415" s="2" t="s">
        <v>1221</v>
      </c>
      <c r="AN415" s="2" t="s">
        <v>1222</v>
      </c>
      <c r="AO415" s="2" t="s">
        <v>3050</v>
      </c>
      <c r="AP415" s="2" t="s">
        <v>3051</v>
      </c>
      <c r="AQ415" s="2"/>
      <c r="AR415" s="2" t="s">
        <v>3052</v>
      </c>
      <c r="AS415" s="2" t="s">
        <v>3053</v>
      </c>
      <c r="AT415" s="2" t="s">
        <v>358</v>
      </c>
      <c r="AU415" s="2">
        <v>2022.0</v>
      </c>
      <c r="AV415" s="2">
        <v>38.0</v>
      </c>
      <c r="AW415" s="2">
        <v>1.0</v>
      </c>
      <c r="AX415" s="2"/>
      <c r="AY415" s="2"/>
      <c r="AZ415" s="2"/>
      <c r="BA415" s="2"/>
      <c r="BB415" s="2">
        <v>69.0</v>
      </c>
      <c r="BC415" s="2">
        <v>69.0</v>
      </c>
      <c r="BD415" s="2" t="s">
        <v>8087</v>
      </c>
      <c r="BE415" s="2" t="s">
        <v>8088</v>
      </c>
      <c r="BF415" s="3" t="str">
        <f>HYPERLINK("http://dx.doi.org/10.1017/aee.2022.13","http://dx.doi.org/10.1017/aee.2022.13")</f>
        <v>http://dx.doi.org/10.1017/aee.2022.13</v>
      </c>
      <c r="BG415" s="2"/>
      <c r="BH415" s="2"/>
      <c r="BI415" s="2">
        <v>1.0</v>
      </c>
      <c r="BJ415" s="2" t="s">
        <v>331</v>
      </c>
      <c r="BK415" s="2" t="s">
        <v>96</v>
      </c>
      <c r="BL415" s="2" t="s">
        <v>331</v>
      </c>
      <c r="BM415" s="2" t="s">
        <v>3055</v>
      </c>
      <c r="BN415" s="2"/>
      <c r="BO415" s="2" t="s">
        <v>201</v>
      </c>
      <c r="BP415" s="2"/>
      <c r="BQ415" s="2"/>
      <c r="BR415" s="2" t="s">
        <v>99</v>
      </c>
      <c r="BS415" s="2" t="s">
        <v>8089</v>
      </c>
      <c r="BT415" s="2" t="str">
        <f>HYPERLINK("https%3A%2F%2Fwww.webofscience.com%2Fwos%2Fwoscc%2Ffull-record%2FWOS:000773401100007","View Full Record in Web of Science")</f>
        <v>View Full Record in Web of Science</v>
      </c>
    </row>
    <row r="416" ht="64.5" customHeight="1">
      <c r="A416" s="2" t="s">
        <v>72</v>
      </c>
      <c r="B416" s="2" t="s">
        <v>8090</v>
      </c>
      <c r="C416" s="2"/>
      <c r="D416" s="2"/>
      <c r="E416" s="2"/>
      <c r="F416" s="2" t="s">
        <v>8091</v>
      </c>
      <c r="G416" s="2"/>
      <c r="H416" s="2"/>
      <c r="I416" s="2" t="s">
        <v>8092</v>
      </c>
      <c r="J416" s="2" t="s">
        <v>8093</v>
      </c>
      <c r="K416" s="2"/>
      <c r="L416" s="2"/>
      <c r="M416" s="2" t="s">
        <v>116</v>
      </c>
      <c r="N416" s="2" t="s">
        <v>643</v>
      </c>
      <c r="O416" s="2"/>
      <c r="P416" s="2"/>
      <c r="Q416" s="2"/>
      <c r="R416" s="2"/>
      <c r="S416" s="2"/>
      <c r="T416" s="2" t="s">
        <v>8094</v>
      </c>
      <c r="U416" s="2" t="s">
        <v>8095</v>
      </c>
      <c r="V416" s="2" t="s">
        <v>8096</v>
      </c>
      <c r="W416" s="2" t="s">
        <v>8097</v>
      </c>
      <c r="X416" s="2" t="s">
        <v>8098</v>
      </c>
      <c r="Y416" s="2" t="s">
        <v>8099</v>
      </c>
      <c r="Z416" s="2" t="s">
        <v>8100</v>
      </c>
      <c r="AA416" s="2"/>
      <c r="AB416" s="2" t="s">
        <v>8101</v>
      </c>
      <c r="AC416" s="2" t="s">
        <v>8102</v>
      </c>
      <c r="AD416" s="2" t="s">
        <v>8103</v>
      </c>
      <c r="AE416" s="2" t="s">
        <v>8104</v>
      </c>
      <c r="AF416" s="2" t="s">
        <v>8105</v>
      </c>
      <c r="AG416" s="2">
        <v>49.0</v>
      </c>
      <c r="AH416" s="2">
        <v>0.0</v>
      </c>
      <c r="AI416" s="2">
        <v>0.0</v>
      </c>
      <c r="AJ416" s="2">
        <v>0.0</v>
      </c>
      <c r="AK416" s="2">
        <v>0.0</v>
      </c>
      <c r="AL416" s="2" t="s">
        <v>1346</v>
      </c>
      <c r="AM416" s="2" t="s">
        <v>428</v>
      </c>
      <c r="AN416" s="2" t="s">
        <v>1347</v>
      </c>
      <c r="AO416" s="2"/>
      <c r="AP416" s="2" t="s">
        <v>8106</v>
      </c>
      <c r="AQ416" s="2"/>
      <c r="AR416" s="2" t="s">
        <v>8107</v>
      </c>
      <c r="AS416" s="2" t="s">
        <v>8108</v>
      </c>
      <c r="AT416" s="2" t="s">
        <v>8109</v>
      </c>
      <c r="AU416" s="2">
        <v>2024.0</v>
      </c>
      <c r="AV416" s="2">
        <v>15.0</v>
      </c>
      <c r="AW416" s="2"/>
      <c r="AX416" s="2"/>
      <c r="AY416" s="2"/>
      <c r="AZ416" s="2"/>
      <c r="BA416" s="2"/>
      <c r="BB416" s="2"/>
      <c r="BC416" s="2"/>
      <c r="BD416" s="2">
        <v>100295.0</v>
      </c>
      <c r="BE416" s="2" t="s">
        <v>8110</v>
      </c>
      <c r="BF416" s="3" t="str">
        <f>HYPERLINK("http://dx.doi.org/10.1016/j.joclim.2023.100295","http://dx.doi.org/10.1016/j.joclim.2023.100295")</f>
        <v>http://dx.doi.org/10.1016/j.joclim.2023.100295</v>
      </c>
      <c r="BG416" s="2"/>
      <c r="BH416" s="2"/>
      <c r="BI416" s="2">
        <v>7.0</v>
      </c>
      <c r="BJ416" s="2" t="s">
        <v>598</v>
      </c>
      <c r="BK416" s="2" t="s">
        <v>96</v>
      </c>
      <c r="BL416" s="2" t="s">
        <v>599</v>
      </c>
      <c r="BM416" s="2" t="s">
        <v>8111</v>
      </c>
      <c r="BN416" s="2"/>
      <c r="BO416" s="2" t="s">
        <v>255</v>
      </c>
      <c r="BP416" s="2"/>
      <c r="BQ416" s="2"/>
      <c r="BR416" s="2" t="s">
        <v>99</v>
      </c>
      <c r="BS416" s="2" t="s">
        <v>8112</v>
      </c>
      <c r="BT416" s="2" t="str">
        <f>HYPERLINK("https%3A%2F%2Fwww.webofscience.com%2Fwos%2Fwoscc%2Ffull-record%2FWOS:001266863700001","View Full Record in Web of Science")</f>
        <v>View Full Record in Web of Science</v>
      </c>
    </row>
    <row r="417" ht="64.5" customHeight="1">
      <c r="A417" s="2" t="s">
        <v>72</v>
      </c>
      <c r="B417" s="2" t="s">
        <v>8113</v>
      </c>
      <c r="C417" s="2"/>
      <c r="D417" s="2"/>
      <c r="E417" s="2"/>
      <c r="F417" s="2" t="s">
        <v>8114</v>
      </c>
      <c r="G417" s="2"/>
      <c r="H417" s="2"/>
      <c r="I417" s="2" t="s">
        <v>8115</v>
      </c>
      <c r="J417" s="2" t="s">
        <v>8116</v>
      </c>
      <c r="K417" s="2"/>
      <c r="L417" s="2"/>
      <c r="M417" s="2" t="s">
        <v>116</v>
      </c>
      <c r="N417" s="2" t="s">
        <v>78</v>
      </c>
      <c r="O417" s="2"/>
      <c r="P417" s="2"/>
      <c r="Q417" s="2"/>
      <c r="R417" s="2"/>
      <c r="S417" s="2"/>
      <c r="T417" s="2" t="s">
        <v>8117</v>
      </c>
      <c r="U417" s="2" t="s">
        <v>8118</v>
      </c>
      <c r="V417" s="2" t="s">
        <v>8119</v>
      </c>
      <c r="W417" s="2" t="s">
        <v>8120</v>
      </c>
      <c r="X417" s="2" t="s">
        <v>6187</v>
      </c>
      <c r="Y417" s="2" t="s">
        <v>8121</v>
      </c>
      <c r="Z417" s="2" t="s">
        <v>8122</v>
      </c>
      <c r="AA417" s="2"/>
      <c r="AB417" s="2" t="s">
        <v>8123</v>
      </c>
      <c r="AC417" s="2" t="s">
        <v>8124</v>
      </c>
      <c r="AD417" s="2" t="s">
        <v>8125</v>
      </c>
      <c r="AE417" s="2" t="s">
        <v>8126</v>
      </c>
      <c r="AF417" s="2" t="s">
        <v>8127</v>
      </c>
      <c r="AG417" s="2">
        <v>93.0</v>
      </c>
      <c r="AH417" s="2">
        <v>0.0</v>
      </c>
      <c r="AI417" s="2">
        <v>0.0</v>
      </c>
      <c r="AJ417" s="2">
        <v>15.0</v>
      </c>
      <c r="AK417" s="2">
        <v>16.0</v>
      </c>
      <c r="AL417" s="2" t="s">
        <v>351</v>
      </c>
      <c r="AM417" s="2" t="s">
        <v>130</v>
      </c>
      <c r="AN417" s="2" t="s">
        <v>2328</v>
      </c>
      <c r="AO417" s="2" t="s">
        <v>8128</v>
      </c>
      <c r="AP417" s="2" t="s">
        <v>8129</v>
      </c>
      <c r="AQ417" s="2"/>
      <c r="AR417" s="2" t="s">
        <v>8130</v>
      </c>
      <c r="AS417" s="2" t="s">
        <v>8131</v>
      </c>
      <c r="AT417" s="2" t="s">
        <v>358</v>
      </c>
      <c r="AU417" s="2">
        <v>2024.0</v>
      </c>
      <c r="AV417" s="2">
        <v>19.0</v>
      </c>
      <c r="AW417" s="2">
        <v>1.0</v>
      </c>
      <c r="AX417" s="2"/>
      <c r="AY417" s="2"/>
      <c r="AZ417" s="2"/>
      <c r="BA417" s="2"/>
      <c r="BB417" s="2">
        <v>77.0</v>
      </c>
      <c r="BC417" s="2">
        <v>116.0</v>
      </c>
      <c r="BD417" s="2"/>
      <c r="BE417" s="2" t="s">
        <v>8132</v>
      </c>
      <c r="BF417" s="3" t="str">
        <f>HYPERLINK("http://dx.doi.org/10.1007/s11422-023-10200-4","http://dx.doi.org/10.1007/s11422-023-10200-4")</f>
        <v>http://dx.doi.org/10.1007/s11422-023-10200-4</v>
      </c>
      <c r="BG417" s="2"/>
      <c r="BH417" s="2" t="s">
        <v>5435</v>
      </c>
      <c r="BI417" s="2">
        <v>40.0</v>
      </c>
      <c r="BJ417" s="2" t="s">
        <v>8133</v>
      </c>
      <c r="BK417" s="2" t="s">
        <v>6832</v>
      </c>
      <c r="BL417" s="2" t="s">
        <v>8133</v>
      </c>
      <c r="BM417" s="2" t="s">
        <v>8134</v>
      </c>
      <c r="BN417" s="2"/>
      <c r="BO417" s="2" t="s">
        <v>201</v>
      </c>
      <c r="BP417" s="2"/>
      <c r="BQ417" s="2"/>
      <c r="BR417" s="2" t="s">
        <v>99</v>
      </c>
      <c r="BS417" s="2" t="s">
        <v>8135</v>
      </c>
      <c r="BT417" s="2" t="str">
        <f>HYPERLINK("https%3A%2F%2Fwww.webofscience.com%2Fwos%2Fwoscc%2Ffull-record%2FWOS:001128702800001","View Full Record in Web of Science")</f>
        <v>View Full Record in Web of Science</v>
      </c>
    </row>
    <row r="418" ht="64.5" customHeight="1">
      <c r="A418" s="2" t="s">
        <v>72</v>
      </c>
      <c r="B418" s="2" t="s">
        <v>3514</v>
      </c>
      <c r="C418" s="2"/>
      <c r="D418" s="2"/>
      <c r="E418" s="2"/>
      <c r="F418" s="2" t="s">
        <v>3515</v>
      </c>
      <c r="G418" s="2"/>
      <c r="H418" s="2"/>
      <c r="I418" s="2" t="s">
        <v>8136</v>
      </c>
      <c r="J418" s="2" t="s">
        <v>2489</v>
      </c>
      <c r="K418" s="2"/>
      <c r="L418" s="2"/>
      <c r="M418" s="2" t="s">
        <v>116</v>
      </c>
      <c r="N418" s="2" t="s">
        <v>8085</v>
      </c>
      <c r="O418" s="2"/>
      <c r="P418" s="2"/>
      <c r="Q418" s="2"/>
      <c r="R418" s="2"/>
      <c r="S418" s="2"/>
      <c r="T418" s="4" t="s">
        <v>121</v>
      </c>
      <c r="U418" s="2"/>
      <c r="V418" s="2"/>
      <c r="W418" s="2" t="s">
        <v>3620</v>
      </c>
      <c r="X418" s="2" t="s">
        <v>1467</v>
      </c>
      <c r="Y418" s="2" t="s">
        <v>3621</v>
      </c>
      <c r="Z418" s="2" t="s">
        <v>1469</v>
      </c>
      <c r="AA418" s="2" t="s">
        <v>700</v>
      </c>
      <c r="AB418" s="2" t="s">
        <v>1470</v>
      </c>
      <c r="AC418" s="2"/>
      <c r="AD418" s="2"/>
      <c r="AE418" s="2"/>
      <c r="AF418" s="2" t="s">
        <v>8137</v>
      </c>
      <c r="AG418" s="2">
        <v>1.0</v>
      </c>
      <c r="AH418" s="2">
        <v>0.0</v>
      </c>
      <c r="AI418" s="2">
        <v>1.0</v>
      </c>
      <c r="AJ418" s="2">
        <v>1.0</v>
      </c>
      <c r="AK418" s="2">
        <v>9.0</v>
      </c>
      <c r="AL418" s="2" t="s">
        <v>188</v>
      </c>
      <c r="AM418" s="2" t="s">
        <v>189</v>
      </c>
      <c r="AN418" s="2" t="s">
        <v>190</v>
      </c>
      <c r="AO418" s="2" t="s">
        <v>2501</v>
      </c>
      <c r="AP418" s="2" t="s">
        <v>2502</v>
      </c>
      <c r="AQ418" s="2"/>
      <c r="AR418" s="2" t="s">
        <v>2503</v>
      </c>
      <c r="AS418" s="2" t="s">
        <v>2504</v>
      </c>
      <c r="AT418" s="2" t="s">
        <v>938</v>
      </c>
      <c r="AU418" s="2">
        <v>2018.0</v>
      </c>
      <c r="AV418" s="2">
        <v>117.0</v>
      </c>
      <c r="AW418" s="2"/>
      <c r="AX418" s="2"/>
      <c r="AY418" s="2"/>
      <c r="AZ418" s="2"/>
      <c r="BA418" s="2"/>
      <c r="BB418" s="2">
        <v>278.0</v>
      </c>
      <c r="BC418" s="2">
        <v>278.0</v>
      </c>
      <c r="BD418" s="2"/>
      <c r="BE418" s="2" t="s">
        <v>8138</v>
      </c>
      <c r="BF418" s="3" t="str">
        <f>HYPERLINK("http://dx.doi.org/10.1016/j.enpol.2018.03.030","http://dx.doi.org/10.1016/j.enpol.2018.03.030")</f>
        <v>http://dx.doi.org/10.1016/j.enpol.2018.03.030</v>
      </c>
      <c r="BG418" s="2"/>
      <c r="BH418" s="2"/>
      <c r="BI418" s="2">
        <v>1.0</v>
      </c>
      <c r="BJ418" s="2" t="s">
        <v>2506</v>
      </c>
      <c r="BK418" s="2" t="s">
        <v>363</v>
      </c>
      <c r="BL418" s="2" t="s">
        <v>2507</v>
      </c>
      <c r="BM418" s="2" t="s">
        <v>8139</v>
      </c>
      <c r="BN418" s="2"/>
      <c r="BO418" s="2"/>
      <c r="BP418" s="2"/>
      <c r="BQ418" s="2"/>
      <c r="BR418" s="2" t="s">
        <v>99</v>
      </c>
      <c r="BS418" s="2" t="s">
        <v>8140</v>
      </c>
      <c r="BT418" s="2" t="str">
        <f>HYPERLINK("https%3A%2F%2Fwww.webofscience.com%2Fwos%2Fwoscc%2Ffull-record%2FWOS:000431932600027","View Full Record in Web of Science")</f>
        <v>View Full Record in Web of Science</v>
      </c>
    </row>
    <row r="419" ht="64.5" customHeight="1">
      <c r="A419" s="2" t="s">
        <v>72</v>
      </c>
      <c r="B419" s="2" t="s">
        <v>8141</v>
      </c>
      <c r="C419" s="2"/>
      <c r="D419" s="2"/>
      <c r="E419" s="2"/>
      <c r="F419" s="2" t="s">
        <v>8142</v>
      </c>
      <c r="G419" s="2"/>
      <c r="H419" s="2"/>
      <c r="I419" s="2" t="s">
        <v>8143</v>
      </c>
      <c r="J419" s="2" t="s">
        <v>1337</v>
      </c>
      <c r="K419" s="2"/>
      <c r="L419" s="2"/>
      <c r="M419" s="2" t="s">
        <v>116</v>
      </c>
      <c r="N419" s="2" t="s">
        <v>643</v>
      </c>
      <c r="O419" s="2"/>
      <c r="P419" s="2"/>
      <c r="Q419" s="2"/>
      <c r="R419" s="2"/>
      <c r="S419" s="2"/>
      <c r="T419" s="2" t="s">
        <v>8144</v>
      </c>
      <c r="U419" s="2" t="s">
        <v>8145</v>
      </c>
      <c r="V419" s="2" t="s">
        <v>8146</v>
      </c>
      <c r="W419" s="2" t="s">
        <v>8147</v>
      </c>
      <c r="X419" s="2" t="s">
        <v>8148</v>
      </c>
      <c r="Y419" s="2" t="s">
        <v>8149</v>
      </c>
      <c r="Z419" s="2" t="s">
        <v>8150</v>
      </c>
      <c r="AA419" s="2"/>
      <c r="AB419" s="2"/>
      <c r="AC419" s="2" t="s">
        <v>8151</v>
      </c>
      <c r="AD419" s="2" t="s">
        <v>8152</v>
      </c>
      <c r="AE419" s="2" t="s">
        <v>8153</v>
      </c>
      <c r="AF419" s="2" t="s">
        <v>8154</v>
      </c>
      <c r="AG419" s="2">
        <v>151.0</v>
      </c>
      <c r="AH419" s="2">
        <v>0.0</v>
      </c>
      <c r="AI419" s="2">
        <v>0.0</v>
      </c>
      <c r="AJ419" s="2">
        <v>7.0</v>
      </c>
      <c r="AK419" s="2">
        <v>7.0</v>
      </c>
      <c r="AL419" s="2" t="s">
        <v>1346</v>
      </c>
      <c r="AM419" s="2" t="s">
        <v>428</v>
      </c>
      <c r="AN419" s="2" t="s">
        <v>1347</v>
      </c>
      <c r="AO419" s="2" t="s">
        <v>1348</v>
      </c>
      <c r="AP419" s="2" t="s">
        <v>1349</v>
      </c>
      <c r="AQ419" s="2"/>
      <c r="AR419" s="2" t="s">
        <v>1350</v>
      </c>
      <c r="AS419" s="2" t="s">
        <v>1351</v>
      </c>
      <c r="AT419" s="2" t="s">
        <v>1017</v>
      </c>
      <c r="AU419" s="2">
        <v>2024.0</v>
      </c>
      <c r="AV419" s="2">
        <v>108.0</v>
      </c>
      <c r="AW419" s="2"/>
      <c r="AX419" s="2"/>
      <c r="AY419" s="2"/>
      <c r="AZ419" s="2"/>
      <c r="BA419" s="2"/>
      <c r="BB419" s="2"/>
      <c r="BC419" s="2"/>
      <c r="BD419" s="2">
        <v>103405.0</v>
      </c>
      <c r="BE419" s="2" t="s">
        <v>8155</v>
      </c>
      <c r="BF419" s="3" t="str">
        <f>HYPERLINK("http://dx.doi.org/10.1016/j.erss.2023.103405","http://dx.doi.org/10.1016/j.erss.2023.103405")</f>
        <v>http://dx.doi.org/10.1016/j.erss.2023.103405</v>
      </c>
      <c r="BG419" s="2"/>
      <c r="BH419" s="2" t="s">
        <v>5435</v>
      </c>
      <c r="BI419" s="2">
        <v>11.0</v>
      </c>
      <c r="BJ419" s="2" t="s">
        <v>95</v>
      </c>
      <c r="BK419" s="2" t="s">
        <v>166</v>
      </c>
      <c r="BL419" s="2" t="s">
        <v>97</v>
      </c>
      <c r="BM419" s="2" t="s">
        <v>8156</v>
      </c>
      <c r="BN419" s="2"/>
      <c r="BO419" s="2" t="s">
        <v>201</v>
      </c>
      <c r="BP419" s="2"/>
      <c r="BQ419" s="2"/>
      <c r="BR419" s="2" t="s">
        <v>99</v>
      </c>
      <c r="BS419" s="2" t="s">
        <v>8157</v>
      </c>
      <c r="BT419" s="2" t="str">
        <f>HYPERLINK("https%3A%2F%2Fwww.webofscience.com%2Fwos%2Fwoscc%2Ffull-record%2FWOS:001150244100001","View Full Record in Web of Science")</f>
        <v>View Full Record in Web of Science</v>
      </c>
    </row>
    <row r="420" ht="64.5" customHeight="1">
      <c r="A420" s="2" t="s">
        <v>72</v>
      </c>
      <c r="B420" s="2" t="s">
        <v>8158</v>
      </c>
      <c r="C420" s="2"/>
      <c r="D420" s="2"/>
      <c r="E420" s="2"/>
      <c r="F420" s="2" t="s">
        <v>8159</v>
      </c>
      <c r="G420" s="2"/>
      <c r="H420" s="2"/>
      <c r="I420" s="2" t="s">
        <v>8160</v>
      </c>
      <c r="J420" s="2" t="s">
        <v>142</v>
      </c>
      <c r="K420" s="2"/>
      <c r="L420" s="2"/>
      <c r="M420" s="2" t="s">
        <v>116</v>
      </c>
      <c r="N420" s="2" t="s">
        <v>78</v>
      </c>
      <c r="O420" s="2"/>
      <c r="P420" s="2"/>
      <c r="Q420" s="2"/>
      <c r="R420" s="2"/>
      <c r="S420" s="2"/>
      <c r="T420" s="2" t="s">
        <v>8161</v>
      </c>
      <c r="U420" s="2" t="s">
        <v>8162</v>
      </c>
      <c r="V420" s="2" t="s">
        <v>8163</v>
      </c>
      <c r="W420" s="2" t="s">
        <v>8164</v>
      </c>
      <c r="X420" s="2" t="s">
        <v>8165</v>
      </c>
      <c r="Y420" s="2" t="s">
        <v>8166</v>
      </c>
      <c r="Z420" s="2" t="s">
        <v>8167</v>
      </c>
      <c r="AA420" s="2" t="s">
        <v>8168</v>
      </c>
      <c r="AB420" s="2" t="s">
        <v>8169</v>
      </c>
      <c r="AC420" s="2" t="s">
        <v>8170</v>
      </c>
      <c r="AD420" s="2" t="s">
        <v>185</v>
      </c>
      <c r="AE420" s="2" t="s">
        <v>8171</v>
      </c>
      <c r="AF420" s="2" t="s">
        <v>8172</v>
      </c>
      <c r="AG420" s="2">
        <v>53.0</v>
      </c>
      <c r="AH420" s="2">
        <v>27.0</v>
      </c>
      <c r="AI420" s="2">
        <v>32.0</v>
      </c>
      <c r="AJ420" s="2">
        <v>3.0</v>
      </c>
      <c r="AK420" s="2">
        <v>24.0</v>
      </c>
      <c r="AL420" s="2" t="s">
        <v>156</v>
      </c>
      <c r="AM420" s="2" t="s">
        <v>157</v>
      </c>
      <c r="AN420" s="2" t="s">
        <v>158</v>
      </c>
      <c r="AO420" s="2" t="s">
        <v>159</v>
      </c>
      <c r="AP420" s="2" t="s">
        <v>160</v>
      </c>
      <c r="AQ420" s="2"/>
      <c r="AR420" s="2" t="s">
        <v>161</v>
      </c>
      <c r="AS420" s="2" t="s">
        <v>162</v>
      </c>
      <c r="AT420" s="2"/>
      <c r="AU420" s="2">
        <v>2017.0</v>
      </c>
      <c r="AV420" s="2">
        <v>23.0</v>
      </c>
      <c r="AW420" s="2">
        <v>6.0</v>
      </c>
      <c r="AX420" s="2"/>
      <c r="AY420" s="2"/>
      <c r="AZ420" s="2"/>
      <c r="BA420" s="2"/>
      <c r="BB420" s="2">
        <v>886.0</v>
      </c>
      <c r="BC420" s="2">
        <v>899.0</v>
      </c>
      <c r="BD420" s="2"/>
      <c r="BE420" s="2" t="s">
        <v>8173</v>
      </c>
      <c r="BF420" s="3" t="str">
        <f>HYPERLINK("http://dx.doi.org/10.1080/13504622.2016.1214865","http://dx.doi.org/10.1080/13504622.2016.1214865")</f>
        <v>http://dx.doi.org/10.1080/13504622.2016.1214865</v>
      </c>
      <c r="BG420" s="2"/>
      <c r="BH420" s="2"/>
      <c r="BI420" s="2">
        <v>14.0</v>
      </c>
      <c r="BJ420" s="2" t="s">
        <v>165</v>
      </c>
      <c r="BK420" s="2" t="s">
        <v>166</v>
      </c>
      <c r="BL420" s="2" t="s">
        <v>167</v>
      </c>
      <c r="BM420" s="2" t="s">
        <v>3712</v>
      </c>
      <c r="BN420" s="2"/>
      <c r="BO420" s="2"/>
      <c r="BP420" s="2"/>
      <c r="BQ420" s="2"/>
      <c r="BR420" s="2" t="s">
        <v>99</v>
      </c>
      <c r="BS420" s="2" t="s">
        <v>8174</v>
      </c>
      <c r="BT420" s="2" t="str">
        <f>HYPERLINK("https%3A%2F%2Fwww.webofscience.com%2Fwos%2Fwoscc%2Ffull-record%2FWOS:000402603700008","View Full Record in Web of Science")</f>
        <v>View Full Record in Web of Science</v>
      </c>
    </row>
    <row r="421" ht="64.5" customHeight="1">
      <c r="A421" s="2" t="s">
        <v>72</v>
      </c>
      <c r="B421" s="2" t="s">
        <v>8175</v>
      </c>
      <c r="C421" s="2"/>
      <c r="D421" s="2"/>
      <c r="E421" s="2"/>
      <c r="F421" s="2" t="s">
        <v>8176</v>
      </c>
      <c r="G421" s="2"/>
      <c r="H421" s="2"/>
      <c r="I421" s="2" t="s">
        <v>8177</v>
      </c>
      <c r="J421" s="2" t="s">
        <v>8178</v>
      </c>
      <c r="K421" s="2"/>
      <c r="L421" s="2"/>
      <c r="M421" s="2" t="s">
        <v>116</v>
      </c>
      <c r="N421" s="2" t="s">
        <v>52</v>
      </c>
      <c r="O421" s="2"/>
      <c r="P421" s="2"/>
      <c r="Q421" s="2"/>
      <c r="R421" s="2"/>
      <c r="S421" s="2"/>
      <c r="T421" s="4" t="s">
        <v>121</v>
      </c>
      <c r="U421" s="2"/>
      <c r="V421" s="2"/>
      <c r="W421" s="2" t="s">
        <v>8179</v>
      </c>
      <c r="X421" s="2" t="s">
        <v>8180</v>
      </c>
      <c r="Y421" s="2"/>
      <c r="Z421" s="2" t="s">
        <v>8181</v>
      </c>
      <c r="AA421" s="2"/>
      <c r="AB421" s="2"/>
      <c r="AC421" s="2" t="s">
        <v>8182</v>
      </c>
      <c r="AD421" s="2" t="s">
        <v>8183</v>
      </c>
      <c r="AE421" s="2" t="s">
        <v>8184</v>
      </c>
      <c r="AF421" s="2"/>
      <c r="AG421" s="2">
        <v>0.0</v>
      </c>
      <c r="AH421" s="2">
        <v>0.0</v>
      </c>
      <c r="AI421" s="2">
        <v>0.0</v>
      </c>
      <c r="AJ421" s="2">
        <v>1.0</v>
      </c>
      <c r="AK421" s="2">
        <v>1.0</v>
      </c>
      <c r="AL421" s="2" t="s">
        <v>4701</v>
      </c>
      <c r="AM421" s="2" t="s">
        <v>189</v>
      </c>
      <c r="AN421" s="2" t="s">
        <v>4702</v>
      </c>
      <c r="AO421" s="2" t="s">
        <v>8185</v>
      </c>
      <c r="AP421" s="2" t="s">
        <v>8186</v>
      </c>
      <c r="AQ421" s="2"/>
      <c r="AR421" s="2" t="s">
        <v>8187</v>
      </c>
      <c r="AS421" s="2" t="s">
        <v>8188</v>
      </c>
      <c r="AT421" s="2" t="s">
        <v>533</v>
      </c>
      <c r="AU421" s="2">
        <v>2023.0</v>
      </c>
      <c r="AV421" s="2">
        <v>33.0</v>
      </c>
      <c r="AW421" s="2"/>
      <c r="AX421" s="2"/>
      <c r="AY421" s="2">
        <v>1.0</v>
      </c>
      <c r="AZ421" s="2"/>
      <c r="BA421" s="2" t="s">
        <v>8189</v>
      </c>
      <c r="BB421" s="2" t="s">
        <v>8190</v>
      </c>
      <c r="BC421" s="2" t="s">
        <v>8191</v>
      </c>
      <c r="BD421" s="2"/>
      <c r="BE421" s="2"/>
      <c r="BF421" s="2"/>
      <c r="BG421" s="2"/>
      <c r="BH421" s="2"/>
      <c r="BI421" s="2">
        <v>2.0</v>
      </c>
      <c r="BJ421" s="2" t="s">
        <v>8192</v>
      </c>
      <c r="BK421" s="2" t="s">
        <v>363</v>
      </c>
      <c r="BL421" s="2" t="s">
        <v>8192</v>
      </c>
      <c r="BM421" s="2" t="s">
        <v>8193</v>
      </c>
      <c r="BN421" s="2"/>
      <c r="BO421" s="2"/>
      <c r="BP421" s="2"/>
      <c r="BQ421" s="2"/>
      <c r="BR421" s="2" t="s">
        <v>99</v>
      </c>
      <c r="BS421" s="2" t="s">
        <v>8194</v>
      </c>
      <c r="BT421" s="2" t="str">
        <f>HYPERLINK("https%3A%2F%2Fwww.webofscience.com%2Fwos%2Fwoscc%2Ffull-record%2FWOS:001184351100292","View Full Record in Web of Science")</f>
        <v>View Full Record in Web of Science</v>
      </c>
    </row>
    <row r="422" ht="64.5" customHeight="1">
      <c r="A422" s="2" t="s">
        <v>72</v>
      </c>
      <c r="B422" s="2" t="s">
        <v>8195</v>
      </c>
      <c r="C422" s="2"/>
      <c r="D422" s="2"/>
      <c r="E422" s="2"/>
      <c r="F422" s="2" t="s">
        <v>8196</v>
      </c>
      <c r="G422" s="2"/>
      <c r="H422" s="2"/>
      <c r="I422" s="2" t="s">
        <v>8197</v>
      </c>
      <c r="J422" s="2" t="s">
        <v>8198</v>
      </c>
      <c r="K422" s="2"/>
      <c r="L422" s="2"/>
      <c r="M422" s="2" t="s">
        <v>116</v>
      </c>
      <c r="N422" s="2" t="s">
        <v>1865</v>
      </c>
      <c r="O422" s="2" t="s">
        <v>8199</v>
      </c>
      <c r="P422" s="2" t="s">
        <v>8200</v>
      </c>
      <c r="Q422" s="2" t="s">
        <v>8201</v>
      </c>
      <c r="R422" s="2"/>
      <c r="S422" s="2"/>
      <c r="T422" s="2" t="s">
        <v>8202</v>
      </c>
      <c r="U422" s="2"/>
      <c r="V422" s="2" t="s">
        <v>8203</v>
      </c>
      <c r="W422" s="2" t="s">
        <v>8204</v>
      </c>
      <c r="X422" s="2"/>
      <c r="Y422" s="2" t="s">
        <v>8205</v>
      </c>
      <c r="Z422" s="2" t="s">
        <v>8206</v>
      </c>
      <c r="AA422" s="2"/>
      <c r="AB422" s="2"/>
      <c r="AC422" s="2"/>
      <c r="AD422" s="2"/>
      <c r="AE422" s="2"/>
      <c r="AF422" s="2" t="s">
        <v>8207</v>
      </c>
      <c r="AG422" s="2">
        <v>51.0</v>
      </c>
      <c r="AH422" s="2">
        <v>47.0</v>
      </c>
      <c r="AI422" s="2">
        <v>54.0</v>
      </c>
      <c r="AJ422" s="2">
        <v>1.0</v>
      </c>
      <c r="AK422" s="2">
        <v>30.0</v>
      </c>
      <c r="AL422" s="2" t="s">
        <v>8208</v>
      </c>
      <c r="AM422" s="2" t="s">
        <v>8209</v>
      </c>
      <c r="AN422" s="2" t="s">
        <v>8210</v>
      </c>
      <c r="AO422" s="2" t="s">
        <v>8211</v>
      </c>
      <c r="AP422" s="2" t="s">
        <v>8212</v>
      </c>
      <c r="AQ422" s="2"/>
      <c r="AR422" s="2" t="s">
        <v>8213</v>
      </c>
      <c r="AS422" s="2" t="s">
        <v>8214</v>
      </c>
      <c r="AT422" s="2"/>
      <c r="AU422" s="2">
        <v>2009.0</v>
      </c>
      <c r="AV422" s="2">
        <v>31.0</v>
      </c>
      <c r="AW422" s="2">
        <v>1.0</v>
      </c>
      <c r="AX422" s="2"/>
      <c r="AY422" s="2"/>
      <c r="AZ422" s="2"/>
      <c r="BA422" s="2"/>
      <c r="BB422" s="2">
        <v>31.0</v>
      </c>
      <c r="BC422" s="2">
        <v>49.0</v>
      </c>
      <c r="BD422" s="2"/>
      <c r="BE422" s="2" t="s">
        <v>8215</v>
      </c>
      <c r="BF422" s="3" t="str">
        <f>HYPERLINK("http://dx.doi.org/10.1071/RJ08069","http://dx.doi.org/10.1071/RJ08069")</f>
        <v>http://dx.doi.org/10.1071/RJ08069</v>
      </c>
      <c r="BG422" s="2"/>
      <c r="BH422" s="2"/>
      <c r="BI422" s="2">
        <v>19.0</v>
      </c>
      <c r="BJ422" s="2" t="s">
        <v>7844</v>
      </c>
      <c r="BK422" s="2" t="s">
        <v>2701</v>
      </c>
      <c r="BL422" s="2" t="s">
        <v>97</v>
      </c>
      <c r="BM422" s="2" t="s">
        <v>8216</v>
      </c>
      <c r="BN422" s="2"/>
      <c r="BO422" s="2" t="s">
        <v>3033</v>
      </c>
      <c r="BP422" s="2"/>
      <c r="BQ422" s="2"/>
      <c r="BR422" s="2" t="s">
        <v>99</v>
      </c>
      <c r="BS422" s="2" t="s">
        <v>8217</v>
      </c>
      <c r="BT422" s="2" t="str">
        <f>HYPERLINK("https%3A%2F%2Fwww.webofscience.com%2Fwos%2Fwoscc%2Ffull-record%2FWOS:000264639900003","View Full Record in Web of Science")</f>
        <v>View Full Record in Web of Science</v>
      </c>
    </row>
    <row r="423" ht="64.5" customHeight="1">
      <c r="A423" s="2" t="s">
        <v>72</v>
      </c>
      <c r="B423" s="2" t="s">
        <v>8218</v>
      </c>
      <c r="C423" s="2"/>
      <c r="D423" s="2"/>
      <c r="E423" s="2"/>
      <c r="F423" s="2" t="s">
        <v>8219</v>
      </c>
      <c r="G423" s="2"/>
      <c r="H423" s="2"/>
      <c r="I423" s="2" t="s">
        <v>8220</v>
      </c>
      <c r="J423" s="2" t="s">
        <v>8221</v>
      </c>
      <c r="K423" s="2"/>
      <c r="L423" s="2"/>
      <c r="M423" s="2" t="s">
        <v>116</v>
      </c>
      <c r="N423" s="2" t="s">
        <v>78</v>
      </c>
      <c r="O423" s="2"/>
      <c r="P423" s="2"/>
      <c r="Q423" s="2"/>
      <c r="R423" s="2"/>
      <c r="S423" s="2"/>
      <c r="T423" s="4" t="s">
        <v>121</v>
      </c>
      <c r="U423" s="2" t="s">
        <v>8222</v>
      </c>
      <c r="V423" s="2" t="s">
        <v>8223</v>
      </c>
      <c r="W423" s="2" t="s">
        <v>8224</v>
      </c>
      <c r="X423" s="2" t="s">
        <v>8225</v>
      </c>
      <c r="Y423" s="2" t="s">
        <v>8226</v>
      </c>
      <c r="Z423" s="2" t="s">
        <v>8227</v>
      </c>
      <c r="AA423" s="2"/>
      <c r="AB423" s="2"/>
      <c r="AC423" s="2"/>
      <c r="AD423" s="2"/>
      <c r="AE423" s="2"/>
      <c r="AF423" s="2" t="s">
        <v>8228</v>
      </c>
      <c r="AG423" s="2">
        <v>57.0</v>
      </c>
      <c r="AH423" s="2">
        <v>0.0</v>
      </c>
      <c r="AI423" s="2">
        <v>0.0</v>
      </c>
      <c r="AJ423" s="2">
        <v>0.0</v>
      </c>
      <c r="AK423" s="2">
        <v>0.0</v>
      </c>
      <c r="AL423" s="2" t="s">
        <v>8229</v>
      </c>
      <c r="AM423" s="2" t="s">
        <v>8230</v>
      </c>
      <c r="AN423" s="2" t="s">
        <v>8231</v>
      </c>
      <c r="AO423" s="2" t="s">
        <v>8232</v>
      </c>
      <c r="AP423" s="2" t="s">
        <v>8233</v>
      </c>
      <c r="AQ423" s="2"/>
      <c r="AR423" s="2" t="s">
        <v>8234</v>
      </c>
      <c r="AS423" s="2" t="s">
        <v>8235</v>
      </c>
      <c r="AT423" s="2" t="s">
        <v>8236</v>
      </c>
      <c r="AU423" s="2">
        <v>2022.0</v>
      </c>
      <c r="AV423" s="2">
        <v>5.0</v>
      </c>
      <c r="AW423" s="2">
        <v>3.0</v>
      </c>
      <c r="AX423" s="2"/>
      <c r="AY423" s="2"/>
      <c r="AZ423" s="2"/>
      <c r="BA423" s="2"/>
      <c r="BB423" s="2">
        <v>177.0</v>
      </c>
      <c r="BC423" s="2">
        <v>188.0</v>
      </c>
      <c r="BD423" s="2"/>
      <c r="BE423" s="2" t="s">
        <v>8237</v>
      </c>
      <c r="BF423" s="3" t="str">
        <f>HYPERLINK("http://dx.doi.org/10.5194/gc-5-177-2022","http://dx.doi.org/10.5194/gc-5-177-2022")</f>
        <v>http://dx.doi.org/10.5194/gc-5-177-2022</v>
      </c>
      <c r="BG423" s="2"/>
      <c r="BH423" s="2"/>
      <c r="BI423" s="2">
        <v>12.0</v>
      </c>
      <c r="BJ423" s="2" t="s">
        <v>8238</v>
      </c>
      <c r="BK423" s="2" t="s">
        <v>96</v>
      </c>
      <c r="BL423" s="2" t="s">
        <v>8239</v>
      </c>
      <c r="BM423" s="2" t="s">
        <v>8240</v>
      </c>
      <c r="BN423" s="2"/>
      <c r="BO423" s="2" t="s">
        <v>2100</v>
      </c>
      <c r="BP423" s="2"/>
      <c r="BQ423" s="2"/>
      <c r="BR423" s="2" t="s">
        <v>99</v>
      </c>
      <c r="BS423" s="2" t="s">
        <v>8241</v>
      </c>
      <c r="BT423" s="2" t="str">
        <f>HYPERLINK("https%3A%2F%2Fwww.webofscience.com%2Fwos%2Fwoscc%2Ffull-record%2FWOS:001251196200001","View Full Record in Web of Science")</f>
        <v>View Full Record in Web of Science</v>
      </c>
    </row>
    <row r="424" ht="64.5" customHeight="1">
      <c r="A424" s="2" t="s">
        <v>72</v>
      </c>
      <c r="B424" s="2" t="s">
        <v>8242</v>
      </c>
      <c r="C424" s="2"/>
      <c r="D424" s="2"/>
      <c r="E424" s="2"/>
      <c r="F424" s="2" t="s">
        <v>8243</v>
      </c>
      <c r="G424" s="2"/>
      <c r="H424" s="2"/>
      <c r="I424" s="2" t="s">
        <v>8244</v>
      </c>
      <c r="J424" s="2" t="s">
        <v>8245</v>
      </c>
      <c r="K424" s="2"/>
      <c r="L424" s="2"/>
      <c r="M424" s="2" t="s">
        <v>116</v>
      </c>
      <c r="N424" s="2" t="s">
        <v>78</v>
      </c>
      <c r="O424" s="2"/>
      <c r="P424" s="2"/>
      <c r="Q424" s="2"/>
      <c r="R424" s="2"/>
      <c r="S424" s="2"/>
      <c r="T424" s="2" t="s">
        <v>8246</v>
      </c>
      <c r="U424" s="2" t="s">
        <v>8247</v>
      </c>
      <c r="V424" s="2" t="s">
        <v>8248</v>
      </c>
      <c r="W424" s="2" t="s">
        <v>8249</v>
      </c>
      <c r="X424" s="2" t="s">
        <v>8250</v>
      </c>
      <c r="Y424" s="2" t="s">
        <v>8251</v>
      </c>
      <c r="Z424" s="2" t="s">
        <v>8252</v>
      </c>
      <c r="AA424" s="2" t="s">
        <v>8253</v>
      </c>
      <c r="AB424" s="2" t="s">
        <v>8254</v>
      </c>
      <c r="AC424" s="2"/>
      <c r="AD424" s="2"/>
      <c r="AE424" s="2"/>
      <c r="AF424" s="2" t="s">
        <v>8255</v>
      </c>
      <c r="AG424" s="2">
        <v>53.0</v>
      </c>
      <c r="AH424" s="2">
        <v>2.0</v>
      </c>
      <c r="AI424" s="2">
        <v>2.0</v>
      </c>
      <c r="AJ424" s="2">
        <v>4.0</v>
      </c>
      <c r="AK424" s="2">
        <v>4.0</v>
      </c>
      <c r="AL424" s="2" t="s">
        <v>2116</v>
      </c>
      <c r="AM424" s="2" t="s">
        <v>5427</v>
      </c>
      <c r="AN424" s="2" t="s">
        <v>5428</v>
      </c>
      <c r="AO424" s="2" t="s">
        <v>8256</v>
      </c>
      <c r="AP424" s="2"/>
      <c r="AQ424" s="2"/>
      <c r="AR424" s="2" t="s">
        <v>8257</v>
      </c>
      <c r="AS424" s="2" t="s">
        <v>8258</v>
      </c>
      <c r="AT424" s="2" t="s">
        <v>8259</v>
      </c>
      <c r="AU424" s="2">
        <v>2024.0</v>
      </c>
      <c r="AV424" s="2">
        <v>43.0</v>
      </c>
      <c r="AW424" s="2">
        <v>2.0</v>
      </c>
      <c r="AX424" s="2"/>
      <c r="AY424" s="2"/>
      <c r="AZ424" s="2"/>
      <c r="BA424" s="2"/>
      <c r="BB424" s="2">
        <v>60.0</v>
      </c>
      <c r="BC424" s="2">
        <v>67.0</v>
      </c>
      <c r="BD424" s="2"/>
      <c r="BE424" s="2" t="s">
        <v>8260</v>
      </c>
      <c r="BF424" s="3" t="str">
        <f>HYPERLINK("http://dx.doi.org/10.1108/CC-10-2023-0032","http://dx.doi.org/10.1108/CC-10-2023-0032")</f>
        <v>http://dx.doi.org/10.1108/CC-10-2023-0032</v>
      </c>
      <c r="BG424" s="2"/>
      <c r="BH424" s="2" t="s">
        <v>1075</v>
      </c>
      <c r="BI424" s="2">
        <v>8.0</v>
      </c>
      <c r="BJ424" s="2" t="s">
        <v>4659</v>
      </c>
      <c r="BK424" s="2" t="s">
        <v>96</v>
      </c>
      <c r="BL424" s="2" t="s">
        <v>4659</v>
      </c>
      <c r="BM424" s="2" t="s">
        <v>8261</v>
      </c>
      <c r="BN424" s="2"/>
      <c r="BO424" s="2"/>
      <c r="BP424" s="2"/>
      <c r="BQ424" s="2"/>
      <c r="BR424" s="2" t="s">
        <v>99</v>
      </c>
      <c r="BS424" s="2" t="s">
        <v>8262</v>
      </c>
      <c r="BT424" s="2" t="str">
        <f>HYPERLINK("https%3A%2F%2Fwww.webofscience.com%2Fwos%2Fwoscc%2Ffull-record%2FWOS:001186305000001","View Full Record in Web of Science")</f>
        <v>View Full Record in Web of Science</v>
      </c>
    </row>
    <row r="425" ht="64.5" customHeight="1">
      <c r="A425" s="2" t="s">
        <v>72</v>
      </c>
      <c r="B425" s="2" t="s">
        <v>8263</v>
      </c>
      <c r="C425" s="2"/>
      <c r="D425" s="2"/>
      <c r="E425" s="2"/>
      <c r="F425" s="2" t="s">
        <v>8264</v>
      </c>
      <c r="G425" s="2"/>
      <c r="H425" s="2"/>
      <c r="I425" s="2" t="s">
        <v>8265</v>
      </c>
      <c r="J425" s="2" t="s">
        <v>8198</v>
      </c>
      <c r="K425" s="2"/>
      <c r="L425" s="2"/>
      <c r="M425" s="2" t="s">
        <v>116</v>
      </c>
      <c r="N425" s="2" t="s">
        <v>78</v>
      </c>
      <c r="O425" s="2"/>
      <c r="P425" s="2"/>
      <c r="Q425" s="2"/>
      <c r="R425" s="2"/>
      <c r="S425" s="2"/>
      <c r="T425" s="2" t="s">
        <v>8266</v>
      </c>
      <c r="U425" s="2" t="s">
        <v>8267</v>
      </c>
      <c r="V425" s="2" t="s">
        <v>8268</v>
      </c>
      <c r="W425" s="2" t="s">
        <v>8269</v>
      </c>
      <c r="X425" s="2" t="s">
        <v>8270</v>
      </c>
      <c r="Y425" s="2" t="s">
        <v>8271</v>
      </c>
      <c r="Z425" s="2" t="s">
        <v>8272</v>
      </c>
      <c r="AA425" s="2" t="s">
        <v>8273</v>
      </c>
      <c r="AB425" s="2" t="s">
        <v>8274</v>
      </c>
      <c r="AC425" s="2" t="s">
        <v>8275</v>
      </c>
      <c r="AD425" s="2" t="s">
        <v>8276</v>
      </c>
      <c r="AE425" s="2" t="s">
        <v>8277</v>
      </c>
      <c r="AF425" s="2" t="s">
        <v>8278</v>
      </c>
      <c r="AG425" s="2">
        <v>91.0</v>
      </c>
      <c r="AH425" s="2">
        <v>9.0</v>
      </c>
      <c r="AI425" s="2">
        <v>9.0</v>
      </c>
      <c r="AJ425" s="2">
        <v>6.0</v>
      </c>
      <c r="AK425" s="2">
        <v>20.0</v>
      </c>
      <c r="AL425" s="2" t="s">
        <v>8208</v>
      </c>
      <c r="AM425" s="2" t="s">
        <v>8209</v>
      </c>
      <c r="AN425" s="2" t="s">
        <v>8210</v>
      </c>
      <c r="AO425" s="2" t="s">
        <v>8211</v>
      </c>
      <c r="AP425" s="2" t="s">
        <v>8212</v>
      </c>
      <c r="AQ425" s="2"/>
      <c r="AR425" s="2" t="s">
        <v>8213</v>
      </c>
      <c r="AS425" s="2" t="s">
        <v>8214</v>
      </c>
      <c r="AT425" s="2"/>
      <c r="AU425" s="2">
        <v>2021.0</v>
      </c>
      <c r="AV425" s="2">
        <v>43.0</v>
      </c>
      <c r="AW425" s="2">
        <v>3.0</v>
      </c>
      <c r="AX425" s="2"/>
      <c r="AY425" s="2"/>
      <c r="AZ425" s="2"/>
      <c r="BA425" s="2"/>
      <c r="BB425" s="2">
        <v>87.0</v>
      </c>
      <c r="BC425" s="2">
        <v>100.0</v>
      </c>
      <c r="BD425" s="2"/>
      <c r="BE425" s="2" t="s">
        <v>8279</v>
      </c>
      <c r="BF425" s="3" t="str">
        <f>HYPERLINK("http://dx.doi.org/10.1071/RJ20074","http://dx.doi.org/10.1071/RJ20074")</f>
        <v>http://dx.doi.org/10.1071/RJ20074</v>
      </c>
      <c r="BG425" s="2"/>
      <c r="BH425" s="2" t="s">
        <v>2044</v>
      </c>
      <c r="BI425" s="2">
        <v>14.0</v>
      </c>
      <c r="BJ425" s="2" t="s">
        <v>7844</v>
      </c>
      <c r="BK425" s="2" t="s">
        <v>226</v>
      </c>
      <c r="BL425" s="2" t="s">
        <v>97</v>
      </c>
      <c r="BM425" s="2" t="s">
        <v>8280</v>
      </c>
      <c r="BN425" s="2"/>
      <c r="BO425" s="2" t="s">
        <v>201</v>
      </c>
      <c r="BP425" s="2"/>
      <c r="BQ425" s="2"/>
      <c r="BR425" s="2" t="s">
        <v>99</v>
      </c>
      <c r="BS425" s="2" t="s">
        <v>8281</v>
      </c>
      <c r="BT425" s="2" t="str">
        <f>HYPERLINK("https%3A%2F%2Fwww.webofscience.com%2Fwos%2Fwoscc%2Ffull-record%2FWOS:000698968100001","View Full Record in Web of Science")</f>
        <v>View Full Record in Web of Science</v>
      </c>
    </row>
    <row r="426" ht="64.5" customHeight="1">
      <c r="A426" s="2" t="s">
        <v>72</v>
      </c>
      <c r="B426" s="2" t="s">
        <v>8282</v>
      </c>
      <c r="C426" s="2"/>
      <c r="D426" s="2"/>
      <c r="E426" s="2"/>
      <c r="F426" s="2" t="s">
        <v>8283</v>
      </c>
      <c r="G426" s="2"/>
      <c r="H426" s="2"/>
      <c r="I426" s="2" t="s">
        <v>8284</v>
      </c>
      <c r="J426" s="2" t="s">
        <v>8285</v>
      </c>
      <c r="K426" s="2"/>
      <c r="L426" s="2"/>
      <c r="M426" s="2" t="s">
        <v>116</v>
      </c>
      <c r="N426" s="2" t="s">
        <v>78</v>
      </c>
      <c r="O426" s="2"/>
      <c r="P426" s="2"/>
      <c r="Q426" s="2"/>
      <c r="R426" s="2"/>
      <c r="S426" s="2"/>
      <c r="T426" s="4" t="s">
        <v>121</v>
      </c>
      <c r="U426" s="2" t="s">
        <v>8286</v>
      </c>
      <c r="V426" s="2" t="s">
        <v>8287</v>
      </c>
      <c r="W426" s="2" t="s">
        <v>8288</v>
      </c>
      <c r="X426" s="2" t="s">
        <v>8289</v>
      </c>
      <c r="Y426" s="2" t="s">
        <v>8290</v>
      </c>
      <c r="Z426" s="2" t="s">
        <v>8291</v>
      </c>
      <c r="AA426" s="2" t="s">
        <v>8292</v>
      </c>
      <c r="AB426" s="2" t="s">
        <v>8293</v>
      </c>
      <c r="AC426" s="2" t="s">
        <v>8294</v>
      </c>
      <c r="AD426" s="2" t="s">
        <v>8295</v>
      </c>
      <c r="AE426" s="2" t="s">
        <v>8296</v>
      </c>
      <c r="AF426" s="2" t="s">
        <v>8297</v>
      </c>
      <c r="AG426" s="2">
        <v>80.0</v>
      </c>
      <c r="AH426" s="2">
        <v>28.0</v>
      </c>
      <c r="AI426" s="2">
        <v>28.0</v>
      </c>
      <c r="AJ426" s="2">
        <v>1.0</v>
      </c>
      <c r="AK426" s="2">
        <v>37.0</v>
      </c>
      <c r="AL426" s="2" t="s">
        <v>656</v>
      </c>
      <c r="AM426" s="2" t="s">
        <v>657</v>
      </c>
      <c r="AN426" s="2" t="s">
        <v>658</v>
      </c>
      <c r="AO426" s="2" t="s">
        <v>8298</v>
      </c>
      <c r="AP426" s="2" t="s">
        <v>8299</v>
      </c>
      <c r="AQ426" s="2"/>
      <c r="AR426" s="2" t="s">
        <v>8300</v>
      </c>
      <c r="AS426" s="2" t="s">
        <v>8301</v>
      </c>
      <c r="AT426" s="2" t="s">
        <v>195</v>
      </c>
      <c r="AU426" s="2">
        <v>2019.0</v>
      </c>
      <c r="AV426" s="2">
        <v>21.0</v>
      </c>
      <c r="AW426" s="2">
        <v>4.0</v>
      </c>
      <c r="AX426" s="2"/>
      <c r="AY426" s="2"/>
      <c r="AZ426" s="2"/>
      <c r="BA426" s="2"/>
      <c r="BB426" s="2">
        <v>1452.0</v>
      </c>
      <c r="BC426" s="2">
        <v>1465.0</v>
      </c>
      <c r="BD426" s="2"/>
      <c r="BE426" s="2" t="s">
        <v>8302</v>
      </c>
      <c r="BF426" s="3" t="str">
        <f>HYPERLINK("http://dx.doi.org/10.1111/1462-2920.14579","http://dx.doi.org/10.1111/1462-2920.14579")</f>
        <v>http://dx.doi.org/10.1111/1462-2920.14579</v>
      </c>
      <c r="BG426" s="2"/>
      <c r="BH426" s="2"/>
      <c r="BI426" s="2">
        <v>14.0</v>
      </c>
      <c r="BJ426" s="2" t="s">
        <v>8303</v>
      </c>
      <c r="BK426" s="2" t="s">
        <v>226</v>
      </c>
      <c r="BL426" s="2" t="s">
        <v>8303</v>
      </c>
      <c r="BM426" s="2" t="s">
        <v>8304</v>
      </c>
      <c r="BN426" s="2">
        <v>3.0834642E7</v>
      </c>
      <c r="BO426" s="2" t="s">
        <v>169</v>
      </c>
      <c r="BP426" s="2"/>
      <c r="BQ426" s="2"/>
      <c r="BR426" s="2" t="s">
        <v>99</v>
      </c>
      <c r="BS426" s="2" t="s">
        <v>8305</v>
      </c>
      <c r="BT426" s="2" t="str">
        <f>HYPERLINK("https%3A%2F%2Fwww.webofscience.com%2Fwos%2Fwoscc%2Ffull-record%2FWOS:000464373000021","View Full Record in Web of Science")</f>
        <v>View Full Record in Web of Science</v>
      </c>
    </row>
    <row r="427" ht="64.5" customHeight="1">
      <c r="A427" s="2" t="s">
        <v>72</v>
      </c>
      <c r="B427" s="2" t="s">
        <v>8306</v>
      </c>
      <c r="C427" s="2"/>
      <c r="D427" s="2"/>
      <c r="E427" s="2"/>
      <c r="F427" s="2" t="s">
        <v>8307</v>
      </c>
      <c r="G427" s="2"/>
      <c r="H427" s="2"/>
      <c r="I427" s="2" t="s">
        <v>8308</v>
      </c>
      <c r="J427" s="2" t="s">
        <v>8309</v>
      </c>
      <c r="K427" s="2"/>
      <c r="L427" s="2"/>
      <c r="M427" s="2" t="s">
        <v>116</v>
      </c>
      <c r="N427" s="2" t="s">
        <v>78</v>
      </c>
      <c r="O427" s="2"/>
      <c r="P427" s="2"/>
      <c r="Q427" s="2"/>
      <c r="R427" s="2"/>
      <c r="S427" s="2"/>
      <c r="T427" s="2" t="s">
        <v>8310</v>
      </c>
      <c r="U427" s="2" t="s">
        <v>8311</v>
      </c>
      <c r="V427" s="2" t="s">
        <v>8312</v>
      </c>
      <c r="W427" s="2" t="s">
        <v>8313</v>
      </c>
      <c r="X427" s="2" t="s">
        <v>8314</v>
      </c>
      <c r="Y427" s="2" t="s">
        <v>8315</v>
      </c>
      <c r="Z427" s="2" t="s">
        <v>8316</v>
      </c>
      <c r="AA427" s="2" t="s">
        <v>8317</v>
      </c>
      <c r="AB427" s="2" t="s">
        <v>8318</v>
      </c>
      <c r="AC427" s="2" t="s">
        <v>8319</v>
      </c>
      <c r="AD427" s="2" t="s">
        <v>8320</v>
      </c>
      <c r="AE427" s="2" t="s">
        <v>8321</v>
      </c>
      <c r="AF427" s="2" t="s">
        <v>8322</v>
      </c>
      <c r="AG427" s="2">
        <v>83.0</v>
      </c>
      <c r="AH427" s="2">
        <v>29.0</v>
      </c>
      <c r="AI427" s="2">
        <v>32.0</v>
      </c>
      <c r="AJ427" s="2">
        <v>2.0</v>
      </c>
      <c r="AK427" s="2">
        <v>37.0</v>
      </c>
      <c r="AL427" s="2" t="s">
        <v>1346</v>
      </c>
      <c r="AM427" s="2" t="s">
        <v>428</v>
      </c>
      <c r="AN427" s="2" t="s">
        <v>1347</v>
      </c>
      <c r="AO427" s="2" t="s">
        <v>8323</v>
      </c>
      <c r="AP427" s="2" t="s">
        <v>8324</v>
      </c>
      <c r="AQ427" s="2"/>
      <c r="AR427" s="2" t="s">
        <v>8325</v>
      </c>
      <c r="AS427" s="2" t="s">
        <v>8326</v>
      </c>
      <c r="AT427" s="2" t="s">
        <v>453</v>
      </c>
      <c r="AU427" s="2">
        <v>2019.0</v>
      </c>
      <c r="AV427" s="2">
        <v>44.0</v>
      </c>
      <c r="AW427" s="2"/>
      <c r="AX427" s="2"/>
      <c r="AY427" s="2"/>
      <c r="AZ427" s="2"/>
      <c r="BA427" s="2"/>
      <c r="BB427" s="2">
        <v>748.0</v>
      </c>
      <c r="BC427" s="2">
        <v>762.0</v>
      </c>
      <c r="BD427" s="2"/>
      <c r="BE427" s="2" t="s">
        <v>8327</v>
      </c>
      <c r="BF427" s="3" t="str">
        <f>HYPERLINK("http://dx.doi.org/10.1016/j.scs.2018.10.039","http://dx.doi.org/10.1016/j.scs.2018.10.039")</f>
        <v>http://dx.doi.org/10.1016/j.scs.2018.10.039</v>
      </c>
      <c r="BG427" s="2"/>
      <c r="BH427" s="2"/>
      <c r="BI427" s="2">
        <v>15.0</v>
      </c>
      <c r="BJ427" s="2" t="s">
        <v>8328</v>
      </c>
      <c r="BK427" s="2" t="s">
        <v>363</v>
      </c>
      <c r="BL427" s="2" t="s">
        <v>8329</v>
      </c>
      <c r="BM427" s="2" t="s">
        <v>8330</v>
      </c>
      <c r="BN427" s="2"/>
      <c r="BO427" s="2"/>
      <c r="BP427" s="2"/>
      <c r="BQ427" s="2"/>
      <c r="BR427" s="2" t="s">
        <v>99</v>
      </c>
      <c r="BS427" s="2" t="s">
        <v>8331</v>
      </c>
      <c r="BT427" s="2" t="str">
        <f>HYPERLINK("https%3A%2F%2Fwww.webofscience.com%2Fwos%2Fwoscc%2Ffull-record%2FWOS:000451754200060","View Full Record in Web of Science")</f>
        <v>View Full Record in Web of Science</v>
      </c>
    </row>
    <row r="428" ht="64.5" customHeight="1">
      <c r="A428" s="2" t="s">
        <v>72</v>
      </c>
      <c r="B428" s="2" t="s">
        <v>8332</v>
      </c>
      <c r="C428" s="2"/>
      <c r="D428" s="2"/>
      <c r="E428" s="2"/>
      <c r="F428" s="2" t="s">
        <v>8333</v>
      </c>
      <c r="G428" s="2"/>
      <c r="H428" s="2"/>
      <c r="I428" s="2" t="s">
        <v>8334</v>
      </c>
      <c r="J428" s="2" t="s">
        <v>8335</v>
      </c>
      <c r="K428" s="2"/>
      <c r="L428" s="2"/>
      <c r="M428" s="2" t="s">
        <v>116</v>
      </c>
      <c r="N428" s="2" t="s">
        <v>78</v>
      </c>
      <c r="O428" s="2"/>
      <c r="P428" s="2"/>
      <c r="Q428" s="2"/>
      <c r="R428" s="2"/>
      <c r="S428" s="2"/>
      <c r="T428" s="2" t="s">
        <v>8336</v>
      </c>
      <c r="U428" s="2" t="s">
        <v>8337</v>
      </c>
      <c r="V428" s="2" t="s">
        <v>8338</v>
      </c>
      <c r="W428" s="2" t="s">
        <v>8339</v>
      </c>
      <c r="X428" s="2" t="s">
        <v>8340</v>
      </c>
      <c r="Y428" s="2" t="s">
        <v>8341</v>
      </c>
      <c r="Z428" s="2" t="s">
        <v>8342</v>
      </c>
      <c r="AA428" s="2" t="s">
        <v>8343</v>
      </c>
      <c r="AB428" s="2" t="s">
        <v>8344</v>
      </c>
      <c r="AC428" s="2" t="s">
        <v>8345</v>
      </c>
      <c r="AD428" s="2" t="s">
        <v>8346</v>
      </c>
      <c r="AE428" s="2" t="s">
        <v>8347</v>
      </c>
      <c r="AF428" s="2" t="s">
        <v>8348</v>
      </c>
      <c r="AG428" s="2">
        <v>12.0</v>
      </c>
      <c r="AH428" s="2">
        <v>1.0</v>
      </c>
      <c r="AI428" s="2">
        <v>1.0</v>
      </c>
      <c r="AJ428" s="2">
        <v>5.0</v>
      </c>
      <c r="AK428" s="2">
        <v>10.0</v>
      </c>
      <c r="AL428" s="2" t="s">
        <v>8349</v>
      </c>
      <c r="AM428" s="2" t="s">
        <v>8350</v>
      </c>
      <c r="AN428" s="2" t="s">
        <v>8351</v>
      </c>
      <c r="AO428" s="2"/>
      <c r="AP428" s="2" t="s">
        <v>8352</v>
      </c>
      <c r="AQ428" s="2"/>
      <c r="AR428" s="2" t="s">
        <v>8353</v>
      </c>
      <c r="AS428" s="2" t="s">
        <v>8354</v>
      </c>
      <c r="AT428" s="2"/>
      <c r="AU428" s="2">
        <v>2021.0</v>
      </c>
      <c r="AV428" s="2">
        <v>12.0</v>
      </c>
      <c r="AW428" s="2">
        <v>1.0</v>
      </c>
      <c r="AX428" s="2"/>
      <c r="AY428" s="2"/>
      <c r="AZ428" s="2"/>
      <c r="BA428" s="2"/>
      <c r="BB428" s="2">
        <v>131.0</v>
      </c>
      <c r="BC428" s="2">
        <v>150.0</v>
      </c>
      <c r="BD428" s="2"/>
      <c r="BE428" s="2" t="s">
        <v>8355</v>
      </c>
      <c r="BF428" s="3" t="str">
        <f>HYPERLINK("http://dx.doi.org/10.15503/jecs2021.1.131.150","http://dx.doi.org/10.15503/jecs2021.1.131.150")</f>
        <v>http://dx.doi.org/10.15503/jecs2021.1.131.150</v>
      </c>
      <c r="BG428" s="2"/>
      <c r="BH428" s="2"/>
      <c r="BI428" s="2">
        <v>20.0</v>
      </c>
      <c r="BJ428" s="2" t="s">
        <v>475</v>
      </c>
      <c r="BK428" s="2" t="s">
        <v>96</v>
      </c>
      <c r="BL428" s="2" t="s">
        <v>476</v>
      </c>
      <c r="BM428" s="2" t="s">
        <v>8356</v>
      </c>
      <c r="BN428" s="2"/>
      <c r="BO428" s="2" t="s">
        <v>255</v>
      </c>
      <c r="BP428" s="2"/>
      <c r="BQ428" s="2"/>
      <c r="BR428" s="2" t="s">
        <v>99</v>
      </c>
      <c r="BS428" s="2" t="s">
        <v>8357</v>
      </c>
      <c r="BT428" s="2" t="str">
        <f>HYPERLINK("https%3A%2F%2Fwww.webofscience.com%2Fwos%2Fwoscc%2Ffull-record%2FWOS:000663313900010","View Full Record in Web of Science")</f>
        <v>View Full Record in Web of Science</v>
      </c>
    </row>
    <row r="429" ht="64.5" customHeight="1">
      <c r="A429" s="2" t="s">
        <v>72</v>
      </c>
      <c r="B429" s="2" t="s">
        <v>8358</v>
      </c>
      <c r="C429" s="2"/>
      <c r="D429" s="2"/>
      <c r="E429" s="2"/>
      <c r="F429" s="2" t="s">
        <v>8359</v>
      </c>
      <c r="G429" s="2"/>
      <c r="H429" s="2"/>
      <c r="I429" s="2" t="s">
        <v>8360</v>
      </c>
      <c r="J429" s="2" t="s">
        <v>3467</v>
      </c>
      <c r="K429" s="2"/>
      <c r="L429" s="2"/>
      <c r="M429" s="2" t="s">
        <v>116</v>
      </c>
      <c r="N429" s="2" t="s">
        <v>78</v>
      </c>
      <c r="O429" s="2"/>
      <c r="P429" s="2"/>
      <c r="Q429" s="2"/>
      <c r="R429" s="2"/>
      <c r="S429" s="2"/>
      <c r="T429" s="2" t="s">
        <v>8361</v>
      </c>
      <c r="U429" s="2" t="s">
        <v>8362</v>
      </c>
      <c r="V429" s="2" t="s">
        <v>8363</v>
      </c>
      <c r="W429" s="2" t="s">
        <v>8364</v>
      </c>
      <c r="X429" s="2" t="s">
        <v>8365</v>
      </c>
      <c r="Y429" s="2" t="s">
        <v>8366</v>
      </c>
      <c r="Z429" s="2" t="s">
        <v>8367</v>
      </c>
      <c r="AA429" s="2"/>
      <c r="AB429" s="2"/>
      <c r="AC429" s="2" t="s">
        <v>8368</v>
      </c>
      <c r="AD429" s="2" t="s">
        <v>8369</v>
      </c>
      <c r="AE429" s="2" t="s">
        <v>8370</v>
      </c>
      <c r="AF429" s="2" t="s">
        <v>8371</v>
      </c>
      <c r="AG429" s="2">
        <v>57.0</v>
      </c>
      <c r="AH429" s="2">
        <v>20.0</v>
      </c>
      <c r="AI429" s="2">
        <v>20.0</v>
      </c>
      <c r="AJ429" s="2">
        <v>2.0</v>
      </c>
      <c r="AK429" s="2">
        <v>11.0</v>
      </c>
      <c r="AL429" s="2" t="s">
        <v>351</v>
      </c>
      <c r="AM429" s="2" t="s">
        <v>352</v>
      </c>
      <c r="AN429" s="2" t="s">
        <v>353</v>
      </c>
      <c r="AO429" s="2" t="s">
        <v>3481</v>
      </c>
      <c r="AP429" s="2" t="s">
        <v>3482</v>
      </c>
      <c r="AQ429" s="2"/>
      <c r="AR429" s="2" t="s">
        <v>3483</v>
      </c>
      <c r="AS429" s="2" t="s">
        <v>3484</v>
      </c>
      <c r="AT429" s="2" t="s">
        <v>596</v>
      </c>
      <c r="AU429" s="2">
        <v>2018.0</v>
      </c>
      <c r="AV429" s="2">
        <v>11.0</v>
      </c>
      <c r="AW429" s="2">
        <v>7.0</v>
      </c>
      <c r="AX429" s="2"/>
      <c r="AY429" s="2"/>
      <c r="AZ429" s="2" t="s">
        <v>359</v>
      </c>
      <c r="BA429" s="2"/>
      <c r="BB429" s="2">
        <v>1703.0</v>
      </c>
      <c r="BC429" s="2">
        <v>1719.0</v>
      </c>
      <c r="BD429" s="2"/>
      <c r="BE429" s="2" t="s">
        <v>8372</v>
      </c>
      <c r="BF429" s="3" t="str">
        <f>HYPERLINK("http://dx.doi.org/10.1007/s12053-017-9555-y","http://dx.doi.org/10.1007/s12053-017-9555-y")</f>
        <v>http://dx.doi.org/10.1007/s12053-017-9555-y</v>
      </c>
      <c r="BG429" s="2"/>
      <c r="BH429" s="2"/>
      <c r="BI429" s="2">
        <v>17.0</v>
      </c>
      <c r="BJ429" s="2" t="s">
        <v>3486</v>
      </c>
      <c r="BK429" s="2" t="s">
        <v>363</v>
      </c>
      <c r="BL429" s="2" t="s">
        <v>3487</v>
      </c>
      <c r="BM429" s="2" t="s">
        <v>8373</v>
      </c>
      <c r="BN429" s="2"/>
      <c r="BO429" s="2" t="s">
        <v>2826</v>
      </c>
      <c r="BP429" s="2"/>
      <c r="BQ429" s="2"/>
      <c r="BR429" s="2" t="s">
        <v>99</v>
      </c>
      <c r="BS429" s="2" t="s">
        <v>8374</v>
      </c>
      <c r="BT429" s="2" t="str">
        <f>HYPERLINK("https%3A%2F%2Fwww.webofscience.com%2Fwos%2Fwoscc%2Ffull-record%2FWOS:000448039600011","View Full Record in Web of Science")</f>
        <v>View Full Record in Web of Science</v>
      </c>
    </row>
    <row r="430" ht="64.5" customHeight="1">
      <c r="A430" s="2" t="s">
        <v>72</v>
      </c>
      <c r="B430" s="2" t="s">
        <v>8375</v>
      </c>
      <c r="C430" s="2"/>
      <c r="D430" s="2"/>
      <c r="E430" s="2"/>
      <c r="F430" s="2" t="s">
        <v>8376</v>
      </c>
      <c r="G430" s="2"/>
      <c r="H430" s="2"/>
      <c r="I430" s="2" t="s">
        <v>8377</v>
      </c>
      <c r="J430" s="2" t="s">
        <v>1337</v>
      </c>
      <c r="K430" s="2"/>
      <c r="L430" s="2"/>
      <c r="M430" s="2" t="s">
        <v>116</v>
      </c>
      <c r="N430" s="2" t="s">
        <v>78</v>
      </c>
      <c r="O430" s="2"/>
      <c r="P430" s="2"/>
      <c r="Q430" s="2"/>
      <c r="R430" s="2"/>
      <c r="S430" s="2"/>
      <c r="T430" s="2" t="s">
        <v>8378</v>
      </c>
      <c r="U430" s="2" t="s">
        <v>8379</v>
      </c>
      <c r="V430" s="2" t="s">
        <v>8380</v>
      </c>
      <c r="W430" s="2" t="s">
        <v>8381</v>
      </c>
      <c r="X430" s="2" t="s">
        <v>8382</v>
      </c>
      <c r="Y430" s="2" t="s">
        <v>8383</v>
      </c>
      <c r="Z430" s="2" t="s">
        <v>8384</v>
      </c>
      <c r="AA430" s="2"/>
      <c r="AB430" s="2" t="s">
        <v>8385</v>
      </c>
      <c r="AC430" s="2" t="s">
        <v>8386</v>
      </c>
      <c r="AD430" s="2" t="s">
        <v>8387</v>
      </c>
      <c r="AE430" s="2" t="s">
        <v>8388</v>
      </c>
      <c r="AF430" s="2" t="s">
        <v>8389</v>
      </c>
      <c r="AG430" s="2">
        <v>90.0</v>
      </c>
      <c r="AH430" s="2">
        <v>101.0</v>
      </c>
      <c r="AI430" s="2">
        <v>106.0</v>
      </c>
      <c r="AJ430" s="2">
        <v>5.0</v>
      </c>
      <c r="AK430" s="2">
        <v>30.0</v>
      </c>
      <c r="AL430" s="2" t="s">
        <v>427</v>
      </c>
      <c r="AM430" s="2" t="s">
        <v>428</v>
      </c>
      <c r="AN430" s="2" t="s">
        <v>3025</v>
      </c>
      <c r="AO430" s="2" t="s">
        <v>1348</v>
      </c>
      <c r="AP430" s="2" t="s">
        <v>1349</v>
      </c>
      <c r="AQ430" s="2"/>
      <c r="AR430" s="2" t="s">
        <v>1350</v>
      </c>
      <c r="AS430" s="2" t="s">
        <v>1351</v>
      </c>
      <c r="AT430" s="2" t="s">
        <v>533</v>
      </c>
      <c r="AU430" s="2">
        <v>2017.0</v>
      </c>
      <c r="AV430" s="2">
        <v>31.0</v>
      </c>
      <c r="AW430" s="2"/>
      <c r="AX430" s="2"/>
      <c r="AY430" s="2"/>
      <c r="AZ430" s="2" t="s">
        <v>359</v>
      </c>
      <c r="BA430" s="2"/>
      <c r="BB430" s="2">
        <v>263.0</v>
      </c>
      <c r="BC430" s="2">
        <v>272.0</v>
      </c>
      <c r="BD430" s="2"/>
      <c r="BE430" s="2" t="s">
        <v>8390</v>
      </c>
      <c r="BF430" s="3" t="str">
        <f>HYPERLINK("http://dx.doi.org/10.1016/j.erss.2017.06.023","http://dx.doi.org/10.1016/j.erss.2017.06.023")</f>
        <v>http://dx.doi.org/10.1016/j.erss.2017.06.023</v>
      </c>
      <c r="BG430" s="2"/>
      <c r="BH430" s="2"/>
      <c r="BI430" s="2">
        <v>10.0</v>
      </c>
      <c r="BJ430" s="2" t="s">
        <v>95</v>
      </c>
      <c r="BK430" s="2" t="s">
        <v>166</v>
      </c>
      <c r="BL430" s="2" t="s">
        <v>97</v>
      </c>
      <c r="BM430" s="2" t="s">
        <v>8391</v>
      </c>
      <c r="BN430" s="2"/>
      <c r="BO430" s="2" t="s">
        <v>2046</v>
      </c>
      <c r="BP430" s="2"/>
      <c r="BQ430" s="2"/>
      <c r="BR430" s="2" t="s">
        <v>99</v>
      </c>
      <c r="BS430" s="2" t="s">
        <v>8392</v>
      </c>
      <c r="BT430" s="2" t="str">
        <f>HYPERLINK("https%3A%2F%2Fwww.webofscience.com%2Fwos%2Fwoscc%2Ffull-record%2FWOS:000414329700030","View Full Record in Web of Science")</f>
        <v>View Full Record in Web of Science</v>
      </c>
    </row>
    <row r="431" ht="64.5" customHeight="1">
      <c r="A431" s="2" t="s">
        <v>110</v>
      </c>
      <c r="B431" s="2" t="s">
        <v>8393</v>
      </c>
      <c r="C431" s="2"/>
      <c r="D431" s="2" t="s">
        <v>8394</v>
      </c>
      <c r="E431" s="2"/>
      <c r="F431" s="2" t="s">
        <v>8395</v>
      </c>
      <c r="G431" s="2"/>
      <c r="H431" s="2"/>
      <c r="I431" s="2" t="s">
        <v>8396</v>
      </c>
      <c r="J431" s="2" t="s">
        <v>8397</v>
      </c>
      <c r="K431" s="2" t="s">
        <v>8398</v>
      </c>
      <c r="L431" s="2"/>
      <c r="M431" s="2" t="s">
        <v>116</v>
      </c>
      <c r="N431" s="2" t="s">
        <v>117</v>
      </c>
      <c r="O431" s="2" t="s">
        <v>8399</v>
      </c>
      <c r="P431" s="2" t="s">
        <v>8400</v>
      </c>
      <c r="Q431" s="2" t="s">
        <v>8401</v>
      </c>
      <c r="R431" s="2"/>
      <c r="S431" s="2" t="s">
        <v>8402</v>
      </c>
      <c r="T431" s="2" t="s">
        <v>8403</v>
      </c>
      <c r="U431" s="2"/>
      <c r="V431" s="2" t="s">
        <v>8404</v>
      </c>
      <c r="W431" s="2" t="s">
        <v>8405</v>
      </c>
      <c r="X431" s="2" t="s">
        <v>8406</v>
      </c>
      <c r="Y431" s="2" t="s">
        <v>8407</v>
      </c>
      <c r="Z431" s="2" t="s">
        <v>8408</v>
      </c>
      <c r="AA431" s="2" t="s">
        <v>8409</v>
      </c>
      <c r="AB431" s="2" t="s">
        <v>8410</v>
      </c>
      <c r="AC431" s="2"/>
      <c r="AD431" s="2"/>
      <c r="AE431" s="2"/>
      <c r="AF431" s="2" t="s">
        <v>8411</v>
      </c>
      <c r="AG431" s="2">
        <v>9.0</v>
      </c>
      <c r="AH431" s="2">
        <v>0.0</v>
      </c>
      <c r="AI431" s="2">
        <v>0.0</v>
      </c>
      <c r="AJ431" s="2">
        <v>0.0</v>
      </c>
      <c r="AK431" s="2">
        <v>3.0</v>
      </c>
      <c r="AL431" s="2" t="s">
        <v>8412</v>
      </c>
      <c r="AM431" s="2" t="s">
        <v>8413</v>
      </c>
      <c r="AN431" s="2" t="s">
        <v>8414</v>
      </c>
      <c r="AO431" s="2" t="s">
        <v>8415</v>
      </c>
      <c r="AP431" s="2"/>
      <c r="AQ431" s="2" t="s">
        <v>8416</v>
      </c>
      <c r="AR431" s="2" t="s">
        <v>8417</v>
      </c>
      <c r="AS431" s="2"/>
      <c r="AT431" s="2"/>
      <c r="AU431" s="2">
        <v>2022.0</v>
      </c>
      <c r="AV431" s="2"/>
      <c r="AW431" s="2"/>
      <c r="AX431" s="2"/>
      <c r="AY431" s="2"/>
      <c r="AZ431" s="2"/>
      <c r="BA431" s="2"/>
      <c r="BB431" s="2">
        <v>161.0</v>
      </c>
      <c r="BC431" s="2">
        <v>165.0</v>
      </c>
      <c r="BD431" s="2"/>
      <c r="BE431" s="2"/>
      <c r="BF431" s="2"/>
      <c r="BG431" s="2"/>
      <c r="BH431" s="2"/>
      <c r="BI431" s="2">
        <v>5.0</v>
      </c>
      <c r="BJ431" s="2" t="s">
        <v>7692</v>
      </c>
      <c r="BK431" s="2" t="s">
        <v>1053</v>
      </c>
      <c r="BL431" s="2" t="s">
        <v>2067</v>
      </c>
      <c r="BM431" s="2" t="s">
        <v>8418</v>
      </c>
      <c r="BN431" s="2"/>
      <c r="BO431" s="2"/>
      <c r="BP431" s="2"/>
      <c r="BQ431" s="2"/>
      <c r="BR431" s="2" t="s">
        <v>99</v>
      </c>
      <c r="BS431" s="2" t="s">
        <v>8419</v>
      </c>
      <c r="BT431" s="2" t="str">
        <f>HYPERLINK("https%3A%2F%2Fwww.webofscience.com%2Fwos%2Fwoscc%2Ffull-record%2FWOS:000850447400023","View Full Record in Web of Science")</f>
        <v>View Full Record in Web of Science</v>
      </c>
    </row>
    <row r="432" ht="64.5" customHeight="1">
      <c r="A432" s="2" t="s">
        <v>110</v>
      </c>
      <c r="B432" s="2" t="s">
        <v>8420</v>
      </c>
      <c r="C432" s="2"/>
      <c r="D432" s="2" t="s">
        <v>8421</v>
      </c>
      <c r="E432" s="2"/>
      <c r="F432" s="2" t="s">
        <v>8422</v>
      </c>
      <c r="G432" s="2"/>
      <c r="H432" s="2"/>
      <c r="I432" s="2" t="s">
        <v>8423</v>
      </c>
      <c r="J432" s="2" t="s">
        <v>8424</v>
      </c>
      <c r="K432" s="2"/>
      <c r="L432" s="2"/>
      <c r="M432" s="2" t="s">
        <v>116</v>
      </c>
      <c r="N432" s="2" t="s">
        <v>117</v>
      </c>
      <c r="O432" s="2" t="s">
        <v>8425</v>
      </c>
      <c r="P432" s="2" t="s">
        <v>8426</v>
      </c>
      <c r="Q432" s="2" t="s">
        <v>8427</v>
      </c>
      <c r="R432" s="2"/>
      <c r="S432" s="2"/>
      <c r="T432" s="4" t="s">
        <v>121</v>
      </c>
      <c r="U432" s="2" t="s">
        <v>8428</v>
      </c>
      <c r="V432" s="2" t="s">
        <v>8429</v>
      </c>
      <c r="W432" s="2" t="s">
        <v>8430</v>
      </c>
      <c r="X432" s="2" t="s">
        <v>8431</v>
      </c>
      <c r="Y432" s="2" t="s">
        <v>8432</v>
      </c>
      <c r="Z432" s="2" t="s">
        <v>8433</v>
      </c>
      <c r="AA432" s="2" t="s">
        <v>8434</v>
      </c>
      <c r="AB432" s="2" t="s">
        <v>8435</v>
      </c>
      <c r="AC432" s="2"/>
      <c r="AD432" s="2"/>
      <c r="AE432" s="2"/>
      <c r="AF432" s="2" t="s">
        <v>8436</v>
      </c>
      <c r="AG432" s="2">
        <v>7.0</v>
      </c>
      <c r="AH432" s="2">
        <v>5.0</v>
      </c>
      <c r="AI432" s="2">
        <v>5.0</v>
      </c>
      <c r="AJ432" s="2">
        <v>0.0</v>
      </c>
      <c r="AK432" s="2">
        <v>6.0</v>
      </c>
      <c r="AL432" s="2" t="s">
        <v>8437</v>
      </c>
      <c r="AM432" s="2" t="s">
        <v>130</v>
      </c>
      <c r="AN432" s="2" t="s">
        <v>8438</v>
      </c>
      <c r="AO432" s="2"/>
      <c r="AP432" s="2"/>
      <c r="AQ432" s="2" t="s">
        <v>8439</v>
      </c>
      <c r="AR432" s="2"/>
      <c r="AS432" s="2"/>
      <c r="AT432" s="2"/>
      <c r="AU432" s="2">
        <v>2015.0</v>
      </c>
      <c r="AV432" s="2"/>
      <c r="AW432" s="2"/>
      <c r="AX432" s="2"/>
      <c r="AY432" s="2"/>
      <c r="AZ432" s="2"/>
      <c r="BA432" s="2"/>
      <c r="BB432" s="2">
        <v>194.0</v>
      </c>
      <c r="BC432" s="2">
        <v>203.0</v>
      </c>
      <c r="BD432" s="2"/>
      <c r="BE432" s="2"/>
      <c r="BF432" s="2"/>
      <c r="BG432" s="2"/>
      <c r="BH432" s="2"/>
      <c r="BI432" s="2">
        <v>10.0</v>
      </c>
      <c r="BJ432" s="2" t="s">
        <v>8440</v>
      </c>
      <c r="BK432" s="2" t="s">
        <v>1053</v>
      </c>
      <c r="BL432" s="2" t="s">
        <v>8441</v>
      </c>
      <c r="BM432" s="2" t="s">
        <v>8442</v>
      </c>
      <c r="BN432" s="2"/>
      <c r="BO432" s="2"/>
      <c r="BP432" s="2"/>
      <c r="BQ432" s="2"/>
      <c r="BR432" s="2" t="s">
        <v>99</v>
      </c>
      <c r="BS432" s="2" t="s">
        <v>8443</v>
      </c>
      <c r="BT432" s="2" t="str">
        <f>HYPERLINK("https%3A%2F%2Fwww.webofscience.com%2Fwos%2Fwoscc%2Ffull-record%2FWOS:000381033000021","View Full Record in Web of Science")</f>
        <v>View Full Record in Web of Science</v>
      </c>
    </row>
    <row r="433" ht="64.5" customHeight="1">
      <c r="A433" s="2" t="s">
        <v>72</v>
      </c>
      <c r="B433" s="2" t="s">
        <v>8444</v>
      </c>
      <c r="C433" s="2"/>
      <c r="D433" s="2"/>
      <c r="E433" s="2"/>
      <c r="F433" s="2" t="s">
        <v>8445</v>
      </c>
      <c r="G433" s="2"/>
      <c r="H433" s="2"/>
      <c r="I433" s="2" t="s">
        <v>8446</v>
      </c>
      <c r="J433" s="2" t="s">
        <v>2489</v>
      </c>
      <c r="K433" s="2"/>
      <c r="L433" s="2"/>
      <c r="M433" s="2" t="s">
        <v>116</v>
      </c>
      <c r="N433" s="2" t="s">
        <v>78</v>
      </c>
      <c r="O433" s="2"/>
      <c r="P433" s="2"/>
      <c r="Q433" s="2"/>
      <c r="R433" s="2"/>
      <c r="S433" s="2"/>
      <c r="T433" s="2" t="s">
        <v>8447</v>
      </c>
      <c r="U433" s="2"/>
      <c r="V433" s="2" t="s">
        <v>8448</v>
      </c>
      <c r="W433" s="2" t="s">
        <v>8449</v>
      </c>
      <c r="X433" s="2" t="s">
        <v>8450</v>
      </c>
      <c r="Y433" s="2" t="s">
        <v>8451</v>
      </c>
      <c r="Z433" s="2" t="s">
        <v>8452</v>
      </c>
      <c r="AA433" s="2"/>
      <c r="AB433" s="2" t="s">
        <v>8453</v>
      </c>
      <c r="AC433" s="2" t="s">
        <v>8454</v>
      </c>
      <c r="AD433" s="2" t="s">
        <v>8455</v>
      </c>
      <c r="AE433" s="2" t="s">
        <v>8456</v>
      </c>
      <c r="AF433" s="2" t="s">
        <v>8457</v>
      </c>
      <c r="AG433" s="2">
        <v>76.0</v>
      </c>
      <c r="AH433" s="2">
        <v>20.0</v>
      </c>
      <c r="AI433" s="2">
        <v>21.0</v>
      </c>
      <c r="AJ433" s="2">
        <v>2.0</v>
      </c>
      <c r="AK433" s="2">
        <v>15.0</v>
      </c>
      <c r="AL433" s="2" t="s">
        <v>188</v>
      </c>
      <c r="AM433" s="2" t="s">
        <v>189</v>
      </c>
      <c r="AN433" s="2" t="s">
        <v>190</v>
      </c>
      <c r="AO433" s="2" t="s">
        <v>2501</v>
      </c>
      <c r="AP433" s="2" t="s">
        <v>2502</v>
      </c>
      <c r="AQ433" s="2"/>
      <c r="AR433" s="2" t="s">
        <v>2503</v>
      </c>
      <c r="AS433" s="2" t="s">
        <v>2504</v>
      </c>
      <c r="AT433" s="2" t="s">
        <v>195</v>
      </c>
      <c r="AU433" s="2">
        <v>2021.0</v>
      </c>
      <c r="AV433" s="2">
        <v>151.0</v>
      </c>
      <c r="AW433" s="2"/>
      <c r="AX433" s="2"/>
      <c r="AY433" s="2"/>
      <c r="AZ433" s="2"/>
      <c r="BA433" s="2"/>
      <c r="BB433" s="2"/>
      <c r="BC433" s="2"/>
      <c r="BD433" s="2">
        <v>112152.0</v>
      </c>
      <c r="BE433" s="2" t="s">
        <v>8458</v>
      </c>
      <c r="BF433" s="3" t="str">
        <f>HYPERLINK("http://dx.doi.org/10.1016/j.enpol.2021.112152","http://dx.doi.org/10.1016/j.enpol.2021.112152")</f>
        <v>http://dx.doi.org/10.1016/j.enpol.2021.112152</v>
      </c>
      <c r="BG433" s="2"/>
      <c r="BH433" s="2" t="s">
        <v>361</v>
      </c>
      <c r="BI433" s="2">
        <v>15.0</v>
      </c>
      <c r="BJ433" s="2" t="s">
        <v>2506</v>
      </c>
      <c r="BK433" s="2" t="s">
        <v>363</v>
      </c>
      <c r="BL433" s="2" t="s">
        <v>2507</v>
      </c>
      <c r="BM433" s="2" t="s">
        <v>8459</v>
      </c>
      <c r="BN433" s="2"/>
      <c r="BO433" s="2" t="s">
        <v>2046</v>
      </c>
      <c r="BP433" s="2"/>
      <c r="BQ433" s="2"/>
      <c r="BR433" s="2" t="s">
        <v>99</v>
      </c>
      <c r="BS433" s="2" t="s">
        <v>8460</v>
      </c>
      <c r="BT433" s="2" t="str">
        <f>HYPERLINK("https%3A%2F%2Fwww.webofscience.com%2Fwos%2Fwoscc%2Ffull-record%2FWOS:000636270200012","View Full Record in Web of Science")</f>
        <v>View Full Record in Web of Science</v>
      </c>
    </row>
    <row r="434" ht="64.5" customHeight="1">
      <c r="A434" s="2" t="s">
        <v>72</v>
      </c>
      <c r="B434" s="2" t="s">
        <v>8461</v>
      </c>
      <c r="C434" s="2"/>
      <c r="D434" s="2"/>
      <c r="E434" s="2"/>
      <c r="F434" s="2" t="s">
        <v>8462</v>
      </c>
      <c r="G434" s="2"/>
      <c r="H434" s="2"/>
      <c r="I434" s="2" t="s">
        <v>8463</v>
      </c>
      <c r="J434" s="2" t="s">
        <v>1337</v>
      </c>
      <c r="K434" s="2"/>
      <c r="L434" s="2"/>
      <c r="M434" s="2" t="s">
        <v>116</v>
      </c>
      <c r="N434" s="2" t="s">
        <v>78</v>
      </c>
      <c r="O434" s="2"/>
      <c r="P434" s="2"/>
      <c r="Q434" s="2"/>
      <c r="R434" s="2"/>
      <c r="S434" s="2"/>
      <c r="T434" s="2" t="s">
        <v>8464</v>
      </c>
      <c r="U434" s="2" t="s">
        <v>8465</v>
      </c>
      <c r="V434" s="2" t="s">
        <v>8466</v>
      </c>
      <c r="W434" s="2" t="s">
        <v>8467</v>
      </c>
      <c r="X434" s="2" t="s">
        <v>8468</v>
      </c>
      <c r="Y434" s="2" t="s">
        <v>8469</v>
      </c>
      <c r="Z434" s="2" t="s">
        <v>8470</v>
      </c>
      <c r="AA434" s="2" t="s">
        <v>8471</v>
      </c>
      <c r="AB434" s="2" t="s">
        <v>8472</v>
      </c>
      <c r="AC434" s="2" t="s">
        <v>8473</v>
      </c>
      <c r="AD434" s="2" t="s">
        <v>8474</v>
      </c>
      <c r="AE434" s="2" t="s">
        <v>8475</v>
      </c>
      <c r="AF434" s="2" t="s">
        <v>8476</v>
      </c>
      <c r="AG434" s="2">
        <v>82.0</v>
      </c>
      <c r="AH434" s="2">
        <v>26.0</v>
      </c>
      <c r="AI434" s="2">
        <v>28.0</v>
      </c>
      <c r="AJ434" s="2">
        <v>3.0</v>
      </c>
      <c r="AK434" s="2">
        <v>30.0</v>
      </c>
      <c r="AL434" s="2" t="s">
        <v>1346</v>
      </c>
      <c r="AM434" s="2" t="s">
        <v>428</v>
      </c>
      <c r="AN434" s="2" t="s">
        <v>1347</v>
      </c>
      <c r="AO434" s="2" t="s">
        <v>1348</v>
      </c>
      <c r="AP434" s="2" t="s">
        <v>1349</v>
      </c>
      <c r="AQ434" s="2"/>
      <c r="AR434" s="2" t="s">
        <v>1350</v>
      </c>
      <c r="AS434" s="2" t="s">
        <v>1351</v>
      </c>
      <c r="AT434" s="2" t="s">
        <v>1073</v>
      </c>
      <c r="AU434" s="2">
        <v>2019.0</v>
      </c>
      <c r="AV434" s="2">
        <v>51.0</v>
      </c>
      <c r="AW434" s="2"/>
      <c r="AX434" s="2"/>
      <c r="AY434" s="2"/>
      <c r="AZ434" s="2"/>
      <c r="BA434" s="2"/>
      <c r="BB434" s="2">
        <v>176.0</v>
      </c>
      <c r="BC434" s="2">
        <v>186.0</v>
      </c>
      <c r="BD434" s="2"/>
      <c r="BE434" s="2" t="s">
        <v>8477</v>
      </c>
      <c r="BF434" s="3" t="str">
        <f>HYPERLINK("http://dx.doi.org/10.1016/j.erss.2019.01.014","http://dx.doi.org/10.1016/j.erss.2019.01.014")</f>
        <v>http://dx.doi.org/10.1016/j.erss.2019.01.014</v>
      </c>
      <c r="BG434" s="2"/>
      <c r="BH434" s="2"/>
      <c r="BI434" s="2">
        <v>11.0</v>
      </c>
      <c r="BJ434" s="2" t="s">
        <v>95</v>
      </c>
      <c r="BK434" s="2" t="s">
        <v>166</v>
      </c>
      <c r="BL434" s="2" t="s">
        <v>97</v>
      </c>
      <c r="BM434" s="2" t="s">
        <v>8478</v>
      </c>
      <c r="BN434" s="2"/>
      <c r="BO434" s="2"/>
      <c r="BP434" s="2"/>
      <c r="BQ434" s="2"/>
      <c r="BR434" s="2" t="s">
        <v>99</v>
      </c>
      <c r="BS434" s="2" t="s">
        <v>8479</v>
      </c>
      <c r="BT434" s="2" t="str">
        <f>HYPERLINK("https%3A%2F%2Fwww.webofscience.com%2Fwos%2Fwoscc%2Ffull-record%2FWOS:000465315300019","View Full Record in Web of Science")</f>
        <v>View Full Record in Web of Science</v>
      </c>
    </row>
    <row r="435" ht="64.5" customHeight="1">
      <c r="A435" s="2" t="s">
        <v>72</v>
      </c>
      <c r="B435" s="2" t="s">
        <v>8480</v>
      </c>
      <c r="C435" s="2"/>
      <c r="D435" s="2"/>
      <c r="E435" s="2"/>
      <c r="F435" s="2" t="s">
        <v>8481</v>
      </c>
      <c r="G435" s="2"/>
      <c r="H435" s="2"/>
      <c r="I435" s="2" t="s">
        <v>8482</v>
      </c>
      <c r="J435" s="2" t="s">
        <v>851</v>
      </c>
      <c r="K435" s="2"/>
      <c r="L435" s="2"/>
      <c r="M435" s="2" t="s">
        <v>116</v>
      </c>
      <c r="N435" s="2" t="s">
        <v>78</v>
      </c>
      <c r="O435" s="2"/>
      <c r="P435" s="2"/>
      <c r="Q435" s="2"/>
      <c r="R435" s="2"/>
      <c r="S435" s="2"/>
      <c r="T435" s="2" t="s">
        <v>8483</v>
      </c>
      <c r="U435" s="2" t="s">
        <v>8484</v>
      </c>
      <c r="V435" s="2" t="s">
        <v>8485</v>
      </c>
      <c r="W435" s="2" t="s">
        <v>8486</v>
      </c>
      <c r="X435" s="2" t="s">
        <v>8487</v>
      </c>
      <c r="Y435" s="2" t="s">
        <v>8488</v>
      </c>
      <c r="Z435" s="2" t="s">
        <v>8489</v>
      </c>
      <c r="AA435" s="2" t="s">
        <v>8490</v>
      </c>
      <c r="AB435" s="2" t="s">
        <v>8491</v>
      </c>
      <c r="AC435" s="2" t="s">
        <v>8492</v>
      </c>
      <c r="AD435" s="2" t="s">
        <v>1627</v>
      </c>
      <c r="AE435" s="2"/>
      <c r="AF435" s="2" t="s">
        <v>8493</v>
      </c>
      <c r="AG435" s="2">
        <v>73.0</v>
      </c>
      <c r="AH435" s="2">
        <v>47.0</v>
      </c>
      <c r="AI435" s="2">
        <v>50.0</v>
      </c>
      <c r="AJ435" s="2">
        <v>3.0</v>
      </c>
      <c r="AK435" s="2">
        <v>28.0</v>
      </c>
      <c r="AL435" s="2" t="s">
        <v>188</v>
      </c>
      <c r="AM435" s="2" t="s">
        <v>189</v>
      </c>
      <c r="AN435" s="2" t="s">
        <v>190</v>
      </c>
      <c r="AO435" s="2" t="s">
        <v>863</v>
      </c>
      <c r="AP435" s="2" t="s">
        <v>864</v>
      </c>
      <c r="AQ435" s="2"/>
      <c r="AR435" s="2" t="s">
        <v>865</v>
      </c>
      <c r="AS435" s="2" t="s">
        <v>866</v>
      </c>
      <c r="AT435" s="2" t="s">
        <v>8494</v>
      </c>
      <c r="AU435" s="2">
        <v>2016.0</v>
      </c>
      <c r="AV435" s="2">
        <v>111.0</v>
      </c>
      <c r="AW435" s="2"/>
      <c r="AX435" s="2" t="s">
        <v>8495</v>
      </c>
      <c r="AY435" s="2"/>
      <c r="AZ435" s="2"/>
      <c r="BA435" s="2"/>
      <c r="BB435" s="2">
        <v>399.0</v>
      </c>
      <c r="BC435" s="2">
        <v>408.0</v>
      </c>
      <c r="BD435" s="2"/>
      <c r="BE435" s="2" t="s">
        <v>8496</v>
      </c>
      <c r="BF435" s="3" t="str">
        <f>HYPERLINK("http://dx.doi.org/10.1016/j.jclepro.2014.09.028","http://dx.doi.org/10.1016/j.jclepro.2014.09.028")</f>
        <v>http://dx.doi.org/10.1016/j.jclepro.2014.09.028</v>
      </c>
      <c r="BG435" s="2"/>
      <c r="BH435" s="2"/>
      <c r="BI435" s="2">
        <v>10.0</v>
      </c>
      <c r="BJ435" s="2" t="s">
        <v>870</v>
      </c>
      <c r="BK435" s="2" t="s">
        <v>363</v>
      </c>
      <c r="BL435" s="2" t="s">
        <v>871</v>
      </c>
      <c r="BM435" s="2" t="s">
        <v>8497</v>
      </c>
      <c r="BN435" s="2"/>
      <c r="BO435" s="2" t="s">
        <v>169</v>
      </c>
      <c r="BP435" s="2"/>
      <c r="BQ435" s="2"/>
      <c r="BR435" s="2" t="s">
        <v>99</v>
      </c>
      <c r="BS435" s="2" t="s">
        <v>8498</v>
      </c>
      <c r="BT435" s="2" t="str">
        <f>HYPERLINK("https%3A%2F%2Fwww.webofscience.com%2Fwos%2Fwoscc%2Ffull-record%2FWOS:000367862100011","View Full Record in Web of Science")</f>
        <v>View Full Record in Web of Science</v>
      </c>
    </row>
    <row r="436" ht="64.5" customHeight="1">
      <c r="A436" s="2" t="s">
        <v>72</v>
      </c>
      <c r="B436" s="2" t="s">
        <v>8499</v>
      </c>
      <c r="C436" s="2"/>
      <c r="D436" s="2"/>
      <c r="E436" s="2"/>
      <c r="F436" s="2" t="s">
        <v>8500</v>
      </c>
      <c r="G436" s="2"/>
      <c r="H436" s="2"/>
      <c r="I436" s="2" t="s">
        <v>8501</v>
      </c>
      <c r="J436" s="2" t="s">
        <v>8502</v>
      </c>
      <c r="K436" s="2"/>
      <c r="L436" s="2"/>
      <c r="M436" s="2" t="s">
        <v>116</v>
      </c>
      <c r="N436" s="2" t="s">
        <v>78</v>
      </c>
      <c r="O436" s="2"/>
      <c r="P436" s="2"/>
      <c r="Q436" s="2"/>
      <c r="R436" s="2"/>
      <c r="S436" s="2"/>
      <c r="T436" s="2" t="s">
        <v>8503</v>
      </c>
      <c r="U436" s="2" t="s">
        <v>8504</v>
      </c>
      <c r="V436" s="2" t="s">
        <v>8505</v>
      </c>
      <c r="W436" s="2" t="s">
        <v>8506</v>
      </c>
      <c r="X436" s="2" t="s">
        <v>6534</v>
      </c>
      <c r="Y436" s="2" t="s">
        <v>8507</v>
      </c>
      <c r="Z436" s="2" t="s">
        <v>8508</v>
      </c>
      <c r="AA436" s="2"/>
      <c r="AB436" s="2"/>
      <c r="AC436" s="2" t="s">
        <v>8509</v>
      </c>
      <c r="AD436" s="2" t="s">
        <v>8509</v>
      </c>
      <c r="AE436" s="2" t="s">
        <v>8510</v>
      </c>
      <c r="AF436" s="2" t="s">
        <v>8511</v>
      </c>
      <c r="AG436" s="2">
        <v>130.0</v>
      </c>
      <c r="AH436" s="2">
        <v>40.0</v>
      </c>
      <c r="AI436" s="2">
        <v>40.0</v>
      </c>
      <c r="AJ436" s="2">
        <v>2.0</v>
      </c>
      <c r="AK436" s="2">
        <v>23.0</v>
      </c>
      <c r="AL436" s="2" t="s">
        <v>216</v>
      </c>
      <c r="AM436" s="2" t="s">
        <v>189</v>
      </c>
      <c r="AN436" s="2" t="s">
        <v>217</v>
      </c>
      <c r="AO436" s="2" t="s">
        <v>8512</v>
      </c>
      <c r="AP436" s="2" t="s">
        <v>8513</v>
      </c>
      <c r="AQ436" s="2"/>
      <c r="AR436" s="2" t="s">
        <v>8502</v>
      </c>
      <c r="AS436" s="2" t="s">
        <v>8514</v>
      </c>
      <c r="AT436" s="2" t="s">
        <v>8515</v>
      </c>
      <c r="AU436" s="2">
        <v>2019.0</v>
      </c>
      <c r="AV436" s="2">
        <v>174.0</v>
      </c>
      <c r="AW436" s="2"/>
      <c r="AX436" s="2"/>
      <c r="AY436" s="2"/>
      <c r="AZ436" s="2"/>
      <c r="BA436" s="2"/>
      <c r="BB436" s="2">
        <v>148.0</v>
      </c>
      <c r="BC436" s="2">
        <v>168.0</v>
      </c>
      <c r="BD436" s="2"/>
      <c r="BE436" s="2" t="s">
        <v>8516</v>
      </c>
      <c r="BF436" s="3" t="str">
        <f>HYPERLINK("http://dx.doi.org/10.1016/j.energy.2019.01.157","http://dx.doi.org/10.1016/j.energy.2019.01.157")</f>
        <v>http://dx.doi.org/10.1016/j.energy.2019.01.157</v>
      </c>
      <c r="BG436" s="2"/>
      <c r="BH436" s="2"/>
      <c r="BI436" s="2">
        <v>21.0</v>
      </c>
      <c r="BJ436" s="2" t="s">
        <v>8517</v>
      </c>
      <c r="BK436" s="2" t="s">
        <v>363</v>
      </c>
      <c r="BL436" s="2" t="s">
        <v>8517</v>
      </c>
      <c r="BM436" s="2" t="s">
        <v>8518</v>
      </c>
      <c r="BN436" s="2"/>
      <c r="BO436" s="2" t="s">
        <v>169</v>
      </c>
      <c r="BP436" s="2"/>
      <c r="BQ436" s="2"/>
      <c r="BR436" s="2" t="s">
        <v>99</v>
      </c>
      <c r="BS436" s="2" t="s">
        <v>8519</v>
      </c>
      <c r="BT436" s="2" t="str">
        <f>HYPERLINK("https%3A%2F%2Fwww.webofscience.com%2Fwos%2Fwoscc%2Ffull-record%2FWOS:000469309200014","View Full Record in Web of Science")</f>
        <v>View Full Record in Web of Science</v>
      </c>
    </row>
    <row r="437" ht="64.5" customHeight="1">
      <c r="A437" s="2" t="s">
        <v>72</v>
      </c>
      <c r="B437" s="2" t="s">
        <v>8520</v>
      </c>
      <c r="C437" s="2"/>
      <c r="D437" s="2"/>
      <c r="E437" s="2"/>
      <c r="F437" s="2" t="s">
        <v>8521</v>
      </c>
      <c r="G437" s="2"/>
      <c r="H437" s="2"/>
      <c r="I437" s="2" t="s">
        <v>8522</v>
      </c>
      <c r="J437" s="2" t="s">
        <v>8523</v>
      </c>
      <c r="K437" s="2"/>
      <c r="L437" s="2"/>
      <c r="M437" s="2" t="s">
        <v>116</v>
      </c>
      <c r="N437" s="2" t="s">
        <v>78</v>
      </c>
      <c r="O437" s="2"/>
      <c r="P437" s="2"/>
      <c r="Q437" s="2"/>
      <c r="R437" s="2"/>
      <c r="S437" s="2"/>
      <c r="T437" s="2" t="s">
        <v>8524</v>
      </c>
      <c r="U437" s="2" t="s">
        <v>8525</v>
      </c>
      <c r="V437" s="2" t="s">
        <v>8526</v>
      </c>
      <c r="W437" s="2" t="s">
        <v>8527</v>
      </c>
      <c r="X437" s="2" t="s">
        <v>2110</v>
      </c>
      <c r="Y437" s="2" t="s">
        <v>8528</v>
      </c>
      <c r="Z437" s="2" t="s">
        <v>2112</v>
      </c>
      <c r="AA437" s="2" t="s">
        <v>2113</v>
      </c>
      <c r="AB437" s="2" t="s">
        <v>8529</v>
      </c>
      <c r="AC437" s="2"/>
      <c r="AD437" s="2"/>
      <c r="AE437" s="2"/>
      <c r="AF437" s="2" t="s">
        <v>8530</v>
      </c>
      <c r="AG437" s="2">
        <v>58.0</v>
      </c>
      <c r="AH437" s="2">
        <v>22.0</v>
      </c>
      <c r="AI437" s="2">
        <v>23.0</v>
      </c>
      <c r="AJ437" s="2">
        <v>4.0</v>
      </c>
      <c r="AK437" s="2">
        <v>35.0</v>
      </c>
      <c r="AL437" s="2" t="s">
        <v>156</v>
      </c>
      <c r="AM437" s="2" t="s">
        <v>157</v>
      </c>
      <c r="AN437" s="2" t="s">
        <v>158</v>
      </c>
      <c r="AO437" s="2" t="s">
        <v>8531</v>
      </c>
      <c r="AP437" s="2" t="s">
        <v>8532</v>
      </c>
      <c r="AQ437" s="2"/>
      <c r="AR437" s="2" t="s">
        <v>8533</v>
      </c>
      <c r="AS437" s="2" t="s">
        <v>8534</v>
      </c>
      <c r="AT437" s="2"/>
      <c r="AU437" s="2">
        <v>2016.0</v>
      </c>
      <c r="AV437" s="2">
        <v>21.0</v>
      </c>
      <c r="AW437" s="2">
        <v>7.0</v>
      </c>
      <c r="AX437" s="2"/>
      <c r="AY437" s="2"/>
      <c r="AZ437" s="2"/>
      <c r="BA437" s="2"/>
      <c r="BB437" s="2">
        <v>883.0</v>
      </c>
      <c r="BC437" s="2">
        <v>897.0</v>
      </c>
      <c r="BD437" s="2"/>
      <c r="BE437" s="2" t="s">
        <v>8535</v>
      </c>
      <c r="BF437" s="3" t="str">
        <f>HYPERLINK("http://dx.doi.org/10.1080/13549839.2015.1038986","http://dx.doi.org/10.1080/13549839.2015.1038986")</f>
        <v>http://dx.doi.org/10.1080/13549839.2015.1038986</v>
      </c>
      <c r="BG437" s="2"/>
      <c r="BH437" s="2"/>
      <c r="BI437" s="2">
        <v>15.0</v>
      </c>
      <c r="BJ437" s="2" t="s">
        <v>8536</v>
      </c>
      <c r="BK437" s="2" t="s">
        <v>363</v>
      </c>
      <c r="BL437" s="2" t="s">
        <v>8537</v>
      </c>
      <c r="BM437" s="2" t="s">
        <v>8538</v>
      </c>
      <c r="BN437" s="2"/>
      <c r="BO437" s="2" t="s">
        <v>2127</v>
      </c>
      <c r="BP437" s="2"/>
      <c r="BQ437" s="2"/>
      <c r="BR437" s="2" t="s">
        <v>99</v>
      </c>
      <c r="BS437" s="2" t="s">
        <v>8539</v>
      </c>
      <c r="BT437" s="2" t="str">
        <f>HYPERLINK("https%3A%2F%2Fwww.webofscience.com%2Fwos%2Fwoscc%2Ffull-record%2FWOS:000391263200006","View Full Record in Web of Science")</f>
        <v>View Full Record in Web of Science</v>
      </c>
    </row>
    <row r="438" ht="64.5" customHeight="1">
      <c r="A438" s="2" t="s">
        <v>72</v>
      </c>
      <c r="B438" s="2" t="s">
        <v>8540</v>
      </c>
      <c r="C438" s="2"/>
      <c r="D438" s="2"/>
      <c r="E438" s="2"/>
      <c r="F438" s="2" t="s">
        <v>8541</v>
      </c>
      <c r="G438" s="2"/>
      <c r="H438" s="2"/>
      <c r="I438" s="2" t="s">
        <v>8542</v>
      </c>
      <c r="J438" s="2" t="s">
        <v>8543</v>
      </c>
      <c r="K438" s="2"/>
      <c r="L438" s="2"/>
      <c r="M438" s="2" t="s">
        <v>116</v>
      </c>
      <c r="N438" s="2" t="s">
        <v>643</v>
      </c>
      <c r="O438" s="2"/>
      <c r="P438" s="2"/>
      <c r="Q438" s="2"/>
      <c r="R438" s="2"/>
      <c r="S438" s="2"/>
      <c r="T438" s="2" t="s">
        <v>8544</v>
      </c>
      <c r="U438" s="2" t="s">
        <v>8545</v>
      </c>
      <c r="V438" s="2" t="s">
        <v>8546</v>
      </c>
      <c r="W438" s="2" t="s">
        <v>8547</v>
      </c>
      <c r="X438" s="2" t="s">
        <v>8548</v>
      </c>
      <c r="Y438" s="2" t="s">
        <v>8549</v>
      </c>
      <c r="Z438" s="2" t="s">
        <v>8550</v>
      </c>
      <c r="AA438" s="2" t="s">
        <v>8551</v>
      </c>
      <c r="AB438" s="2" t="s">
        <v>8552</v>
      </c>
      <c r="AC438" s="2" t="s">
        <v>8553</v>
      </c>
      <c r="AD438" s="2" t="s">
        <v>8554</v>
      </c>
      <c r="AE438" s="2" t="s">
        <v>8555</v>
      </c>
      <c r="AF438" s="2" t="s">
        <v>8556</v>
      </c>
      <c r="AG438" s="2">
        <v>37.0</v>
      </c>
      <c r="AH438" s="2">
        <v>2.0</v>
      </c>
      <c r="AI438" s="2">
        <v>2.0</v>
      </c>
      <c r="AJ438" s="2">
        <v>4.0</v>
      </c>
      <c r="AK438" s="2">
        <v>8.0</v>
      </c>
      <c r="AL438" s="2" t="s">
        <v>8557</v>
      </c>
      <c r="AM438" s="2" t="s">
        <v>8558</v>
      </c>
      <c r="AN438" s="2" t="s">
        <v>8559</v>
      </c>
      <c r="AO438" s="2" t="s">
        <v>8560</v>
      </c>
      <c r="AP438" s="2" t="s">
        <v>8561</v>
      </c>
      <c r="AQ438" s="2"/>
      <c r="AR438" s="2" t="s">
        <v>8562</v>
      </c>
      <c r="AS438" s="2" t="s">
        <v>8563</v>
      </c>
      <c r="AT438" s="2"/>
      <c r="AU438" s="2">
        <v>2022.0</v>
      </c>
      <c r="AV438" s="2">
        <v>22.0</v>
      </c>
      <c r="AW438" s="2"/>
      <c r="AX438" s="2"/>
      <c r="AY438" s="2"/>
      <c r="AZ438" s="2" t="s">
        <v>359</v>
      </c>
      <c r="BA438" s="2"/>
      <c r="BB438" s="2"/>
      <c r="BC438" s="2"/>
      <c r="BD438" s="2" t="s">
        <v>8564</v>
      </c>
      <c r="BE438" s="2" t="s">
        <v>8565</v>
      </c>
      <c r="BF438" s="3" t="str">
        <f>HYPERLINK("http://dx.doi.org/10.1590/1676-0611-BN-2022-1385","http://dx.doi.org/10.1590/1676-0611-BN-2022-1385")</f>
        <v>http://dx.doi.org/10.1590/1676-0611-BN-2022-1385</v>
      </c>
      <c r="BG438" s="2"/>
      <c r="BH438" s="2"/>
      <c r="BI438" s="2">
        <v>11.0</v>
      </c>
      <c r="BJ438" s="2" t="s">
        <v>1251</v>
      </c>
      <c r="BK438" s="2" t="s">
        <v>226</v>
      </c>
      <c r="BL438" s="2" t="s">
        <v>1252</v>
      </c>
      <c r="BM438" s="2" t="s">
        <v>8566</v>
      </c>
      <c r="BN438" s="2"/>
      <c r="BO438" s="2" t="s">
        <v>255</v>
      </c>
      <c r="BP438" s="2"/>
      <c r="BQ438" s="2"/>
      <c r="BR438" s="2" t="s">
        <v>99</v>
      </c>
      <c r="BS438" s="2" t="s">
        <v>8567</v>
      </c>
      <c r="BT438" s="2" t="str">
        <f>HYPERLINK("https%3A%2F%2Fwww.webofscience.com%2Fwos%2Fwoscc%2Ffull-record%2FWOS:000875805900001","View Full Record in Web of Science")</f>
        <v>View Full Record in Web of Science</v>
      </c>
    </row>
    <row r="439" ht="64.5" customHeight="1">
      <c r="A439" s="2" t="s">
        <v>72</v>
      </c>
      <c r="B439" s="2" t="s">
        <v>8568</v>
      </c>
      <c r="C439" s="2"/>
      <c r="D439" s="2"/>
      <c r="E439" s="2"/>
      <c r="F439" s="2" t="s">
        <v>8569</v>
      </c>
      <c r="G439" s="2"/>
      <c r="H439" s="2"/>
      <c r="I439" s="2" t="s">
        <v>8570</v>
      </c>
      <c r="J439" s="2" t="s">
        <v>233</v>
      </c>
      <c r="K439" s="2"/>
      <c r="L439" s="2"/>
      <c r="M439" s="2" t="s">
        <v>116</v>
      </c>
      <c r="N439" s="2" t="s">
        <v>78</v>
      </c>
      <c r="O439" s="2"/>
      <c r="P439" s="2"/>
      <c r="Q439" s="2"/>
      <c r="R439" s="2"/>
      <c r="S439" s="2"/>
      <c r="T439" s="2" t="s">
        <v>8571</v>
      </c>
      <c r="U439" s="2" t="s">
        <v>8572</v>
      </c>
      <c r="V439" s="2" t="s">
        <v>8573</v>
      </c>
      <c r="W439" s="2" t="s">
        <v>8574</v>
      </c>
      <c r="X439" s="2" t="s">
        <v>8575</v>
      </c>
      <c r="Y439" s="2" t="s">
        <v>8576</v>
      </c>
      <c r="Z439" s="2" t="s">
        <v>8577</v>
      </c>
      <c r="AA439" s="2" t="s">
        <v>8578</v>
      </c>
      <c r="AB439" s="2" t="s">
        <v>8579</v>
      </c>
      <c r="AC439" s="2"/>
      <c r="AD439" s="2"/>
      <c r="AE439" s="2"/>
      <c r="AF439" s="2" t="s">
        <v>8580</v>
      </c>
      <c r="AG439" s="2">
        <v>72.0</v>
      </c>
      <c r="AH439" s="2">
        <v>5.0</v>
      </c>
      <c r="AI439" s="2">
        <v>6.0</v>
      </c>
      <c r="AJ439" s="2">
        <v>1.0</v>
      </c>
      <c r="AK439" s="2">
        <v>25.0</v>
      </c>
      <c r="AL439" s="2" t="s">
        <v>246</v>
      </c>
      <c r="AM439" s="2" t="s">
        <v>247</v>
      </c>
      <c r="AN439" s="2" t="s">
        <v>248</v>
      </c>
      <c r="AO439" s="2"/>
      <c r="AP439" s="2" t="s">
        <v>249</v>
      </c>
      <c r="AQ439" s="2"/>
      <c r="AR439" s="2" t="s">
        <v>250</v>
      </c>
      <c r="AS439" s="2" t="s">
        <v>251</v>
      </c>
      <c r="AT439" s="2" t="s">
        <v>8581</v>
      </c>
      <c r="AU439" s="2">
        <v>2021.0</v>
      </c>
      <c r="AV439" s="2">
        <v>8.0</v>
      </c>
      <c r="AW439" s="2"/>
      <c r="AX439" s="2"/>
      <c r="AY439" s="2"/>
      <c r="AZ439" s="2"/>
      <c r="BA439" s="2"/>
      <c r="BB439" s="2"/>
      <c r="BC439" s="2"/>
      <c r="BD439" s="2">
        <v>610397.0</v>
      </c>
      <c r="BE439" s="2" t="s">
        <v>8582</v>
      </c>
      <c r="BF439" s="3" t="str">
        <f>HYPERLINK("http://dx.doi.org/10.3389/fmars.2021.610397","http://dx.doi.org/10.3389/fmars.2021.610397")</f>
        <v>http://dx.doi.org/10.3389/fmars.2021.610397</v>
      </c>
      <c r="BG439" s="2"/>
      <c r="BH439" s="2"/>
      <c r="BI439" s="2">
        <v>17.0</v>
      </c>
      <c r="BJ439" s="2" t="s">
        <v>225</v>
      </c>
      <c r="BK439" s="2" t="s">
        <v>363</v>
      </c>
      <c r="BL439" s="2" t="s">
        <v>227</v>
      </c>
      <c r="BM439" s="2" t="s">
        <v>8583</v>
      </c>
      <c r="BN439" s="2"/>
      <c r="BO439" s="2" t="s">
        <v>8584</v>
      </c>
      <c r="BP439" s="2"/>
      <c r="BQ439" s="2"/>
      <c r="BR439" s="2" t="s">
        <v>99</v>
      </c>
      <c r="BS439" s="2" t="s">
        <v>8585</v>
      </c>
      <c r="BT439" s="2" t="str">
        <f>HYPERLINK("https%3A%2F%2Fwww.webofscience.com%2Fwos%2Fwoscc%2Ffull-record%2FWOS:000651365600004","View Full Record in Web of Science")</f>
        <v>View Full Record in Web of Science</v>
      </c>
    </row>
    <row r="440" ht="64.5" customHeight="1">
      <c r="A440" s="2" t="s">
        <v>110</v>
      </c>
      <c r="B440" s="2" t="s">
        <v>8586</v>
      </c>
      <c r="C440" s="2"/>
      <c r="D440" s="2"/>
      <c r="E440" s="2" t="s">
        <v>129</v>
      </c>
      <c r="F440" s="2" t="s">
        <v>8587</v>
      </c>
      <c r="G440" s="2"/>
      <c r="H440" s="2"/>
      <c r="I440" s="2" t="s">
        <v>8588</v>
      </c>
      <c r="J440" s="2" t="s">
        <v>8589</v>
      </c>
      <c r="K440" s="2"/>
      <c r="L440" s="2"/>
      <c r="M440" s="2" t="s">
        <v>116</v>
      </c>
      <c r="N440" s="2" t="s">
        <v>117</v>
      </c>
      <c r="O440" s="2" t="s">
        <v>8590</v>
      </c>
      <c r="P440" s="2" t="s">
        <v>8591</v>
      </c>
      <c r="Q440" s="2" t="s">
        <v>3193</v>
      </c>
      <c r="R440" s="2"/>
      <c r="S440" s="2"/>
      <c r="T440" s="2" t="s">
        <v>8592</v>
      </c>
      <c r="U440" s="2"/>
      <c r="V440" s="2" t="s">
        <v>8593</v>
      </c>
      <c r="W440" s="2" t="s">
        <v>8594</v>
      </c>
      <c r="X440" s="2" t="s">
        <v>8595</v>
      </c>
      <c r="Y440" s="2" t="s">
        <v>8596</v>
      </c>
      <c r="Z440" s="2" t="s">
        <v>8597</v>
      </c>
      <c r="AA440" s="2"/>
      <c r="AB440" s="2"/>
      <c r="AC440" s="2" t="s">
        <v>8598</v>
      </c>
      <c r="AD440" s="2" t="s">
        <v>8598</v>
      </c>
      <c r="AE440" s="2" t="s">
        <v>8599</v>
      </c>
      <c r="AF440" s="2" t="s">
        <v>8600</v>
      </c>
      <c r="AG440" s="2">
        <v>8.0</v>
      </c>
      <c r="AH440" s="2">
        <v>0.0</v>
      </c>
      <c r="AI440" s="2">
        <v>0.0</v>
      </c>
      <c r="AJ440" s="2">
        <v>1.0</v>
      </c>
      <c r="AK440" s="2">
        <v>5.0</v>
      </c>
      <c r="AL440" s="2" t="s">
        <v>8601</v>
      </c>
      <c r="AM440" s="2" t="s">
        <v>8602</v>
      </c>
      <c r="AN440" s="2" t="s">
        <v>8603</v>
      </c>
      <c r="AO440" s="2"/>
      <c r="AP440" s="2"/>
      <c r="AQ440" s="2" t="s">
        <v>8604</v>
      </c>
      <c r="AR440" s="2"/>
      <c r="AS440" s="2"/>
      <c r="AT440" s="2"/>
      <c r="AU440" s="2">
        <v>2022.0</v>
      </c>
      <c r="AV440" s="2"/>
      <c r="AW440" s="2"/>
      <c r="AX440" s="2"/>
      <c r="AY440" s="2"/>
      <c r="AZ440" s="2"/>
      <c r="BA440" s="2"/>
      <c r="BB440" s="2">
        <v>37.0</v>
      </c>
      <c r="BC440" s="2">
        <v>40.0</v>
      </c>
      <c r="BD440" s="2"/>
      <c r="BE440" s="2" t="s">
        <v>8605</v>
      </c>
      <c r="BF440" s="3" t="str">
        <f>HYPERLINK("http://dx.doi.org/10.1109/FCSIT57414.2022.00019","http://dx.doi.org/10.1109/FCSIT57414.2022.00019")</f>
        <v>http://dx.doi.org/10.1109/FCSIT57414.2022.00019</v>
      </c>
      <c r="BG440" s="2"/>
      <c r="BH440" s="2"/>
      <c r="BI440" s="2">
        <v>4.0</v>
      </c>
      <c r="BJ440" s="2" t="s">
        <v>8606</v>
      </c>
      <c r="BK440" s="2" t="s">
        <v>135</v>
      </c>
      <c r="BL440" s="2" t="s">
        <v>1402</v>
      </c>
      <c r="BM440" s="2" t="s">
        <v>8607</v>
      </c>
      <c r="BN440" s="2"/>
      <c r="BO440" s="2"/>
      <c r="BP440" s="2"/>
      <c r="BQ440" s="2"/>
      <c r="BR440" s="2" t="s">
        <v>99</v>
      </c>
      <c r="BS440" s="2" t="s">
        <v>8608</v>
      </c>
      <c r="BT440" s="2" t="str">
        <f>HYPERLINK("https%3A%2F%2Fwww.webofscience.com%2Fwos%2Fwoscc%2Ffull-record%2FWOS:000986715000008","View Full Record in Web of Science")</f>
        <v>View Full Record in Web of Science</v>
      </c>
    </row>
    <row r="441" ht="64.5" customHeight="1">
      <c r="A441" s="2" t="s">
        <v>110</v>
      </c>
      <c r="B441" s="2" t="s">
        <v>8609</v>
      </c>
      <c r="C441" s="2"/>
      <c r="D441" s="2"/>
      <c r="E441" s="2" t="s">
        <v>8610</v>
      </c>
      <c r="F441" s="2" t="s">
        <v>8609</v>
      </c>
      <c r="G441" s="2"/>
      <c r="H441" s="2"/>
      <c r="I441" s="2" t="s">
        <v>8611</v>
      </c>
      <c r="J441" s="2" t="s">
        <v>8612</v>
      </c>
      <c r="K441" s="2" t="s">
        <v>8613</v>
      </c>
      <c r="L441" s="2"/>
      <c r="M441" s="2" t="s">
        <v>116</v>
      </c>
      <c r="N441" s="2" t="s">
        <v>117</v>
      </c>
      <c r="O441" s="2" t="s">
        <v>8614</v>
      </c>
      <c r="P441" s="2" t="s">
        <v>8615</v>
      </c>
      <c r="Q441" s="2" t="s">
        <v>8616</v>
      </c>
      <c r="R441" s="2"/>
      <c r="S441" s="2"/>
      <c r="T441" s="2" t="s">
        <v>8617</v>
      </c>
      <c r="U441" s="2"/>
      <c r="V441" s="2" t="s">
        <v>8618</v>
      </c>
      <c r="W441" s="2" t="s">
        <v>8619</v>
      </c>
      <c r="X441" s="2" t="s">
        <v>8620</v>
      </c>
      <c r="Y441" s="2" t="s">
        <v>8621</v>
      </c>
      <c r="Z441" s="2"/>
      <c r="AA441" s="2"/>
      <c r="AB441" s="2"/>
      <c r="AC441" s="2"/>
      <c r="AD441" s="2"/>
      <c r="AE441" s="2"/>
      <c r="AF441" s="2" t="s">
        <v>8622</v>
      </c>
      <c r="AG441" s="2">
        <v>4.0</v>
      </c>
      <c r="AH441" s="2">
        <v>0.0</v>
      </c>
      <c r="AI441" s="2">
        <v>0.0</v>
      </c>
      <c r="AJ441" s="2">
        <v>0.0</v>
      </c>
      <c r="AK441" s="2">
        <v>2.0</v>
      </c>
      <c r="AL441" s="2" t="s">
        <v>129</v>
      </c>
      <c r="AM441" s="2" t="s">
        <v>130</v>
      </c>
      <c r="AN441" s="2" t="s">
        <v>131</v>
      </c>
      <c r="AO441" s="2" t="s">
        <v>8623</v>
      </c>
      <c r="AP441" s="2"/>
      <c r="AQ441" s="2" t="s">
        <v>8624</v>
      </c>
      <c r="AR441" s="2" t="s">
        <v>8625</v>
      </c>
      <c r="AS441" s="2"/>
      <c r="AT441" s="2"/>
      <c r="AU441" s="2">
        <v>2004.0</v>
      </c>
      <c r="AV441" s="2"/>
      <c r="AW441" s="2"/>
      <c r="AX441" s="2"/>
      <c r="AY441" s="2"/>
      <c r="AZ441" s="2"/>
      <c r="BA441" s="2"/>
      <c r="BB441" s="2">
        <v>663.0</v>
      </c>
      <c r="BC441" s="2">
        <v>665.0</v>
      </c>
      <c r="BD441" s="2"/>
      <c r="BE441" s="2"/>
      <c r="BF441" s="2"/>
      <c r="BG441" s="2"/>
      <c r="BH441" s="2"/>
      <c r="BI441" s="2">
        <v>3.0</v>
      </c>
      <c r="BJ441" s="2" t="s">
        <v>8626</v>
      </c>
      <c r="BK441" s="2" t="s">
        <v>135</v>
      </c>
      <c r="BL441" s="2" t="s">
        <v>8627</v>
      </c>
      <c r="BM441" s="2" t="s">
        <v>8628</v>
      </c>
      <c r="BN441" s="2"/>
      <c r="BO441" s="2"/>
      <c r="BP441" s="2"/>
      <c r="BQ441" s="2"/>
      <c r="BR441" s="2" t="s">
        <v>99</v>
      </c>
      <c r="BS441" s="2" t="s">
        <v>8629</v>
      </c>
      <c r="BT441" s="2" t="str">
        <f>HYPERLINK("https%3A%2F%2Fwww.webofscience.com%2Fwos%2Fwoscc%2Ffull-record%2FWOS:000227006900174","View Full Record in Web of Science")</f>
        <v>View Full Record in Web of Science</v>
      </c>
    </row>
    <row r="442" ht="64.5" customHeight="1">
      <c r="A442" s="2" t="s">
        <v>110</v>
      </c>
      <c r="B442" s="2" t="s">
        <v>8630</v>
      </c>
      <c r="C442" s="2"/>
      <c r="D442" s="2"/>
      <c r="E442" s="2"/>
      <c r="F442" s="2" t="s">
        <v>8631</v>
      </c>
      <c r="G442" s="2"/>
      <c r="H442" s="2"/>
      <c r="I442" s="2" t="s">
        <v>8632</v>
      </c>
      <c r="J442" s="2" t="s">
        <v>114</v>
      </c>
      <c r="K442" s="2" t="s">
        <v>115</v>
      </c>
      <c r="L442" s="2"/>
      <c r="M442" s="2" t="s">
        <v>116</v>
      </c>
      <c r="N442" s="2" t="s">
        <v>117</v>
      </c>
      <c r="O442" s="2" t="s">
        <v>118</v>
      </c>
      <c r="P442" s="2" t="s">
        <v>119</v>
      </c>
      <c r="Q442" s="2" t="s">
        <v>120</v>
      </c>
      <c r="R442" s="2"/>
      <c r="S442" s="2"/>
      <c r="T442" s="4" t="s">
        <v>121</v>
      </c>
      <c r="U442" s="2"/>
      <c r="V442" s="2" t="s">
        <v>8633</v>
      </c>
      <c r="W442" s="2" t="s">
        <v>8634</v>
      </c>
      <c r="X442" s="2" t="s">
        <v>3788</v>
      </c>
      <c r="Y442" s="2" t="s">
        <v>8635</v>
      </c>
      <c r="Z442" s="2"/>
      <c r="AA442" s="2" t="s">
        <v>8636</v>
      </c>
      <c r="AB442" s="2" t="s">
        <v>8637</v>
      </c>
      <c r="AC442" s="2"/>
      <c r="AD442" s="2"/>
      <c r="AE442" s="2"/>
      <c r="AF442" s="2"/>
      <c r="AG442" s="2">
        <v>0.0</v>
      </c>
      <c r="AH442" s="2">
        <v>0.0</v>
      </c>
      <c r="AI442" s="2">
        <v>0.0</v>
      </c>
      <c r="AJ442" s="2">
        <v>0.0</v>
      </c>
      <c r="AK442" s="2">
        <v>9.0</v>
      </c>
      <c r="AL442" s="2" t="s">
        <v>129</v>
      </c>
      <c r="AM442" s="2" t="s">
        <v>130</v>
      </c>
      <c r="AN442" s="2" t="s">
        <v>131</v>
      </c>
      <c r="AO442" s="2" t="s">
        <v>132</v>
      </c>
      <c r="AP442" s="2"/>
      <c r="AQ442" s="2" t="s">
        <v>133</v>
      </c>
      <c r="AR442" s="2" t="s">
        <v>115</v>
      </c>
      <c r="AS442" s="2"/>
      <c r="AT442" s="2"/>
      <c r="AU442" s="2">
        <v>2005.0</v>
      </c>
      <c r="AV442" s="2"/>
      <c r="AW442" s="2"/>
      <c r="AX442" s="2"/>
      <c r="AY442" s="2"/>
      <c r="AZ442" s="2"/>
      <c r="BA442" s="2"/>
      <c r="BB442" s="2">
        <v>2642.0</v>
      </c>
      <c r="BC442" s="2">
        <v>2646.0</v>
      </c>
      <c r="BD442" s="2"/>
      <c r="BE442" s="2"/>
      <c r="BF442" s="2"/>
      <c r="BG442" s="2"/>
      <c r="BH442" s="2"/>
      <c r="BI442" s="2">
        <v>5.0</v>
      </c>
      <c r="BJ442" s="2" t="s">
        <v>134</v>
      </c>
      <c r="BK442" s="2" t="s">
        <v>135</v>
      </c>
      <c r="BL442" s="2" t="s">
        <v>136</v>
      </c>
      <c r="BM442" s="2" t="s">
        <v>137</v>
      </c>
      <c r="BN442" s="2"/>
      <c r="BO442" s="2"/>
      <c r="BP442" s="2"/>
      <c r="BQ442" s="2"/>
      <c r="BR442" s="2" t="s">
        <v>99</v>
      </c>
      <c r="BS442" s="2" t="s">
        <v>8638</v>
      </c>
      <c r="BT442" s="2" t="str">
        <f>HYPERLINK("https%3A%2F%2Fwww.webofscience.com%2Fwos%2Fwoscc%2Ffull-record%2FWOS:000238978702131","View Full Record in Web of Science")</f>
        <v>View Full Record in Web of Science</v>
      </c>
    </row>
    <row r="443" ht="64.5" customHeight="1">
      <c r="A443" s="2" t="s">
        <v>72</v>
      </c>
      <c r="B443" s="2" t="s">
        <v>8639</v>
      </c>
      <c r="C443" s="2"/>
      <c r="D443" s="2"/>
      <c r="E443" s="2"/>
      <c r="F443" s="2" t="s">
        <v>8640</v>
      </c>
      <c r="G443" s="2"/>
      <c r="H443" s="2"/>
      <c r="I443" s="2" t="s">
        <v>8641</v>
      </c>
      <c r="J443" s="2" t="s">
        <v>8642</v>
      </c>
      <c r="K443" s="2"/>
      <c r="L443" s="2"/>
      <c r="M443" s="2" t="s">
        <v>116</v>
      </c>
      <c r="N443" s="2" t="s">
        <v>78</v>
      </c>
      <c r="O443" s="2"/>
      <c r="P443" s="2"/>
      <c r="Q443" s="2"/>
      <c r="R443" s="2"/>
      <c r="S443" s="2"/>
      <c r="T443" s="2" t="s">
        <v>8643</v>
      </c>
      <c r="U443" s="2" t="s">
        <v>8644</v>
      </c>
      <c r="V443" s="2" t="s">
        <v>8645</v>
      </c>
      <c r="W443" s="2" t="s">
        <v>8646</v>
      </c>
      <c r="X443" s="2" t="s">
        <v>8647</v>
      </c>
      <c r="Y443" s="2" t="s">
        <v>8648</v>
      </c>
      <c r="Z443" s="2" t="s">
        <v>8649</v>
      </c>
      <c r="AA443" s="2" t="s">
        <v>8650</v>
      </c>
      <c r="AB443" s="2" t="s">
        <v>8651</v>
      </c>
      <c r="AC443" s="2" t="s">
        <v>8652</v>
      </c>
      <c r="AD443" s="2" t="s">
        <v>8653</v>
      </c>
      <c r="AE443" s="2" t="s">
        <v>8654</v>
      </c>
      <c r="AF443" s="2" t="s">
        <v>8655</v>
      </c>
      <c r="AG443" s="2">
        <v>70.0</v>
      </c>
      <c r="AH443" s="2">
        <v>9.0</v>
      </c>
      <c r="AI443" s="2">
        <v>9.0</v>
      </c>
      <c r="AJ443" s="2">
        <v>4.0</v>
      </c>
      <c r="AK443" s="2">
        <v>17.0</v>
      </c>
      <c r="AL443" s="2" t="s">
        <v>8656</v>
      </c>
      <c r="AM443" s="2" t="s">
        <v>2302</v>
      </c>
      <c r="AN443" s="2" t="s">
        <v>8657</v>
      </c>
      <c r="AO443" s="2" t="s">
        <v>8658</v>
      </c>
      <c r="AP443" s="2"/>
      <c r="AQ443" s="2"/>
      <c r="AR443" s="2" t="s">
        <v>8659</v>
      </c>
      <c r="AS443" s="2" t="s">
        <v>8660</v>
      </c>
      <c r="AT443" s="2" t="s">
        <v>8661</v>
      </c>
      <c r="AU443" s="2">
        <v>2022.0</v>
      </c>
      <c r="AV443" s="2">
        <v>4.0</v>
      </c>
      <c r="AW443" s="2">
        <v>12.0</v>
      </c>
      <c r="AX443" s="2"/>
      <c r="AY443" s="2"/>
      <c r="AZ443" s="2"/>
      <c r="BA443" s="2"/>
      <c r="BB443" s="2"/>
      <c r="BC443" s="2"/>
      <c r="BD443" s="2">
        <v>125007.0</v>
      </c>
      <c r="BE443" s="2" t="s">
        <v>8662</v>
      </c>
      <c r="BF443" s="3" t="str">
        <f>HYPERLINK("http://dx.doi.org/10.1088/2515-7620/aca871","http://dx.doi.org/10.1088/2515-7620/aca871")</f>
        <v>http://dx.doi.org/10.1088/2515-7620/aca871</v>
      </c>
      <c r="BG443" s="2"/>
      <c r="BH443" s="2"/>
      <c r="BI443" s="2">
        <v>21.0</v>
      </c>
      <c r="BJ443" s="2" t="s">
        <v>1570</v>
      </c>
      <c r="BK443" s="2" t="s">
        <v>226</v>
      </c>
      <c r="BL443" s="2" t="s">
        <v>97</v>
      </c>
      <c r="BM443" s="2" t="s">
        <v>8663</v>
      </c>
      <c r="BN443" s="2"/>
      <c r="BO443" s="2" t="s">
        <v>601</v>
      </c>
      <c r="BP443" s="2"/>
      <c r="BQ443" s="2"/>
      <c r="BR443" s="2" t="s">
        <v>99</v>
      </c>
      <c r="BS443" s="2" t="s">
        <v>8664</v>
      </c>
      <c r="BT443" s="2" t="str">
        <f>HYPERLINK("https%3A%2F%2Fwww.webofscience.com%2Fwos%2Fwoscc%2Ffull-record%2FWOS:000916752200001","View Full Record in Web of Science")</f>
        <v>View Full Record in Web of Science</v>
      </c>
    </row>
    <row r="444" ht="64.5" customHeight="1">
      <c r="A444" s="2" t="s">
        <v>72</v>
      </c>
      <c r="B444" s="2" t="s">
        <v>8665</v>
      </c>
      <c r="C444" s="2"/>
      <c r="D444" s="2"/>
      <c r="E444" s="2"/>
      <c r="F444" s="2" t="s">
        <v>8666</v>
      </c>
      <c r="G444" s="2"/>
      <c r="H444" s="2"/>
      <c r="I444" s="2" t="s">
        <v>8667</v>
      </c>
      <c r="J444" s="2" t="s">
        <v>8668</v>
      </c>
      <c r="K444" s="2"/>
      <c r="L444" s="2"/>
      <c r="M444" s="2" t="s">
        <v>116</v>
      </c>
      <c r="N444" s="2" t="s">
        <v>78</v>
      </c>
      <c r="O444" s="2"/>
      <c r="P444" s="2"/>
      <c r="Q444" s="2"/>
      <c r="R444" s="2"/>
      <c r="S444" s="2"/>
      <c r="T444" s="4" t="s">
        <v>121</v>
      </c>
      <c r="U444" s="2" t="s">
        <v>8669</v>
      </c>
      <c r="V444" s="2" t="s">
        <v>8670</v>
      </c>
      <c r="W444" s="2" t="s">
        <v>8671</v>
      </c>
      <c r="X444" s="2" t="s">
        <v>8672</v>
      </c>
      <c r="Y444" s="2" t="s">
        <v>8673</v>
      </c>
      <c r="Z444" s="2" t="s">
        <v>8674</v>
      </c>
      <c r="AA444" s="2"/>
      <c r="AB444" s="2" t="s">
        <v>8675</v>
      </c>
      <c r="AC444" s="2" t="s">
        <v>8676</v>
      </c>
      <c r="AD444" s="2" t="s">
        <v>8676</v>
      </c>
      <c r="AE444" s="2" t="s">
        <v>8677</v>
      </c>
      <c r="AF444" s="2" t="s">
        <v>8678</v>
      </c>
      <c r="AG444" s="2">
        <v>65.0</v>
      </c>
      <c r="AH444" s="2">
        <v>4.0</v>
      </c>
      <c r="AI444" s="2">
        <v>4.0</v>
      </c>
      <c r="AJ444" s="2">
        <v>1.0</v>
      </c>
      <c r="AK444" s="2">
        <v>8.0</v>
      </c>
      <c r="AL444" s="2" t="s">
        <v>8679</v>
      </c>
      <c r="AM444" s="2" t="s">
        <v>8680</v>
      </c>
      <c r="AN444" s="2" t="s">
        <v>8681</v>
      </c>
      <c r="AO444" s="2" t="s">
        <v>8682</v>
      </c>
      <c r="AP444" s="2" t="s">
        <v>8683</v>
      </c>
      <c r="AQ444" s="2"/>
      <c r="AR444" s="2" t="s">
        <v>8684</v>
      </c>
      <c r="AS444" s="2" t="s">
        <v>8685</v>
      </c>
      <c r="AT444" s="2"/>
      <c r="AU444" s="2">
        <v>2022.0</v>
      </c>
      <c r="AV444" s="2">
        <v>137.0</v>
      </c>
      <c r="AW444" s="2">
        <v>1.0</v>
      </c>
      <c r="AX444" s="2"/>
      <c r="AY444" s="2"/>
      <c r="AZ444" s="2"/>
      <c r="BA444" s="2"/>
      <c r="BB444" s="2">
        <v>50.0</v>
      </c>
      <c r="BC444" s="2">
        <v>77.0</v>
      </c>
      <c r="BD444" s="2"/>
      <c r="BE444" s="2" t="s">
        <v>8686</v>
      </c>
      <c r="BF444" s="3" t="str">
        <f>HYPERLINK("http://dx.doi.org/10.51769/bmgn-lchr.7028","http://dx.doi.org/10.51769/bmgn-lchr.7028")</f>
        <v>http://dx.doi.org/10.51769/bmgn-lchr.7028</v>
      </c>
      <c r="BG444" s="2"/>
      <c r="BH444" s="2"/>
      <c r="BI444" s="2">
        <v>28.0</v>
      </c>
      <c r="BJ444" s="2" t="s">
        <v>8687</v>
      </c>
      <c r="BK444" s="2" t="s">
        <v>6832</v>
      </c>
      <c r="BL444" s="2" t="s">
        <v>8687</v>
      </c>
      <c r="BM444" s="2" t="s">
        <v>8688</v>
      </c>
      <c r="BN444" s="2"/>
      <c r="BO444" s="2" t="s">
        <v>8689</v>
      </c>
      <c r="BP444" s="2"/>
      <c r="BQ444" s="2"/>
      <c r="BR444" s="2" t="s">
        <v>99</v>
      </c>
      <c r="BS444" s="2" t="s">
        <v>8690</v>
      </c>
      <c r="BT444" s="2" t="str">
        <f>HYPERLINK("https%3A%2F%2Fwww.webofscience.com%2Fwos%2Fwoscc%2Ffull-record%2FWOS:000823390800006","View Full Record in Web of Science")</f>
        <v>View Full Record in Web of Science</v>
      </c>
    </row>
    <row r="445" ht="64.5" customHeight="1">
      <c r="A445" s="2" t="s">
        <v>72</v>
      </c>
      <c r="B445" s="2" t="s">
        <v>8691</v>
      </c>
      <c r="C445" s="2"/>
      <c r="D445" s="2"/>
      <c r="E445" s="2"/>
      <c r="F445" s="2" t="s">
        <v>8692</v>
      </c>
      <c r="G445" s="2"/>
      <c r="H445" s="2"/>
      <c r="I445" s="2" t="s">
        <v>8693</v>
      </c>
      <c r="J445" s="2" t="s">
        <v>8694</v>
      </c>
      <c r="K445" s="2"/>
      <c r="L445" s="2"/>
      <c r="M445" s="2" t="s">
        <v>116</v>
      </c>
      <c r="N445" s="2" t="s">
        <v>78</v>
      </c>
      <c r="O445" s="2"/>
      <c r="P445" s="2"/>
      <c r="Q445" s="2"/>
      <c r="R445" s="2"/>
      <c r="S445" s="2"/>
      <c r="T445" s="2" t="s">
        <v>8695</v>
      </c>
      <c r="U445" s="2" t="s">
        <v>8696</v>
      </c>
      <c r="V445" s="2" t="s">
        <v>8697</v>
      </c>
      <c r="W445" s="2" t="s">
        <v>8698</v>
      </c>
      <c r="X445" s="2" t="s">
        <v>8699</v>
      </c>
      <c r="Y445" s="2" t="s">
        <v>8700</v>
      </c>
      <c r="Z445" s="2" t="s">
        <v>8701</v>
      </c>
      <c r="AA445" s="2"/>
      <c r="AB445" s="2" t="s">
        <v>8702</v>
      </c>
      <c r="AC445" s="2" t="s">
        <v>8703</v>
      </c>
      <c r="AD445" s="2" t="s">
        <v>8704</v>
      </c>
      <c r="AE445" s="2" t="s">
        <v>8705</v>
      </c>
      <c r="AF445" s="2" t="s">
        <v>8706</v>
      </c>
      <c r="AG445" s="2">
        <v>54.0</v>
      </c>
      <c r="AH445" s="2">
        <v>6.0</v>
      </c>
      <c r="AI445" s="2">
        <v>6.0</v>
      </c>
      <c r="AJ445" s="2">
        <v>3.0</v>
      </c>
      <c r="AK445" s="2">
        <v>10.0</v>
      </c>
      <c r="AL445" s="2" t="s">
        <v>188</v>
      </c>
      <c r="AM445" s="2" t="s">
        <v>189</v>
      </c>
      <c r="AN445" s="2" t="s">
        <v>190</v>
      </c>
      <c r="AO445" s="2" t="s">
        <v>8707</v>
      </c>
      <c r="AP445" s="2" t="s">
        <v>8708</v>
      </c>
      <c r="AQ445" s="2"/>
      <c r="AR445" s="2" t="s">
        <v>8709</v>
      </c>
      <c r="AS445" s="2" t="s">
        <v>8710</v>
      </c>
      <c r="AT445" s="2" t="s">
        <v>2758</v>
      </c>
      <c r="AU445" s="2">
        <v>2022.0</v>
      </c>
      <c r="AV445" s="2">
        <v>326.0</v>
      </c>
      <c r="AW445" s="2"/>
      <c r="AX445" s="2"/>
      <c r="AY445" s="2"/>
      <c r="AZ445" s="2"/>
      <c r="BA445" s="2"/>
      <c r="BB445" s="2"/>
      <c r="BC445" s="2"/>
      <c r="BD445" s="2">
        <v>120002.0</v>
      </c>
      <c r="BE445" s="2" t="s">
        <v>8711</v>
      </c>
      <c r="BF445" s="3" t="str">
        <f>HYPERLINK("http://dx.doi.org/10.1016/j.apenergy.2022.120002","http://dx.doi.org/10.1016/j.apenergy.2022.120002")</f>
        <v>http://dx.doi.org/10.1016/j.apenergy.2022.120002</v>
      </c>
      <c r="BG445" s="2"/>
      <c r="BH445" s="2" t="s">
        <v>4098</v>
      </c>
      <c r="BI445" s="2">
        <v>11.0</v>
      </c>
      <c r="BJ445" s="2" t="s">
        <v>8712</v>
      </c>
      <c r="BK445" s="2" t="s">
        <v>226</v>
      </c>
      <c r="BL445" s="2" t="s">
        <v>2354</v>
      </c>
      <c r="BM445" s="2" t="s">
        <v>8713</v>
      </c>
      <c r="BN445" s="2"/>
      <c r="BO445" s="2" t="s">
        <v>2046</v>
      </c>
      <c r="BP445" s="2"/>
      <c r="BQ445" s="2"/>
      <c r="BR445" s="2" t="s">
        <v>99</v>
      </c>
      <c r="BS445" s="2" t="s">
        <v>8714</v>
      </c>
      <c r="BT445" s="2" t="str">
        <f>HYPERLINK("https%3A%2F%2Fwww.webofscience.com%2Fwos%2Fwoscc%2Ffull-record%2FWOS:000862853200004","View Full Record in Web of Science")</f>
        <v>View Full Record in Web of Science</v>
      </c>
    </row>
    <row r="446" ht="64.5" customHeight="1">
      <c r="A446" s="2" t="s">
        <v>72</v>
      </c>
      <c r="B446" s="2" t="s">
        <v>8715</v>
      </c>
      <c r="C446" s="2"/>
      <c r="D446" s="2"/>
      <c r="E446" s="2"/>
      <c r="F446" s="2" t="s">
        <v>8716</v>
      </c>
      <c r="G446" s="2"/>
      <c r="H446" s="2"/>
      <c r="I446" s="2" t="s">
        <v>8717</v>
      </c>
      <c r="J446" s="2" t="s">
        <v>671</v>
      </c>
      <c r="K446" s="2"/>
      <c r="L446" s="2"/>
      <c r="M446" s="2" t="s">
        <v>116</v>
      </c>
      <c r="N446" s="2" t="s">
        <v>78</v>
      </c>
      <c r="O446" s="2"/>
      <c r="P446" s="2"/>
      <c r="Q446" s="2"/>
      <c r="R446" s="2"/>
      <c r="S446" s="2"/>
      <c r="T446" s="2" t="s">
        <v>8718</v>
      </c>
      <c r="U446" s="2" t="s">
        <v>8719</v>
      </c>
      <c r="V446" s="2" t="s">
        <v>8720</v>
      </c>
      <c r="W446" s="2" t="s">
        <v>8721</v>
      </c>
      <c r="X446" s="2" t="s">
        <v>8722</v>
      </c>
      <c r="Y446" s="2" t="s">
        <v>8723</v>
      </c>
      <c r="Z446" s="2"/>
      <c r="AA446" s="2"/>
      <c r="AB446" s="2"/>
      <c r="AC446" s="2"/>
      <c r="AD446" s="2"/>
      <c r="AE446" s="2"/>
      <c r="AF446" s="2" t="s">
        <v>8724</v>
      </c>
      <c r="AG446" s="2">
        <v>27.0</v>
      </c>
      <c r="AH446" s="2">
        <v>12.0</v>
      </c>
      <c r="AI446" s="2">
        <v>17.0</v>
      </c>
      <c r="AJ446" s="2">
        <v>3.0</v>
      </c>
      <c r="AK446" s="2">
        <v>37.0</v>
      </c>
      <c r="AL446" s="2" t="s">
        <v>1329</v>
      </c>
      <c r="AM446" s="2" t="s">
        <v>157</v>
      </c>
      <c r="AN446" s="2" t="s">
        <v>1330</v>
      </c>
      <c r="AO446" s="2" t="s">
        <v>681</v>
      </c>
      <c r="AP446" s="2" t="s">
        <v>1331</v>
      </c>
      <c r="AQ446" s="2"/>
      <c r="AR446" s="2" t="s">
        <v>682</v>
      </c>
      <c r="AS446" s="2" t="s">
        <v>683</v>
      </c>
      <c r="AT446" s="2" t="s">
        <v>684</v>
      </c>
      <c r="AU446" s="2">
        <v>2008.0</v>
      </c>
      <c r="AV446" s="2">
        <v>29.0</v>
      </c>
      <c r="AW446" s="2">
        <v>6.0</v>
      </c>
      <c r="AX446" s="2"/>
      <c r="AY446" s="2"/>
      <c r="AZ446" s="2"/>
      <c r="BA446" s="2"/>
      <c r="BB446" s="2">
        <v>529.0</v>
      </c>
      <c r="BC446" s="2">
        <v>544.0</v>
      </c>
      <c r="BD446" s="2"/>
      <c r="BE446" s="2" t="s">
        <v>8725</v>
      </c>
      <c r="BF446" s="3" t="str">
        <f>HYPERLINK("http://dx.doi.org/10.2747/0272-3646.29.6.529","http://dx.doi.org/10.2747/0272-3646.29.6.529")</f>
        <v>http://dx.doi.org/10.2747/0272-3646.29.6.529</v>
      </c>
      <c r="BG446" s="2"/>
      <c r="BH446" s="2"/>
      <c r="BI446" s="2">
        <v>16.0</v>
      </c>
      <c r="BJ446" s="2" t="s">
        <v>686</v>
      </c>
      <c r="BK446" s="2" t="s">
        <v>226</v>
      </c>
      <c r="BL446" s="2" t="s">
        <v>687</v>
      </c>
      <c r="BM446" s="2" t="s">
        <v>688</v>
      </c>
      <c r="BN446" s="2"/>
      <c r="BO446" s="2"/>
      <c r="BP446" s="2"/>
      <c r="BQ446" s="2"/>
      <c r="BR446" s="2" t="s">
        <v>99</v>
      </c>
      <c r="BS446" s="2" t="s">
        <v>8726</v>
      </c>
      <c r="BT446" s="2" t="str">
        <f>HYPERLINK("https%3A%2F%2Fwww.webofscience.com%2Fwos%2Fwoscc%2Ffull-record%2FWOS:000264488400005","View Full Record in Web of Science")</f>
        <v>View Full Record in Web of Science</v>
      </c>
    </row>
    <row r="447" ht="64.5" customHeight="1">
      <c r="A447" s="2" t="s">
        <v>72</v>
      </c>
      <c r="B447" s="2" t="s">
        <v>8727</v>
      </c>
      <c r="C447" s="2"/>
      <c r="D447" s="2"/>
      <c r="E447" s="2"/>
      <c r="F447" s="2" t="s">
        <v>8728</v>
      </c>
      <c r="G447" s="2"/>
      <c r="H447" s="2"/>
      <c r="I447" s="2" t="s">
        <v>8729</v>
      </c>
      <c r="J447" s="2" t="s">
        <v>2489</v>
      </c>
      <c r="K447" s="2"/>
      <c r="L447" s="2"/>
      <c r="M447" s="2" t="s">
        <v>116</v>
      </c>
      <c r="N447" s="2" t="s">
        <v>78</v>
      </c>
      <c r="O447" s="2"/>
      <c r="P447" s="2"/>
      <c r="Q447" s="2"/>
      <c r="R447" s="2"/>
      <c r="S447" s="2"/>
      <c r="T447" s="2" t="s">
        <v>8730</v>
      </c>
      <c r="U447" s="2" t="s">
        <v>8731</v>
      </c>
      <c r="V447" s="2" t="s">
        <v>8732</v>
      </c>
      <c r="W447" s="2" t="s">
        <v>8733</v>
      </c>
      <c r="X447" s="2" t="s">
        <v>8734</v>
      </c>
      <c r="Y447" s="2" t="s">
        <v>8735</v>
      </c>
      <c r="Z447" s="2" t="s">
        <v>8736</v>
      </c>
      <c r="AA447" s="2"/>
      <c r="AB447" s="2" t="s">
        <v>8737</v>
      </c>
      <c r="AC447" s="2" t="s">
        <v>8738</v>
      </c>
      <c r="AD447" s="2" t="s">
        <v>8739</v>
      </c>
      <c r="AE447" s="2" t="s">
        <v>8740</v>
      </c>
      <c r="AF447" s="2" t="s">
        <v>8741</v>
      </c>
      <c r="AG447" s="2">
        <v>54.0</v>
      </c>
      <c r="AH447" s="2">
        <v>4.0</v>
      </c>
      <c r="AI447" s="2">
        <v>4.0</v>
      </c>
      <c r="AJ447" s="2">
        <v>7.0</v>
      </c>
      <c r="AK447" s="2">
        <v>22.0</v>
      </c>
      <c r="AL447" s="2" t="s">
        <v>188</v>
      </c>
      <c r="AM447" s="2" t="s">
        <v>189</v>
      </c>
      <c r="AN447" s="2" t="s">
        <v>190</v>
      </c>
      <c r="AO447" s="2" t="s">
        <v>2501</v>
      </c>
      <c r="AP447" s="2" t="s">
        <v>2502</v>
      </c>
      <c r="AQ447" s="2"/>
      <c r="AR447" s="2" t="s">
        <v>2503</v>
      </c>
      <c r="AS447" s="2" t="s">
        <v>2504</v>
      </c>
      <c r="AT447" s="2" t="s">
        <v>358</v>
      </c>
      <c r="AU447" s="2">
        <v>2023.0</v>
      </c>
      <c r="AV447" s="2">
        <v>174.0</v>
      </c>
      <c r="AW447" s="2"/>
      <c r="AX447" s="2"/>
      <c r="AY447" s="2"/>
      <c r="AZ447" s="2"/>
      <c r="BA447" s="2"/>
      <c r="BB447" s="2"/>
      <c r="BC447" s="2"/>
      <c r="BD447" s="2">
        <v>113430.0</v>
      </c>
      <c r="BE447" s="2" t="s">
        <v>8742</v>
      </c>
      <c r="BF447" s="3" t="str">
        <f>HYPERLINK("http://dx.doi.org/10.1016/j.enpol.2023.113430","http://dx.doi.org/10.1016/j.enpol.2023.113430")</f>
        <v>http://dx.doi.org/10.1016/j.enpol.2023.113430</v>
      </c>
      <c r="BG447" s="2"/>
      <c r="BH447" s="2" t="s">
        <v>1422</v>
      </c>
      <c r="BI447" s="2">
        <v>11.0</v>
      </c>
      <c r="BJ447" s="2" t="s">
        <v>2506</v>
      </c>
      <c r="BK447" s="2" t="s">
        <v>363</v>
      </c>
      <c r="BL447" s="2" t="s">
        <v>2507</v>
      </c>
      <c r="BM447" s="2" t="s">
        <v>8743</v>
      </c>
      <c r="BN447" s="2"/>
      <c r="BO447" s="2"/>
      <c r="BP447" s="2"/>
      <c r="BQ447" s="2"/>
      <c r="BR447" s="2" t="s">
        <v>99</v>
      </c>
      <c r="BS447" s="2" t="s">
        <v>8744</v>
      </c>
      <c r="BT447" s="2" t="str">
        <f>HYPERLINK("https%3A%2F%2Fwww.webofscience.com%2Fwos%2Fwoscc%2Ffull-record%2FWOS:000927065900001","View Full Record in Web of Science")</f>
        <v>View Full Record in Web of Science</v>
      </c>
    </row>
    <row r="448" ht="64.5" customHeight="1">
      <c r="A448" s="2" t="s">
        <v>72</v>
      </c>
      <c r="B448" s="2" t="s">
        <v>8745</v>
      </c>
      <c r="C448" s="2"/>
      <c r="D448" s="2"/>
      <c r="E448" s="2"/>
      <c r="F448" s="2" t="s">
        <v>8746</v>
      </c>
      <c r="G448" s="2"/>
      <c r="H448" s="2"/>
      <c r="I448" s="2" t="s">
        <v>8747</v>
      </c>
      <c r="J448" s="2" t="s">
        <v>4173</v>
      </c>
      <c r="K448" s="2"/>
      <c r="L448" s="2"/>
      <c r="M448" s="2" t="s">
        <v>116</v>
      </c>
      <c r="N448" s="2" t="s">
        <v>78</v>
      </c>
      <c r="O448" s="2"/>
      <c r="P448" s="2"/>
      <c r="Q448" s="2"/>
      <c r="R448" s="2"/>
      <c r="S448" s="2"/>
      <c r="T448" s="2" t="s">
        <v>8748</v>
      </c>
      <c r="U448" s="2" t="s">
        <v>8749</v>
      </c>
      <c r="V448" s="2" t="s">
        <v>8750</v>
      </c>
      <c r="W448" s="2" t="s">
        <v>8751</v>
      </c>
      <c r="X448" s="2" t="s">
        <v>8752</v>
      </c>
      <c r="Y448" s="2" t="s">
        <v>8753</v>
      </c>
      <c r="Z448" s="2"/>
      <c r="AA448" s="2"/>
      <c r="AB448" s="2" t="s">
        <v>5309</v>
      </c>
      <c r="AC448" s="2" t="s">
        <v>8754</v>
      </c>
      <c r="AD448" s="2" t="s">
        <v>8755</v>
      </c>
      <c r="AE448" s="2" t="s">
        <v>8756</v>
      </c>
      <c r="AF448" s="2" t="s">
        <v>8757</v>
      </c>
      <c r="AG448" s="2">
        <v>31.0</v>
      </c>
      <c r="AH448" s="2">
        <v>7.0</v>
      </c>
      <c r="AI448" s="2">
        <v>7.0</v>
      </c>
      <c r="AJ448" s="2">
        <v>3.0</v>
      </c>
      <c r="AK448" s="2">
        <v>5.0</v>
      </c>
      <c r="AL448" s="2" t="s">
        <v>4185</v>
      </c>
      <c r="AM448" s="2" t="s">
        <v>247</v>
      </c>
      <c r="AN448" s="2" t="s">
        <v>4186</v>
      </c>
      <c r="AO448" s="2" t="s">
        <v>4187</v>
      </c>
      <c r="AP448" s="2" t="s">
        <v>4188</v>
      </c>
      <c r="AQ448" s="2"/>
      <c r="AR448" s="2" t="s">
        <v>4189</v>
      </c>
      <c r="AS448" s="2" t="s">
        <v>4190</v>
      </c>
      <c r="AT448" s="2" t="s">
        <v>8758</v>
      </c>
      <c r="AU448" s="2">
        <v>2020.0</v>
      </c>
      <c r="AV448" s="2">
        <v>215.0</v>
      </c>
      <c r="AW448" s="2"/>
      <c r="AX448" s="2"/>
      <c r="AY448" s="2"/>
      <c r="AZ448" s="2"/>
      <c r="BA448" s="2"/>
      <c r="BB448" s="2"/>
      <c r="BC448" s="2"/>
      <c r="BD448" s="2">
        <v>109888.0</v>
      </c>
      <c r="BE448" s="2" t="s">
        <v>8759</v>
      </c>
      <c r="BF448" s="3" t="str">
        <f>HYPERLINK("http://dx.doi.org/10.1016/j.enbuild.2020.109888","http://dx.doi.org/10.1016/j.enbuild.2020.109888")</f>
        <v>http://dx.doi.org/10.1016/j.enbuild.2020.109888</v>
      </c>
      <c r="BG448" s="2"/>
      <c r="BH448" s="2"/>
      <c r="BI448" s="2">
        <v>10.0</v>
      </c>
      <c r="BJ448" s="2" t="s">
        <v>4194</v>
      </c>
      <c r="BK448" s="2" t="s">
        <v>363</v>
      </c>
      <c r="BL448" s="2" t="s">
        <v>4195</v>
      </c>
      <c r="BM448" s="2" t="s">
        <v>8760</v>
      </c>
      <c r="BN448" s="2"/>
      <c r="BO448" s="2" t="s">
        <v>3614</v>
      </c>
      <c r="BP448" s="2"/>
      <c r="BQ448" s="2"/>
      <c r="BR448" s="2" t="s">
        <v>99</v>
      </c>
      <c r="BS448" s="2" t="s">
        <v>8761</v>
      </c>
      <c r="BT448" s="2" t="str">
        <f>HYPERLINK("https%3A%2F%2Fwww.webofscience.com%2Fwos%2Fwoscc%2Ffull-record%2FWOS:000531469500008","View Full Record in Web of Science")</f>
        <v>View Full Record in Web of Science</v>
      </c>
    </row>
    <row r="449" ht="64.5" customHeight="1">
      <c r="A449" s="2" t="s">
        <v>72</v>
      </c>
      <c r="B449" s="2" t="s">
        <v>8762</v>
      </c>
      <c r="C449" s="2"/>
      <c r="D449" s="2"/>
      <c r="E449" s="2"/>
      <c r="F449" s="2" t="s">
        <v>8763</v>
      </c>
      <c r="G449" s="2"/>
      <c r="H449" s="2"/>
      <c r="I449" s="2" t="s">
        <v>8764</v>
      </c>
      <c r="J449" s="2" t="s">
        <v>851</v>
      </c>
      <c r="K449" s="2"/>
      <c r="L449" s="2"/>
      <c r="M449" s="2" t="s">
        <v>116</v>
      </c>
      <c r="N449" s="2" t="s">
        <v>78</v>
      </c>
      <c r="O449" s="2"/>
      <c r="P449" s="2"/>
      <c r="Q449" s="2"/>
      <c r="R449" s="2"/>
      <c r="S449" s="2"/>
      <c r="T449" s="4" t="s">
        <v>121</v>
      </c>
      <c r="U449" s="2" t="s">
        <v>8765</v>
      </c>
      <c r="V449" s="2" t="s">
        <v>8766</v>
      </c>
      <c r="W449" s="2" t="s">
        <v>8767</v>
      </c>
      <c r="X449" s="2" t="s">
        <v>8768</v>
      </c>
      <c r="Y449" s="2" t="s">
        <v>8648</v>
      </c>
      <c r="Z449" s="2" t="s">
        <v>8649</v>
      </c>
      <c r="AA449" s="2" t="s">
        <v>8769</v>
      </c>
      <c r="AB449" s="2" t="s">
        <v>8770</v>
      </c>
      <c r="AC449" s="2" t="s">
        <v>8771</v>
      </c>
      <c r="AD449" s="2" t="s">
        <v>8772</v>
      </c>
      <c r="AE449" s="2" t="s">
        <v>8773</v>
      </c>
      <c r="AF449" s="2" t="s">
        <v>8774</v>
      </c>
      <c r="AG449" s="2">
        <v>84.0</v>
      </c>
      <c r="AH449" s="2">
        <v>1.0</v>
      </c>
      <c r="AI449" s="2">
        <v>1.0</v>
      </c>
      <c r="AJ449" s="2">
        <v>7.0</v>
      </c>
      <c r="AK449" s="2">
        <v>9.0</v>
      </c>
      <c r="AL449" s="2" t="s">
        <v>188</v>
      </c>
      <c r="AM449" s="2" t="s">
        <v>290</v>
      </c>
      <c r="AN449" s="2" t="s">
        <v>291</v>
      </c>
      <c r="AO449" s="2" t="s">
        <v>863</v>
      </c>
      <c r="AP449" s="2" t="s">
        <v>864</v>
      </c>
      <c r="AQ449" s="2"/>
      <c r="AR449" s="2" t="s">
        <v>865</v>
      </c>
      <c r="AS449" s="2" t="s">
        <v>866</v>
      </c>
      <c r="AT449" s="2" t="s">
        <v>8775</v>
      </c>
      <c r="AU449" s="2">
        <v>2023.0</v>
      </c>
      <c r="AV449" s="2">
        <v>430.0</v>
      </c>
      <c r="AW449" s="2"/>
      <c r="AX449" s="2"/>
      <c r="AY449" s="2"/>
      <c r="AZ449" s="2"/>
      <c r="BA449" s="2"/>
      <c r="BB449" s="2"/>
      <c r="BC449" s="2"/>
      <c r="BD449" s="2">
        <v>139750.0</v>
      </c>
      <c r="BE449" s="2" t="s">
        <v>8776</v>
      </c>
      <c r="BF449" s="3" t="str">
        <f>HYPERLINK("http://dx.doi.org/10.1016/j.jclepro.2023.139750","http://dx.doi.org/10.1016/j.jclepro.2023.139750")</f>
        <v>http://dx.doi.org/10.1016/j.jclepro.2023.139750</v>
      </c>
      <c r="BG449" s="2"/>
      <c r="BH449" s="2" t="s">
        <v>1448</v>
      </c>
      <c r="BI449" s="2">
        <v>13.0</v>
      </c>
      <c r="BJ449" s="2" t="s">
        <v>870</v>
      </c>
      <c r="BK449" s="2" t="s">
        <v>226</v>
      </c>
      <c r="BL449" s="2" t="s">
        <v>871</v>
      </c>
      <c r="BM449" s="2" t="s">
        <v>8777</v>
      </c>
      <c r="BN449" s="2"/>
      <c r="BO449" s="2"/>
      <c r="BP449" s="2"/>
      <c r="BQ449" s="2"/>
      <c r="BR449" s="2" t="s">
        <v>99</v>
      </c>
      <c r="BS449" s="2" t="s">
        <v>8778</v>
      </c>
      <c r="BT449" s="2" t="str">
        <f>HYPERLINK("https%3A%2F%2Fwww.webofscience.com%2Fwos%2Fwoscc%2Ffull-record%2FWOS:001115024400001","View Full Record in Web of Science")</f>
        <v>View Full Record in Web of Science</v>
      </c>
    </row>
    <row r="450" ht="64.5" customHeight="1">
      <c r="A450" s="2" t="s">
        <v>72</v>
      </c>
      <c r="B450" s="2" t="s">
        <v>8779</v>
      </c>
      <c r="C450" s="2"/>
      <c r="D450" s="2"/>
      <c r="E450" s="2"/>
      <c r="F450" s="2" t="s">
        <v>8780</v>
      </c>
      <c r="G450" s="2"/>
      <c r="H450" s="2"/>
      <c r="I450" s="2" t="s">
        <v>8781</v>
      </c>
      <c r="J450" s="2" t="s">
        <v>8782</v>
      </c>
      <c r="K450" s="2"/>
      <c r="L450" s="2"/>
      <c r="M450" s="2" t="s">
        <v>116</v>
      </c>
      <c r="N450" s="2" t="s">
        <v>78</v>
      </c>
      <c r="O450" s="2"/>
      <c r="P450" s="2"/>
      <c r="Q450" s="2"/>
      <c r="R450" s="2"/>
      <c r="S450" s="2"/>
      <c r="T450" s="2" t="s">
        <v>8783</v>
      </c>
      <c r="U450" s="2" t="s">
        <v>8784</v>
      </c>
      <c r="V450" s="2" t="s">
        <v>8785</v>
      </c>
      <c r="W450" s="2" t="s">
        <v>8786</v>
      </c>
      <c r="X450" s="2" t="s">
        <v>8787</v>
      </c>
      <c r="Y450" s="2" t="s">
        <v>8788</v>
      </c>
      <c r="Z450" s="2" t="s">
        <v>8789</v>
      </c>
      <c r="AA450" s="2" t="s">
        <v>8790</v>
      </c>
      <c r="AB450" s="2" t="s">
        <v>8791</v>
      </c>
      <c r="AC450" s="2"/>
      <c r="AD450" s="2"/>
      <c r="AE450" s="2"/>
      <c r="AF450" s="2" t="s">
        <v>8792</v>
      </c>
      <c r="AG450" s="2">
        <v>76.0</v>
      </c>
      <c r="AH450" s="2">
        <v>5.0</v>
      </c>
      <c r="AI450" s="2">
        <v>5.0</v>
      </c>
      <c r="AJ450" s="2">
        <v>2.0</v>
      </c>
      <c r="AK450" s="2">
        <v>4.0</v>
      </c>
      <c r="AL450" s="2" t="s">
        <v>351</v>
      </c>
      <c r="AM450" s="2" t="s">
        <v>352</v>
      </c>
      <c r="AN450" s="2" t="s">
        <v>353</v>
      </c>
      <c r="AO450" s="2" t="s">
        <v>8793</v>
      </c>
      <c r="AP450" s="2" t="s">
        <v>8794</v>
      </c>
      <c r="AQ450" s="2"/>
      <c r="AR450" s="2" t="s">
        <v>8795</v>
      </c>
      <c r="AS450" s="2" t="s">
        <v>8796</v>
      </c>
      <c r="AT450" s="2" t="s">
        <v>844</v>
      </c>
      <c r="AU450" s="2">
        <v>2023.0</v>
      </c>
      <c r="AV450" s="2">
        <v>21.0</v>
      </c>
      <c r="AW450" s="2">
        <v>8.0</v>
      </c>
      <c r="AX450" s="2"/>
      <c r="AY450" s="2"/>
      <c r="AZ450" s="2"/>
      <c r="BA450" s="2"/>
      <c r="BB450" s="2">
        <v>2237.0</v>
      </c>
      <c r="BC450" s="2">
        <v>2260.0</v>
      </c>
      <c r="BD450" s="2"/>
      <c r="BE450" s="2" t="s">
        <v>8797</v>
      </c>
      <c r="BF450" s="3" t="str">
        <f>HYPERLINK("http://dx.doi.org/10.1007/s10763-023-10352-3","http://dx.doi.org/10.1007/s10763-023-10352-3")</f>
        <v>http://dx.doi.org/10.1007/s10763-023-10352-3</v>
      </c>
      <c r="BG450" s="2"/>
      <c r="BH450" s="2" t="s">
        <v>7537</v>
      </c>
      <c r="BI450" s="2">
        <v>24.0</v>
      </c>
      <c r="BJ450" s="2" t="s">
        <v>331</v>
      </c>
      <c r="BK450" s="2" t="s">
        <v>166</v>
      </c>
      <c r="BL450" s="2" t="s">
        <v>331</v>
      </c>
      <c r="BM450" s="2" t="s">
        <v>8798</v>
      </c>
      <c r="BN450" s="2"/>
      <c r="BO450" s="2"/>
      <c r="BP450" s="2"/>
      <c r="BQ450" s="2"/>
      <c r="BR450" s="2" t="s">
        <v>99</v>
      </c>
      <c r="BS450" s="2" t="s">
        <v>8799</v>
      </c>
      <c r="BT450" s="2" t="str">
        <f>HYPERLINK("https%3A%2F%2Fwww.webofscience.com%2Fwos%2Fwoscc%2Ffull-record%2FWOS:000928551800001","View Full Record in Web of Science")</f>
        <v>View Full Record in Web of Science</v>
      </c>
    </row>
    <row r="451" ht="64.5" customHeight="1">
      <c r="A451" s="2" t="s">
        <v>72</v>
      </c>
      <c r="B451" s="2" t="s">
        <v>8800</v>
      </c>
      <c r="C451" s="2"/>
      <c r="D451" s="2"/>
      <c r="E451" s="2"/>
      <c r="F451" s="2" t="s">
        <v>8801</v>
      </c>
      <c r="G451" s="2"/>
      <c r="H451" s="2" t="s">
        <v>8802</v>
      </c>
      <c r="I451" s="2" t="s">
        <v>8803</v>
      </c>
      <c r="J451" s="2" t="s">
        <v>8804</v>
      </c>
      <c r="K451" s="2"/>
      <c r="L451" s="2"/>
      <c r="M451" s="2" t="s">
        <v>116</v>
      </c>
      <c r="N451" s="2" t="s">
        <v>78</v>
      </c>
      <c r="O451" s="2"/>
      <c r="P451" s="2"/>
      <c r="Q451" s="2"/>
      <c r="R451" s="2"/>
      <c r="S451" s="2"/>
      <c r="T451" s="2" t="s">
        <v>8805</v>
      </c>
      <c r="U451" s="2"/>
      <c r="V451" s="2" t="s">
        <v>8806</v>
      </c>
      <c r="W451" s="2" t="s">
        <v>8807</v>
      </c>
      <c r="X451" s="2" t="s">
        <v>8808</v>
      </c>
      <c r="Y451" s="2" t="s">
        <v>8809</v>
      </c>
      <c r="Z451" s="2"/>
      <c r="AA451" s="2" t="s">
        <v>8810</v>
      </c>
      <c r="AB451" s="2" t="s">
        <v>8811</v>
      </c>
      <c r="AC451" s="2"/>
      <c r="AD451" s="2"/>
      <c r="AE451" s="2"/>
      <c r="AF451" s="2" t="s">
        <v>8812</v>
      </c>
      <c r="AG451" s="2">
        <v>38.0</v>
      </c>
      <c r="AH451" s="2">
        <v>1.0</v>
      </c>
      <c r="AI451" s="2">
        <v>2.0</v>
      </c>
      <c r="AJ451" s="2">
        <v>3.0</v>
      </c>
      <c r="AK451" s="2">
        <v>9.0</v>
      </c>
      <c r="AL451" s="2" t="s">
        <v>8813</v>
      </c>
      <c r="AM451" s="2" t="s">
        <v>8814</v>
      </c>
      <c r="AN451" s="2" t="s">
        <v>8815</v>
      </c>
      <c r="AO451" s="2" t="s">
        <v>8816</v>
      </c>
      <c r="AP451" s="2"/>
      <c r="AQ451" s="2"/>
      <c r="AR451" s="2" t="s">
        <v>8817</v>
      </c>
      <c r="AS451" s="2" t="s">
        <v>8818</v>
      </c>
      <c r="AT451" s="2" t="s">
        <v>844</v>
      </c>
      <c r="AU451" s="2">
        <v>2022.0</v>
      </c>
      <c r="AV451" s="2">
        <v>15.0</v>
      </c>
      <c r="AW451" s="2">
        <v>2.0</v>
      </c>
      <c r="AX451" s="2"/>
      <c r="AY451" s="2"/>
      <c r="AZ451" s="2"/>
      <c r="BA451" s="2"/>
      <c r="BB451" s="2"/>
      <c r="BC451" s="2"/>
      <c r="BD451" s="2"/>
      <c r="BE451" s="2" t="s">
        <v>8819</v>
      </c>
      <c r="BF451" s="3" t="str">
        <f>HYPERLINK("http://dx.doi.org/10.5130/ijcre.v15i2.8318","http://dx.doi.org/10.5130/ijcre.v15i2.8318")</f>
        <v>http://dx.doi.org/10.5130/ijcre.v15i2.8318</v>
      </c>
      <c r="BG451" s="2"/>
      <c r="BH451" s="2"/>
      <c r="BI451" s="2">
        <v>20.0</v>
      </c>
      <c r="BJ451" s="2" t="s">
        <v>475</v>
      </c>
      <c r="BK451" s="2" t="s">
        <v>96</v>
      </c>
      <c r="BL451" s="2" t="s">
        <v>476</v>
      </c>
      <c r="BM451" s="2" t="s">
        <v>8820</v>
      </c>
      <c r="BN451" s="2"/>
      <c r="BO451" s="2" t="s">
        <v>255</v>
      </c>
      <c r="BP451" s="2"/>
      <c r="BQ451" s="2"/>
      <c r="BR451" s="2" t="s">
        <v>99</v>
      </c>
      <c r="BS451" s="2" t="s">
        <v>8821</v>
      </c>
      <c r="BT451" s="2" t="str">
        <f>HYPERLINK("https%3A%2F%2Fwww.webofscience.com%2Fwos%2Fwoscc%2Ffull-record%2FWOS:000905271300005","View Full Record in Web of Science")</f>
        <v>View Full Record in Web of Science</v>
      </c>
    </row>
    <row r="452" ht="64.5" customHeight="1">
      <c r="A452" s="2" t="s">
        <v>72</v>
      </c>
      <c r="B452" s="2" t="s">
        <v>8822</v>
      </c>
      <c r="C452" s="2"/>
      <c r="D452" s="2"/>
      <c r="E452" s="2"/>
      <c r="F452" s="2" t="s">
        <v>8823</v>
      </c>
      <c r="G452" s="2"/>
      <c r="H452" s="2"/>
      <c r="I452" s="2" t="s">
        <v>8824</v>
      </c>
      <c r="J452" s="2" t="s">
        <v>8825</v>
      </c>
      <c r="K452" s="2"/>
      <c r="L452" s="2"/>
      <c r="M452" s="2" t="s">
        <v>116</v>
      </c>
      <c r="N452" s="2" t="s">
        <v>1865</v>
      </c>
      <c r="O452" s="2" t="s">
        <v>8826</v>
      </c>
      <c r="P452" s="2" t="s">
        <v>8827</v>
      </c>
      <c r="Q452" s="2" t="s">
        <v>8828</v>
      </c>
      <c r="R452" s="2"/>
      <c r="S452" s="2"/>
      <c r="T452" s="2" t="s">
        <v>8829</v>
      </c>
      <c r="U452" s="2" t="s">
        <v>8830</v>
      </c>
      <c r="V452" s="2" t="s">
        <v>8831</v>
      </c>
      <c r="W452" s="2" t="s">
        <v>8832</v>
      </c>
      <c r="X452" s="2" t="s">
        <v>8833</v>
      </c>
      <c r="Y452" s="2" t="s">
        <v>8834</v>
      </c>
      <c r="Z452" s="2" t="s">
        <v>8835</v>
      </c>
      <c r="AA452" s="2"/>
      <c r="AB452" s="2" t="s">
        <v>8836</v>
      </c>
      <c r="AC452" s="2" t="s">
        <v>8837</v>
      </c>
      <c r="AD452" s="2" t="s">
        <v>8838</v>
      </c>
      <c r="AE452" s="2" t="s">
        <v>8839</v>
      </c>
      <c r="AF452" s="2" t="s">
        <v>8840</v>
      </c>
      <c r="AG452" s="2">
        <v>40.0</v>
      </c>
      <c r="AH452" s="2">
        <v>21.0</v>
      </c>
      <c r="AI452" s="2">
        <v>21.0</v>
      </c>
      <c r="AJ452" s="2">
        <v>0.0</v>
      </c>
      <c r="AK452" s="2">
        <v>21.0</v>
      </c>
      <c r="AL452" s="2" t="s">
        <v>351</v>
      </c>
      <c r="AM452" s="2" t="s">
        <v>352</v>
      </c>
      <c r="AN452" s="2" t="s">
        <v>353</v>
      </c>
      <c r="AO452" s="2" t="s">
        <v>8841</v>
      </c>
      <c r="AP452" s="2" t="s">
        <v>8842</v>
      </c>
      <c r="AQ452" s="2"/>
      <c r="AR452" s="2" t="s">
        <v>8843</v>
      </c>
      <c r="AS452" s="2" t="s">
        <v>8844</v>
      </c>
      <c r="AT452" s="2" t="s">
        <v>596</v>
      </c>
      <c r="AU452" s="2">
        <v>2018.0</v>
      </c>
      <c r="AV452" s="2">
        <v>30.0</v>
      </c>
      <c r="AW452" s="2">
        <v>5.0</v>
      </c>
      <c r="AX452" s="2"/>
      <c r="AY452" s="2"/>
      <c r="AZ452" s="2"/>
      <c r="BA452" s="2"/>
      <c r="BB452" s="2">
        <v>2725.0</v>
      </c>
      <c r="BC452" s="2">
        <v>2735.0</v>
      </c>
      <c r="BD452" s="2"/>
      <c r="BE452" s="2" t="s">
        <v>8845</v>
      </c>
      <c r="BF452" s="3" t="str">
        <f>HYPERLINK("http://dx.doi.org/10.1007/s10811-018-1388-3","http://dx.doi.org/10.1007/s10811-018-1388-3")</f>
        <v>http://dx.doi.org/10.1007/s10811-018-1388-3</v>
      </c>
      <c r="BG452" s="2"/>
      <c r="BH452" s="2"/>
      <c r="BI452" s="2">
        <v>11.0</v>
      </c>
      <c r="BJ452" s="2" t="s">
        <v>8846</v>
      </c>
      <c r="BK452" s="2" t="s">
        <v>2701</v>
      </c>
      <c r="BL452" s="2" t="s">
        <v>8846</v>
      </c>
      <c r="BM452" s="2" t="s">
        <v>8847</v>
      </c>
      <c r="BN452" s="2"/>
      <c r="BO452" s="2"/>
      <c r="BP452" s="2"/>
      <c r="BQ452" s="2"/>
      <c r="BR452" s="2" t="s">
        <v>99</v>
      </c>
      <c r="BS452" s="2" t="s">
        <v>8848</v>
      </c>
      <c r="BT452" s="2" t="str">
        <f>HYPERLINK("https%3A%2F%2Fwww.webofscience.com%2Fwos%2Fwoscc%2Ffull-record%2FWOS:000448700700002","View Full Record in Web of Science")</f>
        <v>View Full Record in Web of Science</v>
      </c>
    </row>
    <row r="453" ht="64.5" customHeight="1">
      <c r="A453" s="2" t="s">
        <v>72</v>
      </c>
      <c r="B453" s="2" t="s">
        <v>8849</v>
      </c>
      <c r="C453" s="2"/>
      <c r="D453" s="2"/>
      <c r="E453" s="2"/>
      <c r="F453" s="2" t="s">
        <v>8850</v>
      </c>
      <c r="G453" s="2"/>
      <c r="H453" s="2"/>
      <c r="I453" s="2" t="s">
        <v>8851</v>
      </c>
      <c r="J453" s="2" t="s">
        <v>3316</v>
      </c>
      <c r="K453" s="2"/>
      <c r="L453" s="2"/>
      <c r="M453" s="2" t="s">
        <v>116</v>
      </c>
      <c r="N453" s="2" t="s">
        <v>78</v>
      </c>
      <c r="O453" s="2"/>
      <c r="P453" s="2"/>
      <c r="Q453" s="2"/>
      <c r="R453" s="2"/>
      <c r="S453" s="2"/>
      <c r="T453" s="4" t="s">
        <v>121</v>
      </c>
      <c r="U453" s="2" t="s">
        <v>8852</v>
      </c>
      <c r="V453" s="2" t="s">
        <v>8853</v>
      </c>
      <c r="W453" s="2" t="s">
        <v>8854</v>
      </c>
      <c r="X453" s="2" t="s">
        <v>8855</v>
      </c>
      <c r="Y453" s="2" t="s">
        <v>8856</v>
      </c>
      <c r="Z453" s="2" t="s">
        <v>8857</v>
      </c>
      <c r="AA453" s="2"/>
      <c r="AB453" s="2" t="s">
        <v>8858</v>
      </c>
      <c r="AC453" s="2" t="s">
        <v>8859</v>
      </c>
      <c r="AD453" s="2" t="s">
        <v>8859</v>
      </c>
      <c r="AE453" s="2" t="s">
        <v>8860</v>
      </c>
      <c r="AF453" s="2" t="s">
        <v>8861</v>
      </c>
      <c r="AG453" s="2">
        <v>113.0</v>
      </c>
      <c r="AH453" s="2">
        <v>0.0</v>
      </c>
      <c r="AI453" s="2">
        <v>0.0</v>
      </c>
      <c r="AJ453" s="2">
        <v>4.0</v>
      </c>
      <c r="AK453" s="2">
        <v>4.0</v>
      </c>
      <c r="AL453" s="2" t="s">
        <v>216</v>
      </c>
      <c r="AM453" s="2" t="s">
        <v>189</v>
      </c>
      <c r="AN453" s="2" t="s">
        <v>217</v>
      </c>
      <c r="AO453" s="2" t="s">
        <v>3330</v>
      </c>
      <c r="AP453" s="2" t="s">
        <v>3331</v>
      </c>
      <c r="AQ453" s="2"/>
      <c r="AR453" s="2" t="s">
        <v>3332</v>
      </c>
      <c r="AS453" s="2" t="s">
        <v>3333</v>
      </c>
      <c r="AT453" s="2" t="s">
        <v>1073</v>
      </c>
      <c r="AU453" s="2">
        <v>2024.0</v>
      </c>
      <c r="AV453" s="2">
        <v>226.0</v>
      </c>
      <c r="AW453" s="2"/>
      <c r="AX453" s="2"/>
      <c r="AY453" s="2"/>
      <c r="AZ453" s="2"/>
      <c r="BA453" s="2"/>
      <c r="BB453" s="2"/>
      <c r="BC453" s="2"/>
      <c r="BD453" s="2">
        <v>120382.0</v>
      </c>
      <c r="BE453" s="2" t="s">
        <v>8862</v>
      </c>
      <c r="BF453" s="3" t="str">
        <f>HYPERLINK("http://dx.doi.org/10.1016/j.renene.2024.120382","http://dx.doi.org/10.1016/j.renene.2024.120382")</f>
        <v>http://dx.doi.org/10.1016/j.renene.2024.120382</v>
      </c>
      <c r="BG453" s="2"/>
      <c r="BH453" s="2"/>
      <c r="BI453" s="2">
        <v>12.0</v>
      </c>
      <c r="BJ453" s="2" t="s">
        <v>3335</v>
      </c>
      <c r="BK453" s="2" t="s">
        <v>226</v>
      </c>
      <c r="BL453" s="2" t="s">
        <v>3336</v>
      </c>
      <c r="BM453" s="2" t="s">
        <v>8863</v>
      </c>
      <c r="BN453" s="2"/>
      <c r="BO453" s="2"/>
      <c r="BP453" s="2"/>
      <c r="BQ453" s="2"/>
      <c r="BR453" s="2" t="s">
        <v>99</v>
      </c>
      <c r="BS453" s="2" t="s">
        <v>8864</v>
      </c>
      <c r="BT453" s="2" t="str">
        <f>HYPERLINK("https%3A%2F%2Fwww.webofscience.com%2Fwos%2Fwoscc%2Ffull-record%2FWOS:001225132200001","View Full Record in Web of Science")</f>
        <v>View Full Record in Web of Science</v>
      </c>
    </row>
    <row r="454" ht="64.5" customHeight="1">
      <c r="A454" s="2" t="s">
        <v>72</v>
      </c>
      <c r="B454" s="2" t="s">
        <v>8865</v>
      </c>
      <c r="C454" s="2"/>
      <c r="D454" s="2"/>
      <c r="E454" s="2"/>
      <c r="F454" s="2" t="s">
        <v>8866</v>
      </c>
      <c r="G454" s="2"/>
      <c r="H454" s="2"/>
      <c r="I454" s="2" t="s">
        <v>8867</v>
      </c>
      <c r="J454" s="2" t="s">
        <v>233</v>
      </c>
      <c r="K454" s="2"/>
      <c r="L454" s="2"/>
      <c r="M454" s="2" t="s">
        <v>116</v>
      </c>
      <c r="N454" s="2" t="s">
        <v>78</v>
      </c>
      <c r="O454" s="2"/>
      <c r="P454" s="2"/>
      <c r="Q454" s="2"/>
      <c r="R454" s="2"/>
      <c r="S454" s="2"/>
      <c r="T454" s="2" t="s">
        <v>8868</v>
      </c>
      <c r="U454" s="2" t="s">
        <v>8869</v>
      </c>
      <c r="V454" s="2" t="s">
        <v>8870</v>
      </c>
      <c r="W454" s="2" t="s">
        <v>8871</v>
      </c>
      <c r="X454" s="2" t="s">
        <v>8872</v>
      </c>
      <c r="Y454" s="2" t="s">
        <v>8873</v>
      </c>
      <c r="Z454" s="2" t="s">
        <v>8874</v>
      </c>
      <c r="AA454" s="2" t="s">
        <v>8875</v>
      </c>
      <c r="AB454" s="2" t="s">
        <v>8876</v>
      </c>
      <c r="AC454" s="2" t="s">
        <v>8877</v>
      </c>
      <c r="AD454" s="2" t="s">
        <v>8878</v>
      </c>
      <c r="AE454" s="2" t="s">
        <v>8879</v>
      </c>
      <c r="AF454" s="2" t="s">
        <v>8880</v>
      </c>
      <c r="AG454" s="2">
        <v>120.0</v>
      </c>
      <c r="AH454" s="2">
        <v>6.0</v>
      </c>
      <c r="AI454" s="2">
        <v>6.0</v>
      </c>
      <c r="AJ454" s="2">
        <v>2.0</v>
      </c>
      <c r="AK454" s="2">
        <v>29.0</v>
      </c>
      <c r="AL454" s="2" t="s">
        <v>246</v>
      </c>
      <c r="AM454" s="2" t="s">
        <v>247</v>
      </c>
      <c r="AN454" s="2" t="s">
        <v>248</v>
      </c>
      <c r="AO454" s="2"/>
      <c r="AP454" s="2" t="s">
        <v>249</v>
      </c>
      <c r="AQ454" s="2"/>
      <c r="AR454" s="2" t="s">
        <v>250</v>
      </c>
      <c r="AS454" s="2" t="s">
        <v>251</v>
      </c>
      <c r="AT454" s="2" t="s">
        <v>8881</v>
      </c>
      <c r="AU454" s="2">
        <v>2022.0</v>
      </c>
      <c r="AV454" s="2">
        <v>9.0</v>
      </c>
      <c r="AW454" s="2"/>
      <c r="AX454" s="2"/>
      <c r="AY454" s="2"/>
      <c r="AZ454" s="2"/>
      <c r="BA454" s="2"/>
      <c r="BB454" s="2"/>
      <c r="BC454" s="2"/>
      <c r="BD454" s="2">
        <v>947150.0</v>
      </c>
      <c r="BE454" s="2" t="s">
        <v>8882</v>
      </c>
      <c r="BF454" s="3" t="str">
        <f>HYPERLINK("http://dx.doi.org/10.3389/fmars.2022.947150","http://dx.doi.org/10.3389/fmars.2022.947150")</f>
        <v>http://dx.doi.org/10.3389/fmars.2022.947150</v>
      </c>
      <c r="BG454" s="2"/>
      <c r="BH454" s="2"/>
      <c r="BI454" s="2">
        <v>23.0</v>
      </c>
      <c r="BJ454" s="2" t="s">
        <v>225</v>
      </c>
      <c r="BK454" s="2" t="s">
        <v>226</v>
      </c>
      <c r="BL454" s="2" t="s">
        <v>227</v>
      </c>
      <c r="BM454" s="2" t="s">
        <v>8883</v>
      </c>
      <c r="BN454" s="2"/>
      <c r="BO454" s="2" t="s">
        <v>601</v>
      </c>
      <c r="BP454" s="2"/>
      <c r="BQ454" s="2"/>
      <c r="BR454" s="2" t="s">
        <v>99</v>
      </c>
      <c r="BS454" s="2" t="s">
        <v>8884</v>
      </c>
      <c r="BT454" s="2" t="str">
        <f>HYPERLINK("https%3A%2F%2Fwww.webofscience.com%2Fwos%2Fwoscc%2Ffull-record%2FWOS:000843160900001","View Full Record in Web of Science")</f>
        <v>View Full Record in Web of Science</v>
      </c>
    </row>
    <row r="455" ht="64.5" customHeight="1">
      <c r="A455" s="2" t="s">
        <v>72</v>
      </c>
      <c r="B455" s="2" t="s">
        <v>8885</v>
      </c>
      <c r="C455" s="2"/>
      <c r="D455" s="2"/>
      <c r="E455" s="2"/>
      <c r="F455" s="2" t="s">
        <v>8886</v>
      </c>
      <c r="G455" s="2"/>
      <c r="H455" s="2"/>
      <c r="I455" s="2" t="s">
        <v>8887</v>
      </c>
      <c r="J455" s="2" t="s">
        <v>8694</v>
      </c>
      <c r="K455" s="2"/>
      <c r="L455" s="2"/>
      <c r="M455" s="2" t="s">
        <v>116</v>
      </c>
      <c r="N455" s="2" t="s">
        <v>78</v>
      </c>
      <c r="O455" s="2"/>
      <c r="P455" s="2"/>
      <c r="Q455" s="2"/>
      <c r="R455" s="2"/>
      <c r="S455" s="2"/>
      <c r="T455" s="2" t="s">
        <v>8888</v>
      </c>
      <c r="U455" s="2" t="s">
        <v>8889</v>
      </c>
      <c r="V455" s="2" t="s">
        <v>8890</v>
      </c>
      <c r="W455" s="2" t="s">
        <v>8891</v>
      </c>
      <c r="X455" s="2" t="s">
        <v>8892</v>
      </c>
      <c r="Y455" s="2" t="s">
        <v>8893</v>
      </c>
      <c r="Z455" s="2" t="s">
        <v>8894</v>
      </c>
      <c r="AA455" s="2" t="s">
        <v>8895</v>
      </c>
      <c r="AB455" s="2" t="s">
        <v>3476</v>
      </c>
      <c r="AC455" s="2" t="s">
        <v>8896</v>
      </c>
      <c r="AD455" s="2" t="s">
        <v>8897</v>
      </c>
      <c r="AE455" s="2" t="s">
        <v>8898</v>
      </c>
      <c r="AF455" s="2" t="s">
        <v>8899</v>
      </c>
      <c r="AG455" s="2">
        <v>75.0</v>
      </c>
      <c r="AH455" s="2">
        <v>8.0</v>
      </c>
      <c r="AI455" s="2">
        <v>8.0</v>
      </c>
      <c r="AJ455" s="2">
        <v>4.0</v>
      </c>
      <c r="AK455" s="2">
        <v>17.0</v>
      </c>
      <c r="AL455" s="2" t="s">
        <v>188</v>
      </c>
      <c r="AM455" s="2" t="s">
        <v>189</v>
      </c>
      <c r="AN455" s="2" t="s">
        <v>190</v>
      </c>
      <c r="AO455" s="2" t="s">
        <v>8707</v>
      </c>
      <c r="AP455" s="2" t="s">
        <v>8708</v>
      </c>
      <c r="AQ455" s="2"/>
      <c r="AR455" s="2" t="s">
        <v>8709</v>
      </c>
      <c r="AS455" s="2" t="s">
        <v>8710</v>
      </c>
      <c r="AT455" s="2" t="s">
        <v>163</v>
      </c>
      <c r="AU455" s="2">
        <v>2022.0</v>
      </c>
      <c r="AV455" s="2">
        <v>307.0</v>
      </c>
      <c r="AW455" s="2"/>
      <c r="AX455" s="2"/>
      <c r="AY455" s="2"/>
      <c r="AZ455" s="2"/>
      <c r="BA455" s="2"/>
      <c r="BB455" s="2"/>
      <c r="BC455" s="2"/>
      <c r="BD455" s="2">
        <v>118115.0</v>
      </c>
      <c r="BE455" s="2" t="s">
        <v>8900</v>
      </c>
      <c r="BF455" s="3" t="str">
        <f>HYPERLINK("http://dx.doi.org/10.1016/j.apenergy.2021.118115","http://dx.doi.org/10.1016/j.apenergy.2021.118115")</f>
        <v>http://dx.doi.org/10.1016/j.apenergy.2021.118115</v>
      </c>
      <c r="BG455" s="2"/>
      <c r="BH455" s="2" t="s">
        <v>3930</v>
      </c>
      <c r="BI455" s="2">
        <v>21.0</v>
      </c>
      <c r="BJ455" s="2" t="s">
        <v>8712</v>
      </c>
      <c r="BK455" s="2" t="s">
        <v>363</v>
      </c>
      <c r="BL455" s="2" t="s">
        <v>2354</v>
      </c>
      <c r="BM455" s="2" t="s">
        <v>8901</v>
      </c>
      <c r="BN455" s="2"/>
      <c r="BO455" s="2"/>
      <c r="BP455" s="2"/>
      <c r="BQ455" s="2"/>
      <c r="BR455" s="2" t="s">
        <v>99</v>
      </c>
      <c r="BS455" s="2" t="s">
        <v>8902</v>
      </c>
      <c r="BT455" s="2" t="str">
        <f>HYPERLINK("https%3A%2F%2Fwww.webofscience.com%2Fwos%2Fwoscc%2Ffull-record%2FWOS:000778351200004","View Full Record in Web of Science")</f>
        <v>View Full Record in Web of Science</v>
      </c>
    </row>
    <row r="456" ht="64.5" customHeight="1">
      <c r="A456" s="2" t="s">
        <v>72</v>
      </c>
      <c r="B456" s="2" t="s">
        <v>8903</v>
      </c>
      <c r="C456" s="2"/>
      <c r="D456" s="2"/>
      <c r="E456" s="2"/>
      <c r="F456" s="2" t="s">
        <v>8904</v>
      </c>
      <c r="G456" s="2"/>
      <c r="H456" s="2"/>
      <c r="I456" s="2" t="s">
        <v>8905</v>
      </c>
      <c r="J456" s="2" t="s">
        <v>8694</v>
      </c>
      <c r="K456" s="2"/>
      <c r="L456" s="2"/>
      <c r="M456" s="2" t="s">
        <v>116</v>
      </c>
      <c r="N456" s="2" t="s">
        <v>78</v>
      </c>
      <c r="O456" s="2"/>
      <c r="P456" s="2"/>
      <c r="Q456" s="2"/>
      <c r="R456" s="2"/>
      <c r="S456" s="2"/>
      <c r="T456" s="2" t="s">
        <v>8906</v>
      </c>
      <c r="U456" s="2" t="s">
        <v>8907</v>
      </c>
      <c r="V456" s="2" t="s">
        <v>8908</v>
      </c>
      <c r="W456" s="2" t="s">
        <v>8909</v>
      </c>
      <c r="X456" s="2" t="s">
        <v>8910</v>
      </c>
      <c r="Y456" s="2" t="s">
        <v>8911</v>
      </c>
      <c r="Z456" s="2" t="s">
        <v>8912</v>
      </c>
      <c r="AA456" s="2" t="s">
        <v>8913</v>
      </c>
      <c r="AB456" s="2" t="s">
        <v>8914</v>
      </c>
      <c r="AC456" s="2" t="s">
        <v>8915</v>
      </c>
      <c r="AD456" s="2" t="s">
        <v>8915</v>
      </c>
      <c r="AE456" s="2" t="s">
        <v>8916</v>
      </c>
      <c r="AF456" s="2" t="s">
        <v>8917</v>
      </c>
      <c r="AG456" s="2">
        <v>67.0</v>
      </c>
      <c r="AH456" s="2">
        <v>9.0</v>
      </c>
      <c r="AI456" s="2">
        <v>10.0</v>
      </c>
      <c r="AJ456" s="2">
        <v>3.0</v>
      </c>
      <c r="AK456" s="2">
        <v>26.0</v>
      </c>
      <c r="AL456" s="2" t="s">
        <v>188</v>
      </c>
      <c r="AM456" s="2" t="s">
        <v>189</v>
      </c>
      <c r="AN456" s="2" t="s">
        <v>190</v>
      </c>
      <c r="AO456" s="2" t="s">
        <v>8707</v>
      </c>
      <c r="AP456" s="2" t="s">
        <v>8708</v>
      </c>
      <c r="AQ456" s="2"/>
      <c r="AR456" s="2" t="s">
        <v>8709</v>
      </c>
      <c r="AS456" s="2" t="s">
        <v>8710</v>
      </c>
      <c r="AT456" s="2" t="s">
        <v>3030</v>
      </c>
      <c r="AU456" s="2">
        <v>2018.0</v>
      </c>
      <c r="AV456" s="2">
        <v>228.0</v>
      </c>
      <c r="AW456" s="2"/>
      <c r="AX456" s="2"/>
      <c r="AY456" s="2"/>
      <c r="AZ456" s="2"/>
      <c r="BA456" s="2"/>
      <c r="BB456" s="2">
        <v>512.0</v>
      </c>
      <c r="BC456" s="2">
        <v>523.0</v>
      </c>
      <c r="BD456" s="2"/>
      <c r="BE456" s="2" t="s">
        <v>8918</v>
      </c>
      <c r="BF456" s="3" t="str">
        <f>HYPERLINK("http://dx.doi.org/10.1016/j.apenergy.2018.06.115","http://dx.doi.org/10.1016/j.apenergy.2018.06.115")</f>
        <v>http://dx.doi.org/10.1016/j.apenergy.2018.06.115</v>
      </c>
      <c r="BG456" s="2"/>
      <c r="BH456" s="2"/>
      <c r="BI456" s="2">
        <v>12.0</v>
      </c>
      <c r="BJ456" s="2" t="s">
        <v>8712</v>
      </c>
      <c r="BK456" s="2" t="s">
        <v>363</v>
      </c>
      <c r="BL456" s="2" t="s">
        <v>2354</v>
      </c>
      <c r="BM456" s="2" t="s">
        <v>8919</v>
      </c>
      <c r="BN456" s="2"/>
      <c r="BO456" s="2" t="s">
        <v>2826</v>
      </c>
      <c r="BP456" s="2"/>
      <c r="BQ456" s="2"/>
      <c r="BR456" s="2" t="s">
        <v>99</v>
      </c>
      <c r="BS456" s="2" t="s">
        <v>8920</v>
      </c>
      <c r="BT456" s="2" t="str">
        <f>HYPERLINK("https%3A%2F%2Fwww.webofscience.com%2Fwos%2Fwoscc%2Ffull-record%2FWOS:000447479400040","View Full Record in Web of Science")</f>
        <v>View Full Record in Web of Science</v>
      </c>
    </row>
    <row r="457" ht="64.5" customHeight="1">
      <c r="A457" s="2" t="s">
        <v>72</v>
      </c>
      <c r="B457" s="2" t="s">
        <v>8921</v>
      </c>
      <c r="C457" s="2"/>
      <c r="D457" s="2"/>
      <c r="E457" s="2"/>
      <c r="F457" s="2" t="s">
        <v>8922</v>
      </c>
      <c r="G457" s="2"/>
      <c r="H457" s="2"/>
      <c r="I457" s="2" t="s">
        <v>8923</v>
      </c>
      <c r="J457" s="2" t="s">
        <v>8924</v>
      </c>
      <c r="K457" s="2"/>
      <c r="L457" s="2"/>
      <c r="M457" s="2" t="s">
        <v>116</v>
      </c>
      <c r="N457" s="2" t="s">
        <v>78</v>
      </c>
      <c r="O457" s="2"/>
      <c r="P457" s="2"/>
      <c r="Q457" s="2"/>
      <c r="R457" s="2"/>
      <c r="S457" s="2"/>
      <c r="T457" s="2" t="s">
        <v>8925</v>
      </c>
      <c r="U457" s="2" t="s">
        <v>8926</v>
      </c>
      <c r="V457" s="2" t="s">
        <v>8927</v>
      </c>
      <c r="W457" s="2" t="s">
        <v>8928</v>
      </c>
      <c r="X457" s="2" t="s">
        <v>8929</v>
      </c>
      <c r="Y457" s="2" t="s">
        <v>8930</v>
      </c>
      <c r="Z457" s="2" t="s">
        <v>8931</v>
      </c>
      <c r="AA457" s="2" t="s">
        <v>8932</v>
      </c>
      <c r="AB457" s="2" t="s">
        <v>8933</v>
      </c>
      <c r="AC457" s="2"/>
      <c r="AD457" s="2"/>
      <c r="AE457" s="2"/>
      <c r="AF457" s="2" t="s">
        <v>8934</v>
      </c>
      <c r="AG457" s="2">
        <v>89.0</v>
      </c>
      <c r="AH457" s="2">
        <v>1.0</v>
      </c>
      <c r="AI457" s="2">
        <v>1.0</v>
      </c>
      <c r="AJ457" s="2">
        <v>1.0</v>
      </c>
      <c r="AK457" s="2">
        <v>1.0</v>
      </c>
      <c r="AL457" s="2" t="s">
        <v>1512</v>
      </c>
      <c r="AM457" s="2" t="s">
        <v>1513</v>
      </c>
      <c r="AN457" s="2" t="s">
        <v>1514</v>
      </c>
      <c r="AO457" s="2"/>
      <c r="AP457" s="2" t="s">
        <v>8935</v>
      </c>
      <c r="AQ457" s="2"/>
      <c r="AR457" s="2" t="s">
        <v>8936</v>
      </c>
      <c r="AS457" s="2" t="s">
        <v>8937</v>
      </c>
      <c r="AT457" s="2" t="s">
        <v>2224</v>
      </c>
      <c r="AU457" s="2">
        <v>2024.0</v>
      </c>
      <c r="AV457" s="2">
        <v>5.0</v>
      </c>
      <c r="AW457" s="2">
        <v>1.0</v>
      </c>
      <c r="AX457" s="2"/>
      <c r="AY457" s="2"/>
      <c r="AZ457" s="2"/>
      <c r="BA457" s="2"/>
      <c r="BB457" s="2"/>
      <c r="BC457" s="2"/>
      <c r="BD457" s="2">
        <v>2.0</v>
      </c>
      <c r="BE457" s="2" t="s">
        <v>8938</v>
      </c>
      <c r="BF457" s="3" t="str">
        <f>HYPERLINK("http://dx.doi.org/10.1007/s43621-023-00154-6","http://dx.doi.org/10.1007/s43621-023-00154-6")</f>
        <v>http://dx.doi.org/10.1007/s43621-023-00154-6</v>
      </c>
      <c r="BG457" s="2"/>
      <c r="BH457" s="2"/>
      <c r="BI457" s="2">
        <v>18.0</v>
      </c>
      <c r="BJ457" s="2" t="s">
        <v>390</v>
      </c>
      <c r="BK457" s="2" t="s">
        <v>96</v>
      </c>
      <c r="BL457" s="2" t="s">
        <v>391</v>
      </c>
      <c r="BM457" s="2" t="s">
        <v>8939</v>
      </c>
      <c r="BN457" s="2"/>
      <c r="BO457" s="2" t="s">
        <v>1594</v>
      </c>
      <c r="BP457" s="2"/>
      <c r="BQ457" s="2"/>
      <c r="BR457" s="2" t="s">
        <v>99</v>
      </c>
      <c r="BS457" s="2" t="s">
        <v>8940</v>
      </c>
      <c r="BT457" s="2" t="str">
        <f>HYPERLINK("https%3A%2F%2Fwww.webofscience.com%2Fwos%2Fwoscc%2Ffull-record%2FWOS:001137749500001","View Full Record in Web of Science")</f>
        <v>View Full Record in Web of Science</v>
      </c>
    </row>
    <row r="458" ht="64.5" customHeight="1">
      <c r="A458" s="2" t="s">
        <v>72</v>
      </c>
      <c r="B458" s="2" t="s">
        <v>8941</v>
      </c>
      <c r="C458" s="2"/>
      <c r="D458" s="2"/>
      <c r="E458" s="2"/>
      <c r="F458" s="2" t="s">
        <v>8942</v>
      </c>
      <c r="G458" s="2"/>
      <c r="H458" s="2"/>
      <c r="I458" s="2" t="s">
        <v>8943</v>
      </c>
      <c r="J458" s="2" t="s">
        <v>1337</v>
      </c>
      <c r="K458" s="2"/>
      <c r="L458" s="2"/>
      <c r="M458" s="2" t="s">
        <v>116</v>
      </c>
      <c r="N458" s="2" t="s">
        <v>78</v>
      </c>
      <c r="O458" s="2"/>
      <c r="P458" s="2"/>
      <c r="Q458" s="2"/>
      <c r="R458" s="2"/>
      <c r="S458" s="2"/>
      <c r="T458" s="2" t="s">
        <v>8944</v>
      </c>
      <c r="U458" s="2" t="s">
        <v>8945</v>
      </c>
      <c r="V458" s="2" t="s">
        <v>8946</v>
      </c>
      <c r="W458" s="2" t="s">
        <v>8947</v>
      </c>
      <c r="X458" s="2" t="s">
        <v>8948</v>
      </c>
      <c r="Y458" s="2" t="s">
        <v>8949</v>
      </c>
      <c r="Z458" s="2" t="s">
        <v>8950</v>
      </c>
      <c r="AA458" s="2" t="s">
        <v>8951</v>
      </c>
      <c r="AB458" s="2" t="s">
        <v>8952</v>
      </c>
      <c r="AC458" s="2"/>
      <c r="AD458" s="2"/>
      <c r="AE458" s="2"/>
      <c r="AF458" s="2" t="s">
        <v>8953</v>
      </c>
      <c r="AG458" s="2">
        <v>115.0</v>
      </c>
      <c r="AH458" s="2">
        <v>2.0</v>
      </c>
      <c r="AI458" s="2">
        <v>2.0</v>
      </c>
      <c r="AJ458" s="2">
        <v>12.0</v>
      </c>
      <c r="AK458" s="2">
        <v>25.0</v>
      </c>
      <c r="AL458" s="2" t="s">
        <v>1346</v>
      </c>
      <c r="AM458" s="2" t="s">
        <v>428</v>
      </c>
      <c r="AN458" s="2" t="s">
        <v>1347</v>
      </c>
      <c r="AO458" s="2" t="s">
        <v>1348</v>
      </c>
      <c r="AP458" s="2" t="s">
        <v>1349</v>
      </c>
      <c r="AQ458" s="2"/>
      <c r="AR458" s="2" t="s">
        <v>1350</v>
      </c>
      <c r="AS458" s="2" t="s">
        <v>1351</v>
      </c>
      <c r="AT458" s="2" t="s">
        <v>596</v>
      </c>
      <c r="AU458" s="2">
        <v>2023.0</v>
      </c>
      <c r="AV458" s="2">
        <v>104.0</v>
      </c>
      <c r="AW458" s="2"/>
      <c r="AX458" s="2"/>
      <c r="AY458" s="2"/>
      <c r="AZ458" s="2"/>
      <c r="BA458" s="2"/>
      <c r="BB458" s="2"/>
      <c r="BC458" s="2"/>
      <c r="BD458" s="2">
        <v>103247.0</v>
      </c>
      <c r="BE458" s="2" t="s">
        <v>8954</v>
      </c>
      <c r="BF458" s="3" t="str">
        <f>HYPERLINK("http://dx.doi.org/10.1016/j.erss.2023.103247","http://dx.doi.org/10.1016/j.erss.2023.103247")</f>
        <v>http://dx.doi.org/10.1016/j.erss.2023.103247</v>
      </c>
      <c r="BG458" s="2"/>
      <c r="BH458" s="2" t="s">
        <v>4151</v>
      </c>
      <c r="BI458" s="2">
        <v>17.0</v>
      </c>
      <c r="BJ458" s="2" t="s">
        <v>95</v>
      </c>
      <c r="BK458" s="2" t="s">
        <v>166</v>
      </c>
      <c r="BL458" s="2" t="s">
        <v>97</v>
      </c>
      <c r="BM458" s="2" t="s">
        <v>8955</v>
      </c>
      <c r="BN458" s="2"/>
      <c r="BO458" s="2"/>
      <c r="BP458" s="2"/>
      <c r="BQ458" s="2"/>
      <c r="BR458" s="2" t="s">
        <v>99</v>
      </c>
      <c r="BS458" s="2" t="s">
        <v>8956</v>
      </c>
      <c r="BT458" s="2" t="str">
        <f>HYPERLINK("https%3A%2F%2Fwww.webofscience.com%2Fwos%2Fwoscc%2Ffull-record%2FWOS:001059510000001","View Full Record in Web of Science")</f>
        <v>View Full Record in Web of Science</v>
      </c>
    </row>
    <row r="459" ht="64.5" customHeight="1">
      <c r="A459" s="2" t="s">
        <v>72</v>
      </c>
      <c r="B459" s="2" t="s">
        <v>8957</v>
      </c>
      <c r="C459" s="2"/>
      <c r="D459" s="2"/>
      <c r="E459" s="2"/>
      <c r="F459" s="2" t="s">
        <v>8958</v>
      </c>
      <c r="G459" s="2"/>
      <c r="H459" s="2"/>
      <c r="I459" s="2" t="s">
        <v>8959</v>
      </c>
      <c r="J459" s="2" t="s">
        <v>8960</v>
      </c>
      <c r="K459" s="2"/>
      <c r="L459" s="2"/>
      <c r="M459" s="2" t="s">
        <v>116</v>
      </c>
      <c r="N459" s="2" t="s">
        <v>78</v>
      </c>
      <c r="O459" s="2"/>
      <c r="P459" s="2"/>
      <c r="Q459" s="2"/>
      <c r="R459" s="2"/>
      <c r="S459" s="2"/>
      <c r="T459" s="2" t="s">
        <v>8961</v>
      </c>
      <c r="U459" s="2"/>
      <c r="V459" s="2" t="s">
        <v>8962</v>
      </c>
      <c r="W459" s="2" t="s">
        <v>8963</v>
      </c>
      <c r="X459" s="2" t="s">
        <v>8964</v>
      </c>
      <c r="Y459" s="2" t="s">
        <v>8965</v>
      </c>
      <c r="Z459" s="2" t="s">
        <v>8966</v>
      </c>
      <c r="AA459" s="2" t="s">
        <v>8967</v>
      </c>
      <c r="AB459" s="2" t="s">
        <v>8968</v>
      </c>
      <c r="AC459" s="2"/>
      <c r="AD459" s="2"/>
      <c r="AE459" s="2"/>
      <c r="AF459" s="2" t="s">
        <v>8969</v>
      </c>
      <c r="AG459" s="2">
        <v>8.0</v>
      </c>
      <c r="AH459" s="2">
        <v>0.0</v>
      </c>
      <c r="AI459" s="2">
        <v>0.0</v>
      </c>
      <c r="AJ459" s="2">
        <v>0.0</v>
      </c>
      <c r="AK459" s="2">
        <v>0.0</v>
      </c>
      <c r="AL459" s="2" t="s">
        <v>8970</v>
      </c>
      <c r="AM459" s="2" t="s">
        <v>8971</v>
      </c>
      <c r="AN459" s="2" t="s">
        <v>8972</v>
      </c>
      <c r="AO459" s="2" t="s">
        <v>8973</v>
      </c>
      <c r="AP459" s="2"/>
      <c r="AQ459" s="2"/>
      <c r="AR459" s="2" t="s">
        <v>8974</v>
      </c>
      <c r="AS459" s="2" t="s">
        <v>8975</v>
      </c>
      <c r="AT459" s="2"/>
      <c r="AU459" s="2">
        <v>2023.0</v>
      </c>
      <c r="AV459" s="2"/>
      <c r="AW459" s="2">
        <v>41.0</v>
      </c>
      <c r="AX459" s="2"/>
      <c r="AY459" s="2"/>
      <c r="AZ459" s="2"/>
      <c r="BA459" s="2"/>
      <c r="BB459" s="2">
        <v>131.0</v>
      </c>
      <c r="BC459" s="2">
        <v>140.0</v>
      </c>
      <c r="BD459" s="2"/>
      <c r="BE459" s="2"/>
      <c r="BF459" s="2"/>
      <c r="BG459" s="2"/>
      <c r="BH459" s="2"/>
      <c r="BI459" s="2">
        <v>10.0</v>
      </c>
      <c r="BJ459" s="2" t="s">
        <v>8976</v>
      </c>
      <c r="BK459" s="2" t="s">
        <v>3124</v>
      </c>
      <c r="BL459" s="2" t="s">
        <v>8977</v>
      </c>
      <c r="BM459" s="2" t="s">
        <v>8978</v>
      </c>
      <c r="BN459" s="2"/>
      <c r="BO459" s="2"/>
      <c r="BP459" s="2"/>
      <c r="BQ459" s="2"/>
      <c r="BR459" s="2" t="s">
        <v>99</v>
      </c>
      <c r="BS459" s="2" t="s">
        <v>8979</v>
      </c>
      <c r="BT459" s="2" t="str">
        <f>HYPERLINK("https%3A%2F%2Fwww.webofscience.com%2Fwos%2Fwoscc%2Ffull-record%2FWOS:001253560000006","View Full Record in Web of Science")</f>
        <v>View Full Record in Web of Science</v>
      </c>
    </row>
    <row r="460" ht="64.5" customHeight="1">
      <c r="A460" s="2" t="s">
        <v>72</v>
      </c>
      <c r="B460" s="2" t="s">
        <v>8980</v>
      </c>
      <c r="C460" s="2"/>
      <c r="D460" s="2"/>
      <c r="E460" s="2"/>
      <c r="F460" s="2" t="s">
        <v>8981</v>
      </c>
      <c r="G460" s="2"/>
      <c r="H460" s="2"/>
      <c r="I460" s="2" t="s">
        <v>8982</v>
      </c>
      <c r="J460" s="2" t="s">
        <v>8983</v>
      </c>
      <c r="K460" s="2"/>
      <c r="L460" s="2"/>
      <c r="M460" s="2" t="s">
        <v>116</v>
      </c>
      <c r="N460" s="2" t="s">
        <v>78</v>
      </c>
      <c r="O460" s="2"/>
      <c r="P460" s="2"/>
      <c r="Q460" s="2"/>
      <c r="R460" s="2"/>
      <c r="S460" s="2"/>
      <c r="T460" s="2" t="s">
        <v>8984</v>
      </c>
      <c r="U460" s="2" t="s">
        <v>8985</v>
      </c>
      <c r="V460" s="2" t="s">
        <v>8986</v>
      </c>
      <c r="W460" s="2" t="s">
        <v>8987</v>
      </c>
      <c r="X460" s="2" t="s">
        <v>8988</v>
      </c>
      <c r="Y460" s="2" t="s">
        <v>8989</v>
      </c>
      <c r="Z460" s="2" t="s">
        <v>8990</v>
      </c>
      <c r="AA460" s="2" t="s">
        <v>8991</v>
      </c>
      <c r="AB460" s="2" t="s">
        <v>8992</v>
      </c>
      <c r="AC460" s="2" t="s">
        <v>8993</v>
      </c>
      <c r="AD460" s="2" t="s">
        <v>8994</v>
      </c>
      <c r="AE460" s="2" t="s">
        <v>8995</v>
      </c>
      <c r="AF460" s="2" t="s">
        <v>8996</v>
      </c>
      <c r="AG460" s="2">
        <v>81.0</v>
      </c>
      <c r="AH460" s="2">
        <v>5.0</v>
      </c>
      <c r="AI460" s="2">
        <v>6.0</v>
      </c>
      <c r="AJ460" s="2">
        <v>0.0</v>
      </c>
      <c r="AK460" s="2">
        <v>5.0</v>
      </c>
      <c r="AL460" s="2" t="s">
        <v>246</v>
      </c>
      <c r="AM460" s="2" t="s">
        <v>247</v>
      </c>
      <c r="AN460" s="2" t="s">
        <v>248</v>
      </c>
      <c r="AO460" s="2"/>
      <c r="AP460" s="2" t="s">
        <v>8997</v>
      </c>
      <c r="AQ460" s="2"/>
      <c r="AR460" s="2" t="s">
        <v>8998</v>
      </c>
      <c r="AS460" s="2" t="s">
        <v>8999</v>
      </c>
      <c r="AT460" s="2" t="s">
        <v>3820</v>
      </c>
      <c r="AU460" s="2">
        <v>2021.0</v>
      </c>
      <c r="AV460" s="2">
        <v>3.0</v>
      </c>
      <c r="AW460" s="2"/>
      <c r="AX460" s="2"/>
      <c r="AY460" s="2"/>
      <c r="AZ460" s="2"/>
      <c r="BA460" s="2"/>
      <c r="BB460" s="2"/>
      <c r="BC460" s="2"/>
      <c r="BD460" s="2">
        <v>748344.0</v>
      </c>
      <c r="BE460" s="2" t="s">
        <v>9000</v>
      </c>
      <c r="BF460" s="3" t="str">
        <f>HYPERLINK("http://dx.doi.org/10.3389/fclim.2021.748344","http://dx.doi.org/10.3389/fclim.2021.748344")</f>
        <v>http://dx.doi.org/10.3389/fclim.2021.748344</v>
      </c>
      <c r="BG460" s="2"/>
      <c r="BH460" s="2"/>
      <c r="BI460" s="2">
        <v>10.0</v>
      </c>
      <c r="BJ460" s="2" t="s">
        <v>9001</v>
      </c>
      <c r="BK460" s="2" t="s">
        <v>96</v>
      </c>
      <c r="BL460" s="2" t="s">
        <v>97</v>
      </c>
      <c r="BM460" s="2" t="s">
        <v>9002</v>
      </c>
      <c r="BN460" s="2"/>
      <c r="BO460" s="2" t="s">
        <v>272</v>
      </c>
      <c r="BP460" s="2"/>
      <c r="BQ460" s="2"/>
      <c r="BR460" s="2" t="s">
        <v>99</v>
      </c>
      <c r="BS460" s="2" t="s">
        <v>9003</v>
      </c>
      <c r="BT460" s="2" t="str">
        <f>HYPERLINK("https%3A%2F%2Fwww.webofscience.com%2Fwos%2Fwoscc%2Ffull-record%2FWOS:001021845100001","View Full Record in Web of Science")</f>
        <v>View Full Record in Web of Science</v>
      </c>
    </row>
    <row r="461" ht="64.5" customHeight="1">
      <c r="A461" s="2" t="s">
        <v>72</v>
      </c>
      <c r="B461" s="2" t="s">
        <v>9004</v>
      </c>
      <c r="C461" s="2"/>
      <c r="D461" s="2"/>
      <c r="E461" s="2"/>
      <c r="F461" s="2" t="s">
        <v>9005</v>
      </c>
      <c r="G461" s="2"/>
      <c r="H461" s="2"/>
      <c r="I461" s="2" t="s">
        <v>9006</v>
      </c>
      <c r="J461" s="2" t="s">
        <v>9007</v>
      </c>
      <c r="K461" s="2"/>
      <c r="L461" s="2"/>
      <c r="M461" s="2" t="s">
        <v>116</v>
      </c>
      <c r="N461" s="2" t="s">
        <v>78</v>
      </c>
      <c r="O461" s="2"/>
      <c r="P461" s="2"/>
      <c r="Q461" s="2"/>
      <c r="R461" s="2"/>
      <c r="S461" s="2"/>
      <c r="T461" s="2" t="s">
        <v>9008</v>
      </c>
      <c r="U461" s="2" t="s">
        <v>9009</v>
      </c>
      <c r="V461" s="2" t="s">
        <v>9010</v>
      </c>
      <c r="W461" s="2" t="s">
        <v>9011</v>
      </c>
      <c r="X461" s="2" t="s">
        <v>9012</v>
      </c>
      <c r="Y461" s="2" t="s">
        <v>9013</v>
      </c>
      <c r="Z461" s="2" t="s">
        <v>9014</v>
      </c>
      <c r="AA461" s="2" t="s">
        <v>9015</v>
      </c>
      <c r="AB461" s="2" t="s">
        <v>9016</v>
      </c>
      <c r="AC461" s="2" t="s">
        <v>9017</v>
      </c>
      <c r="AD461" s="2" t="s">
        <v>3753</v>
      </c>
      <c r="AE461" s="2" t="s">
        <v>9018</v>
      </c>
      <c r="AF461" s="2" t="s">
        <v>9019</v>
      </c>
      <c r="AG461" s="2">
        <v>68.0</v>
      </c>
      <c r="AH461" s="2">
        <v>9.0</v>
      </c>
      <c r="AI461" s="2">
        <v>9.0</v>
      </c>
      <c r="AJ461" s="2">
        <v>28.0</v>
      </c>
      <c r="AK461" s="2">
        <v>165.0</v>
      </c>
      <c r="AL461" s="2" t="s">
        <v>2015</v>
      </c>
      <c r="AM461" s="2" t="s">
        <v>2016</v>
      </c>
      <c r="AN461" s="2" t="s">
        <v>2017</v>
      </c>
      <c r="AO461" s="2" t="s">
        <v>9020</v>
      </c>
      <c r="AP461" s="2" t="s">
        <v>9021</v>
      </c>
      <c r="AQ461" s="2"/>
      <c r="AR461" s="2" t="s">
        <v>9022</v>
      </c>
      <c r="AS461" s="2" t="s">
        <v>9023</v>
      </c>
      <c r="AT461" s="2" t="s">
        <v>9024</v>
      </c>
      <c r="AU461" s="2">
        <v>2022.0</v>
      </c>
      <c r="AV461" s="2">
        <v>16.0</v>
      </c>
      <c r="AW461" s="2">
        <v>12.0</v>
      </c>
      <c r="AX461" s="2"/>
      <c r="AY461" s="2"/>
      <c r="AZ461" s="2"/>
      <c r="BA461" s="2"/>
      <c r="BB461" s="2">
        <v>1131.0</v>
      </c>
      <c r="BC461" s="2">
        <v>1143.0</v>
      </c>
      <c r="BD461" s="2"/>
      <c r="BE461" s="2" t="s">
        <v>9025</v>
      </c>
      <c r="BF461" s="3" t="str">
        <f>HYPERLINK("http://dx.doi.org/10.1080/15568318.2021.1975325","http://dx.doi.org/10.1080/15568318.2021.1975325")</f>
        <v>http://dx.doi.org/10.1080/15568318.2021.1975325</v>
      </c>
      <c r="BG461" s="2"/>
      <c r="BH461" s="2" t="s">
        <v>3822</v>
      </c>
      <c r="BI461" s="2">
        <v>13.0</v>
      </c>
      <c r="BJ461" s="2" t="s">
        <v>9026</v>
      </c>
      <c r="BK461" s="2" t="s">
        <v>166</v>
      </c>
      <c r="BL461" s="2" t="s">
        <v>9027</v>
      </c>
      <c r="BM461" s="2" t="s">
        <v>9028</v>
      </c>
      <c r="BN461" s="2"/>
      <c r="BO461" s="2"/>
      <c r="BP461" s="2"/>
      <c r="BQ461" s="2"/>
      <c r="BR461" s="2" t="s">
        <v>99</v>
      </c>
      <c r="BS461" s="2" t="s">
        <v>9029</v>
      </c>
      <c r="BT461" s="2" t="str">
        <f>HYPERLINK("https%3A%2F%2Fwww.webofscience.com%2Fwos%2Fwoscc%2Ffull-record%2FWOS:000695032500001","View Full Record in Web of Science")</f>
        <v>View Full Record in Web of Science</v>
      </c>
    </row>
    <row r="462" ht="64.5" customHeight="1">
      <c r="A462" s="2" t="s">
        <v>110</v>
      </c>
      <c r="B462" s="2" t="s">
        <v>9030</v>
      </c>
      <c r="C462" s="2"/>
      <c r="D462" s="2" t="s">
        <v>9031</v>
      </c>
      <c r="E462" s="2"/>
      <c r="F462" s="2" t="s">
        <v>9032</v>
      </c>
      <c r="G462" s="2"/>
      <c r="H462" s="2"/>
      <c r="I462" s="2" t="s">
        <v>9033</v>
      </c>
      <c r="J462" s="2" t="s">
        <v>9034</v>
      </c>
      <c r="K462" s="2" t="s">
        <v>9035</v>
      </c>
      <c r="L462" s="2"/>
      <c r="M462" s="2" t="s">
        <v>116</v>
      </c>
      <c r="N462" s="2" t="s">
        <v>117</v>
      </c>
      <c r="O462" s="2" t="s">
        <v>9036</v>
      </c>
      <c r="P462" s="2" t="s">
        <v>9037</v>
      </c>
      <c r="Q462" s="2" t="s">
        <v>9038</v>
      </c>
      <c r="R462" s="2"/>
      <c r="S462" s="2"/>
      <c r="T462" s="2" t="s">
        <v>9039</v>
      </c>
      <c r="U462" s="2"/>
      <c r="V462" s="2" t="s">
        <v>9040</v>
      </c>
      <c r="W462" s="2" t="s">
        <v>9041</v>
      </c>
      <c r="X462" s="2" t="s">
        <v>9042</v>
      </c>
      <c r="Y462" s="2" t="s">
        <v>9043</v>
      </c>
      <c r="Z462" s="2" t="s">
        <v>9044</v>
      </c>
      <c r="AA462" s="2" t="s">
        <v>9045</v>
      </c>
      <c r="AB462" s="2" t="s">
        <v>9046</v>
      </c>
      <c r="AC462" s="2" t="s">
        <v>9047</v>
      </c>
      <c r="AD462" s="2" t="s">
        <v>9048</v>
      </c>
      <c r="AE462" s="2" t="s">
        <v>9049</v>
      </c>
      <c r="AF462" s="2" t="s">
        <v>9050</v>
      </c>
      <c r="AG462" s="2">
        <v>11.0</v>
      </c>
      <c r="AH462" s="2">
        <v>1.0</v>
      </c>
      <c r="AI462" s="2">
        <v>1.0</v>
      </c>
      <c r="AJ462" s="2">
        <v>3.0</v>
      </c>
      <c r="AK462" s="2">
        <v>9.0</v>
      </c>
      <c r="AL462" s="2" t="s">
        <v>1044</v>
      </c>
      <c r="AM462" s="2" t="s">
        <v>1045</v>
      </c>
      <c r="AN462" s="2" t="s">
        <v>1046</v>
      </c>
      <c r="AO462" s="2" t="s">
        <v>9051</v>
      </c>
      <c r="AP462" s="2" t="s">
        <v>9052</v>
      </c>
      <c r="AQ462" s="2" t="s">
        <v>9053</v>
      </c>
      <c r="AR462" s="2" t="s">
        <v>9054</v>
      </c>
      <c r="AS462" s="2"/>
      <c r="AT462" s="2"/>
      <c r="AU462" s="2">
        <v>2022.0</v>
      </c>
      <c r="AV462" s="2">
        <v>440.0</v>
      </c>
      <c r="AW462" s="2"/>
      <c r="AX462" s="2"/>
      <c r="AY462" s="2"/>
      <c r="AZ462" s="2"/>
      <c r="BA462" s="2"/>
      <c r="BB462" s="2">
        <v>171.0</v>
      </c>
      <c r="BC462" s="2">
        <v>178.0</v>
      </c>
      <c r="BD462" s="2"/>
      <c r="BE462" s="2" t="s">
        <v>9055</v>
      </c>
      <c r="BF462" s="3" t="str">
        <f>HYPERLINK("http://dx.doi.org/10.1007/978-3-031-11432-8_17","http://dx.doi.org/10.1007/978-3-031-11432-8_17")</f>
        <v>http://dx.doi.org/10.1007/978-3-031-11432-8_17</v>
      </c>
      <c r="BG462" s="2"/>
      <c r="BH462" s="2"/>
      <c r="BI462" s="2">
        <v>8.0</v>
      </c>
      <c r="BJ462" s="2" t="s">
        <v>5734</v>
      </c>
      <c r="BK462" s="2" t="s">
        <v>135</v>
      </c>
      <c r="BL462" s="2" t="s">
        <v>1402</v>
      </c>
      <c r="BM462" s="2" t="s">
        <v>9056</v>
      </c>
      <c r="BN462" s="2"/>
      <c r="BO462" s="2" t="s">
        <v>201</v>
      </c>
      <c r="BP462" s="2"/>
      <c r="BQ462" s="2"/>
      <c r="BR462" s="2" t="s">
        <v>99</v>
      </c>
      <c r="BS462" s="2" t="s">
        <v>9057</v>
      </c>
      <c r="BT462" s="2" t="str">
        <f>HYPERLINK("https%3A%2F%2Fwww.webofscience.com%2Fwos%2Fwoscc%2Ffull-record%2FWOS:000892355400017","View Full Record in Web of Science")</f>
        <v>View Full Record in Web of Science</v>
      </c>
    </row>
    <row r="463" ht="64.5" customHeight="1">
      <c r="A463" s="2" t="s">
        <v>72</v>
      </c>
      <c r="B463" s="2" t="s">
        <v>9058</v>
      </c>
      <c r="C463" s="2"/>
      <c r="D463" s="2"/>
      <c r="E463" s="2"/>
      <c r="F463" s="2" t="s">
        <v>9059</v>
      </c>
      <c r="G463" s="2"/>
      <c r="H463" s="2"/>
      <c r="I463" s="2" t="s">
        <v>9060</v>
      </c>
      <c r="J463" s="2" t="s">
        <v>3467</v>
      </c>
      <c r="K463" s="2"/>
      <c r="L463" s="2"/>
      <c r="M463" s="2" t="s">
        <v>116</v>
      </c>
      <c r="N463" s="2" t="s">
        <v>78</v>
      </c>
      <c r="O463" s="2"/>
      <c r="P463" s="2"/>
      <c r="Q463" s="2"/>
      <c r="R463" s="2"/>
      <c r="S463" s="2"/>
      <c r="T463" s="2" t="s">
        <v>9061</v>
      </c>
      <c r="U463" s="2" t="s">
        <v>9062</v>
      </c>
      <c r="V463" s="2" t="s">
        <v>9063</v>
      </c>
      <c r="W463" s="2" t="s">
        <v>9064</v>
      </c>
      <c r="X463" s="2" t="s">
        <v>9065</v>
      </c>
      <c r="Y463" s="2" t="s">
        <v>9066</v>
      </c>
      <c r="Z463" s="2" t="s">
        <v>9067</v>
      </c>
      <c r="AA463" s="2" t="s">
        <v>9068</v>
      </c>
      <c r="AB463" s="2" t="s">
        <v>9069</v>
      </c>
      <c r="AC463" s="2" t="s">
        <v>9070</v>
      </c>
      <c r="AD463" s="2" t="s">
        <v>9070</v>
      </c>
      <c r="AE463" s="2" t="s">
        <v>9070</v>
      </c>
      <c r="AF463" s="2" t="s">
        <v>9071</v>
      </c>
      <c r="AG463" s="2">
        <v>76.0</v>
      </c>
      <c r="AH463" s="2">
        <v>0.0</v>
      </c>
      <c r="AI463" s="2">
        <v>0.0</v>
      </c>
      <c r="AJ463" s="2">
        <v>5.0</v>
      </c>
      <c r="AK463" s="2">
        <v>13.0</v>
      </c>
      <c r="AL463" s="2" t="s">
        <v>351</v>
      </c>
      <c r="AM463" s="2" t="s">
        <v>352</v>
      </c>
      <c r="AN463" s="2" t="s">
        <v>353</v>
      </c>
      <c r="AO463" s="2" t="s">
        <v>3481</v>
      </c>
      <c r="AP463" s="2" t="s">
        <v>3482</v>
      </c>
      <c r="AQ463" s="2"/>
      <c r="AR463" s="2" t="s">
        <v>3483</v>
      </c>
      <c r="AS463" s="2" t="s">
        <v>3484</v>
      </c>
      <c r="AT463" s="2" t="s">
        <v>844</v>
      </c>
      <c r="AU463" s="2">
        <v>2023.0</v>
      </c>
      <c r="AV463" s="2">
        <v>16.0</v>
      </c>
      <c r="AW463" s="2">
        <v>8.0</v>
      </c>
      <c r="AX463" s="2"/>
      <c r="AY463" s="2"/>
      <c r="AZ463" s="2"/>
      <c r="BA463" s="2"/>
      <c r="BB463" s="2"/>
      <c r="BC463" s="2"/>
      <c r="BD463" s="2">
        <v>83.0</v>
      </c>
      <c r="BE463" s="2" t="s">
        <v>9072</v>
      </c>
      <c r="BF463" s="3" t="str">
        <f>HYPERLINK("http://dx.doi.org/10.1007/s12053-023-10158-w","http://dx.doi.org/10.1007/s12053-023-10158-w")</f>
        <v>http://dx.doi.org/10.1007/s12053-023-10158-w</v>
      </c>
      <c r="BG463" s="2"/>
      <c r="BH463" s="2"/>
      <c r="BI463" s="2">
        <v>27.0</v>
      </c>
      <c r="BJ463" s="2" t="s">
        <v>3486</v>
      </c>
      <c r="BK463" s="2" t="s">
        <v>363</v>
      </c>
      <c r="BL463" s="2" t="s">
        <v>3487</v>
      </c>
      <c r="BM463" s="2" t="s">
        <v>9073</v>
      </c>
      <c r="BN463" s="2"/>
      <c r="BO463" s="2" t="s">
        <v>201</v>
      </c>
      <c r="BP463" s="2"/>
      <c r="BQ463" s="2"/>
      <c r="BR463" s="2" t="s">
        <v>99</v>
      </c>
      <c r="BS463" s="2" t="s">
        <v>9074</v>
      </c>
      <c r="BT463" s="2" t="str">
        <f>HYPERLINK("https%3A%2F%2Fwww.webofscience.com%2Fwos%2Fwoscc%2Ffull-record%2FWOS:001088104200001","View Full Record in Web of Science")</f>
        <v>View Full Record in Web of Science</v>
      </c>
    </row>
    <row r="464" ht="64.5" customHeight="1">
      <c r="A464" s="2" t="s">
        <v>72</v>
      </c>
      <c r="B464" s="2" t="s">
        <v>9075</v>
      </c>
      <c r="C464" s="2"/>
      <c r="D464" s="2"/>
      <c r="E464" s="2"/>
      <c r="F464" s="2" t="s">
        <v>9076</v>
      </c>
      <c r="G464" s="2"/>
      <c r="H464" s="2"/>
      <c r="I464" s="2" t="s">
        <v>9077</v>
      </c>
      <c r="J464" s="2" t="s">
        <v>9078</v>
      </c>
      <c r="K464" s="2"/>
      <c r="L464" s="2"/>
      <c r="M464" s="2" t="s">
        <v>116</v>
      </c>
      <c r="N464" s="2" t="s">
        <v>78</v>
      </c>
      <c r="O464" s="2"/>
      <c r="P464" s="2"/>
      <c r="Q464" s="2"/>
      <c r="R464" s="2"/>
      <c r="S464" s="2"/>
      <c r="T464" s="2" t="s">
        <v>9079</v>
      </c>
      <c r="U464" s="2" t="s">
        <v>9080</v>
      </c>
      <c r="V464" s="2" t="s">
        <v>9081</v>
      </c>
      <c r="W464" s="2" t="s">
        <v>9082</v>
      </c>
      <c r="X464" s="2" t="s">
        <v>9083</v>
      </c>
      <c r="Y464" s="2" t="s">
        <v>9084</v>
      </c>
      <c r="Z464" s="2" t="s">
        <v>9085</v>
      </c>
      <c r="AA464" s="2"/>
      <c r="AB464" s="2" t="s">
        <v>9086</v>
      </c>
      <c r="AC464" s="2"/>
      <c r="AD464" s="2"/>
      <c r="AE464" s="2"/>
      <c r="AF464" s="2" t="s">
        <v>9087</v>
      </c>
      <c r="AG464" s="2">
        <v>80.0</v>
      </c>
      <c r="AH464" s="2">
        <v>1.0</v>
      </c>
      <c r="AI464" s="2">
        <v>1.0</v>
      </c>
      <c r="AJ464" s="2">
        <v>8.0</v>
      </c>
      <c r="AK464" s="2">
        <v>10.0</v>
      </c>
      <c r="AL464" s="2" t="s">
        <v>1346</v>
      </c>
      <c r="AM464" s="2" t="s">
        <v>428</v>
      </c>
      <c r="AN464" s="2" t="s">
        <v>1347</v>
      </c>
      <c r="AO464" s="2" t="s">
        <v>9088</v>
      </c>
      <c r="AP464" s="2" t="s">
        <v>9089</v>
      </c>
      <c r="AQ464" s="2"/>
      <c r="AR464" s="2" t="s">
        <v>9090</v>
      </c>
      <c r="AS464" s="2" t="s">
        <v>9091</v>
      </c>
      <c r="AT464" s="2" t="s">
        <v>844</v>
      </c>
      <c r="AU464" s="2">
        <v>2023.0</v>
      </c>
      <c r="AV464" s="2">
        <v>77.0</v>
      </c>
      <c r="AW464" s="2"/>
      <c r="AX464" s="2"/>
      <c r="AY464" s="2"/>
      <c r="AZ464" s="2"/>
      <c r="BA464" s="2"/>
      <c r="BB464" s="2"/>
      <c r="BC464" s="2"/>
      <c r="BD464" s="2">
        <v>101347.0</v>
      </c>
      <c r="BE464" s="2" t="s">
        <v>9092</v>
      </c>
      <c r="BF464" s="3" t="str">
        <f>HYPERLINK("http://dx.doi.org/10.1016/j.esd.2023.101347","http://dx.doi.org/10.1016/j.esd.2023.101347")</f>
        <v>http://dx.doi.org/10.1016/j.esd.2023.101347</v>
      </c>
      <c r="BG464" s="2"/>
      <c r="BH464" s="2" t="s">
        <v>1448</v>
      </c>
      <c r="BI464" s="2">
        <v>13.0</v>
      </c>
      <c r="BJ464" s="2" t="s">
        <v>3335</v>
      </c>
      <c r="BK464" s="2" t="s">
        <v>226</v>
      </c>
      <c r="BL464" s="2" t="s">
        <v>3336</v>
      </c>
      <c r="BM464" s="2" t="s">
        <v>9093</v>
      </c>
      <c r="BN464" s="2"/>
      <c r="BO464" s="2"/>
      <c r="BP464" s="2"/>
      <c r="BQ464" s="2"/>
      <c r="BR464" s="2" t="s">
        <v>99</v>
      </c>
      <c r="BS464" s="2" t="s">
        <v>9094</v>
      </c>
      <c r="BT464" s="2" t="str">
        <f>HYPERLINK("https%3A%2F%2Fwww.webofscience.com%2Fwos%2Fwoscc%2Ffull-record%2FWOS:001125935500001","View Full Record in Web of Science")</f>
        <v>View Full Record in Web of Science</v>
      </c>
    </row>
    <row r="465" ht="64.5" customHeight="1">
      <c r="A465" s="2" t="s">
        <v>110</v>
      </c>
      <c r="B465" s="2" t="s">
        <v>9095</v>
      </c>
      <c r="C465" s="2"/>
      <c r="D465" s="2" t="s">
        <v>9096</v>
      </c>
      <c r="E465" s="2"/>
      <c r="F465" s="2" t="s">
        <v>9097</v>
      </c>
      <c r="G465" s="2"/>
      <c r="H465" s="2"/>
      <c r="I465" s="2" t="s">
        <v>9098</v>
      </c>
      <c r="J465" s="2" t="s">
        <v>9099</v>
      </c>
      <c r="K465" s="2"/>
      <c r="L465" s="2"/>
      <c r="M465" s="2" t="s">
        <v>116</v>
      </c>
      <c r="N465" s="2" t="s">
        <v>117</v>
      </c>
      <c r="O465" s="2" t="s">
        <v>9100</v>
      </c>
      <c r="P465" s="2" t="s">
        <v>9101</v>
      </c>
      <c r="Q465" s="2" t="s">
        <v>9102</v>
      </c>
      <c r="R465" s="2"/>
      <c r="S465" s="2"/>
      <c r="T465" s="4" t="s">
        <v>121</v>
      </c>
      <c r="U465" s="2"/>
      <c r="V465" s="2" t="s">
        <v>9103</v>
      </c>
      <c r="W465" s="2" t="s">
        <v>9104</v>
      </c>
      <c r="X465" s="2"/>
      <c r="Y465" s="2" t="s">
        <v>9105</v>
      </c>
      <c r="Z465" s="2" t="s">
        <v>9106</v>
      </c>
      <c r="AA465" s="2"/>
      <c r="AB465" s="2"/>
      <c r="AC465" s="2"/>
      <c r="AD465" s="2"/>
      <c r="AE465" s="2"/>
      <c r="AF465" s="2" t="s">
        <v>9107</v>
      </c>
      <c r="AG465" s="2">
        <v>5.0</v>
      </c>
      <c r="AH465" s="2">
        <v>1.0</v>
      </c>
      <c r="AI465" s="2">
        <v>1.0</v>
      </c>
      <c r="AJ465" s="2">
        <v>0.0</v>
      </c>
      <c r="AK465" s="2">
        <v>1.0</v>
      </c>
      <c r="AL465" s="2" t="s">
        <v>1898</v>
      </c>
      <c r="AM465" s="2" t="s">
        <v>1899</v>
      </c>
      <c r="AN465" s="2" t="s">
        <v>1900</v>
      </c>
      <c r="AO465" s="2"/>
      <c r="AP465" s="2"/>
      <c r="AQ465" s="2" t="s">
        <v>9108</v>
      </c>
      <c r="AR465" s="2"/>
      <c r="AS465" s="2"/>
      <c r="AT465" s="2"/>
      <c r="AU465" s="2">
        <v>2013.0</v>
      </c>
      <c r="AV465" s="2"/>
      <c r="AW465" s="2"/>
      <c r="AX465" s="2"/>
      <c r="AY465" s="2"/>
      <c r="AZ465" s="2"/>
      <c r="BA465" s="2"/>
      <c r="BB465" s="2"/>
      <c r="BC465" s="2"/>
      <c r="BD465" s="2"/>
      <c r="BE465" s="2"/>
      <c r="BF465" s="2"/>
      <c r="BG465" s="2"/>
      <c r="BH465" s="2"/>
      <c r="BI465" s="2">
        <v>8.0</v>
      </c>
      <c r="BJ465" s="2" t="s">
        <v>1902</v>
      </c>
      <c r="BK465" s="2" t="s">
        <v>135</v>
      </c>
      <c r="BL465" s="2" t="s">
        <v>1902</v>
      </c>
      <c r="BM465" s="2" t="s">
        <v>9109</v>
      </c>
      <c r="BN465" s="2"/>
      <c r="BO465" s="2"/>
      <c r="BP465" s="2"/>
      <c r="BQ465" s="2"/>
      <c r="BR465" s="2" t="s">
        <v>99</v>
      </c>
      <c r="BS465" s="2" t="s">
        <v>9110</v>
      </c>
      <c r="BT465" s="2" t="str">
        <f>HYPERLINK("https%3A%2F%2Fwww.webofscience.com%2Fwos%2Fwoscc%2Ffull-record%2FWOS:000392268600129","View Full Record in Web of Science")</f>
        <v>View Full Record in Web of Science</v>
      </c>
    </row>
    <row r="466" ht="64.5" customHeight="1">
      <c r="A466" s="2" t="s">
        <v>72</v>
      </c>
      <c r="B466" s="2" t="s">
        <v>9111</v>
      </c>
      <c r="C466" s="2"/>
      <c r="D466" s="2"/>
      <c r="E466" s="2"/>
      <c r="F466" s="2" t="s">
        <v>9112</v>
      </c>
      <c r="G466" s="2"/>
      <c r="H466" s="2"/>
      <c r="I466" s="2" t="s">
        <v>9113</v>
      </c>
      <c r="J466" s="2" t="s">
        <v>9114</v>
      </c>
      <c r="K466" s="2"/>
      <c r="L466" s="2"/>
      <c r="M466" s="2" t="s">
        <v>116</v>
      </c>
      <c r="N466" s="2" t="s">
        <v>1599</v>
      </c>
      <c r="O466" s="2"/>
      <c r="P466" s="2"/>
      <c r="Q466" s="2"/>
      <c r="R466" s="2"/>
      <c r="S466" s="2"/>
      <c r="T466" s="2" t="s">
        <v>9115</v>
      </c>
      <c r="U466" s="2" t="s">
        <v>9116</v>
      </c>
      <c r="V466" s="2" t="s">
        <v>9117</v>
      </c>
      <c r="W466" s="2" t="s">
        <v>9118</v>
      </c>
      <c r="X466" s="2" t="s">
        <v>9119</v>
      </c>
      <c r="Y466" s="2" t="s">
        <v>9120</v>
      </c>
      <c r="Z466" s="2" t="s">
        <v>9121</v>
      </c>
      <c r="AA466" s="2"/>
      <c r="AB466" s="2"/>
      <c r="AC466" s="2"/>
      <c r="AD466" s="2"/>
      <c r="AE466" s="2"/>
      <c r="AF466" s="2" t="s">
        <v>9122</v>
      </c>
      <c r="AG466" s="2">
        <v>47.0</v>
      </c>
      <c r="AH466" s="2">
        <v>0.0</v>
      </c>
      <c r="AI466" s="2">
        <v>0.0</v>
      </c>
      <c r="AJ466" s="2">
        <v>2.0</v>
      </c>
      <c r="AK466" s="2">
        <v>2.0</v>
      </c>
      <c r="AL466" s="2" t="s">
        <v>2116</v>
      </c>
      <c r="AM466" s="2" t="s">
        <v>5427</v>
      </c>
      <c r="AN466" s="2" t="s">
        <v>5428</v>
      </c>
      <c r="AO466" s="2" t="s">
        <v>9123</v>
      </c>
      <c r="AP466" s="2" t="s">
        <v>9124</v>
      </c>
      <c r="AQ466" s="2"/>
      <c r="AR466" s="2" t="s">
        <v>9125</v>
      </c>
      <c r="AS466" s="2" t="s">
        <v>9126</v>
      </c>
      <c r="AT466" s="2" t="s">
        <v>9127</v>
      </c>
      <c r="AU466" s="2">
        <v>2023.0</v>
      </c>
      <c r="AV466" s="2"/>
      <c r="AW466" s="2"/>
      <c r="AX466" s="2"/>
      <c r="AY466" s="2"/>
      <c r="AZ466" s="2"/>
      <c r="BA466" s="2"/>
      <c r="BB466" s="2"/>
      <c r="BC466" s="2"/>
      <c r="BD466" s="2"/>
      <c r="BE466" s="2" t="s">
        <v>9128</v>
      </c>
      <c r="BF466" s="3" t="str">
        <f>HYPERLINK("http://dx.doi.org/10.1108/IJESM-06-2023-0009","http://dx.doi.org/10.1108/IJESM-06-2023-0009")</f>
        <v>http://dx.doi.org/10.1108/IJESM-06-2023-0009</v>
      </c>
      <c r="BG466" s="2"/>
      <c r="BH466" s="2" t="s">
        <v>5435</v>
      </c>
      <c r="BI466" s="2">
        <v>22.0</v>
      </c>
      <c r="BJ466" s="2" t="s">
        <v>9129</v>
      </c>
      <c r="BK466" s="2" t="s">
        <v>96</v>
      </c>
      <c r="BL466" s="2" t="s">
        <v>2894</v>
      </c>
      <c r="BM466" s="2" t="s">
        <v>9130</v>
      </c>
      <c r="BN466" s="2"/>
      <c r="BO466" s="2"/>
      <c r="BP466" s="2"/>
      <c r="BQ466" s="2"/>
      <c r="BR466" s="2" t="s">
        <v>99</v>
      </c>
      <c r="BS466" s="2" t="s">
        <v>9131</v>
      </c>
      <c r="BT466" s="2" t="str">
        <f>HYPERLINK("https%3A%2F%2Fwww.webofscience.com%2Fwos%2Fwoscc%2Ffull-record%2FWOS:001121994200001","View Full Record in Web of Science")</f>
        <v>View Full Record in Web of Science</v>
      </c>
    </row>
    <row r="467" ht="64.5" customHeight="1">
      <c r="A467" s="2" t="s">
        <v>72</v>
      </c>
      <c r="B467" s="2" t="s">
        <v>9132</v>
      </c>
      <c r="C467" s="2"/>
      <c r="D467" s="2"/>
      <c r="E467" s="2"/>
      <c r="F467" s="2" t="s">
        <v>9133</v>
      </c>
      <c r="G467" s="2"/>
      <c r="H467" s="2"/>
      <c r="I467" s="2" t="s">
        <v>9134</v>
      </c>
      <c r="J467" s="2" t="s">
        <v>7115</v>
      </c>
      <c r="K467" s="2"/>
      <c r="L467" s="2"/>
      <c r="M467" s="2" t="s">
        <v>116</v>
      </c>
      <c r="N467" s="2" t="s">
        <v>78</v>
      </c>
      <c r="O467" s="2"/>
      <c r="P467" s="2"/>
      <c r="Q467" s="2"/>
      <c r="R467" s="2"/>
      <c r="S467" s="2"/>
      <c r="T467" s="2" t="s">
        <v>9135</v>
      </c>
      <c r="U467" s="2" t="s">
        <v>9136</v>
      </c>
      <c r="V467" s="2" t="s">
        <v>9137</v>
      </c>
      <c r="W467" s="2" t="s">
        <v>9138</v>
      </c>
      <c r="X467" s="2" t="s">
        <v>9139</v>
      </c>
      <c r="Y467" s="2" t="s">
        <v>9140</v>
      </c>
      <c r="Z467" s="2" t="s">
        <v>9141</v>
      </c>
      <c r="AA467" s="2" t="s">
        <v>9142</v>
      </c>
      <c r="AB467" s="2" t="s">
        <v>9143</v>
      </c>
      <c r="AC467" s="2" t="s">
        <v>9144</v>
      </c>
      <c r="AD467" s="2" t="s">
        <v>9145</v>
      </c>
      <c r="AE467" s="2" t="s">
        <v>9146</v>
      </c>
      <c r="AF467" s="2" t="s">
        <v>9147</v>
      </c>
      <c r="AG467" s="2">
        <v>182.0</v>
      </c>
      <c r="AH467" s="2">
        <v>26.0</v>
      </c>
      <c r="AI467" s="2">
        <v>26.0</v>
      </c>
      <c r="AJ467" s="2">
        <v>4.0</v>
      </c>
      <c r="AK467" s="2">
        <v>18.0</v>
      </c>
      <c r="AL467" s="2" t="s">
        <v>216</v>
      </c>
      <c r="AM467" s="2" t="s">
        <v>189</v>
      </c>
      <c r="AN467" s="2" t="s">
        <v>217</v>
      </c>
      <c r="AO467" s="2" t="s">
        <v>7125</v>
      </c>
      <c r="AP467" s="2" t="s">
        <v>9148</v>
      </c>
      <c r="AQ467" s="2"/>
      <c r="AR467" s="2" t="s">
        <v>7126</v>
      </c>
      <c r="AS467" s="2" t="s">
        <v>7127</v>
      </c>
      <c r="AT467" s="2" t="s">
        <v>938</v>
      </c>
      <c r="AU467" s="2">
        <v>2021.0</v>
      </c>
      <c r="AV467" s="2">
        <v>143.0</v>
      </c>
      <c r="AW467" s="2"/>
      <c r="AX467" s="2"/>
      <c r="AY467" s="2"/>
      <c r="AZ467" s="2"/>
      <c r="BA467" s="2"/>
      <c r="BB467" s="2"/>
      <c r="BC467" s="2"/>
      <c r="BD467" s="2"/>
      <c r="BE467" s="2" t="s">
        <v>9149</v>
      </c>
      <c r="BF467" s="3" t="str">
        <f>HYPERLINK("http://dx.doi.org/10.1016/j.rser.2021.110872","http://dx.doi.org/10.1016/j.rser.2021.110872")</f>
        <v>http://dx.doi.org/10.1016/j.rser.2021.110872</v>
      </c>
      <c r="BG467" s="2"/>
      <c r="BH467" s="2" t="s">
        <v>7865</v>
      </c>
      <c r="BI467" s="2">
        <v>12.0</v>
      </c>
      <c r="BJ467" s="2" t="s">
        <v>3335</v>
      </c>
      <c r="BK467" s="2" t="s">
        <v>363</v>
      </c>
      <c r="BL467" s="2" t="s">
        <v>3336</v>
      </c>
      <c r="BM467" s="2" t="s">
        <v>9150</v>
      </c>
      <c r="BN467" s="2"/>
      <c r="BO467" s="2" t="s">
        <v>169</v>
      </c>
      <c r="BP467" s="2"/>
      <c r="BQ467" s="2"/>
      <c r="BR467" s="2" t="s">
        <v>99</v>
      </c>
      <c r="BS467" s="2" t="s">
        <v>9151</v>
      </c>
      <c r="BT467" s="2" t="str">
        <f>HYPERLINK("https%3A%2F%2Fwww.webofscience.com%2Fwos%2Fwoscc%2Ffull-record%2FWOS:000637707800006","View Full Record in Web of Science")</f>
        <v>View Full Record in Web of Science</v>
      </c>
    </row>
    <row r="468" ht="64.5" customHeight="1">
      <c r="A468" s="2" t="s">
        <v>72</v>
      </c>
      <c r="B468" s="2" t="s">
        <v>9152</v>
      </c>
      <c r="C468" s="2"/>
      <c r="D468" s="2"/>
      <c r="E468" s="2"/>
      <c r="F468" s="2" t="s">
        <v>9153</v>
      </c>
      <c r="G468" s="2"/>
      <c r="H468" s="2"/>
      <c r="I468" s="2" t="s">
        <v>9154</v>
      </c>
      <c r="J468" s="2" t="s">
        <v>9155</v>
      </c>
      <c r="K468" s="2"/>
      <c r="L468" s="2"/>
      <c r="M468" s="2" t="s">
        <v>116</v>
      </c>
      <c r="N468" s="2" t="s">
        <v>78</v>
      </c>
      <c r="O468" s="2"/>
      <c r="P468" s="2"/>
      <c r="Q468" s="2"/>
      <c r="R468" s="2"/>
      <c r="S468" s="2"/>
      <c r="T468" s="4" t="s">
        <v>121</v>
      </c>
      <c r="U468" s="2" t="s">
        <v>9156</v>
      </c>
      <c r="V468" s="2" t="s">
        <v>9157</v>
      </c>
      <c r="W468" s="2" t="s">
        <v>9158</v>
      </c>
      <c r="X468" s="2" t="s">
        <v>9159</v>
      </c>
      <c r="Y468" s="2" t="s">
        <v>9160</v>
      </c>
      <c r="Z468" s="2" t="s">
        <v>9161</v>
      </c>
      <c r="AA468" s="2" t="s">
        <v>9162</v>
      </c>
      <c r="AB468" s="2" t="s">
        <v>9163</v>
      </c>
      <c r="AC468" s="2" t="s">
        <v>9164</v>
      </c>
      <c r="AD468" s="2" t="s">
        <v>9165</v>
      </c>
      <c r="AE468" s="2" t="s">
        <v>9166</v>
      </c>
      <c r="AF468" s="2" t="s">
        <v>9167</v>
      </c>
      <c r="AG468" s="2">
        <v>45.0</v>
      </c>
      <c r="AH468" s="2">
        <v>40.0</v>
      </c>
      <c r="AI468" s="2">
        <v>41.0</v>
      </c>
      <c r="AJ468" s="2">
        <v>0.0</v>
      </c>
      <c r="AK468" s="2">
        <v>43.0</v>
      </c>
      <c r="AL468" s="2" t="s">
        <v>9168</v>
      </c>
      <c r="AM468" s="2" t="s">
        <v>3441</v>
      </c>
      <c r="AN468" s="2" t="s">
        <v>9169</v>
      </c>
      <c r="AO468" s="2" t="s">
        <v>9170</v>
      </c>
      <c r="AP468" s="2" t="s">
        <v>9171</v>
      </c>
      <c r="AQ468" s="2"/>
      <c r="AR468" s="2" t="s">
        <v>9172</v>
      </c>
      <c r="AS468" s="2" t="s">
        <v>9173</v>
      </c>
      <c r="AT468" s="2" t="s">
        <v>751</v>
      </c>
      <c r="AU468" s="2">
        <v>2014.0</v>
      </c>
      <c r="AV468" s="2">
        <v>28.0</v>
      </c>
      <c r="AW468" s="2">
        <v>7.0</v>
      </c>
      <c r="AX468" s="2"/>
      <c r="AY468" s="2"/>
      <c r="AZ468" s="2"/>
      <c r="BA468" s="2"/>
      <c r="BB468" s="2">
        <v>648.0</v>
      </c>
      <c r="BC468" s="2">
        <v>661.0</v>
      </c>
      <c r="BD468" s="2"/>
      <c r="BE468" s="2" t="s">
        <v>9174</v>
      </c>
      <c r="BF468" s="3" t="str">
        <f>HYPERLINK("http://dx.doi.org/10.1002/2013GB004668","http://dx.doi.org/10.1002/2013GB004668")</f>
        <v>http://dx.doi.org/10.1002/2013GB004668</v>
      </c>
      <c r="BG468" s="2"/>
      <c r="BH468" s="2"/>
      <c r="BI468" s="2">
        <v>14.0</v>
      </c>
      <c r="BJ468" s="2" t="s">
        <v>1520</v>
      </c>
      <c r="BK468" s="2" t="s">
        <v>226</v>
      </c>
      <c r="BL468" s="2" t="s">
        <v>1521</v>
      </c>
      <c r="BM468" s="2" t="s">
        <v>9175</v>
      </c>
      <c r="BN468" s="2"/>
      <c r="BO468" s="2" t="s">
        <v>3033</v>
      </c>
      <c r="BP468" s="2"/>
      <c r="BQ468" s="2"/>
      <c r="BR468" s="2" t="s">
        <v>99</v>
      </c>
      <c r="BS468" s="2" t="s">
        <v>9176</v>
      </c>
      <c r="BT468" s="2" t="str">
        <f>HYPERLINK("https%3A%2F%2Fwww.webofscience.com%2Fwos%2Fwoscc%2Ffull-record%2FWOS:000340609800002","View Full Record in Web of Science")</f>
        <v>View Full Record in Web of Science</v>
      </c>
    </row>
    <row r="469" ht="64.5" customHeight="1">
      <c r="A469" s="2" t="s">
        <v>110</v>
      </c>
      <c r="B469" s="2" t="s">
        <v>9177</v>
      </c>
      <c r="C469" s="2"/>
      <c r="D469" s="2"/>
      <c r="E469" s="2" t="s">
        <v>129</v>
      </c>
      <c r="F469" s="2" t="s">
        <v>9178</v>
      </c>
      <c r="G469" s="2"/>
      <c r="H469" s="2"/>
      <c r="I469" s="2" t="s">
        <v>9179</v>
      </c>
      <c r="J469" s="2" t="s">
        <v>9180</v>
      </c>
      <c r="K469" s="2" t="s">
        <v>115</v>
      </c>
      <c r="L469" s="2"/>
      <c r="M469" s="2" t="s">
        <v>116</v>
      </c>
      <c r="N469" s="2" t="s">
        <v>117</v>
      </c>
      <c r="O469" s="2" t="s">
        <v>9181</v>
      </c>
      <c r="P469" s="2" t="s">
        <v>9182</v>
      </c>
      <c r="Q469" s="2" t="s">
        <v>4335</v>
      </c>
      <c r="R469" s="2"/>
      <c r="S469" s="2"/>
      <c r="T469" s="2" t="s">
        <v>9183</v>
      </c>
      <c r="U469" s="2"/>
      <c r="V469" s="2" t="s">
        <v>9184</v>
      </c>
      <c r="W469" s="2" t="s">
        <v>9185</v>
      </c>
      <c r="X469" s="2"/>
      <c r="Y469" s="2" t="s">
        <v>9186</v>
      </c>
      <c r="Z469" s="2" t="s">
        <v>9187</v>
      </c>
      <c r="AA469" s="2"/>
      <c r="AB469" s="2"/>
      <c r="AC469" s="2"/>
      <c r="AD469" s="2"/>
      <c r="AE469" s="2"/>
      <c r="AF469" s="2" t="s">
        <v>9188</v>
      </c>
      <c r="AG469" s="2">
        <v>7.0</v>
      </c>
      <c r="AH469" s="2">
        <v>0.0</v>
      </c>
      <c r="AI469" s="2">
        <v>0.0</v>
      </c>
      <c r="AJ469" s="2">
        <v>0.0</v>
      </c>
      <c r="AK469" s="2">
        <v>9.0</v>
      </c>
      <c r="AL469" s="2" t="s">
        <v>129</v>
      </c>
      <c r="AM469" s="2" t="s">
        <v>130</v>
      </c>
      <c r="AN469" s="2" t="s">
        <v>131</v>
      </c>
      <c r="AO469" s="2" t="s">
        <v>132</v>
      </c>
      <c r="AP469" s="2"/>
      <c r="AQ469" s="2" t="s">
        <v>9189</v>
      </c>
      <c r="AR469" s="2" t="s">
        <v>115</v>
      </c>
      <c r="AS469" s="2"/>
      <c r="AT469" s="2"/>
      <c r="AU469" s="2">
        <v>2013.0</v>
      </c>
      <c r="AV469" s="2"/>
      <c r="AW469" s="2"/>
      <c r="AX469" s="2"/>
      <c r="AY469" s="2"/>
      <c r="AZ469" s="2"/>
      <c r="BA469" s="2"/>
      <c r="BB469" s="2"/>
      <c r="BC469" s="2"/>
      <c r="BD469" s="2"/>
      <c r="BE469" s="2"/>
      <c r="BF469" s="2"/>
      <c r="BG469" s="2"/>
      <c r="BH469" s="2"/>
      <c r="BI469" s="2">
        <v>6.0</v>
      </c>
      <c r="BJ469" s="2" t="s">
        <v>9190</v>
      </c>
      <c r="BK469" s="2" t="s">
        <v>135</v>
      </c>
      <c r="BL469" s="2" t="s">
        <v>136</v>
      </c>
      <c r="BM469" s="2" t="s">
        <v>9191</v>
      </c>
      <c r="BN469" s="2"/>
      <c r="BO469" s="2"/>
      <c r="BP469" s="2"/>
      <c r="BQ469" s="2"/>
      <c r="BR469" s="2" t="s">
        <v>99</v>
      </c>
      <c r="BS469" s="2" t="s">
        <v>9192</v>
      </c>
      <c r="BT469" s="2" t="str">
        <f>HYPERLINK("https%3A%2F%2Fwww.webofscience.com%2Fwos%2Fwoscc%2Ffull-record%2FWOS:000334165800110","View Full Record in Web of Science")</f>
        <v>View Full Record in Web of Science</v>
      </c>
    </row>
    <row r="470" ht="64.5" customHeight="1">
      <c r="A470" s="2" t="s">
        <v>72</v>
      </c>
      <c r="B470" s="2" t="s">
        <v>9193</v>
      </c>
      <c r="C470" s="2"/>
      <c r="D470" s="2"/>
      <c r="E470" s="2"/>
      <c r="F470" s="2" t="s">
        <v>9194</v>
      </c>
      <c r="G470" s="2"/>
      <c r="H470" s="2"/>
      <c r="I470" s="2" t="s">
        <v>9195</v>
      </c>
      <c r="J470" s="2" t="s">
        <v>9196</v>
      </c>
      <c r="K470" s="2"/>
      <c r="L470" s="2"/>
      <c r="M470" s="2" t="s">
        <v>116</v>
      </c>
      <c r="N470" s="2" t="s">
        <v>1865</v>
      </c>
      <c r="O470" s="2" t="s">
        <v>9197</v>
      </c>
      <c r="P470" s="2" t="s">
        <v>9198</v>
      </c>
      <c r="Q470" s="2" t="s">
        <v>9199</v>
      </c>
      <c r="R470" s="2"/>
      <c r="S470" s="2" t="s">
        <v>9200</v>
      </c>
      <c r="T470" s="2" t="s">
        <v>9201</v>
      </c>
      <c r="U470" s="2"/>
      <c r="V470" s="2" t="s">
        <v>9202</v>
      </c>
      <c r="W470" s="2" t="s">
        <v>9203</v>
      </c>
      <c r="X470" s="2" t="s">
        <v>9204</v>
      </c>
      <c r="Y470" s="2" t="s">
        <v>9205</v>
      </c>
      <c r="Z470" s="2" t="s">
        <v>9206</v>
      </c>
      <c r="AA470" s="2"/>
      <c r="AB470" s="2" t="s">
        <v>9207</v>
      </c>
      <c r="AC470" s="2"/>
      <c r="AD470" s="2"/>
      <c r="AE470" s="2"/>
      <c r="AF470" s="2" t="s">
        <v>9208</v>
      </c>
      <c r="AG470" s="2">
        <v>53.0</v>
      </c>
      <c r="AH470" s="2">
        <v>5.0</v>
      </c>
      <c r="AI470" s="2">
        <v>5.0</v>
      </c>
      <c r="AJ470" s="2">
        <v>2.0</v>
      </c>
      <c r="AK470" s="2">
        <v>19.0</v>
      </c>
      <c r="AL470" s="2" t="s">
        <v>9209</v>
      </c>
      <c r="AM470" s="2" t="s">
        <v>9210</v>
      </c>
      <c r="AN470" s="2" t="s">
        <v>9211</v>
      </c>
      <c r="AO470" s="2" t="s">
        <v>9212</v>
      </c>
      <c r="AP470" s="2" t="s">
        <v>9213</v>
      </c>
      <c r="AQ470" s="2"/>
      <c r="AR470" s="2" t="s">
        <v>9196</v>
      </c>
      <c r="AS470" s="2" t="s">
        <v>9214</v>
      </c>
      <c r="AT470" s="2" t="s">
        <v>9215</v>
      </c>
      <c r="AU470" s="2">
        <v>2020.0</v>
      </c>
      <c r="AV470" s="2">
        <v>62.0</v>
      </c>
      <c r="AW470" s="2">
        <v>4.0</v>
      </c>
      <c r="AX470" s="2" t="s">
        <v>8495</v>
      </c>
      <c r="AY470" s="2"/>
      <c r="AZ470" s="2"/>
      <c r="BA470" s="2"/>
      <c r="BB470" s="2">
        <v>565.0</v>
      </c>
      <c r="BC470" s="2">
        <v>575.0</v>
      </c>
      <c r="BD470" s="2"/>
      <c r="BE470" s="2" t="s">
        <v>9216</v>
      </c>
      <c r="BF470" s="3" t="str">
        <f>HYPERLINK("http://dx.doi.org/10.1016/j.oceano.2020.03.003","http://dx.doi.org/10.1016/j.oceano.2020.03.003")</f>
        <v>http://dx.doi.org/10.1016/j.oceano.2020.03.003</v>
      </c>
      <c r="BG470" s="2"/>
      <c r="BH470" s="2"/>
      <c r="BI470" s="2">
        <v>11.0</v>
      </c>
      <c r="BJ470" s="2" t="s">
        <v>4584</v>
      </c>
      <c r="BK470" s="2" t="s">
        <v>1881</v>
      </c>
      <c r="BL470" s="2" t="s">
        <v>4584</v>
      </c>
      <c r="BM470" s="2" t="s">
        <v>9217</v>
      </c>
      <c r="BN470" s="2"/>
      <c r="BO470" s="2" t="s">
        <v>255</v>
      </c>
      <c r="BP470" s="2"/>
      <c r="BQ470" s="2"/>
      <c r="BR470" s="2" t="s">
        <v>99</v>
      </c>
      <c r="BS470" s="2" t="s">
        <v>9218</v>
      </c>
      <c r="BT470" s="2" t="str">
        <f>HYPERLINK("https%3A%2F%2Fwww.webofscience.com%2Fwos%2Fwoscc%2Ffull-record%2FWOS:000582627500003","View Full Record in Web of Science")</f>
        <v>View Full Record in Web of Science</v>
      </c>
    </row>
    <row r="471" ht="64.5" customHeight="1">
      <c r="A471" s="2" t="s">
        <v>72</v>
      </c>
      <c r="B471" s="2" t="s">
        <v>9219</v>
      </c>
      <c r="C471" s="2"/>
      <c r="D471" s="2"/>
      <c r="E471" s="2"/>
      <c r="F471" s="2" t="s">
        <v>9220</v>
      </c>
      <c r="G471" s="2"/>
      <c r="H471" s="2"/>
      <c r="I471" s="2" t="s">
        <v>9221</v>
      </c>
      <c r="J471" s="2" t="s">
        <v>233</v>
      </c>
      <c r="K471" s="2"/>
      <c r="L471" s="2"/>
      <c r="M471" s="2" t="s">
        <v>116</v>
      </c>
      <c r="N471" s="2" t="s">
        <v>78</v>
      </c>
      <c r="O471" s="2"/>
      <c r="P471" s="2"/>
      <c r="Q471" s="2"/>
      <c r="R471" s="2"/>
      <c r="S471" s="2"/>
      <c r="T471" s="2" t="s">
        <v>9222</v>
      </c>
      <c r="U471" s="2" t="s">
        <v>9223</v>
      </c>
      <c r="V471" s="2" t="s">
        <v>9224</v>
      </c>
      <c r="W471" s="2" t="s">
        <v>9225</v>
      </c>
      <c r="X471" s="2" t="s">
        <v>9226</v>
      </c>
      <c r="Y471" s="2" t="s">
        <v>9227</v>
      </c>
      <c r="Z471" s="2" t="s">
        <v>9228</v>
      </c>
      <c r="AA471" s="2"/>
      <c r="AB471" s="2" t="s">
        <v>9229</v>
      </c>
      <c r="AC471" s="2"/>
      <c r="AD471" s="2"/>
      <c r="AE471" s="2"/>
      <c r="AF471" s="2" t="s">
        <v>9230</v>
      </c>
      <c r="AG471" s="2">
        <v>54.0</v>
      </c>
      <c r="AH471" s="2">
        <v>1.0</v>
      </c>
      <c r="AI471" s="2">
        <v>1.0</v>
      </c>
      <c r="AJ471" s="2">
        <v>1.0</v>
      </c>
      <c r="AK471" s="2">
        <v>6.0</v>
      </c>
      <c r="AL471" s="2" t="s">
        <v>246</v>
      </c>
      <c r="AM471" s="2" t="s">
        <v>247</v>
      </c>
      <c r="AN471" s="2" t="s">
        <v>248</v>
      </c>
      <c r="AO471" s="2"/>
      <c r="AP471" s="2" t="s">
        <v>249</v>
      </c>
      <c r="AQ471" s="2"/>
      <c r="AR471" s="2" t="s">
        <v>250</v>
      </c>
      <c r="AS471" s="2" t="s">
        <v>251</v>
      </c>
      <c r="AT471" s="2" t="s">
        <v>9231</v>
      </c>
      <c r="AU471" s="2">
        <v>2023.0</v>
      </c>
      <c r="AV471" s="2">
        <v>9.0</v>
      </c>
      <c r="AW471" s="2"/>
      <c r="AX471" s="2"/>
      <c r="AY471" s="2"/>
      <c r="AZ471" s="2"/>
      <c r="BA471" s="2"/>
      <c r="BB471" s="2"/>
      <c r="BC471" s="2"/>
      <c r="BD471" s="2">
        <v>1098647.0</v>
      </c>
      <c r="BE471" s="2" t="s">
        <v>9232</v>
      </c>
      <c r="BF471" s="3" t="str">
        <f>HYPERLINK("http://dx.doi.org/10.3389/fmars.2022.1098647","http://dx.doi.org/10.3389/fmars.2022.1098647")</f>
        <v>http://dx.doi.org/10.3389/fmars.2022.1098647</v>
      </c>
      <c r="BG471" s="2"/>
      <c r="BH471" s="2"/>
      <c r="BI471" s="2">
        <v>13.0</v>
      </c>
      <c r="BJ471" s="2" t="s">
        <v>225</v>
      </c>
      <c r="BK471" s="2" t="s">
        <v>226</v>
      </c>
      <c r="BL471" s="2" t="s">
        <v>227</v>
      </c>
      <c r="BM471" s="2" t="s">
        <v>9233</v>
      </c>
      <c r="BN471" s="2"/>
      <c r="BO471" s="2" t="s">
        <v>255</v>
      </c>
      <c r="BP471" s="2"/>
      <c r="BQ471" s="2"/>
      <c r="BR471" s="2" t="s">
        <v>99</v>
      </c>
      <c r="BS471" s="2" t="s">
        <v>9234</v>
      </c>
      <c r="BT471" s="2" t="str">
        <f>HYPERLINK("https%3A%2F%2Fwww.webofscience.com%2Fwos%2Fwoscc%2Ffull-record%2FWOS:000966603300001","View Full Record in Web of Science")</f>
        <v>View Full Record in Web of Science</v>
      </c>
    </row>
    <row r="472" ht="64.5" customHeight="1">
      <c r="A472" s="2" t="s">
        <v>110</v>
      </c>
      <c r="B472" s="2" t="s">
        <v>9235</v>
      </c>
      <c r="C472" s="2"/>
      <c r="D472" s="2"/>
      <c r="E472" s="2" t="s">
        <v>9236</v>
      </c>
      <c r="F472" s="2" t="s">
        <v>9237</v>
      </c>
      <c r="G472" s="2"/>
      <c r="H472" s="2"/>
      <c r="I472" s="2" t="s">
        <v>9238</v>
      </c>
      <c r="J472" s="2" t="s">
        <v>9239</v>
      </c>
      <c r="K472" s="2"/>
      <c r="L472" s="2"/>
      <c r="M472" s="2" t="s">
        <v>116</v>
      </c>
      <c r="N472" s="2" t="s">
        <v>117</v>
      </c>
      <c r="O472" s="2" t="s">
        <v>9240</v>
      </c>
      <c r="P472" s="2" t="s">
        <v>9241</v>
      </c>
      <c r="Q472" s="2" t="s">
        <v>9242</v>
      </c>
      <c r="R472" s="2"/>
      <c r="S472" s="2" t="s">
        <v>9243</v>
      </c>
      <c r="T472" s="4" t="s">
        <v>121</v>
      </c>
      <c r="U472" s="2" t="s">
        <v>9244</v>
      </c>
      <c r="V472" s="2" t="s">
        <v>9245</v>
      </c>
      <c r="W472" s="2" t="s">
        <v>9246</v>
      </c>
      <c r="X472" s="2" t="s">
        <v>9247</v>
      </c>
      <c r="Y472" s="2" t="s">
        <v>9248</v>
      </c>
      <c r="Z472" s="2"/>
      <c r="AA472" s="2" t="s">
        <v>9249</v>
      </c>
      <c r="AB472" s="2"/>
      <c r="AC472" s="2" t="s">
        <v>9250</v>
      </c>
      <c r="AD472" s="2" t="s">
        <v>9251</v>
      </c>
      <c r="AE472" s="2" t="s">
        <v>9252</v>
      </c>
      <c r="AF472" s="2" t="s">
        <v>9253</v>
      </c>
      <c r="AG472" s="2">
        <v>33.0</v>
      </c>
      <c r="AH472" s="2">
        <v>3.0</v>
      </c>
      <c r="AI472" s="2">
        <v>3.0</v>
      </c>
      <c r="AJ472" s="2">
        <v>0.0</v>
      </c>
      <c r="AK472" s="2">
        <v>0.0</v>
      </c>
      <c r="AL472" s="2" t="s">
        <v>9254</v>
      </c>
      <c r="AM472" s="2" t="s">
        <v>9255</v>
      </c>
      <c r="AN472" s="2" t="s">
        <v>9256</v>
      </c>
      <c r="AO472" s="2"/>
      <c r="AP472" s="2"/>
      <c r="AQ472" s="2" t="s">
        <v>9257</v>
      </c>
      <c r="AR472" s="2"/>
      <c r="AS472" s="2"/>
      <c r="AT472" s="2"/>
      <c r="AU472" s="2">
        <v>2016.0</v>
      </c>
      <c r="AV472" s="2"/>
      <c r="AW472" s="2"/>
      <c r="AX472" s="2"/>
      <c r="AY472" s="2"/>
      <c r="AZ472" s="2"/>
      <c r="BA472" s="2"/>
      <c r="BB472" s="2">
        <v>17.0</v>
      </c>
      <c r="BC472" s="2">
        <v>24.0</v>
      </c>
      <c r="BD472" s="2"/>
      <c r="BE472" s="2"/>
      <c r="BF472" s="2"/>
      <c r="BG472" s="2"/>
      <c r="BH472" s="2"/>
      <c r="BI472" s="2">
        <v>8.0</v>
      </c>
      <c r="BJ472" s="2" t="s">
        <v>1592</v>
      </c>
      <c r="BK472" s="2" t="s">
        <v>135</v>
      </c>
      <c r="BL472" s="2" t="s">
        <v>1592</v>
      </c>
      <c r="BM472" s="2" t="s">
        <v>9258</v>
      </c>
      <c r="BN472" s="2"/>
      <c r="BO472" s="2"/>
      <c r="BP472" s="2"/>
      <c r="BQ472" s="2"/>
      <c r="BR472" s="2" t="s">
        <v>99</v>
      </c>
      <c r="BS472" s="2" t="s">
        <v>9259</v>
      </c>
      <c r="BT472" s="2" t="str">
        <f>HYPERLINK("https%3A%2F%2Fwww.webofscience.com%2Fwos%2Fwoscc%2Ffull-record%2FWOS:000468509800003","View Full Record in Web of Science")</f>
        <v>View Full Record in Web of Science</v>
      </c>
    </row>
    <row r="473" ht="64.5" customHeight="1">
      <c r="A473" s="2" t="s">
        <v>72</v>
      </c>
      <c r="B473" s="2" t="s">
        <v>9260</v>
      </c>
      <c r="C473" s="2"/>
      <c r="D473" s="2"/>
      <c r="E473" s="2"/>
      <c r="F473" s="2" t="s">
        <v>9261</v>
      </c>
      <c r="G473" s="2"/>
      <c r="H473" s="2"/>
      <c r="I473" s="2" t="s">
        <v>9262</v>
      </c>
      <c r="J473" s="2" t="s">
        <v>233</v>
      </c>
      <c r="K473" s="2"/>
      <c r="L473" s="2"/>
      <c r="M473" s="2" t="s">
        <v>116</v>
      </c>
      <c r="N473" s="2" t="s">
        <v>78</v>
      </c>
      <c r="O473" s="2"/>
      <c r="P473" s="2"/>
      <c r="Q473" s="2"/>
      <c r="R473" s="2"/>
      <c r="S473" s="2"/>
      <c r="T473" s="2" t="s">
        <v>9263</v>
      </c>
      <c r="U473" s="2"/>
      <c r="V473" s="2" t="s">
        <v>9264</v>
      </c>
      <c r="W473" s="2" t="s">
        <v>9265</v>
      </c>
      <c r="X473" s="2" t="s">
        <v>9266</v>
      </c>
      <c r="Y473" s="2" t="s">
        <v>9267</v>
      </c>
      <c r="Z473" s="2" t="s">
        <v>9268</v>
      </c>
      <c r="AA473" s="2"/>
      <c r="AB473" s="2"/>
      <c r="AC473" s="2" t="s">
        <v>9269</v>
      </c>
      <c r="AD473" s="2" t="s">
        <v>9270</v>
      </c>
      <c r="AE473" s="2" t="s">
        <v>9271</v>
      </c>
      <c r="AF473" s="2" t="s">
        <v>9272</v>
      </c>
      <c r="AG473" s="2">
        <v>31.0</v>
      </c>
      <c r="AH473" s="2">
        <v>0.0</v>
      </c>
      <c r="AI473" s="2">
        <v>0.0</v>
      </c>
      <c r="AJ473" s="2">
        <v>19.0</v>
      </c>
      <c r="AK473" s="2">
        <v>19.0</v>
      </c>
      <c r="AL473" s="2" t="s">
        <v>246</v>
      </c>
      <c r="AM473" s="2" t="s">
        <v>247</v>
      </c>
      <c r="AN473" s="2" t="s">
        <v>248</v>
      </c>
      <c r="AO473" s="2"/>
      <c r="AP473" s="2" t="s">
        <v>249</v>
      </c>
      <c r="AQ473" s="2"/>
      <c r="AR473" s="2" t="s">
        <v>250</v>
      </c>
      <c r="AS473" s="2" t="s">
        <v>251</v>
      </c>
      <c r="AT473" s="2" t="s">
        <v>9273</v>
      </c>
      <c r="AU473" s="2">
        <v>2024.0</v>
      </c>
      <c r="AV473" s="2">
        <v>11.0</v>
      </c>
      <c r="AW473" s="2"/>
      <c r="AX473" s="2"/>
      <c r="AY473" s="2"/>
      <c r="AZ473" s="2"/>
      <c r="BA473" s="2"/>
      <c r="BB473" s="2"/>
      <c r="BC473" s="2"/>
      <c r="BD473" s="2">
        <v>1362399.0</v>
      </c>
      <c r="BE473" s="2" t="s">
        <v>9274</v>
      </c>
      <c r="BF473" s="3" t="str">
        <f>HYPERLINK("http://dx.doi.org/10.3389/fmars.2024.1362399","http://dx.doi.org/10.3389/fmars.2024.1362399")</f>
        <v>http://dx.doi.org/10.3389/fmars.2024.1362399</v>
      </c>
      <c r="BG473" s="2"/>
      <c r="BH473" s="2"/>
      <c r="BI473" s="2">
        <v>9.0</v>
      </c>
      <c r="BJ473" s="2" t="s">
        <v>225</v>
      </c>
      <c r="BK473" s="2" t="s">
        <v>226</v>
      </c>
      <c r="BL473" s="2" t="s">
        <v>227</v>
      </c>
      <c r="BM473" s="2" t="s">
        <v>9275</v>
      </c>
      <c r="BN473" s="2"/>
      <c r="BO473" s="2" t="s">
        <v>255</v>
      </c>
      <c r="BP473" s="2"/>
      <c r="BQ473" s="2"/>
      <c r="BR473" s="2" t="s">
        <v>99</v>
      </c>
      <c r="BS473" s="2" t="s">
        <v>9276</v>
      </c>
      <c r="BT473" s="2" t="str">
        <f>HYPERLINK("https%3A%2F%2Fwww.webofscience.com%2Fwos%2Fwoscc%2Ffull-record%2FWOS:001180587200001","View Full Record in Web of Science")</f>
        <v>View Full Record in Web of Science</v>
      </c>
    </row>
    <row r="474" ht="64.5" customHeight="1">
      <c r="A474" s="2" t="s">
        <v>72</v>
      </c>
      <c r="B474" s="2" t="s">
        <v>9277</v>
      </c>
      <c r="C474" s="2"/>
      <c r="D474" s="2"/>
      <c r="E474" s="2"/>
      <c r="F474" s="2" t="s">
        <v>9278</v>
      </c>
      <c r="G474" s="2"/>
      <c r="H474" s="2"/>
      <c r="I474" s="2" t="s">
        <v>9279</v>
      </c>
      <c r="J474" s="2" t="s">
        <v>3467</v>
      </c>
      <c r="K474" s="2"/>
      <c r="L474" s="2"/>
      <c r="M474" s="2" t="s">
        <v>116</v>
      </c>
      <c r="N474" s="2" t="s">
        <v>78</v>
      </c>
      <c r="O474" s="2"/>
      <c r="P474" s="2"/>
      <c r="Q474" s="2"/>
      <c r="R474" s="2"/>
      <c r="S474" s="2"/>
      <c r="T474" s="2" t="s">
        <v>9280</v>
      </c>
      <c r="U474" s="2" t="s">
        <v>9281</v>
      </c>
      <c r="V474" s="2" t="s">
        <v>9282</v>
      </c>
      <c r="W474" s="2" t="s">
        <v>9283</v>
      </c>
      <c r="X474" s="2" t="s">
        <v>6534</v>
      </c>
      <c r="Y474" s="2" t="s">
        <v>9284</v>
      </c>
      <c r="Z474" s="2" t="s">
        <v>9285</v>
      </c>
      <c r="AA474" s="2"/>
      <c r="AB474" s="2"/>
      <c r="AC474" s="2" t="s">
        <v>9286</v>
      </c>
      <c r="AD474" s="2" t="s">
        <v>9287</v>
      </c>
      <c r="AE474" s="2"/>
      <c r="AF474" s="2" t="s">
        <v>9288</v>
      </c>
      <c r="AG474" s="2">
        <v>72.0</v>
      </c>
      <c r="AH474" s="2">
        <v>82.0</v>
      </c>
      <c r="AI474" s="2">
        <v>90.0</v>
      </c>
      <c r="AJ474" s="2">
        <v>1.0</v>
      </c>
      <c r="AK474" s="2">
        <v>58.0</v>
      </c>
      <c r="AL474" s="2" t="s">
        <v>351</v>
      </c>
      <c r="AM474" s="2" t="s">
        <v>352</v>
      </c>
      <c r="AN474" s="2" t="s">
        <v>353</v>
      </c>
      <c r="AO474" s="2" t="s">
        <v>3481</v>
      </c>
      <c r="AP474" s="2" t="s">
        <v>3482</v>
      </c>
      <c r="AQ474" s="2"/>
      <c r="AR474" s="2" t="s">
        <v>3483</v>
      </c>
      <c r="AS474" s="2" t="s">
        <v>3484</v>
      </c>
      <c r="AT474" s="2" t="s">
        <v>222</v>
      </c>
      <c r="AU474" s="2">
        <v>2011.0</v>
      </c>
      <c r="AV474" s="2">
        <v>4.0</v>
      </c>
      <c r="AW474" s="2">
        <v>3.0</v>
      </c>
      <c r="AX474" s="2"/>
      <c r="AY474" s="2"/>
      <c r="AZ474" s="2"/>
      <c r="BA474" s="2"/>
      <c r="BB474" s="2">
        <v>335.0</v>
      </c>
      <c r="BC474" s="2">
        <v>353.0</v>
      </c>
      <c r="BD474" s="2"/>
      <c r="BE474" s="2" t="s">
        <v>9289</v>
      </c>
      <c r="BF474" s="3" t="str">
        <f>HYPERLINK("http://dx.doi.org/10.1007/s12053-011-9107-9","http://dx.doi.org/10.1007/s12053-011-9107-9")</f>
        <v>http://dx.doi.org/10.1007/s12053-011-9107-9</v>
      </c>
      <c r="BG474" s="2"/>
      <c r="BH474" s="2"/>
      <c r="BI474" s="2">
        <v>19.0</v>
      </c>
      <c r="BJ474" s="2" t="s">
        <v>3486</v>
      </c>
      <c r="BK474" s="2" t="s">
        <v>363</v>
      </c>
      <c r="BL474" s="2" t="s">
        <v>3487</v>
      </c>
      <c r="BM474" s="2" t="s">
        <v>9290</v>
      </c>
      <c r="BN474" s="2"/>
      <c r="BO474" s="2"/>
      <c r="BP474" s="2"/>
      <c r="BQ474" s="2"/>
      <c r="BR474" s="2" t="s">
        <v>99</v>
      </c>
      <c r="BS474" s="2" t="s">
        <v>9291</v>
      </c>
      <c r="BT474" s="2" t="str">
        <f>HYPERLINK("https%3A%2F%2Fwww.webofscience.com%2Fwos%2Fwoscc%2Ffull-record%2FWOS:000293068600002","View Full Record in Web of Science")</f>
        <v>View Full Record in Web of Science</v>
      </c>
    </row>
    <row r="475" ht="64.5" customHeight="1">
      <c r="A475" s="2" t="s">
        <v>72</v>
      </c>
      <c r="B475" s="2" t="s">
        <v>9292</v>
      </c>
      <c r="C475" s="2"/>
      <c r="D475" s="2"/>
      <c r="E475" s="2"/>
      <c r="F475" s="2" t="s">
        <v>9293</v>
      </c>
      <c r="G475" s="2"/>
      <c r="H475" s="2"/>
      <c r="I475" s="2" t="s">
        <v>9294</v>
      </c>
      <c r="J475" s="2" t="s">
        <v>9114</v>
      </c>
      <c r="K475" s="2"/>
      <c r="L475" s="2"/>
      <c r="M475" s="2" t="s">
        <v>116</v>
      </c>
      <c r="N475" s="2" t="s">
        <v>1599</v>
      </c>
      <c r="O475" s="2"/>
      <c r="P475" s="2"/>
      <c r="Q475" s="2"/>
      <c r="R475" s="2"/>
      <c r="S475" s="2"/>
      <c r="T475" s="2" t="s">
        <v>9295</v>
      </c>
      <c r="U475" s="2" t="s">
        <v>9296</v>
      </c>
      <c r="V475" s="2" t="s">
        <v>9297</v>
      </c>
      <c r="W475" s="2" t="s">
        <v>9298</v>
      </c>
      <c r="X475" s="2" t="s">
        <v>9299</v>
      </c>
      <c r="Y475" s="2" t="s">
        <v>9300</v>
      </c>
      <c r="Z475" s="2" t="s">
        <v>9301</v>
      </c>
      <c r="AA475" s="2" t="s">
        <v>9302</v>
      </c>
      <c r="AB475" s="2" t="s">
        <v>9303</v>
      </c>
      <c r="AC475" s="2"/>
      <c r="AD475" s="2"/>
      <c r="AE475" s="2"/>
      <c r="AF475" s="2" t="s">
        <v>9304</v>
      </c>
      <c r="AG475" s="2">
        <v>102.0</v>
      </c>
      <c r="AH475" s="2">
        <v>0.0</v>
      </c>
      <c r="AI475" s="2">
        <v>0.0</v>
      </c>
      <c r="AJ475" s="2">
        <v>2.0</v>
      </c>
      <c r="AK475" s="2">
        <v>2.0</v>
      </c>
      <c r="AL475" s="2" t="s">
        <v>2116</v>
      </c>
      <c r="AM475" s="2" t="s">
        <v>5427</v>
      </c>
      <c r="AN475" s="2" t="s">
        <v>5428</v>
      </c>
      <c r="AO475" s="2" t="s">
        <v>9123</v>
      </c>
      <c r="AP475" s="2" t="s">
        <v>9124</v>
      </c>
      <c r="AQ475" s="2"/>
      <c r="AR475" s="2" t="s">
        <v>9125</v>
      </c>
      <c r="AS475" s="2" t="s">
        <v>9126</v>
      </c>
      <c r="AT475" s="2" t="s">
        <v>9305</v>
      </c>
      <c r="AU475" s="2">
        <v>2024.0</v>
      </c>
      <c r="AV475" s="2"/>
      <c r="AW475" s="2"/>
      <c r="AX475" s="2"/>
      <c r="AY475" s="2"/>
      <c r="AZ475" s="2"/>
      <c r="BA475" s="2"/>
      <c r="BB475" s="2"/>
      <c r="BC475" s="2"/>
      <c r="BD475" s="2"/>
      <c r="BE475" s="2" t="s">
        <v>9306</v>
      </c>
      <c r="BF475" s="3" t="str">
        <f>HYPERLINK("http://dx.doi.org/10.1108/IJESM-04-2023-0018","http://dx.doi.org/10.1108/IJESM-04-2023-0018")</f>
        <v>http://dx.doi.org/10.1108/IJESM-04-2023-0018</v>
      </c>
      <c r="BG475" s="2"/>
      <c r="BH475" s="2" t="s">
        <v>2445</v>
      </c>
      <c r="BI475" s="2">
        <v>28.0</v>
      </c>
      <c r="BJ475" s="2" t="s">
        <v>9129</v>
      </c>
      <c r="BK475" s="2" t="s">
        <v>96</v>
      </c>
      <c r="BL475" s="2" t="s">
        <v>2894</v>
      </c>
      <c r="BM475" s="2" t="s">
        <v>9307</v>
      </c>
      <c r="BN475" s="2"/>
      <c r="BO475" s="2"/>
      <c r="BP475" s="2"/>
      <c r="BQ475" s="2"/>
      <c r="BR475" s="2" t="s">
        <v>99</v>
      </c>
      <c r="BS475" s="2" t="s">
        <v>9308</v>
      </c>
      <c r="BT475" s="2" t="str">
        <f>HYPERLINK("https%3A%2F%2Fwww.webofscience.com%2Fwos%2Fwoscc%2Ffull-record%2FWOS:001193154000001","View Full Record in Web of Science")</f>
        <v>View Full Record in Web of Science</v>
      </c>
    </row>
    <row r="476" ht="64.5" customHeight="1">
      <c r="A476" s="2" t="s">
        <v>110</v>
      </c>
      <c r="B476" s="2" t="s">
        <v>9309</v>
      </c>
      <c r="C476" s="2"/>
      <c r="D476" s="2"/>
      <c r="E476" s="2" t="s">
        <v>129</v>
      </c>
      <c r="F476" s="2" t="s">
        <v>9310</v>
      </c>
      <c r="G476" s="2"/>
      <c r="H476" s="2"/>
      <c r="I476" s="2" t="s">
        <v>9311</v>
      </c>
      <c r="J476" s="2" t="s">
        <v>9312</v>
      </c>
      <c r="K476" s="2" t="s">
        <v>115</v>
      </c>
      <c r="L476" s="2"/>
      <c r="M476" s="2" t="s">
        <v>116</v>
      </c>
      <c r="N476" s="2" t="s">
        <v>117</v>
      </c>
      <c r="O476" s="2" t="s">
        <v>9313</v>
      </c>
      <c r="P476" s="2" t="s">
        <v>9314</v>
      </c>
      <c r="Q476" s="2" t="s">
        <v>3193</v>
      </c>
      <c r="R476" s="2"/>
      <c r="S476" s="2"/>
      <c r="T476" s="2" t="s">
        <v>9315</v>
      </c>
      <c r="U476" s="2"/>
      <c r="V476" s="2" t="s">
        <v>9316</v>
      </c>
      <c r="W476" s="2" t="s">
        <v>9317</v>
      </c>
      <c r="X476" s="2"/>
      <c r="Y476" s="2" t="s">
        <v>9318</v>
      </c>
      <c r="Z476" s="2" t="s">
        <v>9319</v>
      </c>
      <c r="AA476" s="2"/>
      <c r="AB476" s="2"/>
      <c r="AC476" s="2" t="s">
        <v>9320</v>
      </c>
      <c r="AD476" s="2" t="s">
        <v>9321</v>
      </c>
      <c r="AE476" s="2" t="s">
        <v>9322</v>
      </c>
      <c r="AF476" s="2" t="s">
        <v>9323</v>
      </c>
      <c r="AG476" s="2">
        <v>14.0</v>
      </c>
      <c r="AH476" s="2">
        <v>1.0</v>
      </c>
      <c r="AI476" s="2">
        <v>1.0</v>
      </c>
      <c r="AJ476" s="2">
        <v>1.0</v>
      </c>
      <c r="AK476" s="2">
        <v>5.0</v>
      </c>
      <c r="AL476" s="2" t="s">
        <v>129</v>
      </c>
      <c r="AM476" s="2" t="s">
        <v>130</v>
      </c>
      <c r="AN476" s="2" t="s">
        <v>131</v>
      </c>
      <c r="AO476" s="2" t="s">
        <v>132</v>
      </c>
      <c r="AP476" s="2"/>
      <c r="AQ476" s="2" t="s">
        <v>9324</v>
      </c>
      <c r="AR476" s="2" t="s">
        <v>115</v>
      </c>
      <c r="AS476" s="2"/>
      <c r="AT476" s="2"/>
      <c r="AU476" s="2">
        <v>2020.0</v>
      </c>
      <c r="AV476" s="2"/>
      <c r="AW476" s="2"/>
      <c r="AX476" s="2"/>
      <c r="AY476" s="2"/>
      <c r="AZ476" s="2"/>
      <c r="BA476" s="2"/>
      <c r="BB476" s="2"/>
      <c r="BC476" s="2"/>
      <c r="BD476" s="2"/>
      <c r="BE476" s="2" t="s">
        <v>9325</v>
      </c>
      <c r="BF476" s="3" t="str">
        <f>HYPERLINK("http://dx.doi.org/10.1109/IEEECONF38699.2020.9389268","http://dx.doi.org/10.1109/IEEECONF38699.2020.9389268")</f>
        <v>http://dx.doi.org/10.1109/IEEECONF38699.2020.9389268</v>
      </c>
      <c r="BG476" s="2"/>
      <c r="BH476" s="2"/>
      <c r="BI476" s="2">
        <v>8.0</v>
      </c>
      <c r="BJ476" s="2" t="s">
        <v>9190</v>
      </c>
      <c r="BK476" s="2" t="s">
        <v>135</v>
      </c>
      <c r="BL476" s="2" t="s">
        <v>136</v>
      </c>
      <c r="BM476" s="2" t="s">
        <v>9326</v>
      </c>
      <c r="BN476" s="2"/>
      <c r="BO476" s="2"/>
      <c r="BP476" s="2"/>
      <c r="BQ476" s="2"/>
      <c r="BR476" s="2" t="s">
        <v>99</v>
      </c>
      <c r="BS476" s="2" t="s">
        <v>9327</v>
      </c>
      <c r="BT476" s="2" t="str">
        <f>HYPERLINK("https%3A%2F%2Fwww.webofscience.com%2Fwos%2Fwoscc%2Ffull-record%2FWOS:000669813301131","View Full Record in Web of Science")</f>
        <v>View Full Record in Web of Science</v>
      </c>
    </row>
    <row r="477" ht="64.5" customHeight="1">
      <c r="A477" s="2" t="s">
        <v>110</v>
      </c>
      <c r="B477" s="2" t="s">
        <v>9328</v>
      </c>
      <c r="C477" s="2"/>
      <c r="D477" s="2"/>
      <c r="E477" s="2" t="s">
        <v>129</v>
      </c>
      <c r="F477" s="2" t="s">
        <v>9329</v>
      </c>
      <c r="G477" s="2"/>
      <c r="H477" s="2"/>
      <c r="I477" s="2" t="s">
        <v>9330</v>
      </c>
      <c r="J477" s="2" t="s">
        <v>9331</v>
      </c>
      <c r="K477" s="2"/>
      <c r="L477" s="2"/>
      <c r="M477" s="2" t="s">
        <v>116</v>
      </c>
      <c r="N477" s="2" t="s">
        <v>117</v>
      </c>
      <c r="O477" s="2" t="s">
        <v>9181</v>
      </c>
      <c r="P477" s="2" t="s">
        <v>9332</v>
      </c>
      <c r="Q477" s="2" t="s">
        <v>9333</v>
      </c>
      <c r="R477" s="2"/>
      <c r="S477" s="2"/>
      <c r="T477" s="2" t="s">
        <v>9334</v>
      </c>
      <c r="U477" s="2"/>
      <c r="V477" s="2" t="s">
        <v>9335</v>
      </c>
      <c r="W477" s="2" t="s">
        <v>9336</v>
      </c>
      <c r="X477" s="2" t="s">
        <v>124</v>
      </c>
      <c r="Y477" s="2" t="s">
        <v>9337</v>
      </c>
      <c r="Z477" s="2"/>
      <c r="AA477" s="2" t="s">
        <v>9338</v>
      </c>
      <c r="AB477" s="2" t="s">
        <v>9339</v>
      </c>
      <c r="AC477" s="2"/>
      <c r="AD477" s="2"/>
      <c r="AE477" s="2"/>
      <c r="AF477" s="2"/>
      <c r="AG477" s="2">
        <v>0.0</v>
      </c>
      <c r="AH477" s="2">
        <v>0.0</v>
      </c>
      <c r="AI477" s="2">
        <v>0.0</v>
      </c>
      <c r="AJ477" s="2">
        <v>1.0</v>
      </c>
      <c r="AK477" s="2">
        <v>19.0</v>
      </c>
      <c r="AL477" s="2" t="s">
        <v>129</v>
      </c>
      <c r="AM477" s="2" t="s">
        <v>130</v>
      </c>
      <c r="AN477" s="2" t="s">
        <v>131</v>
      </c>
      <c r="AO477" s="2"/>
      <c r="AP477" s="2"/>
      <c r="AQ477" s="2" t="s">
        <v>9340</v>
      </c>
      <c r="AR477" s="2"/>
      <c r="AS477" s="2"/>
      <c r="AT477" s="2"/>
      <c r="AU477" s="2">
        <v>2012.0</v>
      </c>
      <c r="AV477" s="2"/>
      <c r="AW477" s="2"/>
      <c r="AX477" s="2"/>
      <c r="AY477" s="2"/>
      <c r="AZ477" s="2"/>
      <c r="BA477" s="2"/>
      <c r="BB477" s="2"/>
      <c r="BC477" s="2"/>
      <c r="BD477" s="2"/>
      <c r="BE477" s="2"/>
      <c r="BF477" s="2"/>
      <c r="BG477" s="2"/>
      <c r="BH477" s="2"/>
      <c r="BI477" s="2">
        <v>5.0</v>
      </c>
      <c r="BJ477" s="2" t="s">
        <v>9341</v>
      </c>
      <c r="BK477" s="2" t="s">
        <v>135</v>
      </c>
      <c r="BL477" s="2" t="s">
        <v>9342</v>
      </c>
      <c r="BM477" s="2" t="s">
        <v>9343</v>
      </c>
      <c r="BN477" s="2"/>
      <c r="BO477" s="2"/>
      <c r="BP477" s="2"/>
      <c r="BQ477" s="2"/>
      <c r="BR477" s="2" t="s">
        <v>99</v>
      </c>
      <c r="BS477" s="2" t="s">
        <v>9344</v>
      </c>
      <c r="BT477" s="2" t="str">
        <f>HYPERLINK("https%3A%2F%2Fwww.webofscience.com%2Fwos%2Fwoscc%2Ffull-record%2FWOS:000315350300180","View Full Record in Web of Science")</f>
        <v>View Full Record in Web of Science</v>
      </c>
    </row>
    <row r="478" ht="64.5" customHeight="1">
      <c r="A478" s="2" t="s">
        <v>5296</v>
      </c>
      <c r="B478" s="2" t="s">
        <v>9345</v>
      </c>
      <c r="C478" s="2"/>
      <c r="D478" s="2" t="s">
        <v>9346</v>
      </c>
      <c r="E478" s="2"/>
      <c r="F478" s="2" t="s">
        <v>9347</v>
      </c>
      <c r="G478" s="2"/>
      <c r="H478" s="2"/>
      <c r="I478" s="2" t="s">
        <v>9348</v>
      </c>
      <c r="J478" s="2" t="s">
        <v>9349</v>
      </c>
      <c r="K478" s="2" t="s">
        <v>9350</v>
      </c>
      <c r="L478" s="2"/>
      <c r="M478" s="2" t="s">
        <v>116</v>
      </c>
      <c r="N478" s="2" t="s">
        <v>9351</v>
      </c>
      <c r="O478" s="2"/>
      <c r="P478" s="2"/>
      <c r="Q478" s="2"/>
      <c r="R478" s="2"/>
      <c r="S478" s="2"/>
      <c r="T478" s="4" t="s">
        <v>121</v>
      </c>
      <c r="U478" s="2" t="s">
        <v>9352</v>
      </c>
      <c r="V478" s="2" t="s">
        <v>9353</v>
      </c>
      <c r="W478" s="2" t="s">
        <v>9354</v>
      </c>
      <c r="X478" s="2" t="s">
        <v>9355</v>
      </c>
      <c r="Y478" s="2" t="s">
        <v>9356</v>
      </c>
      <c r="Z478" s="2" t="s">
        <v>9357</v>
      </c>
      <c r="AA478" s="2" t="s">
        <v>9358</v>
      </c>
      <c r="AB478" s="2" t="s">
        <v>9359</v>
      </c>
      <c r="AC478" s="2"/>
      <c r="AD478" s="2"/>
      <c r="AE478" s="2"/>
      <c r="AF478" s="2" t="s">
        <v>9360</v>
      </c>
      <c r="AG478" s="2">
        <v>134.0</v>
      </c>
      <c r="AH478" s="2">
        <v>71.0</v>
      </c>
      <c r="AI478" s="2">
        <v>72.0</v>
      </c>
      <c r="AJ478" s="2">
        <v>30.0</v>
      </c>
      <c r="AK478" s="2">
        <v>391.0</v>
      </c>
      <c r="AL478" s="2" t="s">
        <v>9361</v>
      </c>
      <c r="AM478" s="2" t="s">
        <v>9362</v>
      </c>
      <c r="AN478" s="2" t="s">
        <v>9363</v>
      </c>
      <c r="AO478" s="2" t="s">
        <v>9364</v>
      </c>
      <c r="AP478" s="2" t="s">
        <v>9365</v>
      </c>
      <c r="AQ478" s="2" t="s">
        <v>9366</v>
      </c>
      <c r="AR478" s="2" t="s">
        <v>9367</v>
      </c>
      <c r="AS478" s="2" t="s">
        <v>9368</v>
      </c>
      <c r="AT478" s="2"/>
      <c r="AU478" s="2">
        <v>2016.0</v>
      </c>
      <c r="AV478" s="2">
        <v>140.0</v>
      </c>
      <c r="AW478" s="2"/>
      <c r="AX478" s="2"/>
      <c r="AY478" s="2"/>
      <c r="AZ478" s="2"/>
      <c r="BA478" s="2"/>
      <c r="BB478" s="2">
        <v>101.0</v>
      </c>
      <c r="BC478" s="2">
        <v>214.0</v>
      </c>
      <c r="BD478" s="2"/>
      <c r="BE478" s="2" t="s">
        <v>9369</v>
      </c>
      <c r="BF478" s="3" t="str">
        <f>HYPERLINK("http://dx.doi.org/10.1016/bs.agron.2016.06.003","http://dx.doi.org/10.1016/bs.agron.2016.06.003")</f>
        <v>http://dx.doi.org/10.1016/bs.agron.2016.06.003</v>
      </c>
      <c r="BG478" s="2"/>
      <c r="BH478" s="2"/>
      <c r="BI478" s="2">
        <v>114.0</v>
      </c>
      <c r="BJ478" s="2" t="s">
        <v>9370</v>
      </c>
      <c r="BK478" s="2" t="s">
        <v>9371</v>
      </c>
      <c r="BL478" s="2" t="s">
        <v>9372</v>
      </c>
      <c r="BM478" s="2" t="s">
        <v>9373</v>
      </c>
      <c r="BN478" s="2"/>
      <c r="BO478" s="2"/>
      <c r="BP478" s="2"/>
      <c r="BQ478" s="2"/>
      <c r="BR478" s="2" t="s">
        <v>99</v>
      </c>
      <c r="BS478" s="2" t="s">
        <v>9374</v>
      </c>
      <c r="BT478" s="2" t="str">
        <f>HYPERLINK("https%3A%2F%2Fwww.webofscience.com%2Fwos%2Fwoscc%2Ffull-record%2FWOS:000394566200005","View Full Record in Web of Science")</f>
        <v>View Full Record in Web of Science</v>
      </c>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2024-07-24T21:49:28+03:00</dcterms:created>
  <dc:creator>Unknown Creator</dc:creator>
</cp:coreProperties>
</file>