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AugustoBernarde\Downloads\"/>
    </mc:Choice>
  </mc:AlternateContent>
  <xr:revisionPtr revIDLastSave="0" documentId="13_ncr:1_{A5657F7F-EE3E-4C54-8A69-8875C6BA3F26}" xr6:coauthVersionLast="47" xr6:coauthVersionMax="47" xr10:uidLastSave="{00000000-0000-0000-0000-000000000000}"/>
  <bookViews>
    <workbookView xWindow="-24120" yWindow="-3750" windowWidth="24240" windowHeight="13020" firstSheet="5" activeTab="10" xr2:uid="{00000000-000D-0000-FFFF-FFFF00000000}"/>
  </bookViews>
  <sheets>
    <sheet name="Carteiras Offshore" sheetId="9" r:id="rId1"/>
    <sheet name="Infos Macro" sheetId="8" r:id="rId2"/>
    <sheet name="Carteiras Brasil" sheetId="7" r:id="rId3"/>
    <sheet name="PL AVIN1" sheetId="4" r:id="rId4"/>
    <sheet name="PL_ONSHORE" sheetId="1" r:id="rId5"/>
    <sheet name="PL SWM ONSHORE" sheetId="2" r:id="rId6"/>
    <sheet name="pl swm offs" sheetId="11" r:id="rId7"/>
    <sheet name="MARCO ASSAN" sheetId="10" r:id="rId8"/>
    <sheet name="Gabriel e Nova Malha" sheetId="12" r:id="rId9"/>
    <sheet name="Total" sheetId="6" r:id="rId10"/>
    <sheet name="Veiculos" sheetId="5" r:id="rId11"/>
  </sheets>
  <externalReferences>
    <externalReference r:id="rId12"/>
  </externalReferences>
  <definedNames>
    <definedName name="_xlnm._FilterDatabase" localSheetId="3" hidden="1">'PL AVIN1'!$A$4:$AH$86</definedName>
    <definedName name="_xlnm._FilterDatabase" localSheetId="5" hidden="1">'PL SWM ONSHORE'!$A$4:$O$108</definedName>
    <definedName name="_xlnm._FilterDatabase" localSheetId="4" hidden="1">PL_ONSHORE!$A$1:$W$690</definedName>
    <definedName name="_xlnm._FilterDatabase" localSheetId="10" hidden="1">Veiculos!$A$1:$R$13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B3" i="6"/>
  <c r="J18" i="12"/>
  <c r="J19" i="12"/>
  <c r="J20" i="12"/>
  <c r="J21" i="12"/>
  <c r="J22" i="12"/>
  <c r="J17" i="12"/>
  <c r="C10" i="12"/>
  <c r="K23" i="12"/>
  <c r="K10" i="12"/>
  <c r="F17" i="12" l="1"/>
  <c r="F21" i="12"/>
  <c r="G22" i="12"/>
  <c r="F19" i="12"/>
  <c r="D9" i="12"/>
  <c r="D20" i="12"/>
  <c r="D19" i="12"/>
  <c r="D17" i="12"/>
  <c r="F20" i="12"/>
  <c r="G18" i="12"/>
  <c r="D22" i="12"/>
  <c r="D21" i="12"/>
  <c r="C23" i="12"/>
  <c r="J23" i="12" s="1"/>
  <c r="D18" i="12"/>
  <c r="J9" i="12"/>
  <c r="G9" i="12" s="1"/>
  <c r="J7" i="12"/>
  <c r="F7" i="12" s="1"/>
  <c r="J4" i="12"/>
  <c r="F4" i="12" s="1"/>
  <c r="J5" i="12"/>
  <c r="G5" i="12" s="1"/>
  <c r="D7" i="12"/>
  <c r="J6" i="12"/>
  <c r="G6" i="12" s="1"/>
  <c r="J10" i="12"/>
  <c r="J8" i="12"/>
  <c r="F8" i="12" s="1"/>
  <c r="D6" i="12"/>
  <c r="D5" i="12"/>
  <c r="D8" i="12"/>
  <c r="D4" i="12"/>
  <c r="G23" i="12" l="1"/>
  <c r="F23" i="12"/>
  <c r="G10" i="12"/>
  <c r="F10" i="12"/>
  <c r="B10" i="6" l="1"/>
  <c r="O105" i="2"/>
  <c r="O106" i="2"/>
  <c r="O107" i="2"/>
  <c r="O108" i="2"/>
  <c r="N105" i="2"/>
  <c r="N106" i="2"/>
  <c r="N107" i="2"/>
  <c r="N108" i="2"/>
  <c r="M105" i="2"/>
  <c r="M106" i="2"/>
  <c r="M107" i="2"/>
  <c r="M108" i="2"/>
  <c r="J31" i="2"/>
  <c r="O104" i="2"/>
  <c r="M104" i="2"/>
  <c r="N104" i="2" s="1"/>
  <c r="J2" i="11"/>
  <c r="L86" i="11" s="1"/>
  <c r="O88" i="11"/>
  <c r="N88" i="11"/>
  <c r="M88" i="11"/>
  <c r="O82" i="11"/>
  <c r="O83" i="11"/>
  <c r="O84" i="11"/>
  <c r="O85" i="11"/>
  <c r="O86" i="11"/>
  <c r="O87" i="11"/>
  <c r="N83" i="11"/>
  <c r="N84" i="11"/>
  <c r="N85" i="11"/>
  <c r="N86" i="11"/>
  <c r="N87" i="11"/>
  <c r="M82" i="11"/>
  <c r="N82" i="11" s="1"/>
  <c r="N2" i="11" s="1"/>
  <c r="M83" i="11"/>
  <c r="M84" i="11"/>
  <c r="M85" i="11"/>
  <c r="M86" i="11"/>
  <c r="M87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N80" i="11" s="1"/>
  <c r="M81" i="11"/>
  <c r="N81" i="11" s="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O5" i="11"/>
  <c r="L39" i="11" l="1"/>
  <c r="L82" i="11"/>
  <c r="L85" i="11"/>
  <c r="M2" i="11"/>
  <c r="L88" i="11"/>
  <c r="B8" i="6"/>
  <c r="L87" i="11"/>
  <c r="L84" i="11"/>
  <c r="L83" i="11"/>
  <c r="L80" i="11"/>
  <c r="L6" i="11"/>
  <c r="L78" i="11"/>
  <c r="F8" i="6"/>
  <c r="F10" i="6" s="1"/>
  <c r="L48" i="11"/>
  <c r="L46" i="11"/>
  <c r="L72" i="11"/>
  <c r="L40" i="11"/>
  <c r="L70" i="11"/>
  <c r="L64" i="11"/>
  <c r="L62" i="11"/>
  <c r="L56" i="11"/>
  <c r="L54" i="11"/>
  <c r="L38" i="11"/>
  <c r="L69" i="11"/>
  <c r="L61" i="11"/>
  <c r="L53" i="11"/>
  <c r="L45" i="11"/>
  <c r="L37" i="11"/>
  <c r="L76" i="11"/>
  <c r="L68" i="11"/>
  <c r="L60" i="11"/>
  <c r="L52" i="11"/>
  <c r="L44" i="11"/>
  <c r="L75" i="11"/>
  <c r="L43" i="11"/>
  <c r="L74" i="11"/>
  <c r="L66" i="11"/>
  <c r="L58" i="11"/>
  <c r="L50" i="11"/>
  <c r="L42" i="11"/>
  <c r="L77" i="11"/>
  <c r="L67" i="11"/>
  <c r="L59" i="11"/>
  <c r="L51" i="11"/>
  <c r="L81" i="11"/>
  <c r="L73" i="11"/>
  <c r="L65" i="11"/>
  <c r="L57" i="11"/>
  <c r="L49" i="11"/>
  <c r="L41" i="11"/>
  <c r="L79" i="11"/>
  <c r="L71" i="11"/>
  <c r="L63" i="11"/>
  <c r="L55" i="11"/>
  <c r="L47" i="11"/>
  <c r="L36" i="11"/>
  <c r="L20" i="11"/>
  <c r="L34" i="11"/>
  <c r="L26" i="11"/>
  <c r="L18" i="11"/>
  <c r="L10" i="11"/>
  <c r="L33" i="11"/>
  <c r="L17" i="11"/>
  <c r="L9" i="11"/>
  <c r="L32" i="11"/>
  <c r="L24" i="11"/>
  <c r="L16" i="11"/>
  <c r="L8" i="11"/>
  <c r="L31" i="11"/>
  <c r="L23" i="11"/>
  <c r="L15" i="11"/>
  <c r="L25" i="11"/>
  <c r="L30" i="11"/>
  <c r="L22" i="11"/>
  <c r="L14" i="11"/>
  <c r="L5" i="11"/>
  <c r="L29" i="11"/>
  <c r="L21" i="11"/>
  <c r="L13" i="11"/>
  <c r="L28" i="11"/>
  <c r="L12" i="11"/>
  <c r="L35" i="11"/>
  <c r="L27" i="11"/>
  <c r="L19" i="11"/>
  <c r="L11" i="11"/>
  <c r="L7" i="11"/>
  <c r="M5" i="11"/>
  <c r="C4" i="10"/>
  <c r="K10" i="10"/>
  <c r="J6" i="10"/>
  <c r="F6" i="10" s="1"/>
  <c r="C9" i="10"/>
  <c r="C8" i="10"/>
  <c r="C5" i="10"/>
  <c r="C10" i="10"/>
  <c r="D6" i="10" s="1"/>
  <c r="N5" i="11" l="1"/>
  <c r="O2" i="11"/>
  <c r="C8" i="6" s="1"/>
  <c r="C10" i="6" s="1"/>
  <c r="I2" i="11"/>
  <c r="J5" i="10"/>
  <c r="G5" i="10" s="1"/>
  <c r="J10" i="10"/>
  <c r="J4" i="10"/>
  <c r="F4" i="10" s="1"/>
  <c r="G10" i="10" s="1"/>
  <c r="J9" i="10"/>
  <c r="G9" i="10" s="1"/>
  <c r="J8" i="10"/>
  <c r="J7" i="10"/>
  <c r="F7" i="10" s="1"/>
  <c r="F8" i="10"/>
  <c r="D5" i="10"/>
  <c r="D4" i="10"/>
  <c r="D9" i="10"/>
  <c r="D8" i="10"/>
  <c r="D7" i="10"/>
  <c r="F10" i="10" l="1"/>
  <c r="O31" i="2" l="1"/>
  <c r="O32" i="2"/>
  <c r="O5" i="2"/>
  <c r="AP5" i="9" l="1"/>
  <c r="AQ5" i="9"/>
  <c r="AS5" i="9"/>
  <c r="AT5" i="9"/>
  <c r="B7" i="9"/>
  <c r="D7" i="9"/>
  <c r="L7" i="9"/>
  <c r="M7" i="9"/>
  <c r="M27" i="9" s="1"/>
  <c r="B8" i="9"/>
  <c r="D8" i="9"/>
  <c r="AJ8" i="9"/>
  <c r="B9" i="9"/>
  <c r="D9" i="9"/>
  <c r="AP9" i="9"/>
  <c r="AQ9" i="9"/>
  <c r="AR9" i="9"/>
  <c r="AS9" i="9"/>
  <c r="AU9" i="9" s="1"/>
  <c r="AT9" i="9"/>
  <c r="B10" i="9"/>
  <c r="D10" i="9"/>
  <c r="L10" i="9"/>
  <c r="M10" i="9"/>
  <c r="N10" i="9"/>
  <c r="O10" i="9"/>
  <c r="P10" i="9"/>
  <c r="Q10" i="9"/>
  <c r="AM11" i="9" s="1"/>
  <c r="AP10" i="9"/>
  <c r="AU10" i="9" s="1"/>
  <c r="AA10" i="9" s="1"/>
  <c r="AW10" i="9" s="1"/>
  <c r="AQ10" i="9"/>
  <c r="AR10" i="9"/>
  <c r="AS10" i="9"/>
  <c r="AT10" i="9"/>
  <c r="B11" i="9"/>
  <c r="D11" i="9"/>
  <c r="X11" i="9"/>
  <c r="AA11" i="9"/>
  <c r="B12" i="9"/>
  <c r="D12" i="9"/>
  <c r="X12" i="9"/>
  <c r="AA12" i="9"/>
  <c r="AM12" i="9"/>
  <c r="B13" i="9"/>
  <c r="D13" i="9"/>
  <c r="X13" i="9"/>
  <c r="AA13" i="9"/>
  <c r="B14" i="9"/>
  <c r="D14" i="9"/>
  <c r="L14" i="9"/>
  <c r="M14" i="9"/>
  <c r="N14" i="9"/>
  <c r="O14" i="9"/>
  <c r="P14" i="9"/>
  <c r="Q14" i="9"/>
  <c r="AP14" i="9"/>
  <c r="AQ14" i="9"/>
  <c r="AR14" i="9"/>
  <c r="AS14" i="9"/>
  <c r="AT14" i="9"/>
  <c r="B15" i="9"/>
  <c r="D15" i="9"/>
  <c r="X15" i="9"/>
  <c r="AA15" i="9"/>
  <c r="B16" i="9"/>
  <c r="D16" i="9"/>
  <c r="X16" i="9"/>
  <c r="AA16" i="9"/>
  <c r="B17" i="9"/>
  <c r="D17" i="9"/>
  <c r="X17" i="9"/>
  <c r="AA17" i="9"/>
  <c r="B18" i="9"/>
  <c r="D18" i="9"/>
  <c r="L18" i="9"/>
  <c r="M18" i="9"/>
  <c r="N18" i="9"/>
  <c r="O18" i="9"/>
  <c r="P18" i="9"/>
  <c r="Q18" i="9"/>
  <c r="AP18" i="9"/>
  <c r="AQ18" i="9"/>
  <c r="AR18" i="9"/>
  <c r="AS18" i="9"/>
  <c r="AT18" i="9"/>
  <c r="AU18" i="9"/>
  <c r="X18" i="9" s="1"/>
  <c r="AV18" i="9" s="1"/>
  <c r="X19" i="9"/>
  <c r="AA19" i="9"/>
  <c r="B20" i="9"/>
  <c r="D20" i="9"/>
  <c r="X20" i="9"/>
  <c r="AA20" i="9"/>
  <c r="B21" i="9"/>
  <c r="D21" i="9"/>
  <c r="X21" i="9"/>
  <c r="AA21" i="9"/>
  <c r="B22" i="9"/>
  <c r="D22" i="9"/>
  <c r="AG22" i="9"/>
  <c r="AY22" i="9" s="1"/>
  <c r="AP22" i="9"/>
  <c r="AQ22" i="9"/>
  <c r="AR22" i="9"/>
  <c r="AS22" i="9"/>
  <c r="AT22" i="9"/>
  <c r="AU22" i="9"/>
  <c r="AD22" i="9" s="1"/>
  <c r="B23" i="9"/>
  <c r="D23" i="9"/>
  <c r="W38" i="9" s="1"/>
  <c r="AP23" i="9"/>
  <c r="AU23" i="9" s="1"/>
  <c r="AQ23" i="9"/>
  <c r="AR23" i="9"/>
  <c r="AS23" i="9"/>
  <c r="AT23" i="9"/>
  <c r="B24" i="9"/>
  <c r="D24" i="9"/>
  <c r="AP24" i="9"/>
  <c r="AQ24" i="9"/>
  <c r="AR24" i="9"/>
  <c r="AS24" i="9"/>
  <c r="AU24" i="9" s="1"/>
  <c r="AT24" i="9"/>
  <c r="B25" i="9"/>
  <c r="D25" i="9"/>
  <c r="AP25" i="9"/>
  <c r="AQ25" i="9"/>
  <c r="AR25" i="9"/>
  <c r="AS25" i="9"/>
  <c r="AT25" i="9"/>
  <c r="B26" i="9"/>
  <c r="D26" i="9"/>
  <c r="AP26" i="9"/>
  <c r="AQ26" i="9"/>
  <c r="AR26" i="9"/>
  <c r="AS26" i="9"/>
  <c r="AU26" i="9" s="1"/>
  <c r="AT26" i="9"/>
  <c r="B27" i="9"/>
  <c r="D27" i="9"/>
  <c r="B28" i="9"/>
  <c r="D28" i="9"/>
  <c r="B29" i="9"/>
  <c r="D29" i="9"/>
  <c r="B30" i="9"/>
  <c r="D30" i="9"/>
  <c r="B31" i="9"/>
  <c r="D31" i="9"/>
  <c r="W31" i="9"/>
  <c r="Z31" i="9"/>
  <c r="AC31" i="9"/>
  <c r="AF31" i="9"/>
  <c r="AI31" i="9"/>
  <c r="AL31" i="9"/>
  <c r="AJ32" i="9"/>
  <c r="B39" i="9"/>
  <c r="C39" i="9"/>
  <c r="D39" i="9"/>
  <c r="E39" i="9"/>
  <c r="Y39" i="9"/>
  <c r="Z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G43" i="9"/>
  <c r="AG43" i="9"/>
  <c r="AG54" i="9" s="1"/>
  <c r="B44" i="9"/>
  <c r="C44" i="9"/>
  <c r="D44" i="9"/>
  <c r="E44" i="9"/>
  <c r="G44" i="9"/>
  <c r="B45" i="9"/>
  <c r="C45" i="9"/>
  <c r="D45" i="9"/>
  <c r="E45" i="9"/>
  <c r="G45" i="9"/>
  <c r="B46" i="9"/>
  <c r="C46" i="9"/>
  <c r="D46" i="9"/>
  <c r="E46" i="9"/>
  <c r="G46" i="9"/>
  <c r="B47" i="9"/>
  <c r="C47" i="9"/>
  <c r="D47" i="9"/>
  <c r="E47" i="9"/>
  <c r="G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AI54" i="9"/>
  <c r="B55" i="9"/>
  <c r="C55" i="9"/>
  <c r="D55" i="9"/>
  <c r="E55" i="9"/>
  <c r="B56" i="9"/>
  <c r="C56" i="9"/>
  <c r="D56" i="9"/>
  <c r="E56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AI32" i="9" s="1"/>
  <c r="D62" i="9"/>
  <c r="E62" i="9"/>
  <c r="AK32" i="9" s="1"/>
  <c r="B63" i="9"/>
  <c r="C63" i="9"/>
  <c r="Z37" i="9" s="1"/>
  <c r="D63" i="9"/>
  <c r="AA40" i="9" s="1"/>
  <c r="E63" i="9"/>
  <c r="AB40" i="9" s="1"/>
  <c r="B64" i="9"/>
  <c r="C64" i="9"/>
  <c r="D64" i="9"/>
  <c r="E64" i="9"/>
  <c r="B65" i="9"/>
  <c r="C65" i="9"/>
  <c r="W42" i="9" s="1"/>
  <c r="D65" i="9"/>
  <c r="AB36" i="9" s="1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AI43" i="9" s="1"/>
  <c r="D72" i="9"/>
  <c r="E72" i="9"/>
  <c r="AH43" i="9" s="1"/>
  <c r="AH54" i="9" s="1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AP5" i="7"/>
  <c r="AQ5" i="7"/>
  <c r="AS5" i="7"/>
  <c r="AT5" i="7"/>
  <c r="D7" i="7"/>
  <c r="L7" i="7"/>
  <c r="M7" i="7"/>
  <c r="N7" i="7"/>
  <c r="O7" i="7"/>
  <c r="D8" i="7"/>
  <c r="D9" i="7"/>
  <c r="L9" i="7"/>
  <c r="X12" i="7" s="1"/>
  <c r="M9" i="7"/>
  <c r="N9" i="7"/>
  <c r="O9" i="7"/>
  <c r="P9" i="7"/>
  <c r="Q9" i="7"/>
  <c r="AP9" i="7"/>
  <c r="AQ9" i="7"/>
  <c r="AR9" i="7"/>
  <c r="AS9" i="7"/>
  <c r="AT9" i="7"/>
  <c r="D10" i="7"/>
  <c r="D11" i="7"/>
  <c r="D12" i="7"/>
  <c r="D13" i="7"/>
  <c r="L13" i="7"/>
  <c r="X16" i="7" s="1"/>
  <c r="M13" i="7"/>
  <c r="N13" i="7"/>
  <c r="O13" i="7"/>
  <c r="P13" i="7"/>
  <c r="Q13" i="7"/>
  <c r="AP13" i="7"/>
  <c r="AQ13" i="7"/>
  <c r="AR13" i="7"/>
  <c r="AS13" i="7"/>
  <c r="AT13" i="7"/>
  <c r="D14" i="7"/>
  <c r="X64" i="7" s="1"/>
  <c r="D15" i="7"/>
  <c r="Y65" i="7" s="1"/>
  <c r="D16" i="7"/>
  <c r="W67" i="7" s="1"/>
  <c r="D17" i="7"/>
  <c r="D18" i="7"/>
  <c r="L18" i="7"/>
  <c r="M18" i="7"/>
  <c r="N18" i="7"/>
  <c r="O18" i="7"/>
  <c r="P18" i="7"/>
  <c r="Q18" i="7"/>
  <c r="L19" i="7"/>
  <c r="M19" i="7"/>
  <c r="M21" i="7" s="1"/>
  <c r="N19" i="7"/>
  <c r="N21" i="7" s="1"/>
  <c r="O19" i="7"/>
  <c r="O21" i="7" s="1"/>
  <c r="D20" i="7"/>
  <c r="N20" i="7"/>
  <c r="O20" i="7"/>
  <c r="D21" i="7"/>
  <c r="X21" i="7"/>
  <c r="D22" i="7"/>
  <c r="L22" i="7"/>
  <c r="M22" i="7"/>
  <c r="N22" i="7"/>
  <c r="O22" i="7"/>
  <c r="D23" i="7"/>
  <c r="L23" i="7"/>
  <c r="M23" i="7"/>
  <c r="N23" i="7"/>
  <c r="O23" i="7"/>
  <c r="P23" i="7"/>
  <c r="P26" i="7" s="1"/>
  <c r="D24" i="7"/>
  <c r="L24" i="7"/>
  <c r="M24" i="7"/>
  <c r="N24" i="7"/>
  <c r="X24" i="7"/>
  <c r="D25" i="7"/>
  <c r="L25" i="7"/>
  <c r="M25" i="7"/>
  <c r="N25" i="7"/>
  <c r="X25" i="7"/>
  <c r="D26" i="7"/>
  <c r="L26" i="7"/>
  <c r="M26" i="7"/>
  <c r="N26" i="7"/>
  <c r="X26" i="7"/>
  <c r="D27" i="7"/>
  <c r="D28" i="7"/>
  <c r="L28" i="7"/>
  <c r="M28" i="7"/>
  <c r="N28" i="7"/>
  <c r="O28" i="7"/>
  <c r="P28" i="7"/>
  <c r="Q28" i="7"/>
  <c r="D29" i="7"/>
  <c r="L29" i="7"/>
  <c r="M29" i="7"/>
  <c r="N29" i="7"/>
  <c r="O29" i="7"/>
  <c r="O31" i="7" s="1"/>
  <c r="D30" i="7"/>
  <c r="L30" i="7"/>
  <c r="X30" i="7"/>
  <c r="D31" i="7"/>
  <c r="E76" i="7" s="1"/>
  <c r="L31" i="7"/>
  <c r="X31" i="7"/>
  <c r="L32" i="7"/>
  <c r="O32" i="7"/>
  <c r="X32" i="7"/>
  <c r="L33" i="7"/>
  <c r="M33" i="7"/>
  <c r="N33" i="7"/>
  <c r="O33" i="7"/>
  <c r="O34" i="7"/>
  <c r="L35" i="7"/>
  <c r="M35" i="7"/>
  <c r="N35" i="7"/>
  <c r="O35" i="7"/>
  <c r="O36" i="7"/>
  <c r="L38" i="7"/>
  <c r="M38" i="7"/>
  <c r="N38" i="7"/>
  <c r="O38" i="7"/>
  <c r="P38" i="7"/>
  <c r="Q38" i="7"/>
  <c r="L39" i="7"/>
  <c r="M39" i="7"/>
  <c r="N39" i="7"/>
  <c r="O39" i="7"/>
  <c r="P39" i="7"/>
  <c r="C40" i="7"/>
  <c r="D40" i="7"/>
  <c r="E40" i="7"/>
  <c r="L40" i="7"/>
  <c r="M40" i="7"/>
  <c r="N40" i="7"/>
  <c r="P40" i="7"/>
  <c r="X40" i="7"/>
  <c r="L41" i="7"/>
  <c r="M41" i="7"/>
  <c r="N41" i="7"/>
  <c r="X41" i="7"/>
  <c r="L42" i="7"/>
  <c r="M42" i="7"/>
  <c r="N42" i="7"/>
  <c r="P42" i="7"/>
  <c r="X42" i="7"/>
  <c r="L43" i="7"/>
  <c r="M43" i="7"/>
  <c r="N43" i="7"/>
  <c r="O43" i="7"/>
  <c r="M45" i="7"/>
  <c r="N45" i="7"/>
  <c r="O45" i="7"/>
  <c r="C47" i="7"/>
  <c r="D47" i="7"/>
  <c r="E47" i="7"/>
  <c r="AP47" i="7"/>
  <c r="AU47" i="7" s="1"/>
  <c r="AQ47" i="7"/>
  <c r="AR47" i="7"/>
  <c r="AS47" i="7"/>
  <c r="AT47" i="7"/>
  <c r="AG48" i="7"/>
  <c r="AY48" i="7" s="1"/>
  <c r="AJ48" i="7"/>
  <c r="AZ48" i="7" s="1"/>
  <c r="AP48" i="7"/>
  <c r="AQ48" i="7"/>
  <c r="AR48" i="7"/>
  <c r="AS48" i="7"/>
  <c r="AT48" i="7"/>
  <c r="AU48" i="7"/>
  <c r="AD49" i="7"/>
  <c r="AE82" i="7" s="1"/>
  <c r="AE93" i="7" s="1"/>
  <c r="AP49" i="7"/>
  <c r="AQ49" i="7"/>
  <c r="AR49" i="7"/>
  <c r="AS49" i="7"/>
  <c r="AU49" i="7" s="1"/>
  <c r="AT49" i="7"/>
  <c r="AP50" i="7"/>
  <c r="AQ50" i="7"/>
  <c r="AR50" i="7"/>
  <c r="AS50" i="7"/>
  <c r="AT50" i="7"/>
  <c r="AP51" i="7"/>
  <c r="AU51" i="7" s="1"/>
  <c r="AQ51" i="7"/>
  <c r="AR51" i="7"/>
  <c r="AS51" i="7"/>
  <c r="AT51" i="7"/>
  <c r="AJ52" i="7"/>
  <c r="AK85" i="7" s="1"/>
  <c r="AK96" i="7" s="1"/>
  <c r="AM52" i="7"/>
  <c r="AP52" i="7"/>
  <c r="AQ52" i="7"/>
  <c r="AR52" i="7"/>
  <c r="AS52" i="7"/>
  <c r="AT52" i="7"/>
  <c r="AU52" i="7"/>
  <c r="N53" i="7"/>
  <c r="O53" i="7"/>
  <c r="C54" i="7"/>
  <c r="D54" i="7"/>
  <c r="E54" i="7"/>
  <c r="W58" i="7"/>
  <c r="Z58" i="7"/>
  <c r="AC58" i="7"/>
  <c r="AF58" i="7"/>
  <c r="AI58" i="7"/>
  <c r="AL58" i="7"/>
  <c r="C60" i="7"/>
  <c r="D60" i="7"/>
  <c r="E60" i="7"/>
  <c r="B61" i="7"/>
  <c r="B63" i="7"/>
  <c r="B64" i="7"/>
  <c r="B65" i="7"/>
  <c r="B66" i="7"/>
  <c r="B67" i="7"/>
  <c r="B68" i="7"/>
  <c r="X68" i="7"/>
  <c r="Y68" i="7"/>
  <c r="B69" i="7"/>
  <c r="Y71" i="7"/>
  <c r="C72" i="7"/>
  <c r="D72" i="7"/>
  <c r="E72" i="7"/>
  <c r="C74" i="7"/>
  <c r="D74" i="7"/>
  <c r="E74" i="7"/>
  <c r="W74" i="7"/>
  <c r="X74" i="7"/>
  <c r="Y74" i="7"/>
  <c r="W75" i="7"/>
  <c r="X75" i="7"/>
  <c r="Y75" i="7"/>
  <c r="C76" i="7"/>
  <c r="D76" i="7"/>
  <c r="W76" i="7"/>
  <c r="X76" i="7"/>
  <c r="Y76" i="7"/>
  <c r="AI76" i="7"/>
  <c r="AK76" i="7"/>
  <c r="AH79" i="7"/>
  <c r="G81" i="7"/>
  <c r="AF81" i="7"/>
  <c r="AH81" i="7"/>
  <c r="AH92" i="7" s="1"/>
  <c r="AI81" i="7"/>
  <c r="AJ81" i="7"/>
  <c r="AK81" i="7"/>
  <c r="G82" i="7"/>
  <c r="G83" i="7"/>
  <c r="G84" i="7"/>
  <c r="G85" i="7"/>
  <c r="AL85" i="7"/>
  <c r="AL96" i="7" s="1"/>
  <c r="AF92" i="7"/>
  <c r="AI92" i="7"/>
  <c r="AJ92" i="7"/>
  <c r="AK92" i="7"/>
  <c r="M8" i="2"/>
  <c r="M11" i="2"/>
  <c r="M13" i="2"/>
  <c r="M15" i="2"/>
  <c r="M14" i="2"/>
  <c r="M9" i="2"/>
  <c r="M10" i="2"/>
  <c r="M25" i="2"/>
  <c r="M32" i="2"/>
  <c r="M18" i="2"/>
  <c r="M23" i="2"/>
  <c r="M60" i="2"/>
  <c r="M47" i="2"/>
  <c r="M77" i="2"/>
  <c r="M81" i="2"/>
  <c r="M91" i="2"/>
  <c r="M6" i="2"/>
  <c r="O75" i="2"/>
  <c r="O6" i="2"/>
  <c r="N6" i="2" s="1"/>
  <c r="O80" i="2"/>
  <c r="M80" i="2"/>
  <c r="N80" i="2" s="1"/>
  <c r="O69" i="2"/>
  <c r="O76" i="2"/>
  <c r="M76" i="2"/>
  <c r="N76" i="2" s="1"/>
  <c r="O103" i="2"/>
  <c r="M103" i="2"/>
  <c r="N103" i="2" s="1"/>
  <c r="O48" i="2"/>
  <c r="M48" i="2"/>
  <c r="N48" i="2" s="1"/>
  <c r="O33" i="2"/>
  <c r="M33" i="2"/>
  <c r="N33" i="2" s="1"/>
  <c r="O74" i="2"/>
  <c r="M74" i="2"/>
  <c r="N74" i="2" s="1"/>
  <c r="O62" i="2"/>
  <c r="M62" i="2"/>
  <c r="N62" i="2" s="1"/>
  <c r="O61" i="2"/>
  <c r="M61" i="2"/>
  <c r="N61" i="2" s="1"/>
  <c r="O85" i="2"/>
  <c r="M85" i="2"/>
  <c r="N85" i="2" s="1"/>
  <c r="O73" i="2"/>
  <c r="M73" i="2"/>
  <c r="N73" i="2" s="1"/>
  <c r="O42" i="2"/>
  <c r="O30" i="2"/>
  <c r="M30" i="2"/>
  <c r="N30" i="2" s="1"/>
  <c r="O102" i="2"/>
  <c r="M102" i="2"/>
  <c r="N102" i="2" s="1"/>
  <c r="O101" i="2"/>
  <c r="J101" i="2"/>
  <c r="M101" i="2" s="1"/>
  <c r="N101" i="2" s="1"/>
  <c r="O87" i="2"/>
  <c r="M87" i="2"/>
  <c r="N87" i="2" s="1"/>
  <c r="O72" i="2"/>
  <c r="O90" i="2"/>
  <c r="M90" i="2"/>
  <c r="N90" i="2" s="1"/>
  <c r="O58" i="2"/>
  <c r="M58" i="2"/>
  <c r="N58" i="2" s="1"/>
  <c r="O78" i="2"/>
  <c r="M78" i="2"/>
  <c r="N78" i="2" s="1"/>
  <c r="O46" i="2"/>
  <c r="M46" i="2"/>
  <c r="N46" i="2" s="1"/>
  <c r="O43" i="2"/>
  <c r="M43" i="2"/>
  <c r="N43" i="2" s="1"/>
  <c r="O27" i="2"/>
  <c r="M27" i="2"/>
  <c r="N27" i="2" s="1"/>
  <c r="O82" i="2"/>
  <c r="M82" i="2"/>
  <c r="N82" i="2" s="1"/>
  <c r="O54" i="2"/>
  <c r="O45" i="2"/>
  <c r="M45" i="2"/>
  <c r="N45" i="2" s="1"/>
  <c r="O55" i="2"/>
  <c r="J55" i="2"/>
  <c r="O21" i="2"/>
  <c r="O17" i="2"/>
  <c r="M17" i="2"/>
  <c r="N17" i="2" s="1"/>
  <c r="O84" i="2"/>
  <c r="M84" i="2"/>
  <c r="N84" i="2" s="1"/>
  <c r="O86" i="2"/>
  <c r="J86" i="2"/>
  <c r="M86" i="2" s="1"/>
  <c r="N86" i="2" s="1"/>
  <c r="M31" i="2"/>
  <c r="O7" i="2"/>
  <c r="O57" i="2"/>
  <c r="M57" i="2"/>
  <c r="N57" i="2" s="1"/>
  <c r="O53" i="2"/>
  <c r="M53" i="2"/>
  <c r="N53" i="2" s="1"/>
  <c r="O19" i="2"/>
  <c r="M19" i="2"/>
  <c r="N19" i="2" s="1"/>
  <c r="O49" i="2"/>
  <c r="M49" i="2"/>
  <c r="N49" i="2" s="1"/>
  <c r="O38" i="2"/>
  <c r="M38" i="2"/>
  <c r="N38" i="2" s="1"/>
  <c r="O36" i="2"/>
  <c r="M36" i="2"/>
  <c r="N36" i="2" s="1"/>
  <c r="O50" i="2"/>
  <c r="M50" i="2"/>
  <c r="N50" i="2" s="1"/>
  <c r="O65" i="2"/>
  <c r="O64" i="2"/>
  <c r="M64" i="2"/>
  <c r="N64" i="2" s="1"/>
  <c r="O68" i="2"/>
  <c r="M68" i="2"/>
  <c r="N68" i="2" s="1"/>
  <c r="O59" i="2"/>
  <c r="M59" i="2"/>
  <c r="N59" i="2" s="1"/>
  <c r="O20" i="2"/>
  <c r="M20" i="2"/>
  <c r="N20" i="2" s="1"/>
  <c r="O92" i="2"/>
  <c r="J92" i="2"/>
  <c r="M92" i="2" s="1"/>
  <c r="N92" i="2" s="1"/>
  <c r="O100" i="2"/>
  <c r="M100" i="2"/>
  <c r="N100" i="2" s="1"/>
  <c r="O37" i="2"/>
  <c r="M37" i="2"/>
  <c r="N37" i="2" s="1"/>
  <c r="O71" i="2"/>
  <c r="O88" i="2"/>
  <c r="M88" i="2"/>
  <c r="N88" i="2" s="1"/>
  <c r="O63" i="2"/>
  <c r="J63" i="2"/>
  <c r="M63" i="2" s="1"/>
  <c r="N63" i="2" s="1"/>
  <c r="O16" i="2"/>
  <c r="M16" i="2"/>
  <c r="N16" i="2" s="1"/>
  <c r="O99" i="2"/>
  <c r="M99" i="2"/>
  <c r="N99" i="2" s="1"/>
  <c r="O98" i="2"/>
  <c r="M98" i="2"/>
  <c r="N98" i="2" s="1"/>
  <c r="O67" i="2"/>
  <c r="M67" i="2"/>
  <c r="N67" i="2" s="1"/>
  <c r="O28" i="2"/>
  <c r="M28" i="2"/>
  <c r="N28" i="2" s="1"/>
  <c r="O66" i="2"/>
  <c r="O22" i="2"/>
  <c r="M22" i="2"/>
  <c r="N22" i="2" s="1"/>
  <c r="O70" i="2"/>
  <c r="O97" i="2"/>
  <c r="M97" i="2"/>
  <c r="N97" i="2" s="1"/>
  <c r="O41" i="2"/>
  <c r="M41" i="2"/>
  <c r="N41" i="2" s="1"/>
  <c r="O26" i="2"/>
  <c r="M26" i="2"/>
  <c r="N26" i="2" s="1"/>
  <c r="O96" i="2"/>
  <c r="M96" i="2"/>
  <c r="N96" i="2" s="1"/>
  <c r="O34" i="2"/>
  <c r="M34" i="2"/>
  <c r="N34" i="2" s="1"/>
  <c r="O95" i="2"/>
  <c r="O93" i="2"/>
  <c r="J93" i="2"/>
  <c r="M93" i="2" s="1"/>
  <c r="N93" i="2" s="1"/>
  <c r="O39" i="2"/>
  <c r="O24" i="2"/>
  <c r="M24" i="2"/>
  <c r="N24" i="2" s="1"/>
  <c r="O94" i="2"/>
  <c r="O83" i="2"/>
  <c r="M83" i="2"/>
  <c r="N83" i="2" s="1"/>
  <c r="O51" i="2"/>
  <c r="M51" i="2"/>
  <c r="N51" i="2" s="1"/>
  <c r="O12" i="2"/>
  <c r="M12" i="2"/>
  <c r="N12" i="2" s="1"/>
  <c r="O79" i="2"/>
  <c r="J79" i="2"/>
  <c r="O56" i="2"/>
  <c r="M56" i="2"/>
  <c r="N56" i="2" s="1"/>
  <c r="O40" i="2"/>
  <c r="M40" i="2"/>
  <c r="N40" i="2" s="1"/>
  <c r="O44" i="2"/>
  <c r="M44" i="2"/>
  <c r="N44" i="2" s="1"/>
  <c r="O35" i="2"/>
  <c r="M35" i="2"/>
  <c r="N35" i="2" s="1"/>
  <c r="O89" i="2"/>
  <c r="M89" i="2"/>
  <c r="N89" i="2" s="1"/>
  <c r="O52" i="2"/>
  <c r="M52" i="2"/>
  <c r="N52" i="2" s="1"/>
  <c r="O29" i="2"/>
  <c r="O8" i="2"/>
  <c r="N8" i="2" s="1"/>
  <c r="O11" i="2"/>
  <c r="N11" i="2" s="1"/>
  <c r="O13" i="2"/>
  <c r="N13" i="2" s="1"/>
  <c r="O15" i="2"/>
  <c r="N15" i="2" s="1"/>
  <c r="O14" i="2"/>
  <c r="N14" i="2" s="1"/>
  <c r="O9" i="2"/>
  <c r="N9" i="2" s="1"/>
  <c r="O10" i="2"/>
  <c r="N10" i="2" s="1"/>
  <c r="O25" i="2"/>
  <c r="N25" i="2" s="1"/>
  <c r="N32" i="2"/>
  <c r="O18" i="2"/>
  <c r="N18" i="2" s="1"/>
  <c r="O23" i="2"/>
  <c r="N23" i="2" s="1"/>
  <c r="O60" i="2"/>
  <c r="N60" i="2" s="1"/>
  <c r="O47" i="2"/>
  <c r="N47" i="2" s="1"/>
  <c r="O77" i="2"/>
  <c r="N77" i="2" s="1"/>
  <c r="O81" i="2"/>
  <c r="N81" i="2" s="1"/>
  <c r="O91" i="2"/>
  <c r="N91" i="2" s="1"/>
  <c r="O86" i="4"/>
  <c r="J86" i="4"/>
  <c r="M86" i="4" s="1"/>
  <c r="N86" i="4" s="1"/>
  <c r="O85" i="4"/>
  <c r="J85" i="4"/>
  <c r="M85" i="4" s="1"/>
  <c r="N85" i="4" s="1"/>
  <c r="O84" i="4"/>
  <c r="J84" i="4"/>
  <c r="M84" i="4" s="1"/>
  <c r="N84" i="4" s="1"/>
  <c r="O83" i="4"/>
  <c r="J83" i="4"/>
  <c r="M83" i="4" s="1"/>
  <c r="N83" i="4" s="1"/>
  <c r="O82" i="4"/>
  <c r="M82" i="4"/>
  <c r="N82" i="4" s="1"/>
  <c r="J82" i="4"/>
  <c r="O81" i="4"/>
  <c r="J81" i="4"/>
  <c r="M81" i="4" s="1"/>
  <c r="N81" i="4" s="1"/>
  <c r="O80" i="4"/>
  <c r="J80" i="4"/>
  <c r="M80" i="4" s="1"/>
  <c r="N80" i="4" s="1"/>
  <c r="O79" i="4"/>
  <c r="J79" i="4"/>
  <c r="M79" i="4" s="1"/>
  <c r="N79" i="4" s="1"/>
  <c r="O78" i="4"/>
  <c r="J78" i="4"/>
  <c r="M78" i="4" s="1"/>
  <c r="N78" i="4" s="1"/>
  <c r="O77" i="4"/>
  <c r="J77" i="4"/>
  <c r="M77" i="4" s="1"/>
  <c r="N77" i="4" s="1"/>
  <c r="O76" i="4"/>
  <c r="J76" i="4"/>
  <c r="M76" i="4" s="1"/>
  <c r="N76" i="4" s="1"/>
  <c r="O75" i="4"/>
  <c r="J75" i="4"/>
  <c r="M75" i="4" s="1"/>
  <c r="N75" i="4" s="1"/>
  <c r="O74" i="4"/>
  <c r="J74" i="4"/>
  <c r="M74" i="4" s="1"/>
  <c r="N74" i="4" s="1"/>
  <c r="O73" i="4"/>
  <c r="J73" i="4"/>
  <c r="M73" i="4" s="1"/>
  <c r="N73" i="4" s="1"/>
  <c r="O72" i="4"/>
  <c r="J72" i="4"/>
  <c r="M72" i="4" s="1"/>
  <c r="N72" i="4" s="1"/>
  <c r="O71" i="4"/>
  <c r="J71" i="4"/>
  <c r="O70" i="4"/>
  <c r="J70" i="4"/>
  <c r="M70" i="4" s="1"/>
  <c r="N70" i="4" s="1"/>
  <c r="O69" i="4"/>
  <c r="J69" i="4"/>
  <c r="M69" i="4" s="1"/>
  <c r="N69" i="4" s="1"/>
  <c r="O68" i="4"/>
  <c r="J68" i="4"/>
  <c r="M68" i="4" s="1"/>
  <c r="N68" i="4" s="1"/>
  <c r="O67" i="4"/>
  <c r="J67" i="4"/>
  <c r="M67" i="4" s="1"/>
  <c r="N67" i="4" s="1"/>
  <c r="O66" i="4"/>
  <c r="J66" i="4"/>
  <c r="M66" i="4" s="1"/>
  <c r="N66" i="4" s="1"/>
  <c r="O65" i="4"/>
  <c r="J65" i="4"/>
  <c r="M65" i="4" s="1"/>
  <c r="N65" i="4" s="1"/>
  <c r="O64" i="4"/>
  <c r="J64" i="4"/>
  <c r="M64" i="4" s="1"/>
  <c r="N64" i="4" s="1"/>
  <c r="O63" i="4"/>
  <c r="J63" i="4"/>
  <c r="M63" i="4" s="1"/>
  <c r="N63" i="4" s="1"/>
  <c r="O62" i="4"/>
  <c r="J62" i="4"/>
  <c r="M62" i="4" s="1"/>
  <c r="N62" i="4" s="1"/>
  <c r="O61" i="4"/>
  <c r="J61" i="4"/>
  <c r="M61" i="4" s="1"/>
  <c r="N61" i="4" s="1"/>
  <c r="O60" i="4"/>
  <c r="J60" i="4"/>
  <c r="M60" i="4" s="1"/>
  <c r="N60" i="4" s="1"/>
  <c r="O59" i="4"/>
  <c r="J59" i="4"/>
  <c r="M59" i="4" s="1"/>
  <c r="N59" i="4" s="1"/>
  <c r="O58" i="4"/>
  <c r="J58" i="4"/>
  <c r="M58" i="4" s="1"/>
  <c r="N58" i="4" s="1"/>
  <c r="O57" i="4"/>
  <c r="J57" i="4"/>
  <c r="M57" i="4" s="1"/>
  <c r="N57" i="4" s="1"/>
  <c r="O56" i="4"/>
  <c r="J56" i="4"/>
  <c r="M56" i="4" s="1"/>
  <c r="N56" i="4" s="1"/>
  <c r="O55" i="4"/>
  <c r="J55" i="4"/>
  <c r="O54" i="4"/>
  <c r="J54" i="4"/>
  <c r="M54" i="4" s="1"/>
  <c r="N54" i="4" s="1"/>
  <c r="O53" i="4"/>
  <c r="J53" i="4"/>
  <c r="M53" i="4" s="1"/>
  <c r="N53" i="4" s="1"/>
  <c r="O52" i="4"/>
  <c r="J52" i="4"/>
  <c r="M52" i="4" s="1"/>
  <c r="N52" i="4" s="1"/>
  <c r="O51" i="4"/>
  <c r="J51" i="4"/>
  <c r="M51" i="4" s="1"/>
  <c r="N51" i="4" s="1"/>
  <c r="O50" i="4"/>
  <c r="M50" i="4"/>
  <c r="N50" i="4" s="1"/>
  <c r="J50" i="4"/>
  <c r="O49" i="4"/>
  <c r="J49" i="4"/>
  <c r="M49" i="4" s="1"/>
  <c r="N49" i="4" s="1"/>
  <c r="O48" i="4"/>
  <c r="J48" i="4"/>
  <c r="M48" i="4" s="1"/>
  <c r="N48" i="4" s="1"/>
  <c r="O47" i="4"/>
  <c r="J47" i="4"/>
  <c r="M47" i="4" s="1"/>
  <c r="N47" i="4" s="1"/>
  <c r="O46" i="4"/>
  <c r="J46" i="4"/>
  <c r="O45" i="4"/>
  <c r="J45" i="4"/>
  <c r="M45" i="4" s="1"/>
  <c r="N45" i="4" s="1"/>
  <c r="O44" i="4"/>
  <c r="J44" i="4"/>
  <c r="M44" i="4" s="1"/>
  <c r="N44" i="4" s="1"/>
  <c r="O43" i="4"/>
  <c r="J43" i="4"/>
  <c r="M43" i="4" s="1"/>
  <c r="N43" i="4" s="1"/>
  <c r="O42" i="4"/>
  <c r="J42" i="4"/>
  <c r="M42" i="4" s="1"/>
  <c r="N42" i="4" s="1"/>
  <c r="O41" i="4"/>
  <c r="J41" i="4"/>
  <c r="M41" i="4" s="1"/>
  <c r="N41" i="4" s="1"/>
  <c r="O40" i="4"/>
  <c r="J40" i="4"/>
  <c r="M40" i="4" s="1"/>
  <c r="N40" i="4" s="1"/>
  <c r="O39" i="4"/>
  <c r="J39" i="4"/>
  <c r="O38" i="4"/>
  <c r="J38" i="4"/>
  <c r="M38" i="4" s="1"/>
  <c r="N38" i="4" s="1"/>
  <c r="O37" i="4"/>
  <c r="J37" i="4"/>
  <c r="M37" i="4" s="1"/>
  <c r="N37" i="4" s="1"/>
  <c r="O36" i="4"/>
  <c r="J36" i="4"/>
  <c r="M36" i="4" s="1"/>
  <c r="N36" i="4" s="1"/>
  <c r="O35" i="4"/>
  <c r="J35" i="4"/>
  <c r="M35" i="4" s="1"/>
  <c r="N35" i="4" s="1"/>
  <c r="O34" i="4"/>
  <c r="J34" i="4"/>
  <c r="M34" i="4" s="1"/>
  <c r="N34" i="4" s="1"/>
  <c r="O33" i="4"/>
  <c r="M33" i="4"/>
  <c r="N33" i="4" s="1"/>
  <c r="J33" i="4"/>
  <c r="O32" i="4"/>
  <c r="J32" i="4"/>
  <c r="M32" i="4" s="1"/>
  <c r="N32" i="4" s="1"/>
  <c r="O31" i="4"/>
  <c r="J31" i="4"/>
  <c r="M31" i="4" s="1"/>
  <c r="N31" i="4" s="1"/>
  <c r="O30" i="4"/>
  <c r="J30" i="4"/>
  <c r="M30" i="4" s="1"/>
  <c r="N30" i="4" s="1"/>
  <c r="O29" i="4"/>
  <c r="J29" i="4"/>
  <c r="M29" i="4" s="1"/>
  <c r="N29" i="4" s="1"/>
  <c r="O28" i="4"/>
  <c r="J28" i="4"/>
  <c r="M28" i="4" s="1"/>
  <c r="N28" i="4" s="1"/>
  <c r="O27" i="4"/>
  <c r="J27" i="4"/>
  <c r="M27" i="4" s="1"/>
  <c r="N27" i="4" s="1"/>
  <c r="O26" i="4"/>
  <c r="J26" i="4"/>
  <c r="M26" i="4" s="1"/>
  <c r="N26" i="4" s="1"/>
  <c r="O25" i="4"/>
  <c r="J25" i="4"/>
  <c r="M25" i="4" s="1"/>
  <c r="N25" i="4" s="1"/>
  <c r="O24" i="4"/>
  <c r="J24" i="4"/>
  <c r="M24" i="4" s="1"/>
  <c r="N24" i="4" s="1"/>
  <c r="O23" i="4"/>
  <c r="J23" i="4"/>
  <c r="O22" i="4"/>
  <c r="J22" i="4"/>
  <c r="M22" i="4" s="1"/>
  <c r="N22" i="4" s="1"/>
  <c r="O21" i="4"/>
  <c r="J21" i="4"/>
  <c r="M21" i="4" s="1"/>
  <c r="N21" i="4" s="1"/>
  <c r="O20" i="4"/>
  <c r="J20" i="4"/>
  <c r="M20" i="4" s="1"/>
  <c r="N20" i="4" s="1"/>
  <c r="O19" i="4"/>
  <c r="J19" i="4"/>
  <c r="M19" i="4" s="1"/>
  <c r="N19" i="4" s="1"/>
  <c r="O18" i="4"/>
  <c r="J18" i="4"/>
  <c r="M18" i="4" s="1"/>
  <c r="N18" i="4" s="1"/>
  <c r="O17" i="4"/>
  <c r="J17" i="4"/>
  <c r="M17" i="4" s="1"/>
  <c r="N17" i="4" s="1"/>
  <c r="O16" i="4"/>
  <c r="J16" i="4"/>
  <c r="M16" i="4" s="1"/>
  <c r="N16" i="4" s="1"/>
  <c r="O15" i="4"/>
  <c r="J15" i="4"/>
  <c r="M15" i="4" s="1"/>
  <c r="N15" i="4" s="1"/>
  <c r="O14" i="4"/>
  <c r="J14" i="4"/>
  <c r="M14" i="4" s="1"/>
  <c r="N14" i="4" s="1"/>
  <c r="O13" i="4"/>
  <c r="J13" i="4"/>
  <c r="M13" i="4" s="1"/>
  <c r="N13" i="4" s="1"/>
  <c r="O12" i="4"/>
  <c r="J12" i="4"/>
  <c r="M12" i="4" s="1"/>
  <c r="N12" i="4" s="1"/>
  <c r="O11" i="4"/>
  <c r="J11" i="4"/>
  <c r="M11" i="4" s="1"/>
  <c r="N11" i="4" s="1"/>
  <c r="O10" i="4"/>
  <c r="J10" i="4"/>
  <c r="M10" i="4" s="1"/>
  <c r="N10" i="4" s="1"/>
  <c r="O9" i="4"/>
  <c r="J9" i="4"/>
  <c r="M9" i="4" s="1"/>
  <c r="N9" i="4" s="1"/>
  <c r="O8" i="4"/>
  <c r="J8" i="4"/>
  <c r="M8" i="4" s="1"/>
  <c r="N8" i="4" s="1"/>
  <c r="O7" i="4"/>
  <c r="J7" i="4"/>
  <c r="O6" i="4"/>
  <c r="J6" i="4"/>
  <c r="M6" i="4" s="1"/>
  <c r="N6" i="4" s="1"/>
  <c r="O5" i="4"/>
  <c r="J5" i="4"/>
  <c r="M5" i="4" s="1"/>
  <c r="N5" i="4" s="1"/>
  <c r="N31" i="2" l="1"/>
  <c r="M55" i="2"/>
  <c r="N55" i="2" s="1"/>
  <c r="J2" i="2"/>
  <c r="M46" i="4"/>
  <c r="N46" i="4" s="1"/>
  <c r="J2" i="4"/>
  <c r="L46" i="4" s="1"/>
  <c r="AJ24" i="9"/>
  <c r="AM24" i="9"/>
  <c r="X24" i="9"/>
  <c r="AA24" i="9"/>
  <c r="AD24" i="9"/>
  <c r="AG24" i="9"/>
  <c r="AI49" i="9"/>
  <c r="AG15" i="9"/>
  <c r="AL34" i="9"/>
  <c r="AM34" i="9"/>
  <c r="AN34" i="9"/>
  <c r="AX22" i="9"/>
  <c r="AC43" i="9"/>
  <c r="AC54" i="9" s="1"/>
  <c r="AD43" i="9"/>
  <c r="AD54" i="9" s="1"/>
  <c r="AE43" i="9"/>
  <c r="AE54" i="9" s="1"/>
  <c r="AJ26" i="9"/>
  <c r="AM26" i="9"/>
  <c r="X26" i="9"/>
  <c r="AA26" i="9"/>
  <c r="AD26" i="9"/>
  <c r="AG26" i="9"/>
  <c r="AJ9" i="9"/>
  <c r="X9" i="9"/>
  <c r="AA9" i="9"/>
  <c r="AD9" i="9"/>
  <c r="AG9" i="9"/>
  <c r="AF43" i="9"/>
  <c r="AF54" i="9" s="1"/>
  <c r="X42" i="9"/>
  <c r="X39" i="9"/>
  <c r="AA36" i="9"/>
  <c r="W37" i="9"/>
  <c r="W39" i="9"/>
  <c r="AU14" i="9"/>
  <c r="X10" i="9"/>
  <c r="AV10" i="9" s="1"/>
  <c r="AK49" i="9"/>
  <c r="Z36" i="9"/>
  <c r="AJ22" i="9"/>
  <c r="AM22" i="9"/>
  <c r="X22" i="9"/>
  <c r="AA22" i="9"/>
  <c r="AY18" i="9"/>
  <c r="AA39" i="9"/>
  <c r="AB39" i="9"/>
  <c r="AM35" i="9"/>
  <c r="AN35" i="9"/>
  <c r="AM9" i="9"/>
  <c r="Q7" i="9"/>
  <c r="AM10" i="9"/>
  <c r="BA10" i="9" s="1"/>
  <c r="Y37" i="9"/>
  <c r="AL35" i="9"/>
  <c r="AD18" i="9"/>
  <c r="AX18" i="9" s="1"/>
  <c r="AM15" i="9"/>
  <c r="AM16" i="9"/>
  <c r="AM17" i="9"/>
  <c r="AM19" i="9"/>
  <c r="AM20" i="9"/>
  <c r="AM21" i="9"/>
  <c r="AM13" i="9"/>
  <c r="P7" i="9"/>
  <c r="P27" i="9" s="1"/>
  <c r="AB41" i="9"/>
  <c r="AB53" i="9" s="1"/>
  <c r="X38" i="9"/>
  <c r="X37" i="9"/>
  <c r="X52" i="9" s="1"/>
  <c r="AA18" i="9"/>
  <c r="AW18" i="9" s="1"/>
  <c r="AZ14" i="9"/>
  <c r="AJ14" i="9"/>
  <c r="AJ15" i="9" s="1"/>
  <c r="O7" i="9"/>
  <c r="W40" i="9"/>
  <c r="AB35" i="9"/>
  <c r="W34" i="9"/>
  <c r="AJ49" i="9"/>
  <c r="Z38" i="9"/>
  <c r="Z52" i="9" s="1"/>
  <c r="AA38" i="9"/>
  <c r="AB38" i="9"/>
  <c r="L27" i="9"/>
  <c r="X23" i="9"/>
  <c r="AA23" i="9"/>
  <c r="AD23" i="9"/>
  <c r="AG23" i="9"/>
  <c r="AJ23" i="9"/>
  <c r="Z41" i="9"/>
  <c r="AA41" i="9"/>
  <c r="AA53" i="9" s="1"/>
  <c r="AM18" i="9"/>
  <c r="BA18" i="9" s="1"/>
  <c r="AG14" i="9"/>
  <c r="N7" i="9"/>
  <c r="W36" i="9"/>
  <c r="X36" i="9"/>
  <c r="Y36" i="9"/>
  <c r="Y34" i="9"/>
  <c r="Y51" i="9" s="1"/>
  <c r="Z34" i="9"/>
  <c r="AA34" i="9"/>
  <c r="AB34" i="9"/>
  <c r="AB51" i="9" s="1"/>
  <c r="X40" i="9"/>
  <c r="X34" i="9"/>
  <c r="X51" i="9" s="1"/>
  <c r="W35" i="9"/>
  <c r="Y38" i="9"/>
  <c r="W41" i="9"/>
  <c r="X35" i="9"/>
  <c r="X41" i="9"/>
  <c r="Y35" i="9"/>
  <c r="Y41" i="9"/>
  <c r="Z35" i="9"/>
  <c r="AA35" i="9"/>
  <c r="Z42" i="9"/>
  <c r="AA42" i="9"/>
  <c r="AB42" i="9"/>
  <c r="AG18" i="9"/>
  <c r="AA14" i="9"/>
  <c r="AW14" i="9" s="1"/>
  <c r="Y42" i="9"/>
  <c r="Y40" i="9"/>
  <c r="Y53" i="9" s="1"/>
  <c r="Z40" i="9"/>
  <c r="AU25" i="9"/>
  <c r="AM23" i="9"/>
  <c r="AJ18" i="9"/>
  <c r="AZ18" i="9" s="1"/>
  <c r="AA37" i="9"/>
  <c r="AB37" i="9"/>
  <c r="AD14" i="9"/>
  <c r="AJ10" i="9"/>
  <c r="AJ7" i="9" s="1"/>
  <c r="AG10" i="9"/>
  <c r="AD10" i="9"/>
  <c r="AG79" i="7"/>
  <c r="W64" i="7"/>
  <c r="AF79" i="7"/>
  <c r="X71" i="7"/>
  <c r="W68" i="7"/>
  <c r="X65" i="7"/>
  <c r="Y72" i="7"/>
  <c r="W71" i="7"/>
  <c r="W65" i="7"/>
  <c r="X72" i="7"/>
  <c r="Y69" i="7"/>
  <c r="Y67" i="7"/>
  <c r="W72" i="7"/>
  <c r="X69" i="7"/>
  <c r="X67" i="7"/>
  <c r="Y64" i="7"/>
  <c r="W69" i="7"/>
  <c r="X51" i="7"/>
  <c r="AA51" i="7"/>
  <c r="AD51" i="7"/>
  <c r="AG51" i="7"/>
  <c r="AJ51" i="7"/>
  <c r="AM51" i="7"/>
  <c r="AZ52" i="7"/>
  <c r="AJ85" i="7"/>
  <c r="AJ96" i="7" s="1"/>
  <c r="AI85" i="7"/>
  <c r="AI96" i="7" s="1"/>
  <c r="AX49" i="7"/>
  <c r="AC82" i="7"/>
  <c r="AC93" i="7" s="1"/>
  <c r="AD82" i="7"/>
  <c r="AD93" i="7" s="1"/>
  <c r="L44" i="7"/>
  <c r="L46" i="7"/>
  <c r="X45" i="7"/>
  <c r="X44" i="7"/>
  <c r="X46" i="7"/>
  <c r="L45" i="7"/>
  <c r="P25" i="7"/>
  <c r="P24" i="7"/>
  <c r="M53" i="7"/>
  <c r="BA52" i="7"/>
  <c r="AM85" i="7"/>
  <c r="AM96" i="7" s="1"/>
  <c r="AN85" i="7"/>
  <c r="AN96" i="7" s="1"/>
  <c r="N31" i="7"/>
  <c r="N30" i="7"/>
  <c r="N32" i="7"/>
  <c r="W61" i="7"/>
  <c r="X61" i="7"/>
  <c r="Y61" i="7"/>
  <c r="AU50" i="7"/>
  <c r="P41" i="7"/>
  <c r="O41" i="7"/>
  <c r="O40" i="7"/>
  <c r="O42" i="7"/>
  <c r="AM11" i="7"/>
  <c r="AM10" i="7"/>
  <c r="Q29" i="7"/>
  <c r="Q7" i="7"/>
  <c r="Q53" i="7" s="1"/>
  <c r="Q19" i="7"/>
  <c r="AM9" i="7"/>
  <c r="AM12" i="7"/>
  <c r="Q39" i="7"/>
  <c r="AJ49" i="7"/>
  <c r="AM49" i="7"/>
  <c r="X49" i="7"/>
  <c r="AG49" i="7"/>
  <c r="AA49" i="7"/>
  <c r="M44" i="7"/>
  <c r="M46" i="7"/>
  <c r="P29" i="7"/>
  <c r="P7" i="7"/>
  <c r="P19" i="7"/>
  <c r="M30" i="7"/>
  <c r="M32" i="7"/>
  <c r="M31" i="7"/>
  <c r="AU9" i="7"/>
  <c r="L53" i="7"/>
  <c r="X52" i="7"/>
  <c r="AA52" i="7"/>
  <c r="AD52" i="7"/>
  <c r="AG52" i="7"/>
  <c r="X47" i="7"/>
  <c r="AA47" i="7"/>
  <c r="AD47" i="7"/>
  <c r="AG47" i="7"/>
  <c r="AJ47" i="7"/>
  <c r="O24" i="7"/>
  <c r="O26" i="7"/>
  <c r="O25" i="7"/>
  <c r="AU13" i="7"/>
  <c r="AM13" i="7" s="1"/>
  <c r="AM47" i="7"/>
  <c r="X34" i="7"/>
  <c r="X36" i="7"/>
  <c r="L34" i="7"/>
  <c r="L36" i="7"/>
  <c r="X35" i="7"/>
  <c r="W63" i="7"/>
  <c r="X63" i="7"/>
  <c r="Y63" i="7"/>
  <c r="L21" i="7"/>
  <c r="X20" i="7"/>
  <c r="L20" i="7"/>
  <c r="X22" i="7"/>
  <c r="AM15" i="7"/>
  <c r="AM14" i="7"/>
  <c r="Q43" i="7"/>
  <c r="Q33" i="7"/>
  <c r="AM16" i="7"/>
  <c r="Q23" i="7"/>
  <c r="X48" i="7"/>
  <c r="AA48" i="7"/>
  <c r="AD48" i="7"/>
  <c r="AM48" i="7"/>
  <c r="P43" i="7"/>
  <c r="P33" i="7"/>
  <c r="O46" i="7"/>
  <c r="O44" i="7"/>
  <c r="N36" i="7"/>
  <c r="N34" i="7"/>
  <c r="O30" i="7"/>
  <c r="M20" i="7"/>
  <c r="X14" i="7"/>
  <c r="X10" i="7"/>
  <c r="N46" i="7"/>
  <c r="N44" i="7"/>
  <c r="M36" i="7"/>
  <c r="M34" i="7"/>
  <c r="X15" i="7"/>
  <c r="X11" i="7"/>
  <c r="M29" i="2"/>
  <c r="N29" i="2" s="1"/>
  <c r="M94" i="2"/>
  <c r="N94" i="2" s="1"/>
  <c r="M70" i="2"/>
  <c r="N70" i="2" s="1"/>
  <c r="M21" i="2"/>
  <c r="N21" i="2" s="1"/>
  <c r="M42" i="2"/>
  <c r="N42" i="2" s="1"/>
  <c r="M39" i="2"/>
  <c r="N39" i="2" s="1"/>
  <c r="M75" i="2"/>
  <c r="N75" i="2" s="1"/>
  <c r="M79" i="2"/>
  <c r="N79" i="2" s="1"/>
  <c r="M95" i="2"/>
  <c r="N95" i="2" s="1"/>
  <c r="M66" i="2"/>
  <c r="N66" i="2" s="1"/>
  <c r="M71" i="2"/>
  <c r="N71" i="2" s="1"/>
  <c r="M65" i="2"/>
  <c r="N65" i="2" s="1"/>
  <c r="M7" i="2"/>
  <c r="N7" i="2" s="1"/>
  <c r="M54" i="2"/>
  <c r="N54" i="2" s="1"/>
  <c r="M72" i="2"/>
  <c r="N72" i="2" s="1"/>
  <c r="M5" i="2"/>
  <c r="M69" i="2"/>
  <c r="N69" i="2" s="1"/>
  <c r="L37" i="4"/>
  <c r="L6" i="4"/>
  <c r="L25" i="4"/>
  <c r="M7" i="4"/>
  <c r="N7" i="4" s="1"/>
  <c r="M23" i="4"/>
  <c r="N23" i="4" s="1"/>
  <c r="M39" i="4"/>
  <c r="N39" i="4" s="1"/>
  <c r="M55" i="4"/>
  <c r="N55" i="4" s="1"/>
  <c r="L68" i="4"/>
  <c r="M71" i="4"/>
  <c r="N71" i="4" s="1"/>
  <c r="L15" i="4" l="1"/>
  <c r="L24" i="4"/>
  <c r="L86" i="4"/>
  <c r="L34" i="4"/>
  <c r="L32" i="4"/>
  <c r="L20" i="4"/>
  <c r="L59" i="4"/>
  <c r="M2" i="2"/>
  <c r="L107" i="2"/>
  <c r="L106" i="2"/>
  <c r="L105" i="2"/>
  <c r="L108" i="2"/>
  <c r="L60" i="4"/>
  <c r="L62" i="4"/>
  <c r="N2" i="2"/>
  <c r="B2" i="6" s="1"/>
  <c r="L54" i="2"/>
  <c r="L104" i="2"/>
  <c r="L19" i="2"/>
  <c r="L89" i="2"/>
  <c r="L60" i="2"/>
  <c r="L45" i="2"/>
  <c r="L15" i="2"/>
  <c r="L55" i="2"/>
  <c r="L25" i="2"/>
  <c r="L43" i="2"/>
  <c r="L64" i="2"/>
  <c r="L32" i="2"/>
  <c r="L40" i="4"/>
  <c r="L28" i="4"/>
  <c r="L31" i="4"/>
  <c r="L9" i="4"/>
  <c r="L18" i="4"/>
  <c r="L82" i="4"/>
  <c r="L73" i="4"/>
  <c r="L43" i="4"/>
  <c r="L21" i="4"/>
  <c r="L85" i="4"/>
  <c r="L54" i="4"/>
  <c r="L26" i="4"/>
  <c r="L17" i="4"/>
  <c r="L81" i="4"/>
  <c r="L51" i="4"/>
  <c r="L29" i="4"/>
  <c r="L12" i="4"/>
  <c r="L64" i="4"/>
  <c r="L71" i="4"/>
  <c r="L42" i="4"/>
  <c r="L33" i="4"/>
  <c r="L14" i="4"/>
  <c r="L67" i="4"/>
  <c r="L45" i="4"/>
  <c r="L70" i="4"/>
  <c r="L50" i="4"/>
  <c r="L11" i="4"/>
  <c r="L53" i="4"/>
  <c r="L8" i="4"/>
  <c r="L7" i="4"/>
  <c r="L61" i="4"/>
  <c r="L22" i="4"/>
  <c r="L41" i="4"/>
  <c r="L72" i="4"/>
  <c r="L79" i="4"/>
  <c r="L80" i="4"/>
  <c r="L58" i="4"/>
  <c r="L19" i="4"/>
  <c r="L56" i="4"/>
  <c r="L39" i="4"/>
  <c r="L66" i="4"/>
  <c r="L27" i="4"/>
  <c r="L5" i="4"/>
  <c r="L69" i="4"/>
  <c r="L55" i="4"/>
  <c r="L16" i="4"/>
  <c r="L52" i="4"/>
  <c r="L23" i="4"/>
  <c r="L75" i="4"/>
  <c r="L44" i="4"/>
  <c r="L78" i="4"/>
  <c r="L49" i="4"/>
  <c r="L83" i="4"/>
  <c r="L84" i="4"/>
  <c r="L63" i="4"/>
  <c r="L38" i="4"/>
  <c r="L57" i="4"/>
  <c r="L48" i="4"/>
  <c r="L76" i="4"/>
  <c r="L36" i="4"/>
  <c r="L47" i="4"/>
  <c r="L30" i="4"/>
  <c r="L10" i="4"/>
  <c r="L74" i="4"/>
  <c r="L65" i="4"/>
  <c r="L35" i="4"/>
  <c r="L13" i="4"/>
  <c r="L77" i="4"/>
  <c r="L13" i="2"/>
  <c r="L90" i="2"/>
  <c r="L58" i="2"/>
  <c r="L102" i="2"/>
  <c r="L67" i="2"/>
  <c r="L51" i="2"/>
  <c r="L14" i="2"/>
  <c r="L74" i="2"/>
  <c r="L27" i="2"/>
  <c r="L77" i="2"/>
  <c r="L73" i="2"/>
  <c r="L20" i="2"/>
  <c r="L42" i="2"/>
  <c r="L37" i="2"/>
  <c r="F2" i="6"/>
  <c r="F5" i="6" s="1"/>
  <c r="F13" i="6" s="1"/>
  <c r="F14" i="6" s="1"/>
  <c r="L6" i="2"/>
  <c r="L10" i="2"/>
  <c r="L103" i="2"/>
  <c r="L97" i="2"/>
  <c r="L66" i="2"/>
  <c r="L18" i="2"/>
  <c r="L80" i="2"/>
  <c r="L87" i="2"/>
  <c r="L24" i="2"/>
  <c r="L46" i="2"/>
  <c r="L72" i="2"/>
  <c r="AI37" i="9"/>
  <c r="AJ37" i="9"/>
  <c r="AK37" i="9"/>
  <c r="Z53" i="9"/>
  <c r="AY23" i="9"/>
  <c r="AF44" i="9"/>
  <c r="AF55" i="9" s="1"/>
  <c r="AG44" i="9"/>
  <c r="AG55" i="9" s="1"/>
  <c r="AH44" i="9"/>
  <c r="AH55" i="9" s="1"/>
  <c r="AJ21" i="9"/>
  <c r="AL39" i="9"/>
  <c r="AM39" i="9"/>
  <c r="AN39" i="9"/>
  <c r="Z43" i="9"/>
  <c r="Z54" i="9" s="1"/>
  <c r="AW22" i="9"/>
  <c r="AA43" i="9"/>
  <c r="AA54" i="9" s="1"/>
  <c r="AB43" i="9"/>
  <c r="AB54" i="9" s="1"/>
  <c r="AY9" i="9"/>
  <c r="AF33" i="9"/>
  <c r="AF50" i="9" s="1"/>
  <c r="AG33" i="9"/>
  <c r="AG50" i="9" s="1"/>
  <c r="AH33" i="9"/>
  <c r="AH50" i="9" s="1"/>
  <c r="AV26" i="9"/>
  <c r="W47" i="9"/>
  <c r="W58" i="9" s="1"/>
  <c r="X47" i="9"/>
  <c r="X58" i="9" s="1"/>
  <c r="Y47" i="9"/>
  <c r="Y58" i="9" s="1"/>
  <c r="AY24" i="9"/>
  <c r="AF45" i="9"/>
  <c r="AF56" i="9" s="1"/>
  <c r="AH45" i="9"/>
  <c r="AH56" i="9" s="1"/>
  <c r="AG45" i="9"/>
  <c r="AG56" i="9" s="1"/>
  <c r="BA23" i="9"/>
  <c r="AL44" i="9"/>
  <c r="AL55" i="9" s="1"/>
  <c r="AM44" i="9"/>
  <c r="AM55" i="9" s="1"/>
  <c r="AN44" i="9"/>
  <c r="AN55" i="9" s="1"/>
  <c r="AJ13" i="9"/>
  <c r="AJ12" i="9"/>
  <c r="AJ11" i="9"/>
  <c r="AZ10" i="9"/>
  <c r="AC44" i="9"/>
  <c r="AC55" i="9" s="1"/>
  <c r="AD44" i="9"/>
  <c r="AD55" i="9" s="1"/>
  <c r="AE44" i="9"/>
  <c r="AE55" i="9" s="1"/>
  <c r="AX23" i="9"/>
  <c r="AJ20" i="9"/>
  <c r="AN38" i="9"/>
  <c r="AM38" i="9"/>
  <c r="AL38" i="9"/>
  <c r="Q27" i="9"/>
  <c r="AV22" i="9"/>
  <c r="W43" i="9"/>
  <c r="W54" i="9" s="1"/>
  <c r="X43" i="9"/>
  <c r="X54" i="9" s="1"/>
  <c r="Y43" i="9"/>
  <c r="Y54" i="9" s="1"/>
  <c r="X14" i="9"/>
  <c r="AV14" i="9" s="1"/>
  <c r="AM14" i="9"/>
  <c r="BA14" i="9" s="1"/>
  <c r="AX9" i="9"/>
  <c r="AC33" i="9"/>
  <c r="AC50" i="9" s="1"/>
  <c r="AD33" i="9"/>
  <c r="AD50" i="9" s="1"/>
  <c r="AE33" i="9"/>
  <c r="AE50" i="9" s="1"/>
  <c r="AL47" i="9"/>
  <c r="AL58" i="9" s="1"/>
  <c r="AM47" i="9"/>
  <c r="AM58" i="9" s="1"/>
  <c r="AN47" i="9"/>
  <c r="AN58" i="9" s="1"/>
  <c r="BA26" i="9"/>
  <c r="AC45" i="9"/>
  <c r="AC56" i="9" s="1"/>
  <c r="AX24" i="9"/>
  <c r="AD45" i="9"/>
  <c r="AD56" i="9" s="1"/>
  <c r="AE45" i="9"/>
  <c r="AE56" i="9" s="1"/>
  <c r="O27" i="9"/>
  <c r="X25" i="9"/>
  <c r="AA25" i="9"/>
  <c r="AD25" i="9"/>
  <c r="AG25" i="9"/>
  <c r="AJ25" i="9"/>
  <c r="AM25" i="9"/>
  <c r="AL40" i="9"/>
  <c r="AM40" i="9"/>
  <c r="AM53" i="9" s="1"/>
  <c r="AN40" i="9"/>
  <c r="Y52" i="9"/>
  <c r="AD21" i="9"/>
  <c r="AD16" i="9"/>
  <c r="AD15" i="9"/>
  <c r="AD20" i="9"/>
  <c r="AX14" i="9"/>
  <c r="AD19" i="9"/>
  <c r="AD17" i="9"/>
  <c r="AG21" i="9"/>
  <c r="AG17" i="9"/>
  <c r="AG20" i="9"/>
  <c r="AY14" i="9"/>
  <c r="AG19" i="9"/>
  <c r="AV23" i="9"/>
  <c r="W44" i="9"/>
  <c r="W55" i="9" s="1"/>
  <c r="Y44" i="9"/>
  <c r="Y55" i="9" s="1"/>
  <c r="X44" i="9"/>
  <c r="X55" i="9" s="1"/>
  <c r="AJ43" i="9"/>
  <c r="AJ54" i="9" s="1"/>
  <c r="AK43" i="9"/>
  <c r="AK54" i="9" s="1"/>
  <c r="AZ22" i="9"/>
  <c r="W52" i="9"/>
  <c r="AV9" i="9"/>
  <c r="W33" i="9"/>
  <c r="W50" i="9" s="1"/>
  <c r="Y33" i="9"/>
  <c r="Y50" i="9" s="1"/>
  <c r="X33" i="9"/>
  <c r="X50" i="9" s="1"/>
  <c r="AV24" i="9"/>
  <c r="W45" i="9"/>
  <c r="W56" i="9" s="1"/>
  <c r="X45" i="9"/>
  <c r="X56" i="9" s="1"/>
  <c r="Y45" i="9"/>
  <c r="Y56" i="9" s="1"/>
  <c r="AB52" i="9"/>
  <c r="AL33" i="9"/>
  <c r="AL50" i="9" s="1"/>
  <c r="AM33" i="9"/>
  <c r="AM50" i="9" s="1"/>
  <c r="BA9" i="9"/>
  <c r="AN33" i="9"/>
  <c r="AN50" i="9" s="1"/>
  <c r="AL43" i="9"/>
  <c r="AL54" i="9" s="1"/>
  <c r="AN43" i="9"/>
  <c r="AN54" i="9" s="1"/>
  <c r="AM43" i="9"/>
  <c r="AM54" i="9" s="1"/>
  <c r="BA22" i="9"/>
  <c r="AH37" i="9"/>
  <c r="AG37" i="9"/>
  <c r="AF37" i="9"/>
  <c r="AA52" i="9"/>
  <c r="AJ17" i="9"/>
  <c r="AG16" i="9"/>
  <c r="AA51" i="9"/>
  <c r="AJ16" i="9"/>
  <c r="AL36" i="9"/>
  <c r="AL51" i="9" s="1"/>
  <c r="AM36" i="9"/>
  <c r="AM51" i="9" s="1"/>
  <c r="AN36" i="9"/>
  <c r="AN51" i="9" s="1"/>
  <c r="AI33" i="9"/>
  <c r="AJ33" i="9"/>
  <c r="AK33" i="9"/>
  <c r="AZ9" i="9"/>
  <c r="AL45" i="9"/>
  <c r="AL56" i="9" s="1"/>
  <c r="AM45" i="9"/>
  <c r="AM56" i="9" s="1"/>
  <c r="AN45" i="9"/>
  <c r="AN56" i="9" s="1"/>
  <c r="BA24" i="9"/>
  <c r="AG13" i="9"/>
  <c r="AG12" i="9"/>
  <c r="AG11" i="9"/>
  <c r="AY10" i="9"/>
  <c r="AM41" i="9"/>
  <c r="AN41" i="9"/>
  <c r="AL41" i="9"/>
  <c r="AD47" i="9"/>
  <c r="AD58" i="9" s="1"/>
  <c r="AE47" i="9"/>
  <c r="AE58" i="9" s="1"/>
  <c r="AX26" i="9"/>
  <c r="AC47" i="9"/>
  <c r="AC58" i="9" s="1"/>
  <c r="AZ23" i="9"/>
  <c r="AI44" i="9"/>
  <c r="AI55" i="9" s="1"/>
  <c r="AJ44" i="9"/>
  <c r="AJ55" i="9" s="1"/>
  <c r="AK44" i="9"/>
  <c r="AK55" i="9" s="1"/>
  <c r="AW26" i="9"/>
  <c r="Z47" i="9"/>
  <c r="Z58" i="9" s="1"/>
  <c r="AA47" i="9"/>
  <c r="AA58" i="9" s="1"/>
  <c r="AB47" i="9"/>
  <c r="AB58" i="9" s="1"/>
  <c r="X53" i="9"/>
  <c r="N27" i="9"/>
  <c r="AA44" i="9"/>
  <c r="AA55" i="9" s="1"/>
  <c r="AB44" i="9"/>
  <c r="AB55" i="9" s="1"/>
  <c r="Z44" i="9"/>
  <c r="Z55" i="9" s="1"/>
  <c r="AW23" i="9"/>
  <c r="AJ19" i="9"/>
  <c r="AL37" i="9"/>
  <c r="AM37" i="9"/>
  <c r="AN37" i="9"/>
  <c r="AA33" i="9"/>
  <c r="AA50" i="9" s="1"/>
  <c r="AW9" i="9"/>
  <c r="AB33" i="9"/>
  <c r="AB50" i="9" s="1"/>
  <c r="Z33" i="9"/>
  <c r="Z50" i="9" s="1"/>
  <c r="AZ26" i="9"/>
  <c r="AI47" i="9"/>
  <c r="AI58" i="9" s="1"/>
  <c r="AJ47" i="9"/>
  <c r="AJ58" i="9" s="1"/>
  <c r="AK47" i="9"/>
  <c r="AK58" i="9" s="1"/>
  <c r="AB45" i="9"/>
  <c r="AB56" i="9" s="1"/>
  <c r="AW24" i="9"/>
  <c r="Z45" i="9"/>
  <c r="Z56" i="9" s="1"/>
  <c r="AA45" i="9"/>
  <c r="AA56" i="9" s="1"/>
  <c r="W51" i="9"/>
  <c r="AX10" i="9"/>
  <c r="AD11" i="9"/>
  <c r="AD12" i="9"/>
  <c r="AD13" i="9"/>
  <c r="Z51" i="9"/>
  <c r="W53" i="9"/>
  <c r="AL42" i="9"/>
  <c r="AM42" i="9"/>
  <c r="AN42" i="9"/>
  <c r="AF47" i="9"/>
  <c r="AF58" i="9" s="1"/>
  <c r="AY26" i="9"/>
  <c r="AG47" i="9"/>
  <c r="AG58" i="9" s="1"/>
  <c r="AH47" i="9"/>
  <c r="AH58" i="9" s="1"/>
  <c r="AJ45" i="9"/>
  <c r="AJ56" i="9" s="1"/>
  <c r="AK45" i="9"/>
  <c r="AK56" i="9" s="1"/>
  <c r="AZ24" i="9"/>
  <c r="AI45" i="9"/>
  <c r="AI56" i="9" s="1"/>
  <c r="AM43" i="7"/>
  <c r="AM33" i="7"/>
  <c r="AM23" i="7"/>
  <c r="Q25" i="7"/>
  <c r="AM24" i="7"/>
  <c r="Q24" i="7"/>
  <c r="AM26" i="7"/>
  <c r="AM25" i="7"/>
  <c r="Q26" i="7"/>
  <c r="AX47" i="7"/>
  <c r="AD80" i="7"/>
  <c r="AD91" i="7" s="1"/>
  <c r="AE80" i="7"/>
  <c r="AE91" i="7" s="1"/>
  <c r="AC80" i="7"/>
  <c r="AC91" i="7" s="1"/>
  <c r="Y77" i="7"/>
  <c r="W77" i="7"/>
  <c r="X77" i="7"/>
  <c r="W60" i="7"/>
  <c r="X60" i="7"/>
  <c r="Y60" i="7"/>
  <c r="Y89" i="7" s="1"/>
  <c r="AA80" i="7"/>
  <c r="AA91" i="7" s="1"/>
  <c r="Z80" i="7"/>
  <c r="Z91" i="7" s="1"/>
  <c r="AW47" i="7"/>
  <c r="AB80" i="7"/>
  <c r="AB91" i="7" s="1"/>
  <c r="AA9" i="7"/>
  <c r="AD9" i="7"/>
  <c r="AG9" i="7"/>
  <c r="X9" i="7"/>
  <c r="AZ49" i="7"/>
  <c r="AK82" i="7"/>
  <c r="AK93" i="7" s="1"/>
  <c r="AI82" i="7"/>
  <c r="AI93" i="7" s="1"/>
  <c r="AJ82" i="7"/>
  <c r="AJ93" i="7" s="1"/>
  <c r="W78" i="7"/>
  <c r="Y78" i="7"/>
  <c r="X78" i="7"/>
  <c r="AZ51" i="7"/>
  <c r="AI84" i="7"/>
  <c r="AI95" i="7" s="1"/>
  <c r="AJ84" i="7"/>
  <c r="AJ95" i="7" s="1"/>
  <c r="AK84" i="7"/>
  <c r="AK95" i="7" s="1"/>
  <c r="BA48" i="7"/>
  <c r="AN81" i="7"/>
  <c r="AN92" i="7" s="1"/>
  <c r="AL81" i="7"/>
  <c r="AL92" i="7" s="1"/>
  <c r="AM81" i="7"/>
  <c r="AM92" i="7" s="1"/>
  <c r="AX52" i="7"/>
  <c r="AE85" i="7"/>
  <c r="AE96" i="7" s="1"/>
  <c r="AC85" i="7"/>
  <c r="AC96" i="7" s="1"/>
  <c r="AD85" i="7"/>
  <c r="AD96" i="7" s="1"/>
  <c r="P45" i="7"/>
  <c r="P46" i="7"/>
  <c r="P44" i="7"/>
  <c r="AN82" i="7"/>
  <c r="AN93" i="7" s="1"/>
  <c r="BA49" i="7"/>
  <c r="AM82" i="7"/>
  <c r="AM93" i="7" s="1"/>
  <c r="AL82" i="7"/>
  <c r="AL93" i="7" s="1"/>
  <c r="X70" i="7"/>
  <c r="W70" i="7"/>
  <c r="Y70" i="7"/>
  <c r="AV47" i="7"/>
  <c r="W80" i="7"/>
  <c r="W91" i="7" s="1"/>
  <c r="X80" i="7"/>
  <c r="X91" i="7" s="1"/>
  <c r="Y80" i="7"/>
  <c r="Y91" i="7" s="1"/>
  <c r="AJ9" i="7"/>
  <c r="AM41" i="7"/>
  <c r="Q41" i="7"/>
  <c r="AM40" i="7"/>
  <c r="AM42" i="7"/>
  <c r="Q40" i="7"/>
  <c r="Q42" i="7"/>
  <c r="BA51" i="7"/>
  <c r="AM84" i="7"/>
  <c r="AM95" i="7" s="1"/>
  <c r="AL84" i="7"/>
  <c r="AL95" i="7" s="1"/>
  <c r="AN84" i="7"/>
  <c r="AN95" i="7" s="1"/>
  <c r="AM45" i="7"/>
  <c r="Q45" i="7"/>
  <c r="AM44" i="7"/>
  <c r="AM46" i="7"/>
  <c r="Q44" i="7"/>
  <c r="Q46" i="7"/>
  <c r="AD50" i="7"/>
  <c r="AG50" i="7"/>
  <c r="AJ50" i="7"/>
  <c r="AM50" i="7"/>
  <c r="AA50" i="7"/>
  <c r="X50" i="7"/>
  <c r="AY51" i="7"/>
  <c r="AH84" i="7"/>
  <c r="AH95" i="7" s="1"/>
  <c r="AF84" i="7"/>
  <c r="AF95" i="7" s="1"/>
  <c r="AG84" i="7"/>
  <c r="AG95" i="7" s="1"/>
  <c r="AX48" i="7"/>
  <c r="AC81" i="7"/>
  <c r="AC92" i="7" s="1"/>
  <c r="AG81" i="7"/>
  <c r="AG92" i="7" s="1"/>
  <c r="AD81" i="7"/>
  <c r="AD92" i="7" s="1"/>
  <c r="AE81" i="7"/>
  <c r="AE92" i="7" s="1"/>
  <c r="AA13" i="7"/>
  <c r="AD13" i="7"/>
  <c r="AG13" i="7"/>
  <c r="X13" i="7"/>
  <c r="AB85" i="7"/>
  <c r="AB96" i="7" s="1"/>
  <c r="AW52" i="7"/>
  <c r="Z85" i="7"/>
  <c r="Z96" i="7" s="1"/>
  <c r="AA85" i="7"/>
  <c r="AA96" i="7" s="1"/>
  <c r="P31" i="7"/>
  <c r="P30" i="7"/>
  <c r="P32" i="7"/>
  <c r="AW49" i="7"/>
  <c r="Z82" i="7"/>
  <c r="Z93" i="7" s="1"/>
  <c r="AA82" i="7"/>
  <c r="AA93" i="7" s="1"/>
  <c r="AB82" i="7"/>
  <c r="AB93" i="7" s="1"/>
  <c r="Q20" i="7"/>
  <c r="AM22" i="7"/>
  <c r="Q22" i="7"/>
  <c r="AM21" i="7"/>
  <c r="Q21" i="7"/>
  <c r="AM20" i="7"/>
  <c r="AX51" i="7"/>
  <c r="AE84" i="7"/>
  <c r="AE95" i="7" s="1"/>
  <c r="AC84" i="7"/>
  <c r="AC95" i="7" s="1"/>
  <c r="AD84" i="7"/>
  <c r="AD95" i="7" s="1"/>
  <c r="AM35" i="7"/>
  <c r="Q35" i="7"/>
  <c r="Q34" i="7"/>
  <c r="Q36" i="7"/>
  <c r="AM34" i="7"/>
  <c r="AM36" i="7"/>
  <c r="AY52" i="7"/>
  <c r="AF85" i="7"/>
  <c r="AF96" i="7" s="1"/>
  <c r="AG85" i="7"/>
  <c r="AG96" i="7" s="1"/>
  <c r="AH85" i="7"/>
  <c r="AH96" i="7" s="1"/>
  <c r="BA47" i="7"/>
  <c r="AL80" i="7"/>
  <c r="AL91" i="7" s="1"/>
  <c r="AM80" i="7"/>
  <c r="AM91" i="7" s="1"/>
  <c r="AN80" i="7"/>
  <c r="AN91" i="7" s="1"/>
  <c r="P53" i="7"/>
  <c r="AM19" i="7"/>
  <c r="AM29" i="7"/>
  <c r="AM39" i="7"/>
  <c r="AJ13" i="7"/>
  <c r="AW48" i="7"/>
  <c r="AA81" i="7"/>
  <c r="AA92" i="7" s="1"/>
  <c r="AB81" i="7"/>
  <c r="AB92" i="7" s="1"/>
  <c r="Z81" i="7"/>
  <c r="Z92" i="7" s="1"/>
  <c r="AZ47" i="7"/>
  <c r="AI80" i="7"/>
  <c r="AI91" i="7" s="1"/>
  <c r="AK80" i="7"/>
  <c r="AK91" i="7" s="1"/>
  <c r="AJ80" i="7"/>
  <c r="AJ91" i="7" s="1"/>
  <c r="W85" i="7"/>
  <c r="W96" i="7" s="1"/>
  <c r="X85" i="7"/>
  <c r="X96" i="7" s="1"/>
  <c r="Y85" i="7"/>
  <c r="Y96" i="7" s="1"/>
  <c r="AV52" i="7"/>
  <c r="AY49" i="7"/>
  <c r="AF82" i="7"/>
  <c r="AF93" i="7" s="1"/>
  <c r="AG82" i="7"/>
  <c r="AG93" i="7" s="1"/>
  <c r="AH82" i="7"/>
  <c r="AH93" i="7" s="1"/>
  <c r="AW51" i="7"/>
  <c r="Z84" i="7"/>
  <c r="Z95" i="7" s="1"/>
  <c r="AA84" i="7"/>
  <c r="AA95" i="7" s="1"/>
  <c r="AB84" i="7"/>
  <c r="AB95" i="7" s="1"/>
  <c r="P22" i="7"/>
  <c r="P21" i="7"/>
  <c r="P20" i="7"/>
  <c r="P35" i="7"/>
  <c r="P34" i="7"/>
  <c r="P36" i="7"/>
  <c r="AV48" i="7"/>
  <c r="X81" i="7"/>
  <c r="X92" i="7" s="1"/>
  <c r="W81" i="7"/>
  <c r="W92" i="7" s="1"/>
  <c r="Y81" i="7"/>
  <c r="Y92" i="7" s="1"/>
  <c r="X62" i="7"/>
  <c r="Y62" i="7"/>
  <c r="W62" i="7"/>
  <c r="AY47" i="7"/>
  <c r="AF80" i="7"/>
  <c r="AF91" i="7" s="1"/>
  <c r="AG80" i="7"/>
  <c r="AG91" i="7" s="1"/>
  <c r="AH80" i="7"/>
  <c r="AH91" i="7" s="1"/>
  <c r="AV49" i="7"/>
  <c r="X82" i="7"/>
  <c r="X93" i="7" s="1"/>
  <c r="Y82" i="7"/>
  <c r="Y93" i="7" s="1"/>
  <c r="W82" i="7"/>
  <c r="W93" i="7" s="1"/>
  <c r="AM31" i="7"/>
  <c r="Q31" i="7"/>
  <c r="AM30" i="7"/>
  <c r="Q32" i="7"/>
  <c r="AM32" i="7"/>
  <c r="Q30" i="7"/>
  <c r="X79" i="7"/>
  <c r="Y79" i="7"/>
  <c r="Y90" i="7" s="1"/>
  <c r="W79" i="7"/>
  <c r="AV51" i="7"/>
  <c r="W84" i="7"/>
  <c r="W95" i="7" s="1"/>
  <c r="Y84" i="7"/>
  <c r="Y95" i="7" s="1"/>
  <c r="X84" i="7"/>
  <c r="X95" i="7" s="1"/>
  <c r="N5" i="2"/>
  <c r="L23" i="2"/>
  <c r="L91" i="2"/>
  <c r="L57" i="2"/>
  <c r="L82" i="2"/>
  <c r="L61" i="2"/>
  <c r="L95" i="2"/>
  <c r="L7" i="2"/>
  <c r="L99" i="2"/>
  <c r="L21" i="2"/>
  <c r="L30" i="2"/>
  <c r="L41" i="2"/>
  <c r="L34" i="2"/>
  <c r="L52" i="2"/>
  <c r="L62" i="2"/>
  <c r="L35" i="2"/>
  <c r="L100" i="2"/>
  <c r="L28" i="2"/>
  <c r="L8" i="2"/>
  <c r="L17" i="2"/>
  <c r="L96" i="2"/>
  <c r="L86" i="2"/>
  <c r="L63" i="2"/>
  <c r="L81" i="2"/>
  <c r="L88" i="2"/>
  <c r="L31" i="2"/>
  <c r="L92" i="2"/>
  <c r="L84" i="2"/>
  <c r="L79" i="2"/>
  <c r="L65" i="2"/>
  <c r="L36" i="2"/>
  <c r="L49" i="2"/>
  <c r="L22" i="2"/>
  <c r="L53" i="2"/>
  <c r="L98" i="2"/>
  <c r="L38" i="2"/>
  <c r="L44" i="2"/>
  <c r="L59" i="2"/>
  <c r="L12" i="2"/>
  <c r="L39" i="2"/>
  <c r="L47" i="2"/>
  <c r="L76" i="2"/>
  <c r="L93" i="2"/>
  <c r="L50" i="2"/>
  <c r="L26" i="2"/>
  <c r="L71" i="2"/>
  <c r="L69" i="2"/>
  <c r="L33" i="2"/>
  <c r="L40" i="2"/>
  <c r="L75" i="2"/>
  <c r="L78" i="2"/>
  <c r="L94" i="2"/>
  <c r="L11" i="2"/>
  <c r="L9" i="2"/>
  <c r="L85" i="2"/>
  <c r="L56" i="2"/>
  <c r="L68" i="2"/>
  <c r="L83" i="2"/>
  <c r="L16" i="2"/>
  <c r="L48" i="2"/>
  <c r="L101" i="2"/>
  <c r="L5" i="2"/>
  <c r="L70" i="2"/>
  <c r="L29" i="2"/>
  <c r="I2" i="4"/>
  <c r="B5" i="6" l="1"/>
  <c r="B13" i="6" s="1"/>
  <c r="B15" i="6" s="1"/>
  <c r="B16" i="6" s="1"/>
  <c r="B18" i="6" s="1"/>
  <c r="I2" i="2"/>
  <c r="O2" i="2"/>
  <c r="O2" i="4"/>
  <c r="AX27" i="9"/>
  <c r="AD8" i="9" s="1"/>
  <c r="AG38" i="9"/>
  <c r="AH38" i="9"/>
  <c r="AH52" i="9" s="1"/>
  <c r="AF38" i="9"/>
  <c r="AF36" i="9"/>
  <c r="AG36" i="9"/>
  <c r="AH36" i="9"/>
  <c r="AI50" i="9"/>
  <c r="AF40" i="9"/>
  <c r="AG40" i="9"/>
  <c r="AH40" i="9"/>
  <c r="BA25" i="9"/>
  <c r="BA27" i="9" s="1"/>
  <c r="AM8" i="9" s="1"/>
  <c r="AL46" i="9"/>
  <c r="AL57" i="9" s="1"/>
  <c r="AM46" i="9"/>
  <c r="AM57" i="9" s="1"/>
  <c r="AN46" i="9"/>
  <c r="AN57" i="9" s="1"/>
  <c r="AC36" i="9"/>
  <c r="AD36" i="9"/>
  <c r="AE36" i="9"/>
  <c r="AF41" i="9"/>
  <c r="AG41" i="9"/>
  <c r="AH41" i="9"/>
  <c r="AC38" i="9"/>
  <c r="AD38" i="9"/>
  <c r="AE38" i="9"/>
  <c r="AZ25" i="9"/>
  <c r="AZ27" i="9" s="1"/>
  <c r="AK46" i="9"/>
  <c r="AK57" i="9" s="1"/>
  <c r="AI46" i="9"/>
  <c r="AI57" i="9" s="1"/>
  <c r="AJ46" i="9"/>
  <c r="AJ57" i="9" s="1"/>
  <c r="AI41" i="9"/>
  <c r="AK41" i="9"/>
  <c r="AJ41" i="9"/>
  <c r="AK36" i="9"/>
  <c r="AI36" i="9"/>
  <c r="AJ36" i="9"/>
  <c r="AJ50" i="9"/>
  <c r="AI39" i="9"/>
  <c r="AJ39" i="9"/>
  <c r="AK39" i="9"/>
  <c r="AC41" i="9"/>
  <c r="AD41" i="9"/>
  <c r="AE35" i="9"/>
  <c r="AD35" i="9"/>
  <c r="AC35" i="9"/>
  <c r="AN52" i="9"/>
  <c r="AF39" i="9"/>
  <c r="AF52" i="9" s="1"/>
  <c r="AG39" i="9"/>
  <c r="AG52" i="9" s="1"/>
  <c r="AH39" i="9"/>
  <c r="AE41" i="9"/>
  <c r="AC42" i="9"/>
  <c r="AE42" i="9"/>
  <c r="AD42" i="9"/>
  <c r="AF46" i="9"/>
  <c r="AF57" i="9" s="1"/>
  <c r="AG46" i="9"/>
  <c r="AG57" i="9" s="1"/>
  <c r="AH46" i="9"/>
  <c r="AH57" i="9" s="1"/>
  <c r="AY25" i="9"/>
  <c r="AY27" i="9" s="1"/>
  <c r="AG8" i="9" s="1"/>
  <c r="AI42" i="9"/>
  <c r="AJ42" i="9"/>
  <c r="AK42" i="9"/>
  <c r="AK52" i="9"/>
  <c r="AF35" i="9"/>
  <c r="AG35" i="9"/>
  <c r="AH35" i="9"/>
  <c r="AL53" i="9"/>
  <c r="AI34" i="9"/>
  <c r="AJ34" i="9"/>
  <c r="AK34" i="9"/>
  <c r="AK51" i="9" s="1"/>
  <c r="AC37" i="9"/>
  <c r="AC52" i="9" s="1"/>
  <c r="AD37" i="9"/>
  <c r="AE37" i="9"/>
  <c r="AI35" i="9"/>
  <c r="AJ35" i="9"/>
  <c r="AK35" i="9"/>
  <c r="AC34" i="9"/>
  <c r="AD34" i="9"/>
  <c r="AD51" i="9" s="1"/>
  <c r="AE34" i="9"/>
  <c r="AE51" i="9" s="1"/>
  <c r="AM52" i="9"/>
  <c r="AI38" i="9"/>
  <c r="AI52" i="9" s="1"/>
  <c r="AJ38" i="9"/>
  <c r="AK38" i="9"/>
  <c r="AG42" i="9"/>
  <c r="AH42" i="9"/>
  <c r="AF42" i="9"/>
  <c r="AC46" i="9"/>
  <c r="AC57" i="9" s="1"/>
  <c r="AD46" i="9"/>
  <c r="AD57" i="9" s="1"/>
  <c r="AE46" i="9"/>
  <c r="AE57" i="9" s="1"/>
  <c r="AX25" i="9"/>
  <c r="AJ52" i="9"/>
  <c r="AL52" i="9"/>
  <c r="AC39" i="9"/>
  <c r="AD39" i="9"/>
  <c r="AE39" i="9"/>
  <c r="AB46" i="9"/>
  <c r="AB57" i="9" s="1"/>
  <c r="AA46" i="9"/>
  <c r="AA57" i="9" s="1"/>
  <c r="AW25" i="9"/>
  <c r="AW27" i="9" s="1"/>
  <c r="AA8" i="9" s="1"/>
  <c r="Z46" i="9"/>
  <c r="Z57" i="9" s="1"/>
  <c r="AK40" i="9"/>
  <c r="AI40" i="9"/>
  <c r="AJ40" i="9"/>
  <c r="AJ53" i="9" s="1"/>
  <c r="AG34" i="9"/>
  <c r="AH34" i="9"/>
  <c r="AF34" i="9"/>
  <c r="AF51" i="9" s="1"/>
  <c r="AK50" i="9"/>
  <c r="AC40" i="9"/>
  <c r="AC53" i="9" s="1"/>
  <c r="AD40" i="9"/>
  <c r="AE40" i="9"/>
  <c r="AN53" i="9"/>
  <c r="W46" i="9"/>
  <c r="W57" i="9" s="1"/>
  <c r="X46" i="9"/>
  <c r="X57" i="9" s="1"/>
  <c r="AV25" i="9"/>
  <c r="AV27" i="9" s="1"/>
  <c r="X8" i="9" s="1"/>
  <c r="Y46" i="9"/>
  <c r="Y57" i="9" s="1"/>
  <c r="AJ27" i="9"/>
  <c r="W90" i="7"/>
  <c r="X90" i="7"/>
  <c r="AJ36" i="7"/>
  <c r="AJ44" i="7"/>
  <c r="AJ45" i="7"/>
  <c r="AJ30" i="7"/>
  <c r="AJ34" i="7"/>
  <c r="AM68" i="7"/>
  <c r="AN68" i="7"/>
  <c r="AL71" i="7"/>
  <c r="AM71" i="7"/>
  <c r="AL68" i="7"/>
  <c r="AN71" i="7"/>
  <c r="AN70" i="7"/>
  <c r="AL70" i="7"/>
  <c r="AM70" i="7"/>
  <c r="AA23" i="7"/>
  <c r="AA16" i="7"/>
  <c r="AA15" i="7"/>
  <c r="AA43" i="7"/>
  <c r="AA14" i="7"/>
  <c r="AA33" i="7"/>
  <c r="AY50" i="7"/>
  <c r="AH83" i="7"/>
  <c r="AH94" i="7" s="1"/>
  <c r="AF83" i="7"/>
  <c r="AF94" i="7" s="1"/>
  <c r="AG83" i="7"/>
  <c r="AG94" i="7" s="1"/>
  <c r="X29" i="7"/>
  <c r="X39" i="7" s="1"/>
  <c r="X19" i="7"/>
  <c r="X8" i="7"/>
  <c r="AL67" i="7"/>
  <c r="AM67" i="7"/>
  <c r="AN67" i="7"/>
  <c r="AM60" i="7"/>
  <c r="AN60" i="7"/>
  <c r="AL60" i="7"/>
  <c r="AX50" i="7"/>
  <c r="AX53" i="7" s="1"/>
  <c r="AD8" i="7" s="1"/>
  <c r="AC83" i="7"/>
  <c r="AC94" i="7" s="1"/>
  <c r="AD83" i="7"/>
  <c r="AD94" i="7" s="1"/>
  <c r="AE83" i="7"/>
  <c r="AE94" i="7" s="1"/>
  <c r="AN75" i="7"/>
  <c r="AL75" i="7"/>
  <c r="AM75" i="7"/>
  <c r="AG39" i="7"/>
  <c r="AG10" i="7"/>
  <c r="AG19" i="7"/>
  <c r="AG29" i="7"/>
  <c r="AG12" i="7"/>
  <c r="AG11" i="7"/>
  <c r="X89" i="7"/>
  <c r="AM63" i="7"/>
  <c r="AN63" i="7"/>
  <c r="AL63" i="7"/>
  <c r="BA53" i="7"/>
  <c r="AM8" i="7" s="1"/>
  <c r="AJ19" i="7"/>
  <c r="AJ39" i="7"/>
  <c r="AJ29" i="7"/>
  <c r="AJ31" i="7" s="1"/>
  <c r="AJ10" i="7"/>
  <c r="AJ11" i="7"/>
  <c r="AJ12" i="7"/>
  <c r="AD39" i="7"/>
  <c r="AD12" i="7"/>
  <c r="AD29" i="7"/>
  <c r="AD10" i="7"/>
  <c r="AD11" i="7"/>
  <c r="AD19" i="7"/>
  <c r="W89" i="7"/>
  <c r="AL62" i="7"/>
  <c r="AM62" i="7"/>
  <c r="AN62" i="7"/>
  <c r="X23" i="7"/>
  <c r="X33" i="7"/>
  <c r="X43" i="7" s="1"/>
  <c r="AW50" i="7"/>
  <c r="AW53" i="7" s="1"/>
  <c r="AA8" i="7" s="1"/>
  <c r="Z83" i="7"/>
  <c r="Z94" i="7" s="1"/>
  <c r="AB83" i="7"/>
  <c r="AB94" i="7" s="1"/>
  <c r="AA83" i="7"/>
  <c r="AA94" i="7" s="1"/>
  <c r="AL77" i="7"/>
  <c r="AM77" i="7"/>
  <c r="AN77" i="7"/>
  <c r="AY53" i="7"/>
  <c r="AG8" i="7" s="1"/>
  <c r="AL61" i="7"/>
  <c r="AM61" i="7"/>
  <c r="AN61" i="7"/>
  <c r="AA39" i="7"/>
  <c r="AA12" i="7"/>
  <c r="AA29" i="7"/>
  <c r="AA11" i="7"/>
  <c r="AA19" i="7"/>
  <c r="AA10" i="7"/>
  <c r="AV50" i="7"/>
  <c r="W83" i="7"/>
  <c r="W94" i="7" s="1"/>
  <c r="X83" i="7"/>
  <c r="X94" i="7" s="1"/>
  <c r="Y83" i="7"/>
  <c r="Y94" i="7" s="1"/>
  <c r="AN79" i="7"/>
  <c r="AM79" i="7"/>
  <c r="AL79" i="7"/>
  <c r="AJ33" i="7"/>
  <c r="AJ35" i="7" s="1"/>
  <c r="AJ23" i="7"/>
  <c r="AJ43" i="7"/>
  <c r="AJ46" i="7" s="1"/>
  <c r="AJ16" i="7"/>
  <c r="AJ15" i="7"/>
  <c r="AJ14" i="7"/>
  <c r="AG23" i="7"/>
  <c r="AG14" i="7"/>
  <c r="AG33" i="7"/>
  <c r="AG43" i="7"/>
  <c r="AG15" i="7"/>
  <c r="AG16" i="7"/>
  <c r="BA50" i="7"/>
  <c r="AL83" i="7"/>
  <c r="AL94" i="7" s="1"/>
  <c r="AM83" i="7"/>
  <c r="AM94" i="7" s="1"/>
  <c r="AN83" i="7"/>
  <c r="AN94" i="7" s="1"/>
  <c r="AL76" i="7"/>
  <c r="AM76" i="7"/>
  <c r="AN76" i="7"/>
  <c r="AV53" i="7"/>
  <c r="AL64" i="7"/>
  <c r="AM64" i="7"/>
  <c r="AN64" i="7"/>
  <c r="AL69" i="7"/>
  <c r="AM69" i="7"/>
  <c r="AL72" i="7"/>
  <c r="AN69" i="7"/>
  <c r="AM72" i="7"/>
  <c r="AN72" i="7"/>
  <c r="AD23" i="7"/>
  <c r="AD16" i="7"/>
  <c r="AD14" i="7"/>
  <c r="AD43" i="7"/>
  <c r="AD15" i="7"/>
  <c r="AD33" i="7"/>
  <c r="AK83" i="7"/>
  <c r="AK94" i="7" s="1"/>
  <c r="AZ50" i="7"/>
  <c r="AZ53" i="7" s="1"/>
  <c r="AJ8" i="7" s="1"/>
  <c r="AI83" i="7"/>
  <c r="AI94" i="7" s="1"/>
  <c r="AJ83" i="7"/>
  <c r="AJ94" i="7" s="1"/>
  <c r="AM78" i="7"/>
  <c r="AL78" i="7"/>
  <c r="AN78" i="7"/>
  <c r="AL74" i="7"/>
  <c r="AM74" i="7"/>
  <c r="AN74" i="7"/>
  <c r="AN65" i="7"/>
  <c r="AL65" i="7"/>
  <c r="AM65" i="7"/>
  <c r="D3" i="6" l="1"/>
  <c r="D2" i="6"/>
  <c r="AF32" i="9"/>
  <c r="AG32" i="9"/>
  <c r="AG7" i="9"/>
  <c r="AG27" i="9" s="1"/>
  <c r="AH32" i="9"/>
  <c r="AA7" i="9"/>
  <c r="AA27" i="9" s="1"/>
  <c r="Z32" i="9"/>
  <c r="AA32" i="9"/>
  <c r="AB32" i="9"/>
  <c r="AM7" i="9"/>
  <c r="AM27" i="9" s="1"/>
  <c r="AL32" i="9"/>
  <c r="AM32" i="9"/>
  <c r="AN32" i="9"/>
  <c r="W32" i="9"/>
  <c r="X32" i="9"/>
  <c r="X7" i="9"/>
  <c r="X27" i="9" s="1"/>
  <c r="Y32" i="9"/>
  <c r="AJ28" i="9"/>
  <c r="AH51" i="9"/>
  <c r="AC51" i="9"/>
  <c r="AJ51" i="9"/>
  <c r="AJ59" i="9"/>
  <c r="AG51" i="9"/>
  <c r="AI51" i="9"/>
  <c r="AI59" i="9" s="1"/>
  <c r="AE53" i="9"/>
  <c r="AH53" i="9"/>
  <c r="AD53" i="9"/>
  <c r="AI53" i="9"/>
  <c r="AG53" i="9"/>
  <c r="AK59" i="9"/>
  <c r="AC32" i="9"/>
  <c r="AD32" i="9"/>
  <c r="AE32" i="9"/>
  <c r="AD7" i="9"/>
  <c r="AD27" i="9" s="1"/>
  <c r="AK53" i="9"/>
  <c r="AE52" i="9"/>
  <c r="AF53" i="9"/>
  <c r="AK28" i="9"/>
  <c r="AD52" i="9"/>
  <c r="AI28" i="9"/>
  <c r="AM89" i="7"/>
  <c r="AJ38" i="7"/>
  <c r="AJ28" i="7"/>
  <c r="AJ18" i="7"/>
  <c r="AJ7" i="7"/>
  <c r="AJ53" i="7" s="1"/>
  <c r="AG28" i="7"/>
  <c r="AG18" i="7"/>
  <c r="AG38" i="7"/>
  <c r="AG7" i="7"/>
  <c r="AG53" i="7" s="1"/>
  <c r="AD18" i="7"/>
  <c r="AD28" i="7"/>
  <c r="AD7" i="7"/>
  <c r="AD53" i="7" s="1"/>
  <c r="AD38" i="7"/>
  <c r="AK79" i="7"/>
  <c r="AI79" i="7"/>
  <c r="AJ79" i="7"/>
  <c r="AA18" i="7"/>
  <c r="AA7" i="7"/>
  <c r="AA53" i="7" s="1"/>
  <c r="AA38" i="7"/>
  <c r="AA28" i="7"/>
  <c r="AD22" i="7"/>
  <c r="AD21" i="7"/>
  <c r="AD20" i="7"/>
  <c r="X18" i="7"/>
  <c r="X7" i="7"/>
  <c r="X53" i="7" s="1"/>
  <c r="X28" i="7"/>
  <c r="AD35" i="7"/>
  <c r="AD36" i="7"/>
  <c r="AD34" i="7"/>
  <c r="AL89" i="7"/>
  <c r="AN89" i="7"/>
  <c r="AJ32" i="7"/>
  <c r="AD45" i="7"/>
  <c r="AD44" i="7"/>
  <c r="AD46" i="7"/>
  <c r="AG45" i="7"/>
  <c r="AG46" i="7"/>
  <c r="AG44" i="7"/>
  <c r="AA40" i="7"/>
  <c r="AA42" i="7"/>
  <c r="AA41" i="7"/>
  <c r="AD30" i="7"/>
  <c r="AD32" i="7"/>
  <c r="AD31" i="7"/>
  <c r="AG35" i="7"/>
  <c r="AG34" i="7"/>
  <c r="AG36" i="7"/>
  <c r="AJ20" i="7"/>
  <c r="AJ22" i="7"/>
  <c r="AA26" i="7"/>
  <c r="AA24" i="7"/>
  <c r="AA25" i="7"/>
  <c r="AA22" i="7"/>
  <c r="AA21" i="7"/>
  <c r="AA20" i="7"/>
  <c r="AG22" i="7"/>
  <c r="AG20" i="7"/>
  <c r="AG21" i="7"/>
  <c r="AN90" i="7"/>
  <c r="AA30" i="7"/>
  <c r="AA32" i="7"/>
  <c r="AA31" i="7"/>
  <c r="AM90" i="7"/>
  <c r="AG41" i="7"/>
  <c r="AG40" i="7"/>
  <c r="AG42" i="7"/>
  <c r="AA44" i="7"/>
  <c r="AA45" i="7"/>
  <c r="AA46" i="7"/>
  <c r="AI78" i="7"/>
  <c r="AJ78" i="7"/>
  <c r="AK78" i="7"/>
  <c r="AI68" i="7"/>
  <c r="AJ68" i="7"/>
  <c r="AI71" i="7"/>
  <c r="AJ71" i="7"/>
  <c r="AK68" i="7"/>
  <c r="AK71" i="7"/>
  <c r="AJ26" i="7"/>
  <c r="AJ24" i="7"/>
  <c r="AJ25" i="7"/>
  <c r="AJ40" i="7"/>
  <c r="AJ42" i="7"/>
  <c r="AJ76" i="7" s="1"/>
  <c r="AJ41" i="7"/>
  <c r="AD40" i="7"/>
  <c r="AD42" i="7"/>
  <c r="AD41" i="7"/>
  <c r="AJ21" i="7"/>
  <c r="AM7" i="7"/>
  <c r="AM53" i="7" s="1"/>
  <c r="AM38" i="7"/>
  <c r="AM28" i="7"/>
  <c r="AM18" i="7"/>
  <c r="AG31" i="7"/>
  <c r="AG32" i="7"/>
  <c r="AG30" i="7"/>
  <c r="AJ77" i="7"/>
  <c r="AK77" i="7"/>
  <c r="AI77" i="7"/>
  <c r="AD26" i="7"/>
  <c r="AD24" i="7"/>
  <c r="AD25" i="7"/>
  <c r="AG24" i="7"/>
  <c r="AG26" i="7"/>
  <c r="AG25" i="7"/>
  <c r="AL90" i="7"/>
  <c r="AA35" i="7"/>
  <c r="AA34" i="7"/>
  <c r="AA36" i="7"/>
  <c r="AI70" i="7"/>
  <c r="AJ70" i="7"/>
  <c r="AK70" i="7"/>
  <c r="D5" i="6" l="1"/>
  <c r="W49" i="9"/>
  <c r="W59" i="9" s="1"/>
  <c r="W28" i="9"/>
  <c r="AN49" i="9"/>
  <c r="AN59" i="9" s="1"/>
  <c r="AN28" i="9"/>
  <c r="AH49" i="9"/>
  <c r="AH59" i="9" s="1"/>
  <c r="AH28" i="9"/>
  <c r="Y28" i="9"/>
  <c r="Y49" i="9"/>
  <c r="Y59" i="9" s="1"/>
  <c r="Z28" i="9"/>
  <c r="Z49" i="9"/>
  <c r="Z59" i="9" s="1"/>
  <c r="AM49" i="9"/>
  <c r="AM59" i="9" s="1"/>
  <c r="AM28" i="9"/>
  <c r="AC49" i="9"/>
  <c r="AC59" i="9" s="1"/>
  <c r="AC28" i="9"/>
  <c r="AL49" i="9"/>
  <c r="AL59" i="9" s="1"/>
  <c r="AL28" i="9"/>
  <c r="AG49" i="9"/>
  <c r="AG59" i="9" s="1"/>
  <c r="AG28" i="9"/>
  <c r="AD49" i="9"/>
  <c r="AD59" i="9" s="1"/>
  <c r="AD28" i="9"/>
  <c r="AB49" i="9"/>
  <c r="AB59" i="9" s="1"/>
  <c r="AB28" i="9"/>
  <c r="AA28" i="9"/>
  <c r="AA49" i="9"/>
  <c r="AA59" i="9" s="1"/>
  <c r="X49" i="9"/>
  <c r="X59" i="9" s="1"/>
  <c r="X28" i="9"/>
  <c r="AE49" i="9"/>
  <c r="AE59" i="9" s="1"/>
  <c r="AE28" i="9"/>
  <c r="AF49" i="9"/>
  <c r="AF59" i="9" s="1"/>
  <c r="AF28" i="9"/>
  <c r="AF64" i="7"/>
  <c r="AH64" i="7"/>
  <c r="AG64" i="7"/>
  <c r="AJ61" i="7"/>
  <c r="AK61" i="7"/>
  <c r="AI61" i="7"/>
  <c r="AI63" i="7"/>
  <c r="AJ63" i="7"/>
  <c r="AK63" i="7"/>
  <c r="AF75" i="7"/>
  <c r="AG75" i="7"/>
  <c r="AH75" i="7"/>
  <c r="AH62" i="7"/>
  <c r="AG62" i="7"/>
  <c r="AF62" i="7"/>
  <c r="AI60" i="7"/>
  <c r="AJ60" i="7"/>
  <c r="AK60" i="7"/>
  <c r="AA76" i="7"/>
  <c r="Z76" i="7"/>
  <c r="AB76" i="7"/>
  <c r="AK69" i="7"/>
  <c r="AJ72" i="7"/>
  <c r="AK72" i="7"/>
  <c r="AI69" i="7"/>
  <c r="AJ69" i="7"/>
  <c r="AI72" i="7"/>
  <c r="W59" i="7"/>
  <c r="X59" i="7"/>
  <c r="Y59" i="7"/>
  <c r="AH73" i="7"/>
  <c r="AF73" i="7"/>
  <c r="AG73" i="7"/>
  <c r="AG65" i="7"/>
  <c r="AH65" i="7"/>
  <c r="AF65" i="7"/>
  <c r="AJ67" i="7"/>
  <c r="AK67" i="7"/>
  <c r="AF67" i="7"/>
  <c r="AG67" i="7"/>
  <c r="AH67" i="7"/>
  <c r="AI67" i="7"/>
  <c r="AC75" i="7"/>
  <c r="AE75" i="7"/>
  <c r="AD75" i="7"/>
  <c r="AI65" i="7"/>
  <c r="AJ65" i="7"/>
  <c r="AK65" i="7"/>
  <c r="Z60" i="7"/>
  <c r="AA60" i="7"/>
  <c r="AB60" i="7"/>
  <c r="Z74" i="7"/>
  <c r="AB74" i="7"/>
  <c r="AA74" i="7"/>
  <c r="AE60" i="7"/>
  <c r="AC60" i="7"/>
  <c r="AD60" i="7"/>
  <c r="AF59" i="7"/>
  <c r="AH59" i="7"/>
  <c r="AG59" i="7"/>
  <c r="AF60" i="7"/>
  <c r="AG60" i="7"/>
  <c r="AH60" i="7"/>
  <c r="AA75" i="7"/>
  <c r="AB75" i="7"/>
  <c r="Z75" i="7"/>
  <c r="AE78" i="7"/>
  <c r="AC78" i="7"/>
  <c r="AD78" i="7"/>
  <c r="AF70" i="7"/>
  <c r="AG70" i="7"/>
  <c r="AH70" i="7"/>
  <c r="Z62" i="7"/>
  <c r="AA62" i="7"/>
  <c r="AB62" i="7"/>
  <c r="AE63" i="7"/>
  <c r="AC63" i="7"/>
  <c r="AD63" i="7"/>
  <c r="AL59" i="7"/>
  <c r="AM59" i="7"/>
  <c r="AN59" i="7"/>
  <c r="AI75" i="7"/>
  <c r="AJ75" i="7"/>
  <c r="AK75" i="7"/>
  <c r="Z78" i="7"/>
  <c r="AA78" i="7"/>
  <c r="AB78" i="7"/>
  <c r="AB67" i="7"/>
  <c r="AA67" i="7"/>
  <c r="Z67" i="7"/>
  <c r="AB64" i="7"/>
  <c r="Z64" i="7"/>
  <c r="AA64" i="7"/>
  <c r="AC68" i="7"/>
  <c r="AD68" i="7"/>
  <c r="AE68" i="7"/>
  <c r="AH78" i="7"/>
  <c r="AF78" i="7"/>
  <c r="AG78" i="7"/>
  <c r="Z66" i="7"/>
  <c r="AA66" i="7"/>
  <c r="AB66" i="7"/>
  <c r="AJ59" i="7"/>
  <c r="AK59" i="7"/>
  <c r="AI59" i="7"/>
  <c r="AG69" i="7"/>
  <c r="AH69" i="7"/>
  <c r="AG72" i="7"/>
  <c r="AF72" i="7"/>
  <c r="AH72" i="7"/>
  <c r="AF69" i="7"/>
  <c r="AB61" i="7"/>
  <c r="Z61" i="7"/>
  <c r="AA61" i="7"/>
  <c r="AG77" i="7"/>
  <c r="AH77" i="7"/>
  <c r="AF77" i="7"/>
  <c r="AC61" i="7"/>
  <c r="AD61" i="7"/>
  <c r="AE61" i="7"/>
  <c r="AC74" i="7"/>
  <c r="AD74" i="7"/>
  <c r="AE74" i="7"/>
  <c r="AB69" i="7"/>
  <c r="AB72" i="7"/>
  <c r="AA69" i="7"/>
  <c r="Z72" i="7"/>
  <c r="Z69" i="7"/>
  <c r="AA72" i="7"/>
  <c r="AC62" i="7"/>
  <c r="AD62" i="7"/>
  <c r="AE62" i="7"/>
  <c r="AA70" i="7"/>
  <c r="AB70" i="7"/>
  <c r="Z70" i="7"/>
  <c r="AC65" i="7"/>
  <c r="AE65" i="7"/>
  <c r="AD65" i="7"/>
  <c r="AM66" i="7"/>
  <c r="AN66" i="7"/>
  <c r="AL66" i="7"/>
  <c r="AB77" i="7"/>
  <c r="AA77" i="7"/>
  <c r="Z77" i="7"/>
  <c r="Z63" i="7"/>
  <c r="AA63" i="7"/>
  <c r="AB63" i="7"/>
  <c r="AC69" i="7"/>
  <c r="AC72" i="7"/>
  <c r="AD69" i="7"/>
  <c r="AD72" i="7"/>
  <c r="AE69" i="7"/>
  <c r="AE72" i="7"/>
  <c r="AC79" i="7"/>
  <c r="AD79" i="7"/>
  <c r="AE79" i="7"/>
  <c r="Z73" i="7"/>
  <c r="AA73" i="7"/>
  <c r="AB73" i="7"/>
  <c r="AE66" i="7"/>
  <c r="AD66" i="7"/>
  <c r="AC66" i="7"/>
  <c r="AK66" i="7"/>
  <c r="AI66" i="7"/>
  <c r="AJ66" i="7"/>
  <c r="AJ64" i="7"/>
  <c r="AK64" i="7"/>
  <c r="AI64" i="7"/>
  <c r="AH74" i="7"/>
  <c r="AG74" i="7"/>
  <c r="AF74" i="7"/>
  <c r="AI62" i="7"/>
  <c r="AJ62" i="7"/>
  <c r="AK62" i="7"/>
  <c r="AB59" i="7"/>
  <c r="Z59" i="7"/>
  <c r="AA59" i="7"/>
  <c r="AF63" i="7"/>
  <c r="AG63" i="7"/>
  <c r="AH63" i="7"/>
  <c r="AD76" i="7"/>
  <c r="AE76" i="7"/>
  <c r="AC76" i="7"/>
  <c r="Z68" i="7"/>
  <c r="AA68" i="7"/>
  <c r="AB68" i="7"/>
  <c r="Z71" i="7"/>
  <c r="AA71" i="7"/>
  <c r="AD71" i="7"/>
  <c r="AC71" i="7"/>
  <c r="AE71" i="7"/>
  <c r="AB71" i="7"/>
  <c r="AF66" i="7"/>
  <c r="AG66" i="7"/>
  <c r="AH66" i="7"/>
  <c r="AC64" i="7"/>
  <c r="AD64" i="7"/>
  <c r="AE64" i="7"/>
  <c r="AH68" i="7"/>
  <c r="AG71" i="7"/>
  <c r="AH71" i="7"/>
  <c r="AG68" i="7"/>
  <c r="AF71" i="7"/>
  <c r="AF68" i="7"/>
  <c r="Z79" i="7"/>
  <c r="AB79" i="7"/>
  <c r="AA79" i="7"/>
  <c r="AC70" i="7"/>
  <c r="AD70" i="7"/>
  <c r="AE70" i="7"/>
  <c r="AE73" i="7"/>
  <c r="AD73" i="7"/>
  <c r="AC73" i="7"/>
  <c r="AM73" i="7"/>
  <c r="AN73" i="7"/>
  <c r="AL73" i="7"/>
  <c r="AK74" i="7"/>
  <c r="AI74" i="7"/>
  <c r="AJ74" i="7"/>
  <c r="AF76" i="7"/>
  <c r="AG76" i="7"/>
  <c r="AH76" i="7"/>
  <c r="AF61" i="7"/>
  <c r="AH61" i="7"/>
  <c r="AG61" i="7"/>
  <c r="Z65" i="7"/>
  <c r="AA65" i="7"/>
  <c r="AB65" i="7"/>
  <c r="AC67" i="7"/>
  <c r="AD67" i="7"/>
  <c r="AE67" i="7"/>
  <c r="AC77" i="7"/>
  <c r="AD77" i="7"/>
  <c r="AE77" i="7"/>
  <c r="W66" i="7"/>
  <c r="X66" i="7"/>
  <c r="Y66" i="7"/>
  <c r="X38" i="7"/>
  <c r="AC59" i="7"/>
  <c r="AD59" i="7"/>
  <c r="AE59" i="7"/>
  <c r="AI73" i="7"/>
  <c r="AJ73" i="7"/>
  <c r="AK73" i="7"/>
  <c r="AI89" i="7" l="1"/>
  <c r="AJ90" i="7"/>
  <c r="Z90" i="7"/>
  <c r="AD89" i="7"/>
  <c r="AM54" i="7"/>
  <c r="AM55" i="7" s="1"/>
  <c r="AM88" i="7"/>
  <c r="AM97" i="7" s="1"/>
  <c r="AM98" i="7" s="1"/>
  <c r="AC88" i="7"/>
  <c r="AC54" i="7"/>
  <c r="AC55" i="7" s="1"/>
  <c r="AB54" i="7"/>
  <c r="AB55" i="7" s="1"/>
  <c r="AB88" i="7"/>
  <c r="AJ54" i="7"/>
  <c r="AJ55" i="7" s="1"/>
  <c r="AJ88" i="7"/>
  <c r="AL54" i="7"/>
  <c r="AL55" i="7" s="1"/>
  <c r="AL88" i="7"/>
  <c r="AL97" i="7" s="1"/>
  <c r="AL98" i="7" s="1"/>
  <c r="AH89" i="7"/>
  <c r="AE89" i="7"/>
  <c r="AI90" i="7"/>
  <c r="W73" i="7"/>
  <c r="X73" i="7"/>
  <c r="X88" i="7" s="1"/>
  <c r="X97" i="7" s="1"/>
  <c r="X98" i="7" s="1"/>
  <c r="Y73" i="7"/>
  <c r="Y54" i="7" s="1"/>
  <c r="Y55" i="7" s="1"/>
  <c r="AD90" i="7"/>
  <c r="AG89" i="7"/>
  <c r="AD54" i="7"/>
  <c r="AD55" i="7" s="1"/>
  <c r="AD88" i="7"/>
  <c r="AD97" i="7" s="1"/>
  <c r="AD98" i="7" s="1"/>
  <c r="AA88" i="7"/>
  <c r="AA54" i="7"/>
  <c r="AA55" i="7" s="1"/>
  <c r="Z54" i="7"/>
  <c r="Z55" i="7" s="1"/>
  <c r="Z88" i="7"/>
  <c r="AK88" i="7"/>
  <c r="AK54" i="7"/>
  <c r="AK55" i="7" s="1"/>
  <c r="X54" i="7"/>
  <c r="X55" i="7" s="1"/>
  <c r="AG90" i="7"/>
  <c r="AB90" i="7"/>
  <c r="AH54" i="7"/>
  <c r="AH55" i="7" s="1"/>
  <c r="AH88" i="7"/>
  <c r="AB89" i="7"/>
  <c r="AC89" i="7"/>
  <c r="AC90" i="7"/>
  <c r="AF89" i="7"/>
  <c r="AH90" i="7"/>
  <c r="AE90" i="7"/>
  <c r="AG54" i="7"/>
  <c r="AG55" i="7" s="1"/>
  <c r="AG88" i="7"/>
  <c r="W54" i="7"/>
  <c r="W55" i="7" s="1"/>
  <c r="W88" i="7"/>
  <c r="W97" i="7" s="1"/>
  <c r="W98" i="7" s="1"/>
  <c r="AF90" i="7"/>
  <c r="AA90" i="7"/>
  <c r="AF54" i="7"/>
  <c r="AF55" i="7" s="1"/>
  <c r="AF88" i="7"/>
  <c r="AA89" i="7"/>
  <c r="AK89" i="7"/>
  <c r="AE54" i="7"/>
  <c r="AE55" i="7" s="1"/>
  <c r="AE88" i="7"/>
  <c r="AI54" i="7"/>
  <c r="AI55" i="7" s="1"/>
  <c r="AI88" i="7"/>
  <c r="AN54" i="7"/>
  <c r="AN55" i="7" s="1"/>
  <c r="AN88" i="7"/>
  <c r="AN97" i="7" s="1"/>
  <c r="AN98" i="7" s="1"/>
  <c r="Z89" i="7"/>
  <c r="AJ89" i="7"/>
  <c r="AK90" i="7"/>
  <c r="AJ97" i="7" l="1"/>
  <c r="AJ98" i="7" s="1"/>
  <c r="AA97" i="7"/>
  <c r="AA98" i="7" s="1"/>
  <c r="AF97" i="7"/>
  <c r="AF98" i="7" s="1"/>
  <c r="AI97" i="7"/>
  <c r="AI98" i="7" s="1"/>
  <c r="AB97" i="7"/>
  <c r="AB98" i="7" s="1"/>
  <c r="AE97" i="7"/>
  <c r="AE98" i="7" s="1"/>
  <c r="Y88" i="7"/>
  <c r="Y97" i="7" s="1"/>
  <c r="Y98" i="7" s="1"/>
  <c r="AK97" i="7"/>
  <c r="AK98" i="7" s="1"/>
  <c r="AC97" i="7"/>
  <c r="AC98" i="7" s="1"/>
  <c r="AG97" i="7"/>
  <c r="AG98" i="7" s="1"/>
  <c r="AH97" i="7"/>
  <c r="AH98" i="7" s="1"/>
  <c r="Z97" i="7"/>
  <c r="Z98" i="7" s="1"/>
</calcChain>
</file>

<file path=xl/sharedStrings.xml><?xml version="1.0" encoding="utf-8"?>
<sst xmlns="http://schemas.openxmlformats.org/spreadsheetml/2006/main" count="8121" uniqueCount="1351">
  <si>
    <t>Conta</t>
  </si>
  <si>
    <t>Nome</t>
  </si>
  <si>
    <t>Data</t>
  </si>
  <si>
    <t>Mercado</t>
  </si>
  <si>
    <t>Sub Mercado</t>
  </si>
  <si>
    <t>Ativo</t>
  </si>
  <si>
    <t>Produto</t>
  </si>
  <si>
    <t>CNPJ</t>
  </si>
  <si>
    <t>Emissor</t>
  </si>
  <si>
    <t>Data Compra</t>
  </si>
  <si>
    <t>Taxa Compra</t>
  </si>
  <si>
    <t>Taxa Emissão</t>
  </si>
  <si>
    <t>Vencimento</t>
  </si>
  <si>
    <t>Quantidade</t>
  </si>
  <si>
    <t>Valor Bruto</t>
  </si>
  <si>
    <t>IR</t>
  </si>
  <si>
    <t>IOF</t>
  </si>
  <si>
    <t>Valor Líquido</t>
  </si>
  <si>
    <t>Estratégia</t>
  </si>
  <si>
    <t>Escritório</t>
  </si>
  <si>
    <t>Tipo Plano</t>
  </si>
  <si>
    <t>ID</t>
  </si>
  <si>
    <t>008030018</t>
  </si>
  <si>
    <t>Silvia</t>
  </si>
  <si>
    <t>Conta Corrente</t>
  </si>
  <si>
    <t>CC</t>
  </si>
  <si>
    <t>SOLUTIONS GESTORA DE RECURSOS LTDA</t>
  </si>
  <si>
    <t>005092020</t>
  </si>
  <si>
    <t>Joao</t>
  </si>
  <si>
    <t>000933396</t>
  </si>
  <si>
    <t>Giuliano</t>
  </si>
  <si>
    <t>001386462</t>
  </si>
  <si>
    <t>Geraldo</t>
  </si>
  <si>
    <t>005087582</t>
  </si>
  <si>
    <t>Frederico</t>
  </si>
  <si>
    <t>005087854</t>
  </si>
  <si>
    <t>Bernardo</t>
  </si>
  <si>
    <t>004639504</t>
  </si>
  <si>
    <t>Solutions</t>
  </si>
  <si>
    <t>004514180</t>
  </si>
  <si>
    <t>Marcelo</t>
  </si>
  <si>
    <t>001512551</t>
  </si>
  <si>
    <t>Daniella</t>
  </si>
  <si>
    <t>005993078</t>
  </si>
  <si>
    <t>Luciano</t>
  </si>
  <si>
    <t>005986630</t>
  </si>
  <si>
    <t>Andrea</t>
  </si>
  <si>
    <t>004854021</t>
  </si>
  <si>
    <t>Carlos</t>
  </si>
  <si>
    <t>005587626</t>
  </si>
  <si>
    <t>Christiane</t>
  </si>
  <si>
    <t>003963196</t>
  </si>
  <si>
    <t>Flavio</t>
  </si>
  <si>
    <t>005094630</t>
  </si>
  <si>
    <t>001667575</t>
  </si>
  <si>
    <t>Patricia</t>
  </si>
  <si>
    <t>008224973</t>
  </si>
  <si>
    <t>Ana</t>
  </si>
  <si>
    <t>005340349</t>
  </si>
  <si>
    <t>Eliane</t>
  </si>
  <si>
    <t>004849063</t>
  </si>
  <si>
    <t>Arley</t>
  </si>
  <si>
    <t>002589034</t>
  </si>
  <si>
    <t>Celia</t>
  </si>
  <si>
    <t>005084100</t>
  </si>
  <si>
    <t>Elio</t>
  </si>
  <si>
    <t>005753048</t>
  </si>
  <si>
    <t>Daniel</t>
  </si>
  <si>
    <t>Derivativos</t>
  </si>
  <si>
    <t>OF</t>
  </si>
  <si>
    <t>LREN3</t>
  </si>
  <si>
    <t>Renda Fixa</t>
  </si>
  <si>
    <t>RF</t>
  </si>
  <si>
    <t>CDB-CDB424F3K33</t>
  </si>
  <si>
    <t>CDB</t>
  </si>
  <si>
    <t>BANCO AGIBANK S.A</t>
  </si>
  <si>
    <t>Pós-fixado</t>
  </si>
  <si>
    <t>CDB-CDB724A69ZX</t>
  </si>
  <si>
    <t>BANCO BTG PACTUAL S A</t>
  </si>
  <si>
    <t>CDB-CDB8245F0RU</t>
  </si>
  <si>
    <t>CDB-CDB22545BMO</t>
  </si>
  <si>
    <t>CDB-CDB4250LMMZ</t>
  </si>
  <si>
    <t>CDB-CDB425CRA0P</t>
  </si>
  <si>
    <t>CDB-CDB5255UMJ1</t>
  </si>
  <si>
    <t>CDB-CDB525AWTH2</t>
  </si>
  <si>
    <t>CDB-CDB7253MTP3</t>
  </si>
  <si>
    <t>CDB-CDB7256USWP</t>
  </si>
  <si>
    <t>CDB-CDB725BZ5N6</t>
  </si>
  <si>
    <t>CDB-CDB524CHJRX</t>
  </si>
  <si>
    <t>BANCO C6 CONSIGNADO S.A.</t>
  </si>
  <si>
    <t>CDB-CDB321MUY7D</t>
  </si>
  <si>
    <t>BANCO C6 S.A.</t>
  </si>
  <si>
    <t>CDB-CDB421DQNRF</t>
  </si>
  <si>
    <t>BANCO DIGIMAIS S.A.</t>
  </si>
  <si>
    <t>Pré-fixado</t>
  </si>
  <si>
    <t>CDB-CDB320B7CE9</t>
  </si>
  <si>
    <t>BANCO MASTER S/A</t>
  </si>
  <si>
    <t>CDB-CDB221DSSIA</t>
  </si>
  <si>
    <t>CDB-CDB223X7XHE</t>
  </si>
  <si>
    <t>CDB-CDB424B5R5F</t>
  </si>
  <si>
    <t>BANCO ORIGINAL S/A</t>
  </si>
  <si>
    <t>CDB-CDB5249B5YT</t>
  </si>
  <si>
    <t>CDB-CDB524DW5SG</t>
  </si>
  <si>
    <t>CDB-CDB6245ORJP</t>
  </si>
  <si>
    <t>CDB-CDB424EFQEE</t>
  </si>
  <si>
    <t>BANCO OURINVEST S/A</t>
  </si>
  <si>
    <t>CDB-CDB320AAVGC</t>
  </si>
  <si>
    <t>BANCO PAN S.A.</t>
  </si>
  <si>
    <t>CDB-CDB123GA9I1</t>
  </si>
  <si>
    <t>BANCO PAULISTA S/A</t>
  </si>
  <si>
    <t>CDB-CDB2213Y4VA</t>
  </si>
  <si>
    <t>BANCO SEMEAR S.A.</t>
  </si>
  <si>
    <t>CDB-CDB524CHKGF</t>
  </si>
  <si>
    <t>OMNI S/A CREDITO FINANCIAMENTO E INVESTIMENTO</t>
  </si>
  <si>
    <t>CDB-CDB223EQPVG</t>
  </si>
  <si>
    <t>PEFISA SA CREDITO FINANCIAMENTO E INVESTIMENTO</t>
  </si>
  <si>
    <t>CDB-CDB424CYJLC</t>
  </si>
  <si>
    <t>SOCINAL S/A CREDITO FINANCIAMENTO E INVESTIMENTO</t>
  </si>
  <si>
    <t>CDCA-24G02736838</t>
  </si>
  <si>
    <t>CDCA</t>
  </si>
  <si>
    <t>BTG PACTUAL COMMODITIES SERTRADING S.A.</t>
  </si>
  <si>
    <t>Inflação</t>
  </si>
  <si>
    <t>CDCA-24G02736824</t>
  </si>
  <si>
    <t>COE</t>
  </si>
  <si>
    <t>COE-BT6623J9V34</t>
  </si>
  <si>
    <t>Alternativo</t>
  </si>
  <si>
    <t>COE-BT6622J68IC</t>
  </si>
  <si>
    <t>COE-BT6623C7HDX</t>
  </si>
  <si>
    <t>COE-BT5323G8TF0</t>
  </si>
  <si>
    <t>COE-BT5324BAUT0</t>
  </si>
  <si>
    <t>CRA-CRA024001E2</t>
  </si>
  <si>
    <t>CRA</t>
  </si>
  <si>
    <t>ABC</t>
  </si>
  <si>
    <t>CRA-CRA024001E3</t>
  </si>
  <si>
    <t>CRA-CRA024001E5</t>
  </si>
  <si>
    <t>CRA-CRA021001EM</t>
  </si>
  <si>
    <t>AGRO JACAREZINHO</t>
  </si>
  <si>
    <t>CRA-CRA022007KG</t>
  </si>
  <si>
    <t>ARMAC</t>
  </si>
  <si>
    <t>CRA-CRA02300W3M</t>
  </si>
  <si>
    <t>Atacadão</t>
  </si>
  <si>
    <t>CRA-CRA02300W3O</t>
  </si>
  <si>
    <t>CRA-CRA02300MJ5</t>
  </si>
  <si>
    <t>BANCO ABC</t>
  </si>
  <si>
    <t>CRA-CRA02300MJ7</t>
  </si>
  <si>
    <t>CRA-CRA02300MJ8</t>
  </si>
  <si>
    <t>BANCO ABC BRASIL</t>
  </si>
  <si>
    <t>CRA-CRA02300VSQ</t>
  </si>
  <si>
    <t>BELAGRICOLA</t>
  </si>
  <si>
    <t>CRA-CRA02300VT1</t>
  </si>
  <si>
    <t>BELAGRÍCOLA</t>
  </si>
  <si>
    <t>CRA-CRA020002H1</t>
  </si>
  <si>
    <t>BR FOODS</t>
  </si>
  <si>
    <t>CRA-CRA0210013B</t>
  </si>
  <si>
    <t>CRA-CRA0220079D</t>
  </si>
  <si>
    <t>BRF</t>
  </si>
  <si>
    <t>CRA-CRA02300209</t>
  </si>
  <si>
    <t>BTG COMMODITIES</t>
  </si>
  <si>
    <t>CRA-CRA02300CYT</t>
  </si>
  <si>
    <t>CRA-CRA02300CYS</t>
  </si>
  <si>
    <t>CRA-CRA02300HWK</t>
  </si>
  <si>
    <t>CRA-CRA02300HWJ</t>
  </si>
  <si>
    <t>CRA-CRA02300TSD</t>
  </si>
  <si>
    <t>CRA-CRA023007VD</t>
  </si>
  <si>
    <t>BTG Commodities 1a Serie</t>
  </si>
  <si>
    <t>CRA-CRA023007VE</t>
  </si>
  <si>
    <t>BTG Commodities 2a Serie</t>
  </si>
  <si>
    <t>CRA-CRA02300CYR</t>
  </si>
  <si>
    <t>BTG PACTUAL</t>
  </si>
  <si>
    <t>CRA-CRA02300NX8</t>
  </si>
  <si>
    <t>CRA-CRA02300NRM</t>
  </si>
  <si>
    <t>CRA-CRA02300NRL</t>
  </si>
  <si>
    <t>CRA-CRA02300NX7</t>
  </si>
  <si>
    <t>CRA-CRA02300UEJ</t>
  </si>
  <si>
    <t>BV</t>
  </si>
  <si>
    <t>CRA-CRA02300UEL</t>
  </si>
  <si>
    <t>CRA-CRA02300UEN</t>
  </si>
  <si>
    <t>CRA-CRA02300B9L</t>
  </si>
  <si>
    <t>CAMIL ALIMENTOS</t>
  </si>
  <si>
    <t>CRA-CRA022006BU</t>
  </si>
  <si>
    <t>CARAMURU</t>
  </si>
  <si>
    <t>CRA-CRA021002YA</t>
  </si>
  <si>
    <t>CARAMURU ALIMENTOS II</t>
  </si>
  <si>
    <t>CRA-CRA023002GX</t>
  </si>
  <si>
    <t>Cargill</t>
  </si>
  <si>
    <t>CRA-CRA02400AHV</t>
  </si>
  <si>
    <t>CEREAL</t>
  </si>
  <si>
    <t>CRA-CRA022007KI</t>
  </si>
  <si>
    <t>COCAL IV</t>
  </si>
  <si>
    <t>CRA-CRA021004NU</t>
  </si>
  <si>
    <t>COMBIO</t>
  </si>
  <si>
    <t>CRA-CRA021000SC</t>
  </si>
  <si>
    <t>COOPERSUCAR</t>
  </si>
  <si>
    <t>CRA-CRA02300CYQ</t>
  </si>
  <si>
    <t>ECTP</t>
  </si>
  <si>
    <t>CRA-CRA02300HWI</t>
  </si>
  <si>
    <t>ECTP II</t>
  </si>
  <si>
    <t>CRA-CRA02300TSF</t>
  </si>
  <si>
    <t>ECTP IV</t>
  </si>
  <si>
    <t>CRA-CRA021002YB</t>
  </si>
  <si>
    <t>ELDORADO CELULOSE</t>
  </si>
  <si>
    <t>CRA-CRA0230020A</t>
  </si>
  <si>
    <t>ENGELHART CTP</t>
  </si>
  <si>
    <t>CRA-CRA022004SC</t>
  </si>
  <si>
    <t>FS BIO</t>
  </si>
  <si>
    <t>CRA-CRA022004SD</t>
  </si>
  <si>
    <t>CRA-CRA022001E1</t>
  </si>
  <si>
    <t>FS BIOENERGIA</t>
  </si>
  <si>
    <t>CRA-CRA021004NL</t>
  </si>
  <si>
    <t>CRA-CRA02200A6P</t>
  </si>
  <si>
    <t>FS INFRAESTRUTURA</t>
  </si>
  <si>
    <t>CRA-CRA0210012Z</t>
  </si>
  <si>
    <t>GRUPO JOSE ALVES</t>
  </si>
  <si>
    <t>CRA-CRA02300GCX</t>
  </si>
  <si>
    <t>IPIRANGA</t>
  </si>
  <si>
    <t>CRA-CRA021002SO</t>
  </si>
  <si>
    <t>IPIRANGA PRODUTOS DE PETRÓLEO</t>
  </si>
  <si>
    <t>CRA-CRA022008NF</t>
  </si>
  <si>
    <t>IRANI</t>
  </si>
  <si>
    <t>CRA-CRA022002XN</t>
  </si>
  <si>
    <t>JBS</t>
  </si>
  <si>
    <t>CRA-CRA019001E7</t>
  </si>
  <si>
    <t>KLABIN</t>
  </si>
  <si>
    <t>CRA-CRA022007EP</t>
  </si>
  <si>
    <t>CRA-CRA021000MH</t>
  </si>
  <si>
    <t>M. DIAS BRANCO</t>
  </si>
  <si>
    <t>CRA-CRA022000XD</t>
  </si>
  <si>
    <t>MARFRIG</t>
  </si>
  <si>
    <t>CRA-CRA024002MJ</t>
  </si>
  <si>
    <t>CRA-CRA022000XF</t>
  </si>
  <si>
    <t>CRA-CRA02300MJ9</t>
  </si>
  <si>
    <t>MINERVA</t>
  </si>
  <si>
    <t>CRA-CRA024002S1</t>
  </si>
  <si>
    <t>CRA-CRA02300MOR</t>
  </si>
  <si>
    <t>CRA-CRA019003V3</t>
  </si>
  <si>
    <t>RAIZEN ENERGIA</t>
  </si>
  <si>
    <t>CRA-CRA022008NB</t>
  </si>
  <si>
    <t>RAIZEN III</t>
  </si>
  <si>
    <t>CRA-CRA02300JR6</t>
  </si>
  <si>
    <t>RAIZEN IV</t>
  </si>
  <si>
    <t>CRA-CRA02300JR7</t>
  </si>
  <si>
    <t>CRA-CRA024007Q5</t>
  </si>
  <si>
    <t>SLC MÁQUINAS</t>
  </si>
  <si>
    <t>CRA-CRA021000MF</t>
  </si>
  <si>
    <t>TEREOS</t>
  </si>
  <si>
    <t>CRA-CRA022008C9</t>
  </si>
  <si>
    <t>UNIDAS</t>
  </si>
  <si>
    <t>CRA-CRA02300VBT</t>
  </si>
  <si>
    <t>CRA-CRA020001US</t>
  </si>
  <si>
    <t>VAMOS LOCAÇÃO</t>
  </si>
  <si>
    <t>CRA-CRA020003PY</t>
  </si>
  <si>
    <t>CRA-CRA021002NF</t>
  </si>
  <si>
    <t>VIBRA</t>
  </si>
  <si>
    <t>CRA-CRA021002N3</t>
  </si>
  <si>
    <t>ZILOR</t>
  </si>
  <si>
    <t>CRI-21G0065100</t>
  </si>
  <si>
    <t>CRI</t>
  </si>
  <si>
    <t>ALIANSCE SONAE SHOPPINGS</t>
  </si>
  <si>
    <t>CRI-24D0006602</t>
  </si>
  <si>
    <t>ALLOS</t>
  </si>
  <si>
    <t>CRI-24D0006601</t>
  </si>
  <si>
    <t>CRI-24D0006603</t>
  </si>
  <si>
    <t>CRI-21H1078699</t>
  </si>
  <si>
    <t>ASSAÍ ATACADISTA</t>
  </si>
  <si>
    <t>CRI-21H1078700</t>
  </si>
  <si>
    <t>CRI-22J0346710</t>
  </si>
  <si>
    <t>BANCO BTG PACTUAL S.A.</t>
  </si>
  <si>
    <t>CRI-22K0767293</t>
  </si>
  <si>
    <t>CRI-22G0282296</t>
  </si>
  <si>
    <t>BR12 III</t>
  </si>
  <si>
    <t>CRI-23G1697526</t>
  </si>
  <si>
    <t>BRADESCO</t>
  </si>
  <si>
    <t>CRI-22L1086421</t>
  </si>
  <si>
    <t>Brookfield JK CDI</t>
  </si>
  <si>
    <t>CRI-25E0175587</t>
  </si>
  <si>
    <t>CASHME</t>
  </si>
  <si>
    <t>CRI-22E1321748</t>
  </si>
  <si>
    <t>COGNA</t>
  </si>
  <si>
    <t>CRI-23I0013002</t>
  </si>
  <si>
    <t>EQUITY BR12</t>
  </si>
  <si>
    <t>CRI-22L1723201</t>
  </si>
  <si>
    <t>ESTAPAR</t>
  </si>
  <si>
    <t>CRI-23L0034761</t>
  </si>
  <si>
    <t>FARO</t>
  </si>
  <si>
    <t>CRI-22A0695877</t>
  </si>
  <si>
    <t>Globo</t>
  </si>
  <si>
    <t>CRI-21K0001812</t>
  </si>
  <si>
    <t>GRUPO HAPVIDA</t>
  </si>
  <si>
    <t>CRI-22K0934871</t>
  </si>
  <si>
    <t>HAPVIDA</t>
  </si>
  <si>
    <t>CRI-22K0934880</t>
  </si>
  <si>
    <t>CRI-22E1325262</t>
  </si>
  <si>
    <t>HYPERA</t>
  </si>
  <si>
    <t>CRI-22K1200723</t>
  </si>
  <si>
    <t>IBC BROOKFIELD</t>
  </si>
  <si>
    <t>CRI-24F1126524</t>
  </si>
  <si>
    <t>IGUATEMI SHOPPINGS</t>
  </si>
  <si>
    <t>CRI-24G1674104</t>
  </si>
  <si>
    <t>JHSF</t>
  </si>
  <si>
    <t>CRI-23C0247702</t>
  </si>
  <si>
    <t>LOCALIZA</t>
  </si>
  <si>
    <t>CRI-22C0508888</t>
  </si>
  <si>
    <t>Log</t>
  </si>
  <si>
    <t>CRI-23F0012002</t>
  </si>
  <si>
    <t>LOG II</t>
  </si>
  <si>
    <t>CRI-23F1513923</t>
  </si>
  <si>
    <t>MOVIDA</t>
  </si>
  <si>
    <t>CRI-23K0022030</t>
  </si>
  <si>
    <t>MRV</t>
  </si>
  <si>
    <t>CRI-23K0018802</t>
  </si>
  <si>
    <t>MULTIPLAN</t>
  </si>
  <si>
    <t>CRI-23J1333602</t>
  </si>
  <si>
    <t>PATRIMAR III</t>
  </si>
  <si>
    <t>CRI-22K0001201</t>
  </si>
  <si>
    <t>PETROBRAS</t>
  </si>
  <si>
    <t>CRI-22K0001204</t>
  </si>
  <si>
    <t>CRI-23H1186528</t>
  </si>
  <si>
    <t>RAIA DROGASIL</t>
  </si>
  <si>
    <t>CRI-22F0230096</t>
  </si>
  <si>
    <t>CRI-23H0027402</t>
  </si>
  <si>
    <t>REDE DOR</t>
  </si>
  <si>
    <t>CRI-23H0027403</t>
  </si>
  <si>
    <t>CRI-23H0027404</t>
  </si>
  <si>
    <t>CRI-24D2960594</t>
  </si>
  <si>
    <t>SENDAS</t>
  </si>
  <si>
    <t>CRI-22J0344557</t>
  </si>
  <si>
    <t>SMART FIT</t>
  </si>
  <si>
    <t>CRI-22F1035289</t>
  </si>
  <si>
    <t>Torre Sucupira</t>
  </si>
  <si>
    <t>CRI-21L0666609</t>
  </si>
  <si>
    <t>TROPHY I</t>
  </si>
  <si>
    <t>CRI-21L0668716</t>
  </si>
  <si>
    <t>TROPHY III</t>
  </si>
  <si>
    <t>CRI-21L0694148</t>
  </si>
  <si>
    <t>TROPHY IV</t>
  </si>
  <si>
    <t>CRI-23L2043099</t>
  </si>
  <si>
    <t>CRI-23L2043184</t>
  </si>
  <si>
    <t>CRI-21C0483517</t>
  </si>
  <si>
    <t>VOTORANTIM</t>
  </si>
  <si>
    <t>CRI-19K1145372</t>
  </si>
  <si>
    <t>VOTORANTIM CIMENTOS</t>
  </si>
  <si>
    <t>DEB-TIET29</t>
  </si>
  <si>
    <t>Debênture</t>
  </si>
  <si>
    <t>AES BRASIL OPERACOES S.A.</t>
  </si>
  <si>
    <t>DEB-TIET39</t>
  </si>
  <si>
    <t>DEB-RISP12</t>
  </si>
  <si>
    <t>AGUAS DO RIO 1 SPE S.A</t>
  </si>
  <si>
    <t>DEB-RISP22</t>
  </si>
  <si>
    <t>DEB-RIS414</t>
  </si>
  <si>
    <t>AGUAS DO RIO 4 SPE S.A</t>
  </si>
  <si>
    <t>DEB-APFD19</t>
  </si>
  <si>
    <t>AUTOPISTA FERNAO DIAS S.A.</t>
  </si>
  <si>
    <t>DEB-ENAT32</t>
  </si>
  <si>
    <t>BRAVA ENERGIA S.A.</t>
  </si>
  <si>
    <t>DEB-ENAT11</t>
  </si>
  <si>
    <t>DEB-ELET42</t>
  </si>
  <si>
    <t>CENTRAIS ELETRICAS BRASILEIRAS SA ELETROBRAS</t>
  </si>
  <si>
    <t>DEB-ELET23</t>
  </si>
  <si>
    <t>DEB-ELET14</t>
  </si>
  <si>
    <t>DEB-ELTN15</t>
  </si>
  <si>
    <t>CENTRAIS ELETRICAS DO NORTE DO BRASIL S/A</t>
  </si>
  <si>
    <t>DEB-BCPSA5</t>
  </si>
  <si>
    <t>CLARO S.A.</t>
  </si>
  <si>
    <t>DEB-CEAP12</t>
  </si>
  <si>
    <t>COMPANHIA DE ELETRICIDADE DO AMAPA CEA</t>
  </si>
  <si>
    <t>DEB-SBSPE9</t>
  </si>
  <si>
    <t>COMPANHIA DE SANEAMENTO BASICO DO ESTADO DE SAO PA</t>
  </si>
  <si>
    <t>DEB-SBSPE3</t>
  </si>
  <si>
    <t>DEB-CSNP12</t>
  </si>
  <si>
    <t>COMPANHIA ENERGETICA SINOP SA</t>
  </si>
  <si>
    <t>DEB-CEED12</t>
  </si>
  <si>
    <t>COMPANHIA ESTADUAL DE DISTRIBUICAO DE ENERGIA ELET</t>
  </si>
  <si>
    <t>DEB-CEED13</t>
  </si>
  <si>
    <t>COMPANHIA ESTADUAL DE DISTRIBUICAO DE ENERGIA ELETRICA - CEEE-D</t>
  </si>
  <si>
    <t>DEB-CHSF13</t>
  </si>
  <si>
    <t>COMPANHIA HIDRO ELETRICA DO SAO FRANCISCO</t>
  </si>
  <si>
    <t>DEB-CSNAA1</t>
  </si>
  <si>
    <t>COMPANHIA SIDERURGICA NACIONAL</t>
  </si>
  <si>
    <t>DEB-CSNAC4</t>
  </si>
  <si>
    <t>DEB-ASCP23</t>
  </si>
  <si>
    <t>CONCESSIONARIA DAS RODOVIAS AYRTON SENNA E CARVALH</t>
  </si>
  <si>
    <t>DEB-CCPV11</t>
  </si>
  <si>
    <t>CONCESSIONARIA DE RODOVIAS PRVIAS S.A.</t>
  </si>
  <si>
    <t>DEB-CBAN12</t>
  </si>
  <si>
    <t>CONCESSIONARIA ROTA DAS BANDEIRAS S.A.</t>
  </si>
  <si>
    <t>DEB-CPLD37</t>
  </si>
  <si>
    <t>COPEL DISTRIBUICAO S.A.</t>
  </si>
  <si>
    <t>DEB-ECHP11</t>
  </si>
  <si>
    <t>ECHOENERGIA PARTICIPACOES S.A.</t>
  </si>
  <si>
    <t>DEB-ERDVA4</t>
  </si>
  <si>
    <t>ECORODOVIAS CONCESSOES E SERVICOS S/A</t>
  </si>
  <si>
    <t>DEB-ENGIB9</t>
  </si>
  <si>
    <t>ENERGISA S/A</t>
  </si>
  <si>
    <t>DEB-ENGIC0</t>
  </si>
  <si>
    <t>DEB-ETEN21</t>
  </si>
  <si>
    <t>ENERGISA TRANSMISSAO DE ENERGIA S.A.</t>
  </si>
  <si>
    <t>DEB-ENEV15</t>
  </si>
  <si>
    <t>ENEVA S.A.</t>
  </si>
  <si>
    <t>DEB-ENEV16</t>
  </si>
  <si>
    <t>DEB-CESE32</t>
  </si>
  <si>
    <t>DEB-ENEVA0</t>
  </si>
  <si>
    <t>DEB-ENEV26</t>
  </si>
  <si>
    <t>DEB-ENEV29</t>
  </si>
  <si>
    <t>DEB-EGIE29</t>
  </si>
  <si>
    <t>ENGIE BRASIL ENERGIA S.A.</t>
  </si>
  <si>
    <t>DEB-EGIEA2</t>
  </si>
  <si>
    <t>DEB-ENTV12</t>
  </si>
  <si>
    <t>ENTREVIAS CONCESSIONARIA DE RODOVIAS S.A.</t>
  </si>
  <si>
    <t>DEB-CGOS13</t>
  </si>
  <si>
    <t>EQUATORIAL GOIAS DISTRIBUIDORA DE ENERGIA S/A</t>
  </si>
  <si>
    <t>DEB-EQMAA2</t>
  </si>
  <si>
    <t>EQUATORIAL MARANHAO DISTRIBUIDORA DE ENERGIA S.A</t>
  </si>
  <si>
    <t>DEB-EQUA11</t>
  </si>
  <si>
    <t>EQUATORIAL TRANSMISSAO S.A</t>
  </si>
  <si>
    <t>DEB-ETBA12</t>
  </si>
  <si>
    <t>ETB - EMPRESA DE TRANSMISSAO BAIANA S.A</t>
  </si>
  <si>
    <t>DEB-HVSP11</t>
  </si>
  <si>
    <t>HELIO VALGAS SOLAR PARTICIPACOES S.A.</t>
  </si>
  <si>
    <t>DEB-IRJS14</t>
  </si>
  <si>
    <t>IGUA RIO DE JANEIRO S.A</t>
  </si>
  <si>
    <t>DEB-ISAEB8</t>
  </si>
  <si>
    <t>ISA ENERGIA BRASIL S.A.</t>
  </si>
  <si>
    <t>DEB-TRPLB4</t>
  </si>
  <si>
    <t>DEB-ITPO14</t>
  </si>
  <si>
    <t>ITAPOA TERMINAIS PORTUARIOS S/A</t>
  </si>
  <si>
    <t>DEB-LIGT11</t>
  </si>
  <si>
    <t>LIGHT S.A.</t>
  </si>
  <si>
    <t>DEB-LIGHB0</t>
  </si>
  <si>
    <t>LIGHT SERVICOS DE ELETRICIDADE S A</t>
  </si>
  <si>
    <t>DEB-LIGHC0</t>
  </si>
  <si>
    <t>DEB-MRTR11</t>
  </si>
  <si>
    <t>MARITUBA TRANSMISSAO DE ENERGIA S.A.</t>
  </si>
  <si>
    <t>DEB-MSGT23</t>
  </si>
  <si>
    <t>MATA DE SANTA GENEBRA TRANSMISSAO S.A.</t>
  </si>
  <si>
    <t>DEB-NRTB21</t>
  </si>
  <si>
    <t>NORTE BRASIL TRANSMISSORA DE ENERGIA S.A.</t>
  </si>
  <si>
    <t>DEB-PASN12</t>
  </si>
  <si>
    <t>PARANAGUA SANEAMENTO S.A.</t>
  </si>
  <si>
    <t>DEB-PETR26</t>
  </si>
  <si>
    <t>PETROLEO BRASILEIRO S A PETROBRAS</t>
  </si>
  <si>
    <t>DEB-PETR17</t>
  </si>
  <si>
    <t>DEB-PETR27</t>
  </si>
  <si>
    <t>DEB-PEJA11</t>
  </si>
  <si>
    <t>PRIO FORTE S.A.</t>
  </si>
  <si>
    <t>DEB-RESA17</t>
  </si>
  <si>
    <t>RAIZEN ENERGIA S.A</t>
  </si>
  <si>
    <t>DEB-RESA27</t>
  </si>
  <si>
    <t>DEB-RUMOA2</t>
  </si>
  <si>
    <t>RUMO S.A</t>
  </si>
  <si>
    <t>DEB-RUMOA4</t>
  </si>
  <si>
    <t>DEB-STBP35</t>
  </si>
  <si>
    <t>SANTOS BRASIL PARTICIPACOES S.A.</t>
  </si>
  <si>
    <t>DEB-SRTI11</t>
  </si>
  <si>
    <t>SERTAO I SOLAR ENERGIA SPE S.A.</t>
  </si>
  <si>
    <t>DEB-SUZBA0</t>
  </si>
  <si>
    <t>SUZANO S.A.</t>
  </si>
  <si>
    <t>DEB-TPEN11</t>
  </si>
  <si>
    <t>TPE - TRANSMISSORA PARAISO DE ENERGIA S.A.</t>
  </si>
  <si>
    <t>DEB-TAEEA4</t>
  </si>
  <si>
    <t>TRANSMISSORA ALIANCA DE ENERGIA ELETRICA S/A</t>
  </si>
  <si>
    <t>DEB-UTPS12</t>
  </si>
  <si>
    <t>USINA TERMELETRICA PAMPA SUL S.A.</t>
  </si>
  <si>
    <t>DEB-UTPS22</t>
  </si>
  <si>
    <t>DEB-UTPS21</t>
  </si>
  <si>
    <t>DEB-BTEL23</t>
  </si>
  <si>
    <t>V.TAL - REDE NEUTRA DE TELECOMUNICACOES S.A.</t>
  </si>
  <si>
    <t>DEB-VALEA0</t>
  </si>
  <si>
    <t>VALE S.A.</t>
  </si>
  <si>
    <t>DEB-CVRDA6</t>
  </si>
  <si>
    <t>DEB-VERO23</t>
  </si>
  <si>
    <t>VERO S.A.</t>
  </si>
  <si>
    <t>DEB-VERO13</t>
  </si>
  <si>
    <t>DEB-VLIM15</t>
  </si>
  <si>
    <t>VLI MULTIMODAL S.A.</t>
  </si>
  <si>
    <t>DEB-XNGU17</t>
  </si>
  <si>
    <t>XINGU RIO TRANSMISSORA DE ENERGIA S.A.</t>
  </si>
  <si>
    <t>LCA-24J04616097</t>
  </si>
  <si>
    <t>LCA</t>
  </si>
  <si>
    <t>BANCO BOCOM BBM S.A.</t>
  </si>
  <si>
    <t>LCA-24E01588671</t>
  </si>
  <si>
    <t>BANCO CNH INDUSTRIAL CAPITAL S.A.</t>
  </si>
  <si>
    <t>LCA-24E01289272</t>
  </si>
  <si>
    <t>LCA-24L02609954</t>
  </si>
  <si>
    <t>LCA-24L02958360</t>
  </si>
  <si>
    <t>LCA-24I01525916</t>
  </si>
  <si>
    <t>BANCO RABOBANK INTERNATIONAL BRASIL S/A</t>
  </si>
  <si>
    <t>LCI-24A02582964</t>
  </si>
  <si>
    <t>LCI</t>
  </si>
  <si>
    <t>LCI-24L01958372</t>
  </si>
  <si>
    <t>BRB BANCO DE BRASILIA SA</t>
  </si>
  <si>
    <t>LCI-24J04754381</t>
  </si>
  <si>
    <t>CAIXA ECONOMICA FEDERAL</t>
  </si>
  <si>
    <t>LCI-24K01999835</t>
  </si>
  <si>
    <t>LCI-25A03917004</t>
  </si>
  <si>
    <t>LCI-25B01710656</t>
  </si>
  <si>
    <t>LF-LF002000C9N</t>
  </si>
  <si>
    <t>LF</t>
  </si>
  <si>
    <t>BANCO SAFRA S A</t>
  </si>
  <si>
    <t>LTN</t>
  </si>
  <si>
    <t>BACEN-BANCO CENTRAL DO BRASIL - RJ</t>
  </si>
  <si>
    <t>NTNB</t>
  </si>
  <si>
    <t>NTNF</t>
  </si>
  <si>
    <t>TESOURO DIRETO - NTNB</t>
  </si>
  <si>
    <t>NTNB-P</t>
  </si>
  <si>
    <t>TESOURO DIRETO - NTNB-P</t>
  </si>
  <si>
    <t>Renda Variável</t>
  </si>
  <si>
    <t>ACAO</t>
  </si>
  <si>
    <t>ALUP11</t>
  </si>
  <si>
    <t>AMER11</t>
  </si>
  <si>
    <t>BBAS3</t>
  </si>
  <si>
    <t>OPCAO</t>
  </si>
  <si>
    <t>BBASH264</t>
  </si>
  <si>
    <t>BBSE3</t>
  </si>
  <si>
    <t>FII</t>
  </si>
  <si>
    <t>BDIF11</t>
  </si>
  <si>
    <t>BDIV11</t>
  </si>
  <si>
    <t>BTCI11</t>
  </si>
  <si>
    <t>BTHF11</t>
  </si>
  <si>
    <t>BTLG11</t>
  </si>
  <si>
    <t>CDII11</t>
  </si>
  <si>
    <t>CPLE6</t>
  </si>
  <si>
    <t>CPLEH130</t>
  </si>
  <si>
    <t>CPTS11</t>
  </si>
  <si>
    <t>ELET6</t>
  </si>
  <si>
    <t>ELETI483</t>
  </si>
  <si>
    <t>ENDD11</t>
  </si>
  <si>
    <t>GGBR4</t>
  </si>
  <si>
    <t>GGBRH183</t>
  </si>
  <si>
    <t>HFOF11</t>
  </si>
  <si>
    <t>HGCR11</t>
  </si>
  <si>
    <t>JASC11</t>
  </si>
  <si>
    <t>KLBN11</t>
  </si>
  <si>
    <t>KLBN4</t>
  </si>
  <si>
    <t>KNCR11</t>
  </si>
  <si>
    <t>KNIP11</t>
  </si>
  <si>
    <t>PSSA3</t>
  </si>
  <si>
    <t>PSSAI482</t>
  </si>
  <si>
    <t>PSSAI487</t>
  </si>
  <si>
    <t>RBRR11</t>
  </si>
  <si>
    <t>RECV3</t>
  </si>
  <si>
    <t>SLCE3</t>
  </si>
  <si>
    <t>SLCEI199</t>
  </si>
  <si>
    <t>VALE3</t>
  </si>
  <si>
    <t>VALEH70</t>
  </si>
  <si>
    <t>VIVT3</t>
  </si>
  <si>
    <t>Valor em Trânsito</t>
  </si>
  <si>
    <t>RV</t>
  </si>
  <si>
    <t>Corretagem BTC - AMER3</t>
  </si>
  <si>
    <t>DIVIDENDOS - CYRELA REALTON      NM</t>
  </si>
  <si>
    <t>DIVIDENDOS - IGUATEMI S.AUNT     N1</t>
  </si>
  <si>
    <t>DIVIDENDOS - PORTO SEGUROON      NM</t>
  </si>
  <si>
    <t>DIVIDENDOS - VIBRA       ON      NM</t>
  </si>
  <si>
    <t>JUROS S/ CAPITAL - BRADESCO    PN      N1</t>
  </si>
  <si>
    <t>JUROS S/ CAPITAL - PORTO SEGUROON      NM</t>
  </si>
  <si>
    <t>JUROS S/ CAPITAL - TELEF BRASILON</t>
  </si>
  <si>
    <t>JUROS S/ CAPITAL - VIBRA       ON      NM</t>
  </si>
  <si>
    <t>RENDIMENTO - FIP BTGDV IECI  ER</t>
  </si>
  <si>
    <t>Taxa Empréstimo - AMER3</t>
  </si>
  <si>
    <t>Fundos</t>
  </si>
  <si>
    <t>FN</t>
  </si>
  <si>
    <t>IBIUNA HEDGE FICFIM</t>
  </si>
  <si>
    <t>12154412000165</t>
  </si>
  <si>
    <t>Retorno Absoluto (MM)</t>
  </si>
  <si>
    <t>JGP STRATEGY FICFIM</t>
  </si>
  <si>
    <t>13812165000100</t>
  </si>
  <si>
    <t>MEGEVE FIC FIM CrPr</t>
  </si>
  <si>
    <t>17080215000162</t>
  </si>
  <si>
    <t>SHARP LS 2X FEEDER FICFIM</t>
  </si>
  <si>
    <t>19366052000104</t>
  </si>
  <si>
    <t>JGP CORPORATE FICFIRF CrPr LP</t>
  </si>
  <si>
    <t>20824446000148</t>
  </si>
  <si>
    <t>Previdência</t>
  </si>
  <si>
    <t>PP</t>
  </si>
  <si>
    <t>Certificado Prev 214885</t>
  </si>
  <si>
    <t>BTGP PREVIDENCIA CONSERVADOR FIC FIM CP</t>
  </si>
  <si>
    <t>20997959000150</t>
  </si>
  <si>
    <t>VGBL</t>
  </si>
  <si>
    <t>MCA II FICFIDC</t>
  </si>
  <si>
    <t>23711364000185</t>
  </si>
  <si>
    <t>BTG CDB Plus FIRF CrPr</t>
  </si>
  <si>
    <t>27717359000130</t>
  </si>
  <si>
    <t>Certificado Prev 3267397</t>
  </si>
  <si>
    <t>ARX DENALI ICATU PREV FIC DE FIF RENDA FIXA CP RESP LTDA</t>
  </si>
  <si>
    <t>31353579000108</t>
  </si>
  <si>
    <t>Certificado Prev 3255242</t>
  </si>
  <si>
    <t>Absolute Pace Long Biased FICFIA</t>
  </si>
  <si>
    <t>32073525000143</t>
  </si>
  <si>
    <t>Certificado Prev 51855</t>
  </si>
  <si>
    <t>BTG PAC CRED COPR PREV FIC FI MULT CP RL</t>
  </si>
  <si>
    <t>33165157000126</t>
  </si>
  <si>
    <t>Certificado Prev 51908</t>
  </si>
  <si>
    <t>PGBL</t>
  </si>
  <si>
    <t>Certificado Prev 41038</t>
  </si>
  <si>
    <t>Certificado Prev 41037</t>
  </si>
  <si>
    <t>Certificado Prev 28695</t>
  </si>
  <si>
    <t>Certificado Prev 33834</t>
  </si>
  <si>
    <t>ARX K2 PREVIDENCIA FC FI MULT CRED PRIV</t>
  </si>
  <si>
    <t>33165244000183</t>
  </si>
  <si>
    <t>Certificado Prev 24033</t>
  </si>
  <si>
    <t>REAL INVESTOR 70 PREVIDENCIA FI MULT</t>
  </si>
  <si>
    <t>33588607000193</t>
  </si>
  <si>
    <t>Certificado Prev 28956</t>
  </si>
  <si>
    <t>Certificado Prev 149367</t>
  </si>
  <si>
    <t>Certificado Prev 61607</t>
  </si>
  <si>
    <t>SUL AMERICA PREV FC FI RF</t>
  </si>
  <si>
    <t>33701820000160</t>
  </si>
  <si>
    <t>Dhalia Global Allocation FICFIM</t>
  </si>
  <si>
    <t>35432385000140</t>
  </si>
  <si>
    <t>SPX SEAHAWK FICFIRF CrPr LP</t>
  </si>
  <si>
    <t>35505971000178</t>
  </si>
  <si>
    <t>Schroder Contour Tech LS BRL FICFIM IE</t>
  </si>
  <si>
    <t>35744790000102</t>
  </si>
  <si>
    <t>VINLAND MACRO BP PREV FIM</t>
  </si>
  <si>
    <t>37278685000142</t>
  </si>
  <si>
    <t>Certificado Prev 33835</t>
  </si>
  <si>
    <t>BTGP MULTI ACOES 100 PREV FIC FI ACOES</t>
  </si>
  <si>
    <t>37320765000119</t>
  </si>
  <si>
    <t>GENOA CAPITAL ARPA FICFIM</t>
  </si>
  <si>
    <t>37495383000126</t>
  </si>
  <si>
    <t>T.ROWE US SMALLER COMP EQUITY FICFIA IE</t>
  </si>
  <si>
    <t>38949124000190</t>
  </si>
  <si>
    <t>Legacy Credit Subclasse BP</t>
  </si>
  <si>
    <t>39487617000119</t>
  </si>
  <si>
    <t>Legacy Credit Subclasse GL</t>
  </si>
  <si>
    <t>LEGACY CAPITAL CREDIT FICFIM CrPr</t>
  </si>
  <si>
    <t>39511032000197</t>
  </si>
  <si>
    <t>BP SPX PREV LB PREV FC FI MULT RL</t>
  </si>
  <si>
    <t>41063234000165</t>
  </si>
  <si>
    <t>Certificado Prev 93285</t>
  </si>
  <si>
    <t>KAPITALO KAPPA SELECTION FC FI MULT</t>
  </si>
  <si>
    <t>41745725000196</t>
  </si>
  <si>
    <t>ACS ABSOLUTE VERTEX PREV FI MULT</t>
  </si>
  <si>
    <t>43509130000167</t>
  </si>
  <si>
    <t>Certificado Prev 30670</t>
  </si>
  <si>
    <t>ACCESS SPX SEAHAWK PREV FI FI MULT</t>
  </si>
  <si>
    <t>43985398000175</t>
  </si>
  <si>
    <t>Certificado Prev 30717</t>
  </si>
  <si>
    <t>Certificado Prev 30669</t>
  </si>
  <si>
    <t>Certificado Prev 273826</t>
  </si>
  <si>
    <t>Certificado Prev 222561</t>
  </si>
  <si>
    <t>Certificado Prev 59456</t>
  </si>
  <si>
    <t>BTG PACT CRED CORP II PREV FC FI MULT CP</t>
  </si>
  <si>
    <t>44025282000157</t>
  </si>
  <si>
    <t>Certificado Prev 213217</t>
  </si>
  <si>
    <t>Certificado Prev 62217</t>
  </si>
  <si>
    <t>Certificado Prev 63541</t>
  </si>
  <si>
    <t>Certificado Prev 223407</t>
  </si>
  <si>
    <t>Certificado Prev 62215</t>
  </si>
  <si>
    <t>Certificado Prev 214874</t>
  </si>
  <si>
    <t>Certificado Prev 28696</t>
  </si>
  <si>
    <t>BTG PACT REFEREN S&amp;P500 USD PREV FI MULT</t>
  </si>
  <si>
    <t>44025397000141</t>
  </si>
  <si>
    <t>Certificado Prev 28693</t>
  </si>
  <si>
    <t>JGP BP CREDITO PREV FIC FIRF CP LP</t>
  </si>
  <si>
    <t>44643217000195</t>
  </si>
  <si>
    <t>Certificado Prev 28670</t>
  </si>
  <si>
    <t>IBIUNA ST PREV FC FI MULT CRED PRIV RL</t>
  </si>
  <si>
    <t>44672717000155</t>
  </si>
  <si>
    <t>VTR ATMR III FICFIA</t>
  </si>
  <si>
    <t>46331440000122</t>
  </si>
  <si>
    <t>V8 GTO FICFIDC</t>
  </si>
  <si>
    <t>46339885000159</t>
  </si>
  <si>
    <t>Certificado Prev 28694</t>
  </si>
  <si>
    <t>ACS ABSOLUTE ATENAS PREV FI RF CRED PRIV</t>
  </si>
  <si>
    <t>47564734000167</t>
  </si>
  <si>
    <t>Certificado Prev 28669</t>
  </si>
  <si>
    <t>Certificado Prev 215016</t>
  </si>
  <si>
    <t>Certificado Prev 214877</t>
  </si>
  <si>
    <t>Certificado Prev 215022</t>
  </si>
  <si>
    <t>Certificado Prev 268654</t>
  </si>
  <si>
    <t>Certificado Prev 214887</t>
  </si>
  <si>
    <t>Certificado Prev 41020</t>
  </si>
  <si>
    <t>Certificado Prev 268656</t>
  </si>
  <si>
    <t>ACS ARX DENALI PREV FC FI RF CRED PRIV</t>
  </si>
  <si>
    <t>47564808000165</t>
  </si>
  <si>
    <t>Certificado Prev 24034</t>
  </si>
  <si>
    <t>BTG CDB PLUS PREV FI MULT CRED PRIV</t>
  </si>
  <si>
    <t>47564915000193</t>
  </si>
  <si>
    <t>VINLAND CREDITO FICFIM CrPr</t>
  </si>
  <si>
    <t>47684408000193</t>
  </si>
  <si>
    <t>SOLUTIONS FICFIM CrPr</t>
  </si>
  <si>
    <t>49692303000101</t>
  </si>
  <si>
    <t>M8 Credit Advanced FICFIDC</t>
  </si>
  <si>
    <t>50716952000184</t>
  </si>
  <si>
    <t>BTG PACTUAL INFRA DEBT FIP</t>
  </si>
  <si>
    <t>51248141000169</t>
  </si>
  <si>
    <t>MALTA GOLD FI MULT CP</t>
  </si>
  <si>
    <t>54973692000183</t>
  </si>
  <si>
    <t>Solutions Debentures Inc Infra IPCA FIR</t>
  </si>
  <si>
    <t>55597133000189</t>
  </si>
  <si>
    <t>Solutions Multiestrategia Ret Abs FICFIM</t>
  </si>
  <si>
    <t>55753904000180</t>
  </si>
  <si>
    <t>Huna Debentures Incentivadas FIF FIRF</t>
  </si>
  <si>
    <t>57499088000155</t>
  </si>
  <si>
    <t>BTG PACTUAL COINVESTIMENTO CP FIP INFR R</t>
  </si>
  <si>
    <t>58364202000100</t>
  </si>
  <si>
    <t>BTG LOG AAA CAJAMAR FII RL SNR</t>
  </si>
  <si>
    <t>59658166000142</t>
  </si>
  <si>
    <t>Solutions Arbitrage Total Return FIM</t>
  </si>
  <si>
    <t>60334542000122</t>
  </si>
  <si>
    <t>Solutions CDI Plus FIDC RL</t>
  </si>
  <si>
    <t>60800845000193</t>
  </si>
  <si>
    <t>BTG PACTUAL COINVEST CRED III FIP A RL</t>
  </si>
  <si>
    <t>61078541000127</t>
  </si>
  <si>
    <t>BTG PACTUAL COINVEST CRED III FIP B RL</t>
  </si>
  <si>
    <t>Filtros aplicados:
DATA_INTERFACE é D-3
CARTEIRA não está em branco
NR_CONTA não está em branco</t>
  </si>
  <si>
    <t>W%</t>
  </si>
  <si>
    <t>Taxa de Gestão</t>
  </si>
  <si>
    <t>Total</t>
  </si>
  <si>
    <t>Te</t>
  </si>
  <si>
    <t>Clientes Ativos</t>
  </si>
  <si>
    <t>Média Total</t>
  </si>
  <si>
    <t>Média Avin Asset</t>
  </si>
  <si>
    <t>Informações Gerais</t>
  </si>
  <si>
    <t>Fase 1</t>
  </si>
  <si>
    <t>Fase 2</t>
  </si>
  <si>
    <t>Rotinas</t>
  </si>
  <si>
    <t>Documentação</t>
  </si>
  <si>
    <t xml:space="preserve">Implementação </t>
  </si>
  <si>
    <t>Enquadramento</t>
  </si>
  <si>
    <t>Reuniões</t>
  </si>
  <si>
    <t>Relatórios</t>
  </si>
  <si>
    <t>Cliente</t>
  </si>
  <si>
    <t>Apelido</t>
  </si>
  <si>
    <t>E-mail</t>
  </si>
  <si>
    <t>Local</t>
  </si>
  <si>
    <t>Instituição</t>
  </si>
  <si>
    <t>Indicação</t>
  </si>
  <si>
    <t>Taxa</t>
  </si>
  <si>
    <t>Volume aproximado</t>
  </si>
  <si>
    <t>Assessoria/Finder</t>
  </si>
  <si>
    <t>% AUM</t>
  </si>
  <si>
    <t>Receita Aproximada Cheia</t>
  </si>
  <si>
    <t>Receita Aproximada Asset</t>
  </si>
  <si>
    <t>Taxa Avin Asset</t>
  </si>
  <si>
    <t>CPF/CNPJ</t>
  </si>
  <si>
    <t>Endereço</t>
  </si>
  <si>
    <t>Contrato de gestão</t>
  </si>
  <si>
    <t>Transferencias/vendas e compras</t>
  </si>
  <si>
    <t>Acesso dos clientes (site e app)</t>
  </si>
  <si>
    <t>Necessidade e impl. de estrutura operacional</t>
  </si>
  <si>
    <t>Aviso sobre tributação e recolhimento de IR</t>
  </si>
  <si>
    <t>Status das Transferências e vendas dos ativos</t>
  </si>
  <si>
    <t>Status Enquadrado</t>
  </si>
  <si>
    <t>Data verificação de enquadramento</t>
  </si>
  <si>
    <t xml:space="preserve">Status Estrutura Operacional </t>
  </si>
  <si>
    <t>Periodicidade (Cenário e Carteiras)</t>
  </si>
  <si>
    <t>Data da última</t>
  </si>
  <si>
    <t>Data da próxima</t>
  </si>
  <si>
    <t xml:space="preserve">Periodicidade e tipo </t>
  </si>
  <si>
    <t>Data do último</t>
  </si>
  <si>
    <t>Data do Próximo</t>
  </si>
  <si>
    <t>Observações</t>
  </si>
  <si>
    <t>Pendência</t>
  </si>
  <si>
    <t>Alberoni Lino</t>
  </si>
  <si>
    <t>Aposta</t>
  </si>
  <si>
    <t>alicalisi@gmail.com</t>
  </si>
  <si>
    <t>On</t>
  </si>
  <si>
    <t>BTG</t>
  </si>
  <si>
    <t>Avin Asset</t>
  </si>
  <si>
    <t>Rua Critios, 251 ap 41 cep 05630-040</t>
  </si>
  <si>
    <t>Sim</t>
  </si>
  <si>
    <t>Verificar as portabilidades das previdencias e fundos</t>
  </si>
  <si>
    <t>Vai sair do Brasil e esta mandando $ para fora. Processo de portabilidade.</t>
  </si>
  <si>
    <t>Alice Taira</t>
  </si>
  <si>
    <t>Maravilha</t>
  </si>
  <si>
    <t>alice.taira@uol.com.br</t>
  </si>
  <si>
    <t>Andrew Henrique</t>
  </si>
  <si>
    <t>NA</t>
  </si>
  <si>
    <t>Anita Yoshie Ishiba</t>
  </si>
  <si>
    <t>Poderosa</t>
  </si>
  <si>
    <t>anitayoshie@hotmail.com</t>
  </si>
  <si>
    <t>Caio Cordeiro Guimaraes Leite</t>
  </si>
  <si>
    <t>caiocgleite9@gmail.com</t>
  </si>
  <si>
    <t>Rafael Conessa</t>
  </si>
  <si>
    <t>ok</t>
  </si>
  <si>
    <t>Carla Rosana Carvalho Teixeira</t>
  </si>
  <si>
    <t>Dermato</t>
  </si>
  <si>
    <t>carla_cteixeira@yahoo.com.br</t>
  </si>
  <si>
    <t>Erica Arruda</t>
  </si>
  <si>
    <t>Confirmar migração, abrir PJ e marcar reunião</t>
  </si>
  <si>
    <t>Celia Baptista Carvalho</t>
  </si>
  <si>
    <t>CBAPCARVALHO@GMAIL.COM</t>
  </si>
  <si>
    <t xml:space="preserve">Clinica de Dermatologia Carla Teixeira </t>
  </si>
  <si>
    <t>Dermato 2</t>
  </si>
  <si>
    <t>Cristiana Salles de Aguiar</t>
  </si>
  <si>
    <t>Palha</t>
  </si>
  <si>
    <t>crisalaguiar@gmail.com</t>
  </si>
  <si>
    <t>Aaron</t>
  </si>
  <si>
    <t>marcar reunião a cada 3 meses</t>
  </si>
  <si>
    <t>Edinardo Costa Barros</t>
  </si>
  <si>
    <t>edinardocb@gmail.com</t>
  </si>
  <si>
    <t>Eduardo Roubaund Neto</t>
  </si>
  <si>
    <t>Frances</t>
  </si>
  <si>
    <t>dpisani2@yahoo.com.br</t>
  </si>
  <si>
    <t>Consolidação</t>
  </si>
  <si>
    <t>Iamos fazer a consolidação, cliente não mandou os contatos dos assessores e gerentes dos bancos e estamos sem sistema, esta parado</t>
  </si>
  <si>
    <t>Face Norte Participações</t>
  </si>
  <si>
    <t>Esperança</t>
  </si>
  <si>
    <t>onegrelli@gmail.com</t>
  </si>
  <si>
    <t>Douglas Costa</t>
  </si>
  <si>
    <t>Gilberto Nish</t>
  </si>
  <si>
    <t>Friend</t>
  </si>
  <si>
    <t>gilnishi77@gmail.com</t>
  </si>
  <si>
    <t>Graziella Luglio Castanheira</t>
  </si>
  <si>
    <t>Esposa</t>
  </si>
  <si>
    <t>gracastanheira@gmail.com</t>
  </si>
  <si>
    <t>Kenji Gunnai</t>
  </si>
  <si>
    <t>Japa</t>
  </si>
  <si>
    <t>gunnaikenji@gmail.com</t>
  </si>
  <si>
    <t>Kijuro Honda</t>
  </si>
  <si>
    <t>Moto</t>
  </si>
  <si>
    <t>unicamphome@hotmail.com</t>
  </si>
  <si>
    <t>Lemig Participações</t>
  </si>
  <si>
    <t>Amig</t>
  </si>
  <si>
    <t>leonguimaraes@uoal.com.br</t>
  </si>
  <si>
    <t>Alexandre Rodrigues</t>
  </si>
  <si>
    <t>Precisa transferir para o assessor</t>
  </si>
  <si>
    <t>Luis Felipe de Carvalho Pinto</t>
  </si>
  <si>
    <t>LFC</t>
  </si>
  <si>
    <t>luisfelipe@lfcpadv.com.br</t>
  </si>
  <si>
    <t>Luiz Moreira Meca</t>
  </si>
  <si>
    <t>Tamara</t>
  </si>
  <si>
    <t>luizmeca@yahoo.com.br</t>
  </si>
  <si>
    <t>Marcelo Araujo</t>
  </si>
  <si>
    <t>Coto</t>
  </si>
  <si>
    <t>Marco Andre de Carvalho Assan</t>
  </si>
  <si>
    <t>Jau</t>
  </si>
  <si>
    <t>marco@biotechambiental.com.br</t>
  </si>
  <si>
    <t>Pedro Falanghe</t>
  </si>
  <si>
    <t>Marco Aurelio Bebiano</t>
  </si>
  <si>
    <t>Google</t>
  </si>
  <si>
    <t>marcobebiano@google.com</t>
  </si>
  <si>
    <t xml:space="preserve">Glaucia e Fabricia </t>
  </si>
  <si>
    <t>Maria Beatriz Sandoval</t>
  </si>
  <si>
    <t>Inquilina</t>
  </si>
  <si>
    <t>gsempreendi@uol.com.br</t>
  </si>
  <si>
    <t>Henrique Saback</t>
  </si>
  <si>
    <t>Mensal</t>
  </si>
  <si>
    <t>Final de Junho - Agendar</t>
  </si>
  <si>
    <t>Maria Carolina Silva</t>
  </si>
  <si>
    <t>Sandy</t>
  </si>
  <si>
    <t>karolmachado77@gmail.com</t>
  </si>
  <si>
    <t>Quinzenal</t>
  </si>
  <si>
    <t>Aumentar offshore</t>
  </si>
  <si>
    <t>Mauro Guimaraes Leite</t>
  </si>
  <si>
    <t>22anacordeiro@gmail.com</t>
  </si>
  <si>
    <t>Only Participações</t>
  </si>
  <si>
    <t>Marcar reunião</t>
  </si>
  <si>
    <t>Patricia Ambrosio</t>
  </si>
  <si>
    <t>Sister</t>
  </si>
  <si>
    <t>patiambrosio68@gmail.com</t>
  </si>
  <si>
    <t xml:space="preserve">On </t>
  </si>
  <si>
    <t>Resgate para compra do imovel - aguardar</t>
  </si>
  <si>
    <t>Roberta Neves</t>
  </si>
  <si>
    <t>Barbie</t>
  </si>
  <si>
    <t>Roberto Franco Neves</t>
  </si>
  <si>
    <t>Snow</t>
  </si>
  <si>
    <t>roberto.neves.16.09@gmail.com</t>
  </si>
  <si>
    <t>Roseli Calil</t>
  </si>
  <si>
    <t>Habib</t>
  </si>
  <si>
    <t>calil@unicamp.br</t>
  </si>
  <si>
    <t>Tania Maciel Gunnai</t>
  </si>
  <si>
    <t>Thiago Cordeiro Guimaraes Leite</t>
  </si>
  <si>
    <t>19thiagoleite@gmail.com</t>
  </si>
  <si>
    <t>Umberto Moruzzi</t>
  </si>
  <si>
    <t>Farma</t>
  </si>
  <si>
    <t>u.moruzzi@nldiagnostica.com.br</t>
  </si>
  <si>
    <t>Vitor Koji Fujisawa</t>
  </si>
  <si>
    <t>Ferro</t>
  </si>
  <si>
    <t>vitor.fuji@gmail.com</t>
  </si>
  <si>
    <t>Lucas Carvalho</t>
  </si>
  <si>
    <t>Vitoria Ambrosio</t>
  </si>
  <si>
    <t>Prin</t>
  </si>
  <si>
    <t>vitoria.ambrosio18@gmail.com</t>
  </si>
  <si>
    <t>Walter Preidikman</t>
  </si>
  <si>
    <t>Gringo</t>
  </si>
  <si>
    <t>preidikman@hotmail.com</t>
  </si>
  <si>
    <t xml:space="preserve">Ficou um saldo remanecente que precisa ser transferido. </t>
  </si>
  <si>
    <t>William George Barrington</t>
  </si>
  <si>
    <t>Britanico</t>
  </si>
  <si>
    <t>wgbar@uol.com.br</t>
  </si>
  <si>
    <t>Christiane Bracco</t>
  </si>
  <si>
    <t>Matilde Rodrigues Conti</t>
  </si>
  <si>
    <t>arturconti982@gmail.com</t>
  </si>
  <si>
    <t>Reginaldo Poliseli Leme e/ou Daniela Godoy Martinez Leme</t>
  </si>
  <si>
    <t>Automotor</t>
  </si>
  <si>
    <t>regileme@uol.com.br</t>
  </si>
  <si>
    <t>Sabrina Santos Conti</t>
  </si>
  <si>
    <t>Gabriela Santos Conti</t>
  </si>
  <si>
    <t>Maria de Lourdes Castro de Andrade</t>
  </si>
  <si>
    <t>juridico.pandrade@gmail.com</t>
  </si>
  <si>
    <t>Antonio Artur Marinho de Andrade</t>
  </si>
  <si>
    <t>Negrelli Agenciamento de Serviços Eireli</t>
  </si>
  <si>
    <t>nanda@negrelliarquitetos.com.br</t>
  </si>
  <si>
    <t>Fernanda Negrelli Arquitetos Associados Ltda</t>
  </si>
  <si>
    <t>Quer cartão de credito. Muro esta fazendo.</t>
  </si>
  <si>
    <t>Edson Machado Filgueiras Junior</t>
  </si>
  <si>
    <t>edsonfilgueirasjr@gmail.com</t>
  </si>
  <si>
    <t>Lourival Neri</t>
  </si>
  <si>
    <t>Sandra Lucia Martino Langhi</t>
  </si>
  <si>
    <t>sandramartino53@outlook.com</t>
  </si>
  <si>
    <t>Miriam Claudia Mouta</t>
  </si>
  <si>
    <t>mpocah@gmail.com</t>
  </si>
  <si>
    <t>Fabiana Barboza Maluf</t>
  </si>
  <si>
    <t>fabianamaluf@gmail.com</t>
  </si>
  <si>
    <t>Loritza Maria Oliveira de Andrade</t>
  </si>
  <si>
    <t>loritza3@hotmail.com</t>
  </si>
  <si>
    <t>Jose Revelino do Nascimento</t>
  </si>
  <si>
    <t>knmarto@hotmail.com</t>
  </si>
  <si>
    <t>Adriana Appendino vieira</t>
  </si>
  <si>
    <t>drivieira@me.com</t>
  </si>
  <si>
    <t>Bruno Musa</t>
  </si>
  <si>
    <t>Aguardando contato do Musa</t>
  </si>
  <si>
    <t>Michelle Violato Zanqueta E/ou Lucas Piovesan Rodrigues</t>
  </si>
  <si>
    <t>mzangue@hotmail.com</t>
  </si>
  <si>
    <t>Gilson Bento Da Silva</t>
  </si>
  <si>
    <t>gilson.bento@latasareciclagem.com.br</t>
  </si>
  <si>
    <t>Rodrigo Martins Amato</t>
  </si>
  <si>
    <t>rodrigo.amato@laqus.com.br</t>
  </si>
  <si>
    <t>Luis Pires</t>
  </si>
  <si>
    <t>Luiz Antonio Sartori</t>
  </si>
  <si>
    <t>Luiz.sartori@latasareciclagem.com.br</t>
  </si>
  <si>
    <t>Cobrar assessor para fazer reunião</t>
  </si>
  <si>
    <t>Juliana Henke Menegassi</t>
  </si>
  <si>
    <t>juliemenegassi@hotmail.com</t>
  </si>
  <si>
    <t>Leonardo Menegassi Amato</t>
  </si>
  <si>
    <t>Alex Conrado Korner</t>
  </si>
  <si>
    <t>akorner@gmail.com</t>
  </si>
  <si>
    <t>Luiz Gonzaga de Siqueira Filho</t>
  </si>
  <si>
    <t>docluizsiqueira@gmail.com</t>
  </si>
  <si>
    <t>Renata Amato Nieto</t>
  </si>
  <si>
    <t>renata.mamato@gmail.com</t>
  </si>
  <si>
    <t>Leonardo Pires</t>
  </si>
  <si>
    <t>PIRESLEONARDO@HOTMAIL.COM</t>
  </si>
  <si>
    <t>Lucca Spina</t>
  </si>
  <si>
    <t>Marcelo El Cheik Pugliesi</t>
  </si>
  <si>
    <t>marcelo.pugliesi@hiplatform.com</t>
  </si>
  <si>
    <t>Olivia Amato Nieto</t>
  </si>
  <si>
    <t>Rodrigo Franco Lafeta Queiroz e/ou Lorena Lima Lafeta</t>
  </si>
  <si>
    <t>lafeta55@gmail.com</t>
  </si>
  <si>
    <t>Lucas Faria</t>
  </si>
  <si>
    <t>Carlos Roberto Paiva Monteiro</t>
  </si>
  <si>
    <t>carlos.monteiro@cdmengenharia.com.br</t>
  </si>
  <si>
    <t>Fernando Azevedo Ferreira</t>
  </si>
  <si>
    <t>fazevdo@terra.com.br</t>
  </si>
  <si>
    <t>Flavio Graça Castanheira Junior</t>
  </si>
  <si>
    <t>flavio.castanheira@gmail.com</t>
  </si>
  <si>
    <t>Eunice Rios Guimaraes Batista</t>
  </si>
  <si>
    <t>eunicergb@gmail.com</t>
  </si>
  <si>
    <t>Ricardo Gianotti Antoneli</t>
  </si>
  <si>
    <t>rantoneli@gcp.com</t>
  </si>
  <si>
    <t>Antonio Moreno</t>
  </si>
  <si>
    <t>M Maria de Andrade Silva</t>
  </si>
  <si>
    <t>valmar@bahiatechsystem.com.br</t>
  </si>
  <si>
    <t>ADM FII</t>
  </si>
  <si>
    <t>Carteira FII</t>
  </si>
  <si>
    <t>Robert Christopher Lund</t>
  </si>
  <si>
    <t>rclund@lund.com.br</t>
  </si>
  <si>
    <t>Fernando Forshaid</t>
  </si>
  <si>
    <t>Marcar reunião com a asset</t>
  </si>
  <si>
    <t>Gabriel Sucupira Mesquita</t>
  </si>
  <si>
    <t>diretor@novamalha.group</t>
  </si>
  <si>
    <t>Karla Aguiar</t>
  </si>
  <si>
    <t>Nova Malha Tecidos LTDA</t>
  </si>
  <si>
    <t>Odila Lopes Cabral Duque</t>
  </si>
  <si>
    <t>odiladuque@icloud.com</t>
  </si>
  <si>
    <t>Mariana Geronymo</t>
  </si>
  <si>
    <t>Poliana Scarcella Doliveira</t>
  </si>
  <si>
    <t>POLIANASD.NUTRI@GMAIL.COM</t>
  </si>
  <si>
    <t>Leandro Monteiro da Silva Santos</t>
  </si>
  <si>
    <t>LEANDRO.M@HOOKDIG.COM</t>
  </si>
  <si>
    <t>ok local e offshore esta com pendencias - email enviado 20/06. Cobrar dia 28/07</t>
  </si>
  <si>
    <t>Gabriele Corinti e/ou Sandra Corinti</t>
  </si>
  <si>
    <t>gabriele22corinti@gmail.com</t>
  </si>
  <si>
    <t>ok. Só aplicar em isentos</t>
  </si>
  <si>
    <t>Carlos Augusto Tesore</t>
  </si>
  <si>
    <t>tesore@gmail.com</t>
  </si>
  <si>
    <t>ok, reunião agendada</t>
  </si>
  <si>
    <t>Priscila de Souza Santos</t>
  </si>
  <si>
    <t>priscila250483@gmail.com</t>
  </si>
  <si>
    <t>Eduardo Ferraz de Campos Monaco</t>
  </si>
  <si>
    <t>eduardo.monaco@clear.sale</t>
  </si>
  <si>
    <t>Lilian Holanda</t>
  </si>
  <si>
    <t>Isabela Della Torre</t>
  </si>
  <si>
    <t>Christiane Landim</t>
  </si>
  <si>
    <t>Carla Ventura</t>
  </si>
  <si>
    <t>Gabriel Sampaio</t>
  </si>
  <si>
    <t>Thiago Fujiwara</t>
  </si>
  <si>
    <t>Roberto Teles</t>
  </si>
  <si>
    <t>Receita aproximada cheia</t>
  </si>
  <si>
    <t>Taxa SWM Asset</t>
  </si>
  <si>
    <t>Cliente Ativos</t>
  </si>
  <si>
    <t>Receita aproximada Asset</t>
  </si>
  <si>
    <t>edcon@edconconstrucoes.com.br</t>
  </si>
  <si>
    <t>luciano.consentino@gmail.com</t>
  </si>
  <si>
    <t>arleyabreusilva@gmail.com</t>
  </si>
  <si>
    <t>gerafleury@icloud.com</t>
  </si>
  <si>
    <t>william@skinlaser.com.br</t>
  </si>
  <si>
    <t>cel.morais@uol.com.br</t>
  </si>
  <si>
    <t>LUCIANO.CONSENTINO@GMAIL.COM</t>
  </si>
  <si>
    <t>Mãe do Luciano</t>
  </si>
  <si>
    <t>cgmferreira@gmail.com</t>
  </si>
  <si>
    <t>Diretor Oncoclínicas</t>
  </si>
  <si>
    <t>flaviocsousa@gmail.com</t>
  </si>
  <si>
    <t>christiane.bsm@outlook.com</t>
  </si>
  <si>
    <t>patricia.morais@pic-web.com.br</t>
  </si>
  <si>
    <t>giulianoloureiro@me.com</t>
  </si>
  <si>
    <t>Filha da Celia</t>
  </si>
  <si>
    <t>Mãe da Patrícia</t>
  </si>
  <si>
    <t>Cotista Malta</t>
  </si>
  <si>
    <t>danieca04@outlook.com</t>
  </si>
  <si>
    <t>carolauada@hotmail.com</t>
  </si>
  <si>
    <t>carlos.jcsm@outlook.com</t>
  </si>
  <si>
    <t>andrea.cardia72@gmail.com</t>
  </si>
  <si>
    <t>Receita Aproximada Total</t>
  </si>
  <si>
    <t>Média SWM Asset</t>
  </si>
  <si>
    <t>Fundo</t>
  </si>
  <si>
    <t>Grande Classe</t>
  </si>
  <si>
    <t>Constituição</t>
  </si>
  <si>
    <t>Patrimônio</t>
  </si>
  <si>
    <t>Cotistas</t>
  </si>
  <si>
    <t>Atena FI Financeiro MM</t>
  </si>
  <si>
    <t>FI</t>
  </si>
  <si>
    <t>FI Multimercardo Malta Gold</t>
  </si>
  <si>
    <t>Huna Debêntures Incentivadas Fundo Incentivado de Investimento Financeiro em Infraestrutura RF</t>
  </si>
  <si>
    <t>Mth FI Financeiro MM</t>
  </si>
  <si>
    <t>Plustec FI Financeiro em Cotas de FI MM</t>
  </si>
  <si>
    <t>PolInvestimento III Debêntures Fundo Incentivado de Investimento Financeiro em Infraestrutura RF</t>
  </si>
  <si>
    <t>Primordium II Debêntures Incentivadas Fundo Incentivado de Investimento Financeiro em Infra RF</t>
  </si>
  <si>
    <t>Solutions Arbitrage Total Return FI Financeiro MM</t>
  </si>
  <si>
    <t>Solutions Cdi Plus Cic de Classes de Investimento em Direitos Creditório - Resp Limitada</t>
  </si>
  <si>
    <t>FIDC</t>
  </si>
  <si>
    <t>nd</t>
  </si>
  <si>
    <t>Solutions Debêntures Incentivadas Ipca Fundo Incentivado de Investimento em Infra RF</t>
  </si>
  <si>
    <t>Solutions Multiestratégia Retorno Absoluto FICFI MM</t>
  </si>
  <si>
    <t>Solutions Optimum Cdi FICFI MM</t>
  </si>
  <si>
    <t>Taxa Adm</t>
  </si>
  <si>
    <t>Gestor</t>
  </si>
  <si>
    <t>Rafael Meyer</t>
  </si>
  <si>
    <t>Bruno Jaggi</t>
  </si>
  <si>
    <t>Gustavo Saula</t>
  </si>
  <si>
    <t>Pfee</t>
  </si>
  <si>
    <t>Benchmark</t>
  </si>
  <si>
    <t>CDI</t>
  </si>
  <si>
    <t>IMA-B</t>
  </si>
  <si>
    <t>PL</t>
  </si>
  <si>
    <t>%AUM</t>
  </si>
  <si>
    <t>Adm e Custodia BTG/Santander</t>
  </si>
  <si>
    <t>Custodiante</t>
  </si>
  <si>
    <t>Santander</t>
  </si>
  <si>
    <t>Repasse AAI</t>
  </si>
  <si>
    <t>Taxa Gestão</t>
  </si>
  <si>
    <t>Receita Asset Estimada</t>
  </si>
  <si>
    <t>Receita Total Estimada</t>
  </si>
  <si>
    <t>Serviço</t>
  </si>
  <si>
    <t>Carteira Adm Onshore</t>
  </si>
  <si>
    <t>Fundos Exclusivos e Veículos de alocação Onshore</t>
  </si>
  <si>
    <t>Total % CDI</t>
  </si>
  <si>
    <t>Alternativos</t>
  </si>
  <si>
    <t>Fundos Imobiliários</t>
  </si>
  <si>
    <t>Ações Globais sem hedge</t>
  </si>
  <si>
    <t>Ações Brasil</t>
  </si>
  <si>
    <t>Multimercado</t>
  </si>
  <si>
    <t>Renda Fixa Global</t>
  </si>
  <si>
    <t>Prefixados</t>
  </si>
  <si>
    <t>Pós-Fixados</t>
  </si>
  <si>
    <t>Acima de 10 Anos</t>
  </si>
  <si>
    <t>Crédito Corporativo - High Yield</t>
  </si>
  <si>
    <t>De 2 a 5 Anos</t>
  </si>
  <si>
    <t>Até 1 Ano</t>
  </si>
  <si>
    <t>Alternative Investments</t>
  </si>
  <si>
    <t>Pre Fixado</t>
  </si>
  <si>
    <t>% Change</t>
  </si>
  <si>
    <t>Russell 2000</t>
  </si>
  <si>
    <t>Pos Fixado</t>
  </si>
  <si>
    <t>Nasdaq 100</t>
  </si>
  <si>
    <t>Crédito Corporativo - IG</t>
  </si>
  <si>
    <t>S&amp;P500</t>
  </si>
  <si>
    <t>Alpha Hedge Funds</t>
  </si>
  <si>
    <t>Títulos Públicos</t>
  </si>
  <si>
    <t>Average FED Funds</t>
  </si>
  <si>
    <t>Variacao %</t>
  </si>
  <si>
    <t>DXY</t>
  </si>
  <si>
    <t>Classes de Ativo</t>
  </si>
  <si>
    <t>Bull</t>
  </si>
  <si>
    <t>Average</t>
  </si>
  <si>
    <t>Bear</t>
  </si>
  <si>
    <t>Contribuição no Resultado</t>
  </si>
  <si>
    <t>Ativos Alternativos</t>
  </si>
  <si>
    <t>% do CDI</t>
  </si>
  <si>
    <t>Alpha Fundos Imobiliarios</t>
  </si>
  <si>
    <t>Retorno Esperado</t>
  </si>
  <si>
    <t>TOTAL</t>
  </si>
  <si>
    <t>Bovespa</t>
  </si>
  <si>
    <t>x</t>
  </si>
  <si>
    <t xml:space="preserve">Alternativos </t>
  </si>
  <si>
    <t>Alpha Fundos Multimercado</t>
  </si>
  <si>
    <t>Premio Credito Privado HY</t>
  </si>
  <si>
    <t>Premio Credito Privado IG</t>
  </si>
  <si>
    <t>Juro Real - Longo</t>
  </si>
  <si>
    <t>Fundos Multimercado</t>
  </si>
  <si>
    <t>Juro Real - Medio</t>
  </si>
  <si>
    <t>Renda Fixa Global sem hedge</t>
  </si>
  <si>
    <t>Juro Real - Curto</t>
  </si>
  <si>
    <t>Longo (&gt;10)</t>
  </si>
  <si>
    <t>IPCA (variacao %)</t>
  </si>
  <si>
    <t>Medio (2-5)</t>
  </si>
  <si>
    <t>Pre - 10 Y (%a.a)</t>
  </si>
  <si>
    <t>Curto Prazo (Ate 1)</t>
  </si>
  <si>
    <t>Pre - 5 Y (%a.a)</t>
  </si>
  <si>
    <t xml:space="preserve">Inflação </t>
  </si>
  <si>
    <t>Pre - 1 Y (%a.a)</t>
  </si>
  <si>
    <t>Selic Final do Período (% a.a)</t>
  </si>
  <si>
    <t>Selic Media</t>
  </si>
  <si>
    <t>Pre-fixado</t>
  </si>
  <si>
    <t>FX (BRL/USD)</t>
  </si>
  <si>
    <t>Pós Fixado</t>
  </si>
  <si>
    <t>Credito Corporativo High Yield</t>
  </si>
  <si>
    <t>1 Year Forecast</t>
  </si>
  <si>
    <t>Longo</t>
  </si>
  <si>
    <t>Medio</t>
  </si>
  <si>
    <t>Curto</t>
  </si>
  <si>
    <t xml:space="preserve">Duration </t>
  </si>
  <si>
    <t>Premium High Yield / EM</t>
  </si>
  <si>
    <t>Credito Corporativo IG</t>
  </si>
  <si>
    <t>Premium Investment Grade</t>
  </si>
  <si>
    <t>TIPS</t>
  </si>
  <si>
    <t>CPI</t>
  </si>
  <si>
    <t>US Treasury 10Y</t>
  </si>
  <si>
    <t>US Treasury 5Y</t>
  </si>
  <si>
    <t>US Treasury 2Y</t>
  </si>
  <si>
    <t>Fed Funds</t>
  </si>
  <si>
    <t>Pré Fixado</t>
  </si>
  <si>
    <t>Titulos Publicos</t>
  </si>
  <si>
    <t>Premio Cred Corp  HY</t>
  </si>
  <si>
    <t>Premio Cred Corp  IG</t>
  </si>
  <si>
    <t xml:space="preserve">Pré Fixado </t>
  </si>
  <si>
    <t>Selic (% a.a)</t>
  </si>
  <si>
    <t>Renda Fixa Brasil</t>
  </si>
  <si>
    <t>VI</t>
  </si>
  <si>
    <t>V</t>
  </si>
  <si>
    <t>IV</t>
  </si>
  <si>
    <t>III</t>
  </si>
  <si>
    <t>II</t>
  </si>
  <si>
    <t>I</t>
  </si>
  <si>
    <t>Factor</t>
  </si>
  <si>
    <t>OW2</t>
  </si>
  <si>
    <t>OW1</t>
  </si>
  <si>
    <t>N</t>
  </si>
  <si>
    <t>UW1</t>
  </si>
  <si>
    <t>UW2</t>
  </si>
  <si>
    <t>Avin VI</t>
  </si>
  <si>
    <t>Ultra Sofisticado</t>
  </si>
  <si>
    <t>Avin V</t>
  </si>
  <si>
    <t>Avin IV</t>
  </si>
  <si>
    <t>Avin III</t>
  </si>
  <si>
    <t>Avin II</t>
  </si>
  <si>
    <t>Avin I</t>
  </si>
  <si>
    <t>Adjusts</t>
  </si>
  <si>
    <t>Pace</t>
  </si>
  <si>
    <t>Carteiras Administradas Locais</t>
  </si>
  <si>
    <t>AVIN ASSET - Portfólios Locais</t>
  </si>
  <si>
    <t>Índice de Confiança Consumidor</t>
  </si>
  <si>
    <t>Payroll</t>
  </si>
  <si>
    <t>Bitcoin</t>
  </si>
  <si>
    <t>Petróleo</t>
  </si>
  <si>
    <t>VIX</t>
  </si>
  <si>
    <t>Ouro</t>
  </si>
  <si>
    <t>Premium High Yield (BB-B)</t>
  </si>
  <si>
    <t>Premium Investment Grade (A-BBB)</t>
  </si>
  <si>
    <t>US Treasury 30Y</t>
  </si>
  <si>
    <t>IMA-B5+</t>
  </si>
  <si>
    <t>IMA-B5</t>
  </si>
  <si>
    <t>IRIFM</t>
  </si>
  <si>
    <t>IFIX</t>
  </si>
  <si>
    <t>Premio Cred Corp  (Incentivas)</t>
  </si>
  <si>
    <t>Juro Real - Longo (45)</t>
  </si>
  <si>
    <t>Juro Real - Medio (30)</t>
  </si>
  <si>
    <t>Juro Real - 1 Ano (26)</t>
  </si>
  <si>
    <t>Informações Macro</t>
  </si>
  <si>
    <t>Hedge Funds</t>
  </si>
  <si>
    <t>S&amp;P 500</t>
  </si>
  <si>
    <t>High Yield</t>
  </si>
  <si>
    <t>Investment Grade</t>
  </si>
  <si>
    <t>Sovereign</t>
  </si>
  <si>
    <t>Inflation</t>
  </si>
  <si>
    <t>Money Markets</t>
  </si>
  <si>
    <t>Long</t>
  </si>
  <si>
    <t>Medium</t>
  </si>
  <si>
    <t>Short</t>
  </si>
  <si>
    <t>Invest Grade</t>
  </si>
  <si>
    <t>Contribuicao no Resultado</t>
  </si>
  <si>
    <t>Expected Return</t>
  </si>
  <si>
    <t>Alternative</t>
  </si>
  <si>
    <t>Fixed Income</t>
  </si>
  <si>
    <t>Asset Classes</t>
  </si>
  <si>
    <t>Global Portfolios</t>
  </si>
  <si>
    <t>AVIN ASSET - Global Portfolios</t>
  </si>
  <si>
    <t>Portfólio Atual</t>
  </si>
  <si>
    <t>Realocações</t>
  </si>
  <si>
    <t>Portfólio Sugerido</t>
  </si>
  <si>
    <t>Classe</t>
  </si>
  <si>
    <t>Saldo</t>
  </si>
  <si>
    <t>%</t>
  </si>
  <si>
    <t>Aplicações</t>
  </si>
  <si>
    <t>Resgates</t>
  </si>
  <si>
    <t>RF PÓS</t>
  </si>
  <si>
    <t>RF INFLAÇÃO</t>
  </si>
  <si>
    <t>RF PRÉ</t>
  </si>
  <si>
    <t>TOTAL RETURN</t>
  </si>
  <si>
    <t>AÇÕES</t>
  </si>
  <si>
    <t>ALTERNATIVOS</t>
  </si>
  <si>
    <t>Total Geral</t>
  </si>
  <si>
    <t>AÇÕES (Internacionais)</t>
  </si>
  <si>
    <t>AVIN I</t>
  </si>
  <si>
    <t>(Onshore)</t>
  </si>
  <si>
    <t>AVIN III</t>
  </si>
  <si>
    <t>Diogo Luis Santo</t>
  </si>
  <si>
    <t>UGI Internacional Ltda</t>
  </si>
  <si>
    <t>Ormus LLC</t>
  </si>
  <si>
    <t>Luciana Oliveira Tassano</t>
  </si>
  <si>
    <t>Marco Aurelio Ladeira Bebiano</t>
  </si>
  <si>
    <t>EKB Internacional Limited</t>
  </si>
  <si>
    <t>Pedro Antônio Palocci</t>
  </si>
  <si>
    <t>CLLT Internacional Ltda</t>
  </si>
  <si>
    <t>Marcelo de Barros Oliveira Filho</t>
  </si>
  <si>
    <t>Rubem dos Santos Minatogawa</t>
  </si>
  <si>
    <t>CEPS19 Investimentos Ltda</t>
  </si>
  <si>
    <t>Salete Furtado Sarquis Hallack</t>
  </si>
  <si>
    <t>Roxboro Investiments Inc</t>
  </si>
  <si>
    <t>Adriana Appendino Vieira</t>
  </si>
  <si>
    <t>Maria Cecília Arruda Apendino Vieira</t>
  </si>
  <si>
    <t>Vinicius Ranucci Ramos</t>
  </si>
  <si>
    <t>Valéria Rodrigues Gonçalves de Oliveira</t>
  </si>
  <si>
    <t>Binos Investments Holdings Ltd</t>
  </si>
  <si>
    <t>Mauro Ângelo Custódio II</t>
  </si>
  <si>
    <t>Abuzzi Investimentos Ltda</t>
  </si>
  <si>
    <t>TWIX investimentos Ltda</t>
  </si>
  <si>
    <t>Blue Wine Company Ltd</t>
  </si>
  <si>
    <t>Gilberto Able de Rezende Chaves</t>
  </si>
  <si>
    <t>Channel Zero Ltd</t>
  </si>
  <si>
    <t>Memoirs Ltd</t>
  </si>
  <si>
    <t>Aiune Corporation</t>
  </si>
  <si>
    <t>Three Diamonds Group Investments Ltd</t>
  </si>
  <si>
    <t>DreamCatcher Ventures limitada</t>
  </si>
  <si>
    <t>Patalo Ltd</t>
  </si>
  <si>
    <t>OFF</t>
  </si>
  <si>
    <t>FELLIPE MARMO</t>
  </si>
  <si>
    <t>PEDRO CAMPACCI</t>
  </si>
  <si>
    <t>ESCRITÓRIO</t>
  </si>
  <si>
    <t>ERICA ARRUDA</t>
  </si>
  <si>
    <t>CHRISTIANE BRACCO</t>
  </si>
  <si>
    <t>VINICIUS MINATOGAWA</t>
  </si>
  <si>
    <t>LUCAS CARVALHO</t>
  </si>
  <si>
    <t>LOURIVAL NERY</t>
  </si>
  <si>
    <t>FERNANDO FORSHAID</t>
  </si>
  <si>
    <t>MARIANA MUNHOS</t>
  </si>
  <si>
    <t>JULIO BARTHONELLI</t>
  </si>
  <si>
    <t>BRUNO MUSA</t>
  </si>
  <si>
    <t>RENE BROGGIO</t>
  </si>
  <si>
    <t>DANIEL MAGALHAES</t>
  </si>
  <si>
    <t>RAFAEL BOTELHO</t>
  </si>
  <si>
    <t>BTG US</t>
  </si>
  <si>
    <t>Marcos Krisp de Lucena</t>
  </si>
  <si>
    <t>Roberto Pagliaricci</t>
  </si>
  <si>
    <t>Marco Aurelio Vorrath de Melo</t>
  </si>
  <si>
    <t>Marco Lucon</t>
  </si>
  <si>
    <t>Marco Aurélio Vidowscky Cruz</t>
  </si>
  <si>
    <t>Gabriel Buscarini Leutewiler</t>
  </si>
  <si>
    <t>Rodolfo Alves Roim</t>
  </si>
  <si>
    <t>Reginaldo Poliseli Leme</t>
  </si>
  <si>
    <t>Maria Carolina Silva Machado</t>
  </si>
  <si>
    <t>Frank Allen Borges Cabral</t>
  </si>
  <si>
    <t>Vinicius Manzine Lui</t>
  </si>
  <si>
    <t>Dante Lui Junior</t>
  </si>
  <si>
    <t>Fernanda Assad Negrelli</t>
  </si>
  <si>
    <t>Simone Vieira Corte Real Scott</t>
  </si>
  <si>
    <t>Silvia Foracchi</t>
  </si>
  <si>
    <t>Bruno Molinari Soldovieri</t>
  </si>
  <si>
    <t>Mário Luis Foracchi</t>
  </si>
  <si>
    <t>Daniel Gaetani Giffoni</t>
  </si>
  <si>
    <t>Ruy Paulo Baptista de Magalhães Noronha</t>
  </si>
  <si>
    <t>Mauricio Luis Cassalta De Paula Couto</t>
  </si>
  <si>
    <t>Bruno Augusto Picosse</t>
  </si>
  <si>
    <t>Maria Luiza Piassa Baldini</t>
  </si>
  <si>
    <t>Diego Gonçalves Saraiva</t>
  </si>
  <si>
    <t>Joana Appendino Vieira</t>
  </si>
  <si>
    <t>Ricardo Mancini Soares</t>
  </si>
  <si>
    <t>Marcelo Eduardo de Oliveira</t>
  </si>
  <si>
    <t>Raphael Suber Bernardes</t>
  </si>
  <si>
    <t>Maria Paula Salomon Brito</t>
  </si>
  <si>
    <t>Guilherme Dimov Succar</t>
  </si>
  <si>
    <t>Andre Luiz Felizardo</t>
  </si>
  <si>
    <t>Rafael Doche Da Motta</t>
  </si>
  <si>
    <t>Sérgio Eduardo Chinelato</t>
  </si>
  <si>
    <t>Fausto Borges Da Motta</t>
  </si>
  <si>
    <t>Flavio Graca Castanheira Junior</t>
  </si>
  <si>
    <t>Eneida Pinto Cavalheiro</t>
  </si>
  <si>
    <t>Alberoni Lino de Castro Lima e Silva</t>
  </si>
  <si>
    <t>Michelle Violato Zanqueta Rodrigues</t>
  </si>
  <si>
    <t>João Vinicius Manssur</t>
  </si>
  <si>
    <t>ANDREW HENRIQUE</t>
  </si>
  <si>
    <t>JOAO PIRES</t>
  </si>
  <si>
    <t>DOUGLAS COSTA</t>
  </si>
  <si>
    <t>IZOLA DOS SANTOS</t>
  </si>
  <si>
    <t>PEDRO WANDERLEY</t>
  </si>
  <si>
    <t>PEDRO FALANGHE</t>
  </si>
  <si>
    <t>GABRIEL PALHARES</t>
  </si>
  <si>
    <t>ANDRE REIS</t>
  </si>
  <si>
    <t>RAFAEL DOY</t>
  </si>
  <si>
    <t>KARLA AGUIAR</t>
  </si>
  <si>
    <t>CRISTIANE GOMES PEREIRA</t>
  </si>
  <si>
    <t>MARIANA GERONYMO</t>
  </si>
  <si>
    <t>BRUNO TEBET</t>
  </si>
  <si>
    <t>Avenue us</t>
  </si>
  <si>
    <t>Carteira Adm Offshore</t>
  </si>
  <si>
    <t>Dólar</t>
  </si>
  <si>
    <t xml:space="preserve">Gustavo Fleichman </t>
  </si>
  <si>
    <t>BOUTS</t>
  </si>
  <si>
    <t>Vulcano</t>
  </si>
  <si>
    <t>Geraldo Fleury</t>
  </si>
  <si>
    <t>WE3 Capital</t>
  </si>
  <si>
    <t>THIAGO FUJIWARA</t>
  </si>
  <si>
    <t>CHRISTIANE LANDIM</t>
  </si>
  <si>
    <t>Patricia Helena Morais</t>
  </si>
  <si>
    <t>ISABELA DELLA TORRE</t>
  </si>
  <si>
    <t>Célia Morais</t>
  </si>
  <si>
    <t>Andrea Consentino</t>
  </si>
  <si>
    <t>ACC BUSINESS INVESTMENT LTD</t>
  </si>
  <si>
    <t>Carlos Gil Moreira Ferreira</t>
  </si>
  <si>
    <t>Flavio Rubens de Carvalho Sousa</t>
  </si>
  <si>
    <t>BTG Cayman</t>
  </si>
  <si>
    <t>Artur José Conti</t>
  </si>
  <si>
    <t>Luiz Alberto Roubaud e/ou Sônia Regina Roubaud</t>
  </si>
  <si>
    <t>Luiz Felpipe Fornachari de Barros</t>
  </si>
  <si>
    <t>Vinicius de Mattos Quaresma e Silva (FII)</t>
  </si>
  <si>
    <t>ANDRÉ BETTIN</t>
  </si>
  <si>
    <t>Yone Pierro Calil</t>
  </si>
  <si>
    <t>Receita Estimada Asset ano</t>
  </si>
  <si>
    <t>Taxa estimada Asset a.a.</t>
  </si>
  <si>
    <t>Taxa ponderada a.a.</t>
  </si>
  <si>
    <t>Total Onshore</t>
  </si>
  <si>
    <t>Total Conversão Offshore</t>
  </si>
  <si>
    <t>Custos fixos</t>
  </si>
  <si>
    <t>Sobra</t>
  </si>
  <si>
    <t>Imposto 15%</t>
  </si>
  <si>
    <t>Gabriel</t>
  </si>
  <si>
    <t>Nova Malha</t>
  </si>
  <si>
    <t>Vender LFSC</t>
  </si>
  <si>
    <t>FIDC TAMBASA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</si>
</sst>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#,##0.00%;[Red]\(#,##0.00%\)"/>
    <numFmt numFmtId="166" formatCode="#,##0.000"/>
    <numFmt numFmtId="167" formatCode="#,##0.0%;[Red]\(#,##0.0%\)"/>
    <numFmt numFmtId="168" formatCode="#,##0%;[Red]\(#,##0%\)"/>
    <numFmt numFmtId="169" formatCode="0.000"/>
    <numFmt numFmtId="170" formatCode="_-* #,##0_-;\-* #,##0_-;_-* &quot;-&quot;??_-;_-@_-"/>
    <numFmt numFmtId="171" formatCode="[$$-409]#,##0.00"/>
    <numFmt numFmtId="172" formatCode="_-[$$-409]* #,##0.00_ ;_-[$$-409]* \-#,##0.00\ ;_-[$$-409]* &quot;-&quot;??_ ;_-@_ "/>
    <numFmt numFmtId="173" formatCode="_-[$R$-416]\ * #,##0.00_-;\-[$R$-416]\ * #,##0.00_-;_-[$R$-416]\ * &quot;-&quot;??_-;_-@_-"/>
  </numFmts>
  <fonts count="45">
    <font>
      <sz val="11"/>
      <name val="Aptos Narrow"/>
    </font>
    <font>
      <sz val="11"/>
      <name val="Aptos Narrow"/>
    </font>
    <font>
      <b/>
      <sz val="10"/>
      <color theme="1" tint="0.49998474074526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 tint="4.9989318521683403E-2"/>
      <name val="Aptos Narrow"/>
      <family val="2"/>
      <scheme val="minor"/>
    </font>
    <font>
      <b/>
      <sz val="10"/>
      <color theme="1" tint="4.9989318521683403E-2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  <font>
      <sz val="11"/>
      <name val="Aptos Narrow"/>
      <family val="2"/>
    </font>
    <font>
      <sz val="11"/>
      <name val="Montserrat"/>
    </font>
    <font>
      <b/>
      <sz val="11"/>
      <name val="Montserrat"/>
    </font>
    <font>
      <sz val="9"/>
      <name val="Montserrat"/>
    </font>
    <font>
      <b/>
      <sz val="9"/>
      <color theme="1"/>
      <name val="Montserrat"/>
    </font>
    <font>
      <sz val="9"/>
      <color theme="1"/>
      <name val="Montserrat"/>
    </font>
    <font>
      <u/>
      <sz val="9"/>
      <color theme="1"/>
      <name val="Montserrat"/>
    </font>
    <font>
      <b/>
      <sz val="9"/>
      <color rgb="FF0000FF"/>
      <name val="Montserrat"/>
    </font>
    <font>
      <sz val="9"/>
      <color rgb="FF00000F"/>
      <name val="Montserrat"/>
    </font>
    <font>
      <sz val="11"/>
      <color indexed="8"/>
      <name val="Aptos Narrow"/>
      <family val="2"/>
      <scheme val="minor"/>
    </font>
    <font>
      <sz val="10"/>
      <color theme="1"/>
      <name val="Avenir Book"/>
      <family val="2"/>
    </font>
    <font>
      <sz val="10"/>
      <color rgb="FF002060"/>
      <name val="Avenir Book"/>
      <family val="2"/>
    </font>
    <font>
      <i/>
      <sz val="10"/>
      <color theme="1"/>
      <name val="Avenir Book"/>
      <family val="2"/>
    </font>
    <font>
      <b/>
      <sz val="10"/>
      <color theme="1"/>
      <name val="Avenir Book"/>
      <family val="2"/>
    </font>
    <font>
      <b/>
      <sz val="10"/>
      <name val="Avenir Book"/>
      <family val="2"/>
    </font>
    <font>
      <sz val="10"/>
      <name val="Avenir Book"/>
      <family val="2"/>
    </font>
    <font>
      <sz val="10"/>
      <color theme="3"/>
      <name val="Avenir Book"/>
      <family val="2"/>
    </font>
    <font>
      <sz val="10"/>
      <color theme="4"/>
      <name val="Avenir Book"/>
      <family val="2"/>
    </font>
    <font>
      <sz val="10"/>
      <color theme="8"/>
      <name val="Avenir Book"/>
      <family val="2"/>
    </font>
    <font>
      <sz val="10"/>
      <color theme="1" tint="0.499984740745262"/>
      <name val="Avenir Book"/>
      <family val="2"/>
    </font>
    <font>
      <sz val="10"/>
      <color theme="9" tint="0.59999389629810485"/>
      <name val="Avenir Book"/>
      <family val="2"/>
    </font>
    <font>
      <sz val="10"/>
      <color theme="9"/>
      <name val="Avenir Book"/>
      <family val="2"/>
    </font>
    <font>
      <b/>
      <sz val="10"/>
      <color theme="4"/>
      <name val="Avenir Book"/>
      <family val="2"/>
    </font>
    <font>
      <b/>
      <sz val="10"/>
      <color theme="1" tint="0.34998626667073579"/>
      <name val="Avenir Book"/>
      <family val="2"/>
    </font>
    <font>
      <sz val="10"/>
      <color theme="1" tint="0.34998626667073579"/>
      <name val="Avenir Book"/>
      <family val="2"/>
    </font>
    <font>
      <sz val="10"/>
      <color theme="4" tint="-0.499984740745262"/>
      <name val="Avenir Book"/>
      <family val="2"/>
    </font>
    <font>
      <b/>
      <sz val="10"/>
      <color rgb="FF002060"/>
      <name val="Avenir Book"/>
      <family val="2"/>
    </font>
    <font>
      <b/>
      <sz val="14"/>
      <color rgb="FF002060"/>
      <name val="Avenir Book"/>
      <family val="2"/>
    </font>
    <font>
      <b/>
      <sz val="14"/>
      <color theme="9" tint="-0.499984740745262"/>
      <name val="Avenir Book"/>
      <family val="2"/>
    </font>
    <font>
      <sz val="11"/>
      <color theme="1"/>
      <name val="Montserrat"/>
    </font>
    <font>
      <b/>
      <sz val="8"/>
      <color rgb="FFFFFFFF"/>
      <name val="Montserrat"/>
    </font>
    <font>
      <sz val="8"/>
      <color rgb="FF000000"/>
      <name val="Montserrat"/>
    </font>
    <font>
      <sz val="8"/>
      <color rgb="FF00B050"/>
      <name val="Montserrat"/>
    </font>
    <font>
      <b/>
      <sz val="8"/>
      <color rgb="FF000000"/>
      <name val="Montserrat"/>
    </font>
    <font>
      <b/>
      <sz val="8"/>
      <color rgb="FF00AF50"/>
      <name val="Montserrat"/>
    </font>
    <font>
      <i/>
      <sz val="11"/>
      <color theme="1"/>
      <name val="Montserrat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55F6C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 style="double">
        <color theme="0" tint="-0.34998626667073579"/>
      </left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ck">
        <color theme="0" tint="-0.34998626667073579"/>
      </top>
      <bottom/>
      <diagonal/>
    </border>
    <border>
      <left style="hair">
        <color auto="1"/>
      </left>
      <right style="hair">
        <color auto="1"/>
      </right>
      <top style="thick">
        <color theme="0" tint="-0.34998626667073579"/>
      </top>
      <bottom/>
      <diagonal/>
    </border>
    <border>
      <left style="hair">
        <color auto="1"/>
      </left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 style="double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ck">
        <color theme="0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0" tint="-0.34998626667073579"/>
      </right>
      <top style="hair">
        <color auto="1"/>
      </top>
      <bottom style="hair">
        <color auto="1"/>
      </bottom>
      <diagonal/>
    </border>
    <border>
      <left style="thick">
        <color theme="0" tint="-0.34998626667073579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theme="0" tint="-0.34998626667073579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theme="0" tint="-0.34998626667073579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theme="0" tint="-0.34998626667073579"/>
      </left>
      <right style="thick">
        <color theme="0" tint="-0.34998626667073579"/>
      </right>
      <top style="dotted">
        <color auto="1"/>
      </top>
      <bottom style="dotted">
        <color auto="1"/>
      </bottom>
      <diagonal/>
    </border>
    <border>
      <left style="double">
        <color theme="0" tint="-0.34998626667073579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rgb="FF5F20E6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1F2E36"/>
      </bottom>
      <diagonal/>
    </border>
    <border>
      <left/>
      <right/>
      <top style="thin">
        <color rgb="FF5F20E6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1F2E36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395">
    <xf numFmtId="0" fontId="0" fillId="0" borderId="0" xfId="0"/>
    <xf numFmtId="0" fontId="0" fillId="0" borderId="1" xfId="0" applyBorder="1"/>
    <xf numFmtId="14" fontId="0" fillId="0" borderId="0" xfId="0" applyNumberFormat="1"/>
    <xf numFmtId="1" fontId="0" fillId="0" borderId="0" xfId="0" applyNumberFormat="1"/>
    <xf numFmtId="10" fontId="0" fillId="0" borderId="0" xfId="2" applyNumberFormat="1" applyFont="1"/>
    <xf numFmtId="0" fontId="3" fillId="2" borderId="0" xfId="3" applyFont="1" applyFill="1"/>
    <xf numFmtId="10" fontId="4" fillId="2" borderId="0" xfId="4" applyNumberFormat="1" applyFont="1" applyFill="1"/>
    <xf numFmtId="0" fontId="5" fillId="2" borderId="0" xfId="3" applyFont="1" applyFill="1" applyAlignment="1">
      <alignment wrapText="1"/>
    </xf>
    <xf numFmtId="0" fontId="4" fillId="2" borderId="2" xfId="3" applyFont="1" applyFill="1" applyBorder="1"/>
    <xf numFmtId="0" fontId="4" fillId="2" borderId="3" xfId="3" applyFont="1" applyFill="1" applyBorder="1"/>
    <xf numFmtId="10" fontId="4" fillId="2" borderId="3" xfId="4" applyNumberFormat="1" applyFont="1" applyFill="1" applyBorder="1"/>
    <xf numFmtId="43" fontId="4" fillId="2" borderId="3" xfId="3" applyNumberFormat="1" applyFont="1" applyFill="1" applyBorder="1"/>
    <xf numFmtId="0" fontId="4" fillId="2" borderId="2" xfId="3" applyFont="1" applyFill="1" applyBorder="1" applyAlignment="1">
      <alignment horizontal="center"/>
    </xf>
    <xf numFmtId="0" fontId="5" fillId="2" borderId="8" xfId="3" applyFont="1" applyFill="1" applyBorder="1" applyAlignment="1">
      <alignment wrapText="1"/>
    </xf>
    <xf numFmtId="0" fontId="3" fillId="2" borderId="8" xfId="3" applyFont="1" applyFill="1" applyBorder="1"/>
    <xf numFmtId="0" fontId="3" fillId="2" borderId="9" xfId="3" applyFont="1" applyFill="1" applyBorder="1"/>
    <xf numFmtId="10" fontId="3" fillId="2" borderId="0" xfId="4" applyNumberFormat="1" applyFont="1" applyFill="1" applyBorder="1"/>
    <xf numFmtId="0" fontId="5" fillId="2" borderId="11" xfId="3" applyFont="1" applyFill="1" applyBorder="1" applyAlignment="1">
      <alignment wrapText="1"/>
    </xf>
    <xf numFmtId="0" fontId="3" fillId="2" borderId="11" xfId="3" applyFont="1" applyFill="1" applyBorder="1"/>
    <xf numFmtId="0" fontId="4" fillId="2" borderId="12" xfId="3" applyFont="1" applyFill="1" applyBorder="1" applyAlignment="1">
      <alignment horizontal="center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10" fontId="4" fillId="2" borderId="14" xfId="4" applyNumberFormat="1" applyFont="1" applyFill="1" applyBorder="1" applyAlignment="1">
      <alignment horizontal="center" vertical="center" wrapText="1"/>
    </xf>
    <xf numFmtId="0" fontId="4" fillId="2" borderId="15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4" fillId="2" borderId="19" xfId="3" applyFont="1" applyFill="1" applyBorder="1" applyAlignment="1">
      <alignment horizontal="center" vertical="center" wrapText="1"/>
    </xf>
    <xf numFmtId="0" fontId="6" fillId="2" borderId="20" xfId="3" applyFont="1" applyFill="1" applyBorder="1" applyAlignment="1">
      <alignment horizontal="center" vertical="center" wrapText="1"/>
    </xf>
    <xf numFmtId="0" fontId="4" fillId="2" borderId="20" xfId="3" applyFont="1" applyFill="1" applyBorder="1" applyAlignment="1">
      <alignment horizontal="center" vertical="center" wrapText="1"/>
    </xf>
    <xf numFmtId="0" fontId="4" fillId="2" borderId="0" xfId="3" applyFont="1" applyFill="1" applyAlignment="1">
      <alignment horizontal="center" vertical="center" wrapText="1"/>
    </xf>
    <xf numFmtId="0" fontId="3" fillId="2" borderId="21" xfId="3" applyFont="1" applyFill="1" applyBorder="1"/>
    <xf numFmtId="0" fontId="3" fillId="2" borderId="22" xfId="3" applyFont="1" applyFill="1" applyBorder="1"/>
    <xf numFmtId="0" fontId="3" fillId="2" borderId="23" xfId="3" applyFont="1" applyFill="1" applyBorder="1"/>
    <xf numFmtId="0" fontId="3" fillId="2" borderId="23" xfId="3" applyFont="1" applyFill="1" applyBorder="1" applyAlignment="1">
      <alignment horizontal="left"/>
    </xf>
    <xf numFmtId="10" fontId="3" fillId="2" borderId="23" xfId="4" applyNumberFormat="1" applyFont="1" applyFill="1" applyBorder="1"/>
    <xf numFmtId="43" fontId="3" fillId="2" borderId="23" xfId="5" applyFont="1" applyFill="1" applyBorder="1"/>
    <xf numFmtId="9" fontId="3" fillId="2" borderId="23" xfId="3" applyNumberFormat="1" applyFont="1" applyFill="1" applyBorder="1"/>
    <xf numFmtId="14" fontId="3" fillId="2" borderId="24" xfId="3" applyNumberFormat="1" applyFont="1" applyFill="1" applyBorder="1"/>
    <xf numFmtId="0" fontId="3" fillId="2" borderId="25" xfId="3" applyFont="1" applyFill="1" applyBorder="1" applyAlignment="1">
      <alignment wrapText="1"/>
    </xf>
    <xf numFmtId="0" fontId="7" fillId="2" borderId="26" xfId="3" applyFont="1" applyFill="1" applyBorder="1" applyAlignment="1">
      <alignment wrapText="1"/>
    </xf>
    <xf numFmtId="0" fontId="3" fillId="2" borderId="27" xfId="3" applyFont="1" applyFill="1" applyBorder="1"/>
    <xf numFmtId="0" fontId="3" fillId="2" borderId="28" xfId="3" applyFont="1" applyFill="1" applyBorder="1"/>
    <xf numFmtId="0" fontId="3" fillId="2" borderId="25" xfId="3" applyFont="1" applyFill="1" applyBorder="1"/>
    <xf numFmtId="0" fontId="3" fillId="2" borderId="29" xfId="3" applyFont="1" applyFill="1" applyBorder="1"/>
    <xf numFmtId="0" fontId="3" fillId="2" borderId="30" xfId="3" applyFont="1" applyFill="1" applyBorder="1"/>
    <xf numFmtId="0" fontId="3" fillId="2" borderId="31" xfId="3" applyFont="1" applyFill="1" applyBorder="1"/>
    <xf numFmtId="10" fontId="5" fillId="2" borderId="32" xfId="4" applyNumberFormat="1" applyFont="1" applyFill="1" applyBorder="1" applyAlignment="1">
      <alignment wrapText="1"/>
    </xf>
    <xf numFmtId="10" fontId="3" fillId="2" borderId="32" xfId="4" applyNumberFormat="1" applyFont="1" applyFill="1" applyBorder="1"/>
    <xf numFmtId="0" fontId="3" fillId="2" borderId="26" xfId="3" applyFont="1" applyFill="1" applyBorder="1" applyAlignment="1">
      <alignment wrapText="1"/>
    </xf>
    <xf numFmtId="0" fontId="3" fillId="2" borderId="33" xfId="3" applyFont="1" applyFill="1" applyBorder="1"/>
    <xf numFmtId="0" fontId="3" fillId="2" borderId="27" xfId="3" applyFont="1" applyFill="1" applyBorder="1" applyAlignment="1">
      <alignment wrapText="1"/>
    </xf>
    <xf numFmtId="0" fontId="8" fillId="2" borderId="23" xfId="6" applyFill="1" applyBorder="1"/>
    <xf numFmtId="0" fontId="3" fillId="2" borderId="28" xfId="3" applyFont="1" applyFill="1" applyBorder="1" applyAlignment="1">
      <alignment horizontal="left" wrapText="1"/>
    </xf>
    <xf numFmtId="0" fontId="5" fillId="2" borderId="32" xfId="3" applyFont="1" applyFill="1" applyBorder="1" applyAlignment="1">
      <alignment wrapText="1"/>
    </xf>
    <xf numFmtId="0" fontId="3" fillId="2" borderId="32" xfId="3" applyFont="1" applyFill="1" applyBorder="1"/>
    <xf numFmtId="14" fontId="3" fillId="2" borderId="27" xfId="3" applyNumberFormat="1" applyFont="1" applyFill="1" applyBorder="1"/>
    <xf numFmtId="14" fontId="3" fillId="2" borderId="29" xfId="3" applyNumberFormat="1" applyFont="1" applyFill="1" applyBorder="1"/>
    <xf numFmtId="14" fontId="3" fillId="2" borderId="28" xfId="3" applyNumberFormat="1" applyFont="1" applyFill="1" applyBorder="1"/>
    <xf numFmtId="0" fontId="3" fillId="3" borderId="22" xfId="3" applyFont="1" applyFill="1" applyBorder="1"/>
    <xf numFmtId="0" fontId="3" fillId="4" borderId="23" xfId="3" applyFont="1" applyFill="1" applyBorder="1"/>
    <xf numFmtId="0" fontId="9" fillId="0" borderId="0" xfId="7"/>
    <xf numFmtId="10" fontId="5" fillId="5" borderId="32" xfId="4" applyNumberFormat="1" applyFont="1" applyFill="1" applyBorder="1" applyAlignment="1">
      <alignment wrapText="1"/>
    </xf>
    <xf numFmtId="0" fontId="9" fillId="0" borderId="0" xfId="8"/>
    <xf numFmtId="43" fontId="3" fillId="2" borderId="0" xfId="5" applyFont="1" applyFill="1"/>
    <xf numFmtId="10" fontId="3" fillId="2" borderId="0" xfId="3" applyNumberFormat="1" applyFont="1" applyFill="1"/>
    <xf numFmtId="43" fontId="3" fillId="2" borderId="0" xfId="3" applyNumberFormat="1" applyFont="1" applyFill="1"/>
    <xf numFmtId="10" fontId="3" fillId="2" borderId="0" xfId="4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0" fontId="10" fillId="0" borderId="0" xfId="0" applyNumberFormat="1" applyFont="1"/>
    <xf numFmtId="44" fontId="10" fillId="0" borderId="0" xfId="1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10" fontId="13" fillId="0" borderId="0" xfId="2" applyNumberFormat="1" applyFont="1"/>
    <xf numFmtId="44" fontId="13" fillId="0" borderId="0" xfId="0" applyNumberFormat="1" applyFont="1"/>
    <xf numFmtId="10" fontId="13" fillId="0" borderId="0" xfId="0" applyNumberFormat="1" applyFont="1"/>
    <xf numFmtId="0" fontId="1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/>
    </xf>
    <xf numFmtId="0" fontId="15" fillId="2" borderId="34" xfId="6" applyFont="1" applyFill="1" applyBorder="1" applyAlignment="1">
      <alignment horizontal="center" vertical="center"/>
    </xf>
    <xf numFmtId="10" fontId="14" fillId="2" borderId="34" xfId="4" applyNumberFormat="1" applyFont="1" applyFill="1" applyBorder="1" applyAlignment="1">
      <alignment horizontal="center" vertical="center"/>
    </xf>
    <xf numFmtId="9" fontId="14" fillId="2" borderId="34" xfId="0" applyNumberFormat="1" applyFont="1" applyFill="1" applyBorder="1" applyAlignment="1">
      <alignment horizontal="center" vertical="center"/>
    </xf>
    <xf numFmtId="10" fontId="14" fillId="0" borderId="34" xfId="0" applyNumberFormat="1" applyFont="1" applyBorder="1" applyAlignment="1">
      <alignment horizontal="center" vertical="center"/>
    </xf>
    <xf numFmtId="44" fontId="14" fillId="0" borderId="34" xfId="1" applyFont="1" applyBorder="1" applyAlignment="1">
      <alignment horizontal="center" vertical="center"/>
    </xf>
    <xf numFmtId="164" fontId="14" fillId="0" borderId="34" xfId="2" applyNumberFormat="1" applyFont="1" applyBorder="1" applyAlignment="1">
      <alignment horizontal="center" vertical="center"/>
    </xf>
    <xf numFmtId="0" fontId="14" fillId="0" borderId="34" xfId="8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0" borderId="34" xfId="7" applyFont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14" fontId="17" fillId="0" borderId="34" xfId="0" applyNumberFormat="1" applyFont="1" applyBorder="1" applyAlignment="1">
      <alignment horizontal="center" vertical="center"/>
    </xf>
    <xf numFmtId="44" fontId="17" fillId="0" borderId="34" xfId="1" applyFont="1" applyBorder="1" applyAlignment="1">
      <alignment horizontal="center" vertical="center"/>
    </xf>
    <xf numFmtId="10" fontId="17" fillId="0" borderId="34" xfId="2" applyNumberFormat="1" applyFont="1" applyBorder="1" applyAlignment="1">
      <alignment horizontal="center" vertical="center"/>
    </xf>
    <xf numFmtId="10" fontId="12" fillId="0" borderId="34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4" xfId="0" applyFont="1" applyFill="1" applyBorder="1" applyAlignment="1">
      <alignment horizontal="center" vertical="center"/>
    </xf>
    <xf numFmtId="0" fontId="15" fillId="6" borderId="34" xfId="6" applyFont="1" applyFill="1" applyBorder="1" applyAlignment="1">
      <alignment horizontal="center" vertical="center"/>
    </xf>
    <xf numFmtId="10" fontId="14" fillId="6" borderId="34" xfId="4" applyNumberFormat="1" applyFont="1" applyFill="1" applyBorder="1" applyAlignment="1">
      <alignment horizontal="center" vertical="center"/>
    </xf>
    <xf numFmtId="9" fontId="14" fillId="6" borderId="34" xfId="0" applyNumberFormat="1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 wrapText="1"/>
    </xf>
    <xf numFmtId="10" fontId="14" fillId="6" borderId="34" xfId="0" applyNumberFormat="1" applyFont="1" applyFill="1" applyBorder="1" applyAlignment="1">
      <alignment horizontal="center" vertical="center"/>
    </xf>
    <xf numFmtId="44" fontId="14" fillId="6" borderId="34" xfId="1" applyFont="1" applyFill="1" applyBorder="1" applyAlignment="1">
      <alignment horizontal="center" vertical="center"/>
    </xf>
    <xf numFmtId="164" fontId="14" fillId="6" borderId="34" xfId="2" applyNumberFormat="1" applyFont="1" applyFill="1" applyBorder="1" applyAlignment="1">
      <alignment horizontal="center" vertical="center"/>
    </xf>
    <xf numFmtId="0" fontId="14" fillId="6" borderId="0" xfId="0" applyFont="1" applyFill="1"/>
    <xf numFmtId="0" fontId="19" fillId="2" borderId="0" xfId="9" applyFont="1" applyFill="1" applyAlignment="1">
      <alignment vertical="center"/>
    </xf>
    <xf numFmtId="164" fontId="19" fillId="2" borderId="0" xfId="10" applyNumberFormat="1" applyFont="1" applyFill="1" applyAlignment="1">
      <alignment horizontal="center" vertical="center"/>
    </xf>
    <xf numFmtId="0" fontId="19" fillId="2" borderId="0" xfId="9" applyFont="1" applyFill="1" applyAlignment="1">
      <alignment horizontal="left" vertical="center"/>
    </xf>
    <xf numFmtId="10" fontId="19" fillId="2" borderId="0" xfId="9" applyNumberFormat="1" applyFont="1" applyFill="1" applyAlignment="1">
      <alignment vertical="center"/>
    </xf>
    <xf numFmtId="165" fontId="19" fillId="2" borderId="35" xfId="9" applyNumberFormat="1" applyFont="1" applyFill="1" applyBorder="1" applyAlignment="1">
      <alignment horizontal="center" vertical="center"/>
    </xf>
    <xf numFmtId="165" fontId="19" fillId="2" borderId="36" xfId="9" applyNumberFormat="1" applyFont="1" applyFill="1" applyBorder="1" applyAlignment="1">
      <alignment horizontal="center" vertical="center"/>
    </xf>
    <xf numFmtId="165" fontId="19" fillId="2" borderId="37" xfId="9" applyNumberFormat="1" applyFont="1" applyFill="1" applyBorder="1" applyAlignment="1">
      <alignment horizontal="center" vertical="center"/>
    </xf>
    <xf numFmtId="165" fontId="19" fillId="7" borderId="36" xfId="9" applyNumberFormat="1" applyFont="1" applyFill="1" applyBorder="1" applyAlignment="1">
      <alignment horizontal="left" vertical="center"/>
    </xf>
    <xf numFmtId="164" fontId="19" fillId="7" borderId="36" xfId="10" applyNumberFormat="1" applyFont="1" applyFill="1" applyBorder="1" applyAlignment="1">
      <alignment horizontal="center" vertical="center"/>
    </xf>
    <xf numFmtId="165" fontId="19" fillId="7" borderId="37" xfId="9" applyNumberFormat="1" applyFont="1" applyFill="1" applyBorder="1" applyAlignment="1">
      <alignment horizontal="left" vertical="center"/>
    </xf>
    <xf numFmtId="165" fontId="19" fillId="2" borderId="38" xfId="9" applyNumberFormat="1" applyFont="1" applyFill="1" applyBorder="1" applyAlignment="1">
      <alignment horizontal="center" vertical="center"/>
    </xf>
    <xf numFmtId="165" fontId="19" fillId="2" borderId="39" xfId="9" applyNumberFormat="1" applyFont="1" applyFill="1" applyBorder="1" applyAlignment="1">
      <alignment horizontal="center" vertical="center"/>
    </xf>
    <xf numFmtId="165" fontId="19" fillId="2" borderId="40" xfId="9" applyNumberFormat="1" applyFont="1" applyFill="1" applyBorder="1" applyAlignment="1">
      <alignment horizontal="center" vertical="center"/>
    </xf>
    <xf numFmtId="0" fontId="19" fillId="7" borderId="39" xfId="9" applyFont="1" applyFill="1" applyBorder="1" applyAlignment="1">
      <alignment vertical="center"/>
    </xf>
    <xf numFmtId="164" fontId="19" fillId="7" borderId="39" xfId="10" applyNumberFormat="1" applyFont="1" applyFill="1" applyBorder="1" applyAlignment="1">
      <alignment horizontal="center" vertical="center"/>
    </xf>
    <xf numFmtId="165" fontId="19" fillId="7" borderId="39" xfId="9" applyNumberFormat="1" applyFont="1" applyFill="1" applyBorder="1" applyAlignment="1">
      <alignment horizontal="left" vertical="center"/>
    </xf>
    <xf numFmtId="165" fontId="19" fillId="7" borderId="40" xfId="9" applyNumberFormat="1" applyFont="1" applyFill="1" applyBorder="1" applyAlignment="1">
      <alignment horizontal="left" vertical="center"/>
    </xf>
    <xf numFmtId="165" fontId="19" fillId="2" borderId="41" xfId="9" applyNumberFormat="1" applyFont="1" applyFill="1" applyBorder="1" applyAlignment="1">
      <alignment horizontal="center" vertical="center"/>
    </xf>
    <xf numFmtId="165" fontId="19" fillId="2" borderId="0" xfId="9" applyNumberFormat="1" applyFont="1" applyFill="1" applyAlignment="1">
      <alignment horizontal="center" vertical="center"/>
    </xf>
    <xf numFmtId="165" fontId="19" fillId="2" borderId="42" xfId="9" applyNumberFormat="1" applyFont="1" applyFill="1" applyBorder="1" applyAlignment="1">
      <alignment horizontal="center" vertical="center"/>
    </xf>
    <xf numFmtId="10" fontId="19" fillId="2" borderId="0" xfId="9" applyNumberFormat="1" applyFont="1" applyFill="1" applyAlignment="1">
      <alignment horizontal="center" vertical="center"/>
    </xf>
    <xf numFmtId="165" fontId="19" fillId="7" borderId="0" xfId="9" applyNumberFormat="1" applyFont="1" applyFill="1" applyAlignment="1">
      <alignment horizontal="left" vertical="center"/>
    </xf>
    <xf numFmtId="164" fontId="19" fillId="7" borderId="0" xfId="10" applyNumberFormat="1" applyFont="1" applyFill="1" applyBorder="1" applyAlignment="1">
      <alignment horizontal="center" vertical="center"/>
    </xf>
    <xf numFmtId="165" fontId="19" fillId="7" borderId="42" xfId="9" applyNumberFormat="1" applyFont="1" applyFill="1" applyBorder="1" applyAlignment="1">
      <alignment horizontal="left" vertical="center"/>
    </xf>
    <xf numFmtId="0" fontId="19" fillId="7" borderId="0" xfId="9" applyFont="1" applyFill="1" applyAlignment="1">
      <alignment vertical="center"/>
    </xf>
    <xf numFmtId="164" fontId="19" fillId="7" borderId="0" xfId="10" applyNumberFormat="1" applyFont="1" applyFill="1" applyBorder="1" applyAlignment="1">
      <alignment horizontal="left" vertical="center"/>
    </xf>
    <xf numFmtId="165" fontId="20" fillId="2" borderId="43" xfId="10" applyNumberFormat="1" applyFont="1" applyFill="1" applyBorder="1" applyAlignment="1">
      <alignment horizontal="center" vertical="center"/>
    </xf>
    <xf numFmtId="0" fontId="19" fillId="7" borderId="37" xfId="9" applyFont="1" applyFill="1" applyBorder="1" applyAlignment="1">
      <alignment horizontal="left" vertical="center"/>
    </xf>
    <xf numFmtId="165" fontId="19" fillId="7" borderId="43" xfId="9" applyNumberFormat="1" applyFont="1" applyFill="1" applyBorder="1" applyAlignment="1">
      <alignment horizontal="center" vertical="center"/>
    </xf>
    <xf numFmtId="10" fontId="21" fillId="7" borderId="37" xfId="10" applyNumberFormat="1" applyFont="1" applyFill="1" applyBorder="1" applyAlignment="1">
      <alignment horizontal="left" vertical="center"/>
    </xf>
    <xf numFmtId="3" fontId="20" fillId="2" borderId="44" xfId="11" applyNumberFormat="1" applyFont="1" applyFill="1" applyBorder="1" applyAlignment="1">
      <alignment horizontal="center" vertical="center"/>
    </xf>
    <xf numFmtId="165" fontId="20" fillId="2" borderId="45" xfId="10" applyNumberFormat="1" applyFont="1" applyFill="1" applyBorder="1" applyAlignment="1">
      <alignment horizontal="center" vertical="center"/>
    </xf>
    <xf numFmtId="165" fontId="19" fillId="7" borderId="46" xfId="9" applyNumberFormat="1" applyFont="1" applyFill="1" applyBorder="1" applyAlignment="1">
      <alignment horizontal="left" vertical="center"/>
    </xf>
    <xf numFmtId="165" fontId="20" fillId="2" borderId="44" xfId="9" applyNumberFormat="1" applyFont="1" applyFill="1" applyBorder="1" applyAlignment="1">
      <alignment horizontal="center" vertical="center"/>
    </xf>
    <xf numFmtId="3" fontId="19" fillId="7" borderId="42" xfId="11" applyNumberFormat="1" applyFont="1" applyFill="1" applyBorder="1" applyAlignment="1">
      <alignment vertical="center"/>
    </xf>
    <xf numFmtId="165" fontId="21" fillId="7" borderId="37" xfId="9" applyNumberFormat="1" applyFont="1" applyFill="1" applyBorder="1" applyAlignment="1">
      <alignment horizontal="left" vertical="center"/>
    </xf>
    <xf numFmtId="4" fontId="20" fillId="2" borderId="44" xfId="11" applyNumberFormat="1" applyFont="1" applyFill="1" applyBorder="1" applyAlignment="1">
      <alignment horizontal="center" vertical="center"/>
    </xf>
    <xf numFmtId="166" fontId="19" fillId="7" borderId="42" xfId="11" applyNumberFormat="1" applyFont="1" applyFill="1" applyBorder="1" applyAlignment="1">
      <alignment horizontal="left" vertical="center"/>
    </xf>
    <xf numFmtId="0" fontId="19" fillId="8" borderId="41" xfId="9" applyFont="1" applyFill="1" applyBorder="1" applyAlignment="1">
      <alignment horizontal="center" vertical="center"/>
    </xf>
    <xf numFmtId="0" fontId="19" fillId="8" borderId="0" xfId="9" applyFont="1" applyFill="1" applyAlignment="1">
      <alignment vertical="center"/>
    </xf>
    <xf numFmtId="164" fontId="19" fillId="8" borderId="0" xfId="10" applyNumberFormat="1" applyFont="1" applyFill="1" applyBorder="1" applyAlignment="1">
      <alignment horizontal="center" vertical="center"/>
    </xf>
    <xf numFmtId="0" fontId="19" fillId="8" borderId="42" xfId="9" applyFont="1" applyFill="1" applyBorder="1" applyAlignment="1">
      <alignment vertical="center"/>
    </xf>
    <xf numFmtId="0" fontId="19" fillId="8" borderId="45" xfId="9" applyFont="1" applyFill="1" applyBorder="1" applyAlignment="1">
      <alignment horizontal="center" vertical="center"/>
    </xf>
    <xf numFmtId="0" fontId="19" fillId="8" borderId="45" xfId="9" applyFont="1" applyFill="1" applyBorder="1" applyAlignment="1">
      <alignment horizontal="left" vertical="center"/>
    </xf>
    <xf numFmtId="165" fontId="19" fillId="2" borderId="47" xfId="9" applyNumberFormat="1" applyFont="1" applyFill="1" applyBorder="1" applyAlignment="1">
      <alignment horizontal="center" vertical="center"/>
    </xf>
    <xf numFmtId="165" fontId="19" fillId="2" borderId="48" xfId="9" applyNumberFormat="1" applyFont="1" applyFill="1" applyBorder="1" applyAlignment="1">
      <alignment horizontal="center" vertical="center"/>
    </xf>
    <xf numFmtId="165" fontId="22" fillId="2" borderId="48" xfId="9" applyNumberFormat="1" applyFont="1" applyFill="1" applyBorder="1" applyAlignment="1">
      <alignment horizontal="left" vertical="center"/>
    </xf>
    <xf numFmtId="164" fontId="22" fillId="2" borderId="48" xfId="10" applyNumberFormat="1" applyFont="1" applyFill="1" applyBorder="1" applyAlignment="1">
      <alignment horizontal="center" vertical="center"/>
    </xf>
    <xf numFmtId="165" fontId="22" fillId="2" borderId="49" xfId="9" applyNumberFormat="1" applyFont="1" applyFill="1" applyBorder="1" applyAlignment="1">
      <alignment horizontal="left" vertical="center"/>
    </xf>
    <xf numFmtId="0" fontId="19" fillId="2" borderId="0" xfId="9" applyFont="1" applyFill="1" applyAlignment="1">
      <alignment horizontal="center" vertical="center"/>
    </xf>
    <xf numFmtId="9" fontId="19" fillId="7" borderId="45" xfId="10" applyFont="1" applyFill="1" applyBorder="1" applyAlignment="1">
      <alignment horizontal="right" vertical="center"/>
    </xf>
    <xf numFmtId="165" fontId="19" fillId="7" borderId="35" xfId="9" applyNumberFormat="1" applyFont="1" applyFill="1" applyBorder="1" applyAlignment="1">
      <alignment horizontal="left" vertical="center"/>
    </xf>
    <xf numFmtId="164" fontId="19" fillId="7" borderId="37" xfId="10" applyNumberFormat="1" applyFont="1" applyFill="1" applyBorder="1" applyAlignment="1">
      <alignment horizontal="center" vertical="center"/>
    </xf>
    <xf numFmtId="167" fontId="19" fillId="7" borderId="45" xfId="9" applyNumberFormat="1" applyFont="1" applyFill="1" applyBorder="1" applyAlignment="1">
      <alignment horizontal="center" vertical="center"/>
    </xf>
    <xf numFmtId="0" fontId="19" fillId="7" borderId="47" xfId="9" applyFont="1" applyFill="1" applyBorder="1" applyAlignment="1">
      <alignment horizontal="left" vertical="center"/>
    </xf>
    <xf numFmtId="0" fontId="19" fillId="7" borderId="48" xfId="9" applyFont="1" applyFill="1" applyBorder="1" applyAlignment="1">
      <alignment horizontal="left" vertical="center"/>
    </xf>
    <xf numFmtId="164" fontId="19" fillId="7" borderId="48" xfId="10" applyNumberFormat="1" applyFont="1" applyFill="1" applyBorder="1" applyAlignment="1">
      <alignment horizontal="center" vertical="center"/>
    </xf>
    <xf numFmtId="164" fontId="19" fillId="7" borderId="49" xfId="10" applyNumberFormat="1" applyFont="1" applyFill="1" applyBorder="1" applyAlignment="1">
      <alignment horizontal="center" vertical="center"/>
    </xf>
    <xf numFmtId="0" fontId="19" fillId="7" borderId="41" xfId="9" applyFont="1" applyFill="1" applyBorder="1" applyAlignment="1">
      <alignment horizontal="left" vertical="center"/>
    </xf>
    <xf numFmtId="0" fontId="19" fillId="7" borderId="0" xfId="9" applyFont="1" applyFill="1" applyAlignment="1">
      <alignment horizontal="left" vertical="center"/>
    </xf>
    <xf numFmtId="0" fontId="19" fillId="7" borderId="42" xfId="9" applyFont="1" applyFill="1" applyBorder="1" applyAlignment="1">
      <alignment horizontal="left" vertical="center"/>
    </xf>
    <xf numFmtId="168" fontId="19" fillId="2" borderId="45" xfId="9" applyNumberFormat="1" applyFont="1" applyFill="1" applyBorder="1" applyAlignment="1">
      <alignment horizontal="center" vertical="center"/>
    </xf>
    <xf numFmtId="3" fontId="22" fillId="8" borderId="50" xfId="11" applyNumberFormat="1" applyFont="1" applyFill="1" applyBorder="1" applyAlignment="1">
      <alignment vertical="center"/>
    </xf>
    <xf numFmtId="164" fontId="19" fillId="8" borderId="51" xfId="9" applyNumberFormat="1" applyFont="1" applyFill="1" applyBorder="1" applyAlignment="1">
      <alignment horizontal="center" vertical="center"/>
    </xf>
    <xf numFmtId="164" fontId="19" fillId="8" borderId="46" xfId="9" applyNumberFormat="1" applyFont="1" applyFill="1" applyBorder="1" applyAlignment="1">
      <alignment vertical="center"/>
    </xf>
    <xf numFmtId="3" fontId="19" fillId="8" borderId="50" xfId="11" applyNumberFormat="1" applyFont="1" applyFill="1" applyBorder="1" applyAlignment="1">
      <alignment vertical="center"/>
    </xf>
    <xf numFmtId="164" fontId="19" fillId="8" borderId="50" xfId="9" applyNumberFormat="1" applyFont="1" applyFill="1" applyBorder="1" applyAlignment="1">
      <alignment vertical="center"/>
    </xf>
    <xf numFmtId="3" fontId="22" fillId="8" borderId="46" xfId="11" applyNumberFormat="1" applyFont="1" applyFill="1" applyBorder="1" applyAlignment="1">
      <alignment vertical="center"/>
    </xf>
    <xf numFmtId="3" fontId="22" fillId="8" borderId="51" xfId="11" applyNumberFormat="1" applyFont="1" applyFill="1" applyBorder="1" applyAlignment="1">
      <alignment vertical="center"/>
    </xf>
    <xf numFmtId="164" fontId="19" fillId="8" borderId="46" xfId="10" applyNumberFormat="1" applyFont="1" applyFill="1" applyBorder="1" applyAlignment="1">
      <alignment horizontal="center" vertical="center"/>
    </xf>
    <xf numFmtId="3" fontId="19" fillId="7" borderId="42" xfId="11" applyNumberFormat="1" applyFont="1" applyFill="1" applyBorder="1" applyAlignment="1">
      <alignment horizontal="left" vertical="center"/>
    </xf>
    <xf numFmtId="0" fontId="23" fillId="2" borderId="45" xfId="9" applyFont="1" applyFill="1" applyBorder="1" applyAlignment="1">
      <alignment horizontal="center" vertical="center"/>
    </xf>
    <xf numFmtId="0" fontId="24" fillId="2" borderId="45" xfId="9" applyFont="1" applyFill="1" applyBorder="1" applyAlignment="1">
      <alignment horizontal="center" vertical="center"/>
    </xf>
    <xf numFmtId="3" fontId="24" fillId="2" borderId="41" xfId="11" applyNumberFormat="1" applyFont="1" applyFill="1" applyBorder="1" applyAlignment="1">
      <alignment vertical="center"/>
    </xf>
    <xf numFmtId="164" fontId="24" fillId="2" borderId="0" xfId="9" applyNumberFormat="1" applyFont="1" applyFill="1" applyAlignment="1">
      <alignment horizontal="center" vertical="center"/>
    </xf>
    <xf numFmtId="164" fontId="24" fillId="2" borderId="42" xfId="9" applyNumberFormat="1" applyFont="1" applyFill="1" applyBorder="1" applyAlignment="1">
      <alignment vertical="center"/>
    </xf>
    <xf numFmtId="164" fontId="24" fillId="2" borderId="41" xfId="9" applyNumberFormat="1" applyFont="1" applyFill="1" applyBorder="1" applyAlignment="1">
      <alignment vertical="center"/>
    </xf>
    <xf numFmtId="3" fontId="24" fillId="2" borderId="42" xfId="11" applyNumberFormat="1" applyFont="1" applyFill="1" applyBorder="1" applyAlignment="1">
      <alignment vertical="center"/>
    </xf>
    <xf numFmtId="0" fontId="25" fillId="9" borderId="45" xfId="9" applyFont="1" applyFill="1" applyBorder="1" applyAlignment="1">
      <alignment horizontal="center" vertical="center"/>
    </xf>
    <xf numFmtId="164" fontId="20" fillId="2" borderId="45" xfId="10" applyNumberFormat="1" applyFont="1" applyFill="1" applyBorder="1" applyAlignment="1">
      <alignment horizontal="center" vertical="center"/>
    </xf>
    <xf numFmtId="164" fontId="20" fillId="2" borderId="46" xfId="10" applyNumberFormat="1" applyFont="1" applyFill="1" applyBorder="1" applyAlignment="1">
      <alignment horizontal="center" vertical="center"/>
    </xf>
    <xf numFmtId="3" fontId="19" fillId="7" borderId="41" xfId="11" applyNumberFormat="1" applyFont="1" applyFill="1" applyBorder="1" applyAlignment="1">
      <alignment vertical="center"/>
    </xf>
    <xf numFmtId="3" fontId="19" fillId="7" borderId="0" xfId="11" applyNumberFormat="1" applyFont="1" applyFill="1" applyBorder="1" applyAlignment="1">
      <alignment vertical="center"/>
    </xf>
    <xf numFmtId="165" fontId="20" fillId="2" borderId="43" xfId="9" applyNumberFormat="1" applyFont="1" applyFill="1" applyBorder="1" applyAlignment="1">
      <alignment horizontal="center" vertical="center"/>
    </xf>
    <xf numFmtId="0" fontId="24" fillId="2" borderId="41" xfId="9" applyFont="1" applyFill="1" applyBorder="1" applyAlignment="1">
      <alignment vertical="center"/>
    </xf>
    <xf numFmtId="0" fontId="24" fillId="2" borderId="42" xfId="9" applyFont="1" applyFill="1" applyBorder="1" applyAlignment="1">
      <alignment vertical="center"/>
    </xf>
    <xf numFmtId="165" fontId="19" fillId="7" borderId="44" xfId="9" applyNumberFormat="1" applyFont="1" applyFill="1" applyBorder="1" applyAlignment="1">
      <alignment horizontal="left" vertical="center"/>
    </xf>
    <xf numFmtId="0" fontId="19" fillId="7" borderId="41" xfId="9" applyFont="1" applyFill="1" applyBorder="1" applyAlignment="1">
      <alignment vertical="center"/>
    </xf>
    <xf numFmtId="0" fontId="19" fillId="7" borderId="42" xfId="9" applyFont="1" applyFill="1" applyBorder="1" applyAlignment="1">
      <alignment vertical="center"/>
    </xf>
    <xf numFmtId="164" fontId="24" fillId="2" borderId="47" xfId="9" applyNumberFormat="1" applyFont="1" applyFill="1" applyBorder="1" applyAlignment="1">
      <alignment vertical="center"/>
    </xf>
    <xf numFmtId="164" fontId="24" fillId="2" borderId="48" xfId="9" applyNumberFormat="1" applyFont="1" applyFill="1" applyBorder="1" applyAlignment="1">
      <alignment horizontal="center" vertical="center"/>
    </xf>
    <xf numFmtId="164" fontId="24" fillId="2" borderId="49" xfId="9" applyNumberFormat="1" applyFont="1" applyFill="1" applyBorder="1" applyAlignment="1">
      <alignment vertical="center"/>
    </xf>
    <xf numFmtId="0" fontId="24" fillId="2" borderId="49" xfId="9" applyFont="1" applyFill="1" applyBorder="1" applyAlignment="1">
      <alignment vertical="center"/>
    </xf>
    <xf numFmtId="164" fontId="20" fillId="2" borderId="43" xfId="10" applyNumberFormat="1" applyFont="1" applyFill="1" applyBorder="1" applyAlignment="1">
      <alignment horizontal="center" vertical="center"/>
    </xf>
    <xf numFmtId="164" fontId="20" fillId="2" borderId="37" xfId="10" applyNumberFormat="1" applyFont="1" applyFill="1" applyBorder="1" applyAlignment="1">
      <alignment horizontal="center" vertical="center"/>
    </xf>
    <xf numFmtId="0" fontId="26" fillId="2" borderId="35" xfId="9" applyFont="1" applyFill="1" applyBorder="1" applyAlignment="1">
      <alignment horizontal="center" vertical="center"/>
    </xf>
    <xf numFmtId="0" fontId="27" fillId="2" borderId="36" xfId="9" applyFont="1" applyFill="1" applyBorder="1" applyAlignment="1">
      <alignment horizontal="center" vertical="center"/>
    </xf>
    <xf numFmtId="0" fontId="28" fillId="2" borderId="36" xfId="9" applyFont="1" applyFill="1" applyBorder="1" applyAlignment="1">
      <alignment horizontal="center" vertical="center"/>
    </xf>
    <xf numFmtId="0" fontId="29" fillId="2" borderId="36" xfId="9" applyFont="1" applyFill="1" applyBorder="1" applyAlignment="1">
      <alignment horizontal="center" vertical="center"/>
    </xf>
    <xf numFmtId="0" fontId="30" fillId="2" borderId="37" xfId="9" applyFont="1" applyFill="1" applyBorder="1" applyAlignment="1">
      <alignment horizontal="center" vertical="center"/>
    </xf>
    <xf numFmtId="164" fontId="19" fillId="7" borderId="52" xfId="10" applyNumberFormat="1" applyFont="1" applyFill="1" applyBorder="1" applyAlignment="1">
      <alignment horizontal="center" vertical="center"/>
    </xf>
    <xf numFmtId="165" fontId="19" fillId="7" borderId="53" xfId="9" applyNumberFormat="1" applyFont="1" applyFill="1" applyBorder="1" applyAlignment="1">
      <alignment horizontal="left" vertical="center"/>
    </xf>
    <xf numFmtId="165" fontId="19" fillId="7" borderId="1" xfId="9" applyNumberFormat="1" applyFont="1" applyFill="1" applyBorder="1" applyAlignment="1">
      <alignment horizontal="left" vertical="center"/>
    </xf>
    <xf numFmtId="165" fontId="19" fillId="7" borderId="52" xfId="9" applyNumberFormat="1" applyFont="1" applyFill="1" applyBorder="1" applyAlignment="1">
      <alignment horizontal="left" vertical="center"/>
    </xf>
    <xf numFmtId="0" fontId="26" fillId="2" borderId="41" xfId="9" applyFont="1" applyFill="1" applyBorder="1" applyAlignment="1">
      <alignment horizontal="center" vertical="center"/>
    </xf>
    <xf numFmtId="0" fontId="27" fillId="2" borderId="0" xfId="9" applyFont="1" applyFill="1" applyAlignment="1">
      <alignment horizontal="center" vertical="center"/>
    </xf>
    <xf numFmtId="0" fontId="28" fillId="2" borderId="0" xfId="9" applyFont="1" applyFill="1" applyAlignment="1">
      <alignment horizontal="center" vertical="center"/>
    </xf>
    <xf numFmtId="0" fontId="29" fillId="2" borderId="0" xfId="9" applyFont="1" applyFill="1" applyAlignment="1">
      <alignment horizontal="center" vertical="center"/>
    </xf>
    <xf numFmtId="0" fontId="30" fillId="2" borderId="42" xfId="9" applyFont="1" applyFill="1" applyBorder="1" applyAlignment="1">
      <alignment horizontal="center" vertical="center"/>
    </xf>
    <xf numFmtId="164" fontId="19" fillId="7" borderId="42" xfId="10" applyNumberFormat="1" applyFont="1" applyFill="1" applyBorder="1" applyAlignment="1">
      <alignment horizontal="center" vertical="center"/>
    </xf>
    <xf numFmtId="165" fontId="19" fillId="7" borderId="41" xfId="9" applyNumberFormat="1" applyFont="1" applyFill="1" applyBorder="1" applyAlignment="1">
      <alignment horizontal="left" vertical="center"/>
    </xf>
    <xf numFmtId="164" fontId="24" fillId="7" borderId="41" xfId="9" applyNumberFormat="1" applyFont="1" applyFill="1" applyBorder="1" applyAlignment="1">
      <alignment vertical="center"/>
    </xf>
    <xf numFmtId="164" fontId="24" fillId="7" borderId="0" xfId="9" applyNumberFormat="1" applyFont="1" applyFill="1" applyAlignment="1">
      <alignment horizontal="center" vertical="center"/>
    </xf>
    <xf numFmtId="164" fontId="24" fillId="7" borderId="42" xfId="9" applyNumberFormat="1" applyFont="1" applyFill="1" applyBorder="1" applyAlignment="1">
      <alignment vertical="center"/>
    </xf>
    <xf numFmtId="0" fontId="24" fillId="7" borderId="42" xfId="9" applyFont="1" applyFill="1" applyBorder="1" applyAlignment="1">
      <alignment vertical="center"/>
    </xf>
    <xf numFmtId="164" fontId="19" fillId="7" borderId="46" xfId="10" applyNumberFormat="1" applyFont="1" applyFill="1" applyBorder="1" applyAlignment="1">
      <alignment horizontal="center" vertical="center"/>
    </xf>
    <xf numFmtId="164" fontId="19" fillId="7" borderId="50" xfId="10" applyNumberFormat="1" applyFont="1" applyFill="1" applyBorder="1" applyAlignment="1">
      <alignment horizontal="left" vertical="center"/>
    </xf>
    <xf numFmtId="167" fontId="19" fillId="7" borderId="43" xfId="9" applyNumberFormat="1" applyFont="1" applyFill="1" applyBorder="1" applyAlignment="1">
      <alignment horizontal="center" vertical="center"/>
    </xf>
    <xf numFmtId="166" fontId="20" fillId="2" borderId="44" xfId="11" applyNumberFormat="1" applyFont="1" applyFill="1" applyBorder="1" applyAlignment="1">
      <alignment horizontal="center" vertical="center"/>
    </xf>
    <xf numFmtId="164" fontId="24" fillId="8" borderId="47" xfId="9" applyNumberFormat="1" applyFont="1" applyFill="1" applyBorder="1" applyAlignment="1">
      <alignment vertical="center"/>
    </xf>
    <xf numFmtId="164" fontId="24" fillId="8" borderId="48" xfId="9" applyNumberFormat="1" applyFont="1" applyFill="1" applyBorder="1" applyAlignment="1">
      <alignment horizontal="center" vertical="center"/>
    </xf>
    <xf numFmtId="164" fontId="24" fillId="8" borderId="49" xfId="9" applyNumberFormat="1" applyFont="1" applyFill="1" applyBorder="1" applyAlignment="1">
      <alignment vertical="center"/>
    </xf>
    <xf numFmtId="0" fontId="24" fillId="8" borderId="49" xfId="9" applyFont="1" applyFill="1" applyBorder="1" applyAlignment="1">
      <alignment vertical="center"/>
    </xf>
    <xf numFmtId="164" fontId="20" fillId="6" borderId="37" xfId="10" applyNumberFormat="1" applyFont="1" applyFill="1" applyBorder="1" applyAlignment="1">
      <alignment horizontal="center" vertical="center"/>
    </xf>
    <xf numFmtId="165" fontId="19" fillId="7" borderId="54" xfId="9" applyNumberFormat="1" applyFont="1" applyFill="1" applyBorder="1" applyAlignment="1">
      <alignment horizontal="left" vertical="center"/>
    </xf>
    <xf numFmtId="0" fontId="22" fillId="2" borderId="47" xfId="9" applyFont="1" applyFill="1" applyBorder="1" applyAlignment="1">
      <alignment vertical="center"/>
    </xf>
    <xf numFmtId="17" fontId="31" fillId="2" borderId="48" xfId="9" applyNumberFormat="1" applyFont="1" applyFill="1" applyBorder="1" applyAlignment="1">
      <alignment horizontal="center" vertical="center"/>
    </xf>
    <xf numFmtId="0" fontId="22" fillId="2" borderId="48" xfId="9" applyFont="1" applyFill="1" applyBorder="1" applyAlignment="1">
      <alignment vertical="center"/>
    </xf>
    <xf numFmtId="10" fontId="22" fillId="2" borderId="49" xfId="10" applyNumberFormat="1" applyFont="1" applyFill="1" applyBorder="1" applyAlignment="1">
      <alignment horizontal="left" vertical="center"/>
    </xf>
    <xf numFmtId="165" fontId="19" fillId="2" borderId="50" xfId="9" applyNumberFormat="1" applyFont="1" applyFill="1" applyBorder="1" applyAlignment="1">
      <alignment horizontal="center" vertical="center"/>
    </xf>
    <xf numFmtId="0" fontId="20" fillId="2" borderId="51" xfId="9" applyFont="1" applyFill="1" applyBorder="1" applyAlignment="1">
      <alignment horizontal="center" vertical="center"/>
    </xf>
    <xf numFmtId="165" fontId="19" fillId="2" borderId="46" xfId="9" applyNumberFormat="1" applyFont="1" applyFill="1" applyBorder="1" applyAlignment="1">
      <alignment horizontal="center" vertical="center"/>
    </xf>
    <xf numFmtId="166" fontId="19" fillId="2" borderId="0" xfId="11" applyNumberFormat="1" applyFont="1" applyFill="1" applyBorder="1" applyAlignment="1">
      <alignment horizontal="center" vertical="center"/>
    </xf>
    <xf numFmtId="0" fontId="19" fillId="7" borderId="46" xfId="9" applyFont="1" applyFill="1" applyBorder="1" applyAlignment="1">
      <alignment vertical="center"/>
    </xf>
    <xf numFmtId="167" fontId="19" fillId="2" borderId="0" xfId="9" applyNumberFormat="1" applyFont="1" applyFill="1" applyAlignment="1">
      <alignment horizontal="center" vertical="center"/>
    </xf>
    <xf numFmtId="3" fontId="19" fillId="2" borderId="35" xfId="11" applyNumberFormat="1" applyFont="1" applyFill="1" applyBorder="1" applyAlignment="1">
      <alignment vertical="center"/>
    </xf>
    <xf numFmtId="3" fontId="19" fillId="7" borderId="36" xfId="11" applyNumberFormat="1" applyFont="1" applyFill="1" applyBorder="1" applyAlignment="1">
      <alignment horizontal="center" vertical="center"/>
    </xf>
    <xf numFmtId="3" fontId="19" fillId="2" borderId="37" xfId="11" applyNumberFormat="1" applyFont="1" applyFill="1" applyBorder="1" applyAlignment="1">
      <alignment vertical="center"/>
    </xf>
    <xf numFmtId="3" fontId="19" fillId="7" borderId="37" xfId="11" applyNumberFormat="1" applyFont="1" applyFill="1" applyBorder="1" applyAlignment="1">
      <alignment vertical="center"/>
    </xf>
    <xf numFmtId="3" fontId="19" fillId="2" borderId="41" xfId="11" applyNumberFormat="1" applyFont="1" applyFill="1" applyBorder="1" applyAlignment="1">
      <alignment vertical="center"/>
    </xf>
    <xf numFmtId="3" fontId="19" fillId="7" borderId="0" xfId="11" applyNumberFormat="1" applyFont="1" applyFill="1" applyBorder="1" applyAlignment="1">
      <alignment horizontal="center" vertical="center"/>
    </xf>
    <xf numFmtId="3" fontId="19" fillId="2" borderId="42" xfId="11" applyNumberFormat="1" applyFont="1" applyFill="1" applyBorder="1" applyAlignment="1">
      <alignment vertical="center"/>
    </xf>
    <xf numFmtId="165" fontId="19" fillId="7" borderId="0" xfId="9" applyNumberFormat="1" applyFont="1" applyFill="1" applyAlignment="1">
      <alignment horizontal="center" vertical="center"/>
    </xf>
    <xf numFmtId="3" fontId="19" fillId="2" borderId="0" xfId="11" applyNumberFormat="1" applyFont="1" applyFill="1" applyBorder="1" applyAlignment="1">
      <alignment horizontal="center" vertical="center"/>
    </xf>
    <xf numFmtId="164" fontId="19" fillId="7" borderId="55" xfId="10" applyNumberFormat="1" applyFont="1" applyFill="1" applyBorder="1" applyAlignment="1">
      <alignment horizontal="center" vertical="center"/>
    </xf>
    <xf numFmtId="4" fontId="19" fillId="7" borderId="0" xfId="11" applyNumberFormat="1" applyFont="1" applyFill="1" applyBorder="1" applyAlignment="1">
      <alignment horizontal="center" vertical="center"/>
    </xf>
    <xf numFmtId="0" fontId="19" fillId="8" borderId="41" xfId="9" applyFont="1" applyFill="1" applyBorder="1" applyAlignment="1">
      <alignment horizontal="left" vertical="center"/>
    </xf>
    <xf numFmtId="164" fontId="20" fillId="6" borderId="43" xfId="10" applyNumberFormat="1" applyFont="1" applyFill="1" applyBorder="1" applyAlignment="1">
      <alignment horizontal="center" vertical="center"/>
    </xf>
    <xf numFmtId="0" fontId="19" fillId="2" borderId="41" xfId="9" applyFont="1" applyFill="1" applyBorder="1" applyAlignment="1">
      <alignment vertical="center"/>
    </xf>
    <xf numFmtId="0" fontId="19" fillId="2" borderId="42" xfId="9" applyFont="1" applyFill="1" applyBorder="1" applyAlignment="1">
      <alignment vertical="center"/>
    </xf>
    <xf numFmtId="10" fontId="19" fillId="7" borderId="42" xfId="10" applyNumberFormat="1" applyFont="1" applyFill="1" applyBorder="1" applyAlignment="1">
      <alignment horizontal="left" vertical="center"/>
    </xf>
    <xf numFmtId="3" fontId="19" fillId="2" borderId="0" xfId="11" applyNumberFormat="1" applyFont="1" applyFill="1" applyBorder="1" applyAlignment="1">
      <alignment vertical="center"/>
    </xf>
    <xf numFmtId="164" fontId="20" fillId="2" borderId="52" xfId="10" applyNumberFormat="1" applyFont="1" applyFill="1" applyBorder="1" applyAlignment="1">
      <alignment horizontal="center" vertical="center"/>
    </xf>
    <xf numFmtId="165" fontId="21" fillId="7" borderId="52" xfId="9" applyNumberFormat="1" applyFont="1" applyFill="1" applyBorder="1" applyAlignment="1">
      <alignment horizontal="left" vertical="center"/>
    </xf>
    <xf numFmtId="164" fontId="20" fillId="2" borderId="42" xfId="10" applyNumberFormat="1" applyFont="1" applyFill="1" applyBorder="1" applyAlignment="1">
      <alignment horizontal="center" vertical="center"/>
    </xf>
    <xf numFmtId="165" fontId="21" fillId="7" borderId="42" xfId="9" applyNumberFormat="1" applyFont="1" applyFill="1" applyBorder="1" applyAlignment="1">
      <alignment horizontal="left" vertical="center"/>
    </xf>
    <xf numFmtId="0" fontId="26" fillId="2" borderId="47" xfId="9" applyFont="1" applyFill="1" applyBorder="1" applyAlignment="1">
      <alignment horizontal="center" vertical="center"/>
    </xf>
    <xf numFmtId="0" fontId="27" fillId="2" borderId="48" xfId="9" applyFont="1" applyFill="1" applyBorder="1" applyAlignment="1">
      <alignment horizontal="center" vertical="center"/>
    </xf>
    <xf numFmtId="0" fontId="28" fillId="2" borderId="48" xfId="9" applyFont="1" applyFill="1" applyBorder="1" applyAlignment="1">
      <alignment horizontal="center" vertical="center"/>
    </xf>
    <xf numFmtId="0" fontId="29" fillId="2" borderId="48" xfId="9" applyFont="1" applyFill="1" applyBorder="1" applyAlignment="1">
      <alignment horizontal="center" vertical="center"/>
    </xf>
    <xf numFmtId="0" fontId="30" fillId="2" borderId="49" xfId="9" applyFont="1" applyFill="1" applyBorder="1" applyAlignment="1">
      <alignment horizontal="center" vertical="center"/>
    </xf>
    <xf numFmtId="167" fontId="19" fillId="2" borderId="45" xfId="9" applyNumberFormat="1" applyFont="1" applyFill="1" applyBorder="1" applyAlignment="1">
      <alignment horizontal="center" vertical="center"/>
    </xf>
    <xf numFmtId="164" fontId="24" fillId="7" borderId="46" xfId="10" applyNumberFormat="1" applyFont="1" applyFill="1" applyBorder="1" applyAlignment="1">
      <alignment horizontal="center" vertical="center"/>
    </xf>
    <xf numFmtId="165" fontId="19" fillId="7" borderId="50" xfId="9" applyNumberFormat="1" applyFont="1" applyFill="1" applyBorder="1" applyAlignment="1">
      <alignment horizontal="left" vertical="center"/>
    </xf>
    <xf numFmtId="165" fontId="19" fillId="7" borderId="51" xfId="9" applyNumberFormat="1" applyFont="1" applyFill="1" applyBorder="1" applyAlignment="1">
      <alignment horizontal="left" vertical="center"/>
    </xf>
    <xf numFmtId="165" fontId="21" fillId="7" borderId="46" xfId="9" applyNumberFormat="1" applyFont="1" applyFill="1" applyBorder="1" applyAlignment="1">
      <alignment horizontal="left" vertical="center"/>
    </xf>
    <xf numFmtId="0" fontId="32" fillId="2" borderId="35" xfId="9" applyFont="1" applyFill="1" applyBorder="1" applyAlignment="1">
      <alignment horizontal="center" vertical="center"/>
    </xf>
    <xf numFmtId="0" fontId="33" fillId="2" borderId="36" xfId="9" applyFont="1" applyFill="1" applyBorder="1" applyAlignment="1">
      <alignment horizontal="center" vertical="center"/>
    </xf>
    <xf numFmtId="0" fontId="33" fillId="2" borderId="37" xfId="9" applyFont="1" applyFill="1" applyBorder="1" applyAlignment="1">
      <alignment horizontal="center" vertical="center"/>
    </xf>
    <xf numFmtId="164" fontId="34" fillId="2" borderId="42" xfId="10" applyNumberFormat="1" applyFont="1" applyFill="1" applyBorder="1" applyAlignment="1">
      <alignment horizontal="center" vertical="center"/>
    </xf>
    <xf numFmtId="0" fontId="32" fillId="2" borderId="47" xfId="9" applyFont="1" applyFill="1" applyBorder="1" applyAlignment="1">
      <alignment horizontal="center" vertical="center"/>
    </xf>
    <xf numFmtId="0" fontId="33" fillId="2" borderId="48" xfId="9" applyFont="1" applyFill="1" applyBorder="1" applyAlignment="1">
      <alignment horizontal="center" vertical="center"/>
    </xf>
    <xf numFmtId="0" fontId="33" fillId="2" borderId="49" xfId="9" applyFont="1" applyFill="1" applyBorder="1" applyAlignment="1">
      <alignment horizontal="center" vertical="center"/>
    </xf>
    <xf numFmtId="0" fontId="19" fillId="7" borderId="50" xfId="9" applyFont="1" applyFill="1" applyBorder="1" applyAlignment="1">
      <alignment vertical="center"/>
    </xf>
    <xf numFmtId="0" fontId="19" fillId="7" borderId="51" xfId="9" applyFont="1" applyFill="1" applyBorder="1" applyAlignment="1">
      <alignment vertical="center"/>
    </xf>
    <xf numFmtId="169" fontId="19" fillId="7" borderId="0" xfId="9" applyNumberFormat="1" applyFont="1" applyFill="1" applyAlignment="1">
      <alignment horizontal="center" vertical="center"/>
    </xf>
    <xf numFmtId="9" fontId="19" fillId="8" borderId="50" xfId="9" applyNumberFormat="1" applyFont="1" applyFill="1" applyBorder="1" applyAlignment="1">
      <alignment horizontal="center" vertical="center"/>
    </xf>
    <xf numFmtId="164" fontId="19" fillId="8" borderId="45" xfId="10" applyNumberFormat="1" applyFont="1" applyFill="1" applyBorder="1" applyAlignment="1">
      <alignment horizontal="center" vertical="center"/>
    </xf>
    <xf numFmtId="0" fontId="19" fillId="8" borderId="35" xfId="9" applyFont="1" applyFill="1" applyBorder="1" applyAlignment="1">
      <alignment vertical="center"/>
    </xf>
    <xf numFmtId="0" fontId="19" fillId="8" borderId="36" xfId="9" applyFont="1" applyFill="1" applyBorder="1" applyAlignment="1">
      <alignment vertical="center"/>
    </xf>
    <xf numFmtId="0" fontId="19" fillId="8" borderId="37" xfId="9" applyFont="1" applyFill="1" applyBorder="1" applyAlignment="1">
      <alignment vertical="center"/>
    </xf>
    <xf numFmtId="9" fontId="24" fillId="2" borderId="45" xfId="9" applyNumberFormat="1" applyFont="1" applyFill="1" applyBorder="1" applyAlignment="1">
      <alignment horizontal="center" vertical="center"/>
    </xf>
    <xf numFmtId="0" fontId="19" fillId="2" borderId="47" xfId="9" applyFont="1" applyFill="1" applyBorder="1" applyAlignment="1">
      <alignment vertical="center"/>
    </xf>
    <xf numFmtId="0" fontId="19" fillId="2" borderId="48" xfId="9" applyFont="1" applyFill="1" applyBorder="1" applyAlignment="1">
      <alignment vertical="center"/>
    </xf>
    <xf numFmtId="0" fontId="19" fillId="8" borderId="50" xfId="9" applyFont="1" applyFill="1" applyBorder="1" applyAlignment="1">
      <alignment horizontal="center" vertical="center"/>
    </xf>
    <xf numFmtId="0" fontId="19" fillId="8" borderId="51" xfId="9" applyFont="1" applyFill="1" applyBorder="1" applyAlignment="1">
      <alignment horizontal="center" vertical="center"/>
    </xf>
    <xf numFmtId="9" fontId="34" fillId="2" borderId="45" xfId="10" applyFont="1" applyFill="1" applyBorder="1" applyAlignment="1">
      <alignment horizontal="center" vertical="center"/>
    </xf>
    <xf numFmtId="164" fontId="19" fillId="8" borderId="50" xfId="10" applyNumberFormat="1" applyFont="1" applyFill="1" applyBorder="1" applyAlignment="1">
      <alignment horizontal="center" vertical="center"/>
    </xf>
    <xf numFmtId="164" fontId="19" fillId="8" borderId="51" xfId="10" applyNumberFormat="1" applyFont="1" applyFill="1" applyBorder="1" applyAlignment="1">
      <alignment horizontal="center" vertical="center"/>
    </xf>
    <xf numFmtId="0" fontId="22" fillId="2" borderId="50" xfId="9" applyFont="1" applyFill="1" applyBorder="1" applyAlignment="1">
      <alignment vertical="center"/>
    </xf>
    <xf numFmtId="0" fontId="22" fillId="2" borderId="51" xfId="9" applyFont="1" applyFill="1" applyBorder="1" applyAlignment="1">
      <alignment vertical="center"/>
    </xf>
    <xf numFmtId="0" fontId="22" fillId="2" borderId="46" xfId="9" applyFont="1" applyFill="1" applyBorder="1" applyAlignment="1">
      <alignment vertical="center"/>
    </xf>
    <xf numFmtId="17" fontId="35" fillId="2" borderId="49" xfId="9" applyNumberFormat="1" applyFont="1" applyFill="1" applyBorder="1" applyAlignment="1">
      <alignment horizontal="left" vertical="center"/>
    </xf>
    <xf numFmtId="0" fontId="36" fillId="2" borderId="0" xfId="9" applyFont="1" applyFill="1" applyAlignment="1">
      <alignment vertical="center"/>
    </xf>
    <xf numFmtId="0" fontId="18" fillId="0" borderId="0" xfId="9"/>
    <xf numFmtId="170" fontId="26" fillId="7" borderId="36" xfId="11" applyNumberFormat="1" applyFont="1" applyFill="1" applyBorder="1" applyAlignment="1">
      <alignment vertical="center"/>
    </xf>
    <xf numFmtId="170" fontId="26" fillId="7" borderId="0" xfId="11" applyNumberFormat="1" applyFont="1" applyFill="1" applyBorder="1" applyAlignment="1">
      <alignment vertical="center"/>
    </xf>
    <xf numFmtId="2" fontId="26" fillId="7" borderId="0" xfId="9" applyNumberFormat="1" applyFont="1" applyFill="1" applyAlignment="1">
      <alignment vertical="center"/>
    </xf>
    <xf numFmtId="2" fontId="26" fillId="7" borderId="0" xfId="10" applyNumberFormat="1" applyFont="1" applyFill="1" applyBorder="1" applyAlignment="1">
      <alignment vertical="center"/>
    </xf>
    <xf numFmtId="165" fontId="26" fillId="7" borderId="0" xfId="9" applyNumberFormat="1" applyFont="1" applyFill="1" applyAlignment="1">
      <alignment vertical="center"/>
    </xf>
    <xf numFmtId="4" fontId="26" fillId="7" borderId="0" xfId="11" applyNumberFormat="1" applyFont="1" applyFill="1" applyBorder="1" applyAlignment="1">
      <alignment vertical="center"/>
    </xf>
    <xf numFmtId="3" fontId="26" fillId="7" borderId="0" xfId="11" applyNumberFormat="1" applyFont="1" applyFill="1" applyBorder="1" applyAlignment="1">
      <alignment vertical="center"/>
    </xf>
    <xf numFmtId="43" fontId="26" fillId="7" borderId="0" xfId="11" applyFont="1" applyFill="1" applyBorder="1" applyAlignment="1">
      <alignment vertical="center"/>
    </xf>
    <xf numFmtId="169" fontId="26" fillId="7" borderId="0" xfId="9" applyNumberFormat="1" applyFont="1" applyFill="1" applyAlignment="1">
      <alignment vertical="center"/>
    </xf>
    <xf numFmtId="165" fontId="24" fillId="7" borderId="43" xfId="10" applyNumberFormat="1" applyFont="1" applyFill="1" applyBorder="1" applyAlignment="1">
      <alignment horizontal="center" vertical="center"/>
    </xf>
    <xf numFmtId="165" fontId="24" fillId="7" borderId="43" xfId="9" applyNumberFormat="1" applyFont="1" applyFill="1" applyBorder="1" applyAlignment="1">
      <alignment horizontal="center" vertical="center"/>
    </xf>
    <xf numFmtId="3" fontId="24" fillId="7" borderId="44" xfId="11" applyNumberFormat="1" applyFont="1" applyFill="1" applyBorder="1" applyAlignment="1">
      <alignment horizontal="center" vertical="center"/>
    </xf>
    <xf numFmtId="165" fontId="24" fillId="7" borderId="45" xfId="10" applyNumberFormat="1" applyFont="1" applyFill="1" applyBorder="1" applyAlignment="1">
      <alignment horizontal="center" vertical="center"/>
    </xf>
    <xf numFmtId="165" fontId="24" fillId="7" borderId="44" xfId="9" applyNumberFormat="1" applyFont="1" applyFill="1" applyBorder="1" applyAlignment="1">
      <alignment horizontal="center" vertical="center"/>
    </xf>
    <xf numFmtId="167" fontId="24" fillId="7" borderId="43" xfId="9" applyNumberFormat="1" applyFont="1" applyFill="1" applyBorder="1" applyAlignment="1">
      <alignment horizontal="center" vertical="center"/>
    </xf>
    <xf numFmtId="166" fontId="24" fillId="7" borderId="44" xfId="11" applyNumberFormat="1" applyFont="1" applyFill="1" applyBorder="1" applyAlignment="1">
      <alignment horizontal="center" vertical="center"/>
    </xf>
    <xf numFmtId="0" fontId="19" fillId="2" borderId="51" xfId="9" applyFont="1" applyFill="1" applyBorder="1" applyAlignment="1">
      <alignment horizontal="center" vertical="center"/>
    </xf>
    <xf numFmtId="3" fontId="19" fillId="7" borderId="35" xfId="11" applyNumberFormat="1" applyFont="1" applyFill="1" applyBorder="1" applyAlignment="1">
      <alignment vertical="center"/>
    </xf>
    <xf numFmtId="3" fontId="24" fillId="7" borderId="36" xfId="11" applyNumberFormat="1" applyFont="1" applyFill="1" applyBorder="1" applyAlignment="1">
      <alignment horizontal="center" vertical="center"/>
    </xf>
    <xf numFmtId="3" fontId="19" fillId="7" borderId="43" xfId="11" applyNumberFormat="1" applyFont="1" applyFill="1" applyBorder="1" applyAlignment="1">
      <alignment vertical="center"/>
    </xf>
    <xf numFmtId="3" fontId="24" fillId="7" borderId="0" xfId="11" applyNumberFormat="1" applyFont="1" applyFill="1" applyBorder="1" applyAlignment="1">
      <alignment horizontal="center" vertical="center"/>
    </xf>
    <xf numFmtId="0" fontId="19" fillId="7" borderId="50" xfId="9" applyFont="1" applyFill="1" applyBorder="1" applyAlignment="1">
      <alignment horizontal="left" vertical="center"/>
    </xf>
    <xf numFmtId="0" fontId="19" fillId="7" borderId="51" xfId="9" applyFont="1" applyFill="1" applyBorder="1" applyAlignment="1">
      <alignment horizontal="left" vertical="center"/>
    </xf>
    <xf numFmtId="164" fontId="19" fillId="7" borderId="51" xfId="10" applyNumberFormat="1" applyFont="1" applyFill="1" applyBorder="1" applyAlignment="1">
      <alignment horizontal="center" vertical="center"/>
    </xf>
    <xf numFmtId="0" fontId="19" fillId="7" borderId="46" xfId="9" applyFont="1" applyFill="1" applyBorder="1" applyAlignment="1">
      <alignment horizontal="left" vertical="center"/>
    </xf>
    <xf numFmtId="165" fontId="24" fillId="7" borderId="0" xfId="9" applyNumberFormat="1" applyFont="1" applyFill="1" applyAlignment="1">
      <alignment horizontal="center" vertical="center"/>
    </xf>
    <xf numFmtId="4" fontId="24" fillId="7" borderId="0" xfId="11" applyNumberFormat="1" applyFont="1" applyFill="1" applyBorder="1" applyAlignment="1">
      <alignment horizontal="center" vertical="center"/>
    </xf>
    <xf numFmtId="164" fontId="20" fillId="2" borderId="44" xfId="10" applyNumberFormat="1" applyFont="1" applyFill="1" applyBorder="1" applyAlignment="1">
      <alignment horizontal="center" vertical="center"/>
    </xf>
    <xf numFmtId="0" fontId="32" fillId="2" borderId="0" xfId="9" applyFont="1" applyFill="1" applyAlignment="1">
      <alignment horizontal="center" vertical="center"/>
    </xf>
    <xf numFmtId="0" fontId="32" fillId="2" borderId="36" xfId="9" applyFont="1" applyFill="1" applyBorder="1" applyAlignment="1">
      <alignment horizontal="center" vertical="center"/>
    </xf>
    <xf numFmtId="0" fontId="32" fillId="2" borderId="48" xfId="9" applyFont="1" applyFill="1" applyBorder="1" applyAlignment="1">
      <alignment horizontal="center" vertical="center"/>
    </xf>
    <xf numFmtId="169" fontId="24" fillId="7" borderId="0" xfId="9" applyNumberFormat="1" applyFont="1" applyFill="1" applyAlignment="1">
      <alignment horizontal="center" vertical="center"/>
    </xf>
    <xf numFmtId="0" fontId="37" fillId="2" borderId="0" xfId="9" applyFont="1" applyFill="1" applyAlignment="1">
      <alignment vertical="center"/>
    </xf>
    <xf numFmtId="44" fontId="14" fillId="2" borderId="34" xfId="1" applyFont="1" applyFill="1" applyBorder="1" applyAlignment="1">
      <alignment horizontal="center" vertical="center"/>
    </xf>
    <xf numFmtId="0" fontId="38" fillId="0" borderId="0" xfId="0" applyFont="1"/>
    <xf numFmtId="0" fontId="39" fillId="10" borderId="56" xfId="0" applyFont="1" applyFill="1" applyBorder="1" applyAlignment="1">
      <alignment horizontal="center" vertical="center" wrapText="1"/>
    </xf>
    <xf numFmtId="0" fontId="39" fillId="10" borderId="57" xfId="0" applyFont="1" applyFill="1" applyBorder="1" applyAlignment="1">
      <alignment horizontal="center" vertical="center" wrapText="1"/>
    </xf>
    <xf numFmtId="0" fontId="39" fillId="10" borderId="0" xfId="0" applyFont="1" applyFill="1" applyAlignment="1">
      <alignment horizontal="center" vertical="center" wrapText="1"/>
    </xf>
    <xf numFmtId="0" fontId="39" fillId="10" borderId="58" xfId="0" applyFont="1" applyFill="1" applyBorder="1" applyAlignment="1">
      <alignment horizontal="center" vertical="center" wrapText="1"/>
    </xf>
    <xf numFmtId="0" fontId="40" fillId="0" borderId="59" xfId="0" applyFont="1" applyBorder="1" applyAlignment="1">
      <alignment horizontal="center" vertical="center" wrapText="1"/>
    </xf>
    <xf numFmtId="44" fontId="40" fillId="0" borderId="60" xfId="0" applyNumberFormat="1" applyFont="1" applyBorder="1" applyAlignment="1">
      <alignment horizontal="center" vertical="center" wrapText="1"/>
    </xf>
    <xf numFmtId="9" fontId="40" fillId="0" borderId="60" xfId="0" applyNumberFormat="1" applyFont="1" applyBorder="1" applyAlignment="1">
      <alignment horizontal="center" vertical="center" wrapText="1"/>
    </xf>
    <xf numFmtId="8" fontId="41" fillId="0" borderId="57" xfId="0" applyNumberFormat="1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8" fontId="40" fillId="0" borderId="61" xfId="0" applyNumberFormat="1" applyFont="1" applyBorder="1" applyAlignment="1">
      <alignment horizontal="center" vertical="center" wrapText="1"/>
    </xf>
    <xf numFmtId="10" fontId="40" fillId="0" borderId="61" xfId="0" applyNumberFormat="1" applyFont="1" applyBorder="1" applyAlignment="1">
      <alignment horizontal="center" vertical="center" wrapText="1"/>
    </xf>
    <xf numFmtId="0" fontId="40" fillId="0" borderId="60" xfId="0" applyFont="1" applyBorder="1" applyAlignment="1">
      <alignment horizontal="center" vertical="center" wrapText="1"/>
    </xf>
    <xf numFmtId="8" fontId="41" fillId="0" borderId="60" xfId="0" applyNumberFormat="1" applyFont="1" applyBorder="1" applyAlignment="1">
      <alignment horizontal="center" vertical="center" wrapText="1"/>
    </xf>
    <xf numFmtId="10" fontId="40" fillId="0" borderId="60" xfId="0" applyNumberFormat="1" applyFont="1" applyBorder="1" applyAlignment="1">
      <alignment horizontal="center" vertical="center" wrapText="1"/>
    </xf>
    <xf numFmtId="0" fontId="0" fillId="0" borderId="62" xfId="0" applyBorder="1"/>
    <xf numFmtId="0" fontId="42" fillId="0" borderId="63" xfId="0" applyFont="1" applyBorder="1" applyAlignment="1">
      <alignment horizontal="center" vertical="center" wrapText="1"/>
    </xf>
    <xf numFmtId="44" fontId="42" fillId="0" borderId="63" xfId="0" applyNumberFormat="1" applyFont="1" applyBorder="1" applyAlignment="1">
      <alignment horizontal="left" vertical="center" wrapText="1" indent="2"/>
    </xf>
    <xf numFmtId="9" fontId="42" fillId="0" borderId="63" xfId="0" applyNumberFormat="1" applyFont="1" applyBorder="1" applyAlignment="1">
      <alignment horizontal="center" vertical="center" wrapText="1"/>
    </xf>
    <xf numFmtId="8" fontId="43" fillId="0" borderId="63" xfId="0" applyNumberFormat="1" applyFont="1" applyBorder="1" applyAlignment="1">
      <alignment horizontal="center" vertical="center" wrapText="1"/>
    </xf>
    <xf numFmtId="172" fontId="13" fillId="0" borderId="0" xfId="0" applyNumberFormat="1" applyFont="1"/>
    <xf numFmtId="0" fontId="10" fillId="0" borderId="34" xfId="0" applyFont="1" applyBorder="1"/>
    <xf numFmtId="0" fontId="14" fillId="0" borderId="34" xfId="0" applyFont="1" applyBorder="1"/>
    <xf numFmtId="0" fontId="38" fillId="0" borderId="34" xfId="0" applyFont="1" applyBorder="1"/>
    <xf numFmtId="0" fontId="15" fillId="0" borderId="34" xfId="6" applyFont="1" applyFill="1" applyBorder="1" applyAlignment="1">
      <alignment horizontal="center" vertical="center"/>
    </xf>
    <xf numFmtId="0" fontId="44" fillId="0" borderId="34" xfId="0" applyFont="1" applyBorder="1"/>
    <xf numFmtId="10" fontId="10" fillId="0" borderId="34" xfId="2" applyNumberFormat="1" applyFont="1" applyFill="1" applyBorder="1"/>
    <xf numFmtId="171" fontId="10" fillId="0" borderId="34" xfId="0" applyNumberFormat="1" applyFont="1" applyBorder="1"/>
    <xf numFmtId="9" fontId="14" fillId="0" borderId="34" xfId="0" applyNumberFormat="1" applyFont="1" applyBorder="1" applyAlignment="1">
      <alignment horizontal="center" vertical="center"/>
    </xf>
    <xf numFmtId="10" fontId="14" fillId="0" borderId="34" xfId="4" applyNumberFormat="1" applyFont="1" applyFill="1" applyBorder="1" applyAlignment="1">
      <alignment horizontal="center" vertical="center"/>
    </xf>
    <xf numFmtId="172" fontId="14" fillId="0" borderId="34" xfId="1" applyNumberFormat="1" applyFont="1" applyFill="1" applyBorder="1" applyAlignment="1">
      <alignment horizontal="center" vertical="center"/>
    </xf>
    <xf numFmtId="164" fontId="14" fillId="0" borderId="34" xfId="2" applyNumberFormat="1" applyFont="1" applyFill="1" applyBorder="1" applyAlignment="1">
      <alignment horizontal="center" vertical="center"/>
    </xf>
    <xf numFmtId="10" fontId="0" fillId="0" borderId="34" xfId="0" applyNumberFormat="1" applyBorder="1"/>
    <xf numFmtId="44" fontId="10" fillId="0" borderId="0" xfId="0" applyNumberFormat="1" applyFont="1"/>
    <xf numFmtId="10" fontId="10" fillId="0" borderId="0" xfId="2" applyNumberFormat="1" applyFont="1"/>
    <xf numFmtId="0" fontId="11" fillId="0" borderId="1" xfId="0" applyFont="1" applyBorder="1"/>
    <xf numFmtId="44" fontId="10" fillId="0" borderId="1" xfId="0" applyNumberFormat="1" applyFont="1" applyBorder="1"/>
    <xf numFmtId="0" fontId="10" fillId="0" borderId="1" xfId="0" applyFont="1" applyBorder="1"/>
    <xf numFmtId="10" fontId="10" fillId="0" borderId="1" xfId="0" applyNumberFormat="1" applyFont="1" applyBorder="1"/>
    <xf numFmtId="44" fontId="10" fillId="0" borderId="1" xfId="1" applyFont="1" applyBorder="1"/>
    <xf numFmtId="172" fontId="10" fillId="0" borderId="0" xfId="0" applyNumberFormat="1" applyFont="1"/>
    <xf numFmtId="173" fontId="10" fillId="0" borderId="0" xfId="0" applyNumberFormat="1" applyFont="1"/>
    <xf numFmtId="173" fontId="10" fillId="0" borderId="1" xfId="0" applyNumberFormat="1" applyFont="1" applyBorder="1"/>
    <xf numFmtId="0" fontId="40" fillId="0" borderId="0" xfId="0" applyFont="1" applyAlignment="1">
      <alignment horizontal="center" vertical="center" wrapText="1"/>
    </xf>
    <xf numFmtId="0" fontId="19" fillId="8" borderId="42" xfId="9" applyFont="1" applyFill="1" applyBorder="1" applyAlignment="1">
      <alignment horizontal="center" vertical="center"/>
    </xf>
    <xf numFmtId="0" fontId="19" fillId="8" borderId="0" xfId="9" applyFont="1" applyFill="1" applyAlignment="1">
      <alignment horizontal="center" vertical="center"/>
    </xf>
    <xf numFmtId="0" fontId="19" fillId="8" borderId="41" xfId="9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4" fillId="2" borderId="4" xfId="3" applyFont="1" applyFill="1" applyBorder="1" applyAlignment="1">
      <alignment horizontal="center"/>
    </xf>
    <xf numFmtId="0" fontId="4" fillId="2" borderId="5" xfId="3" applyFont="1" applyFill="1" applyBorder="1" applyAlignment="1">
      <alignment horizontal="center"/>
    </xf>
    <xf numFmtId="0" fontId="4" fillId="2" borderId="6" xfId="3" applyFont="1" applyFill="1" applyBorder="1" applyAlignment="1">
      <alignment horizontal="center"/>
    </xf>
    <xf numFmtId="0" fontId="4" fillId="2" borderId="7" xfId="3" applyFont="1" applyFill="1" applyBorder="1" applyAlignment="1">
      <alignment horizontal="center"/>
    </xf>
    <xf numFmtId="0" fontId="4" fillId="2" borderId="10" xfId="3" applyFont="1" applyFill="1" applyBorder="1" applyAlignment="1">
      <alignment horizontal="center"/>
    </xf>
  </cellXfs>
  <cellStyles count="12">
    <cellStyle name="Hiperlink 2" xfId="6" xr:uid="{93FEE240-2169-4081-8C2E-AD8A94C0B24E}"/>
    <cellStyle name="Moeda" xfId="1" builtinId="4"/>
    <cellStyle name="Normal" xfId="0" builtinId="0"/>
    <cellStyle name="Normal 2" xfId="3" xr:uid="{C545E88B-9C8D-498E-96B8-D47ADDEC5958}"/>
    <cellStyle name="Normal 2 2" xfId="7" xr:uid="{FE1EC3EE-D174-449E-BB04-2337CDA47D02}"/>
    <cellStyle name="Normal 3" xfId="8" xr:uid="{5CBE0CB1-642D-4027-ADC7-D6D7BD4FD0A7}"/>
    <cellStyle name="Normal 4" xfId="9" xr:uid="{E652A6A2-6FDC-4868-8B04-75038FDED224}"/>
    <cellStyle name="Porcentagem" xfId="2" builtinId="5"/>
    <cellStyle name="Porcentagem 2" xfId="4" xr:uid="{259BC111-5A02-4015-99E4-708C8F102171}"/>
    <cellStyle name="Porcentagem 3" xfId="10" xr:uid="{722E25B7-52F4-4C0B-9B61-4EB7471F955D}"/>
    <cellStyle name="Vírgula 2" xfId="5" xr:uid="{7177C507-9FBF-49A4-BAA8-C32AD1784D5C}"/>
    <cellStyle name="Vírgula 3" xfId="11" xr:uid="{7558EF4E-94B4-4412-BCA1-F666C7E36EDD}"/>
  </cellStyles>
  <dxfs count="7"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119593</xdr:colOff>
      <xdr:row>0</xdr:row>
      <xdr:rowOff>22225</xdr:rowOff>
    </xdr:from>
    <xdr:ext cx="998007" cy="451215"/>
    <xdr:pic>
      <xdr:nvPicPr>
        <xdr:cNvPr id="2" name="Picture 1">
          <a:extLst>
            <a:ext uri="{FF2B5EF4-FFF2-40B4-BE49-F238E27FC236}">
              <a16:creationId xmlns:a16="http://schemas.microsoft.com/office/drawing/2014/main" id="{F5F2A5B3-E93C-4CB4-B4A3-517002181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98" y="18415"/>
          <a:ext cx="998007" cy="45121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119593</xdr:colOff>
      <xdr:row>0</xdr:row>
      <xdr:rowOff>22225</xdr:rowOff>
    </xdr:from>
    <xdr:ext cx="998007" cy="451215"/>
    <xdr:pic>
      <xdr:nvPicPr>
        <xdr:cNvPr id="2" name="Picture 1">
          <a:extLst>
            <a:ext uri="{FF2B5EF4-FFF2-40B4-BE49-F238E27FC236}">
              <a16:creationId xmlns:a16="http://schemas.microsoft.com/office/drawing/2014/main" id="{5F99F77E-D7F3-47D5-AC26-848305F4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98" y="18415"/>
          <a:ext cx="998007" cy="4512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lutionswm-my.sharepoint.com/personal/solutionswm_solutionswm_com_br/Documents/Gestora/An&#225;lises%20portfolios/CONTROLE%20-%20Apenas%20clientes.xlsx" TargetMode="External"/><Relationship Id="rId1" Type="http://schemas.openxmlformats.org/officeDocument/2006/relationships/externalLinkPath" Target="https://solutionswm-my.sharepoint.com/personal/solutionswm_solutionswm_com_br/Documents/Gestora/An&#225;lises%20portfolios/CONTROLE%20-%20Apenas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es Ativos Onshore"/>
      <sheetName val="Clientes Ativos Offshore"/>
      <sheetName val="Resumo Comercial"/>
      <sheetName val="Planilha BTG - ON"/>
      <sheetName val="Planilha Avenue - OFF"/>
      <sheetName val="Planilha BTG - OFF"/>
      <sheetName val="Ex- clientes"/>
    </sheetNames>
    <sheetDataSet>
      <sheetData sheetId="0"/>
      <sheetData sheetId="1"/>
      <sheetData sheetId="2"/>
      <sheetData sheetId="3">
        <row r="1">
          <cell r="A1" t="str">
            <v>Colar a Tela do BTG</v>
          </cell>
          <cell r="B1"/>
          <cell r="C1"/>
        </row>
        <row r="2">
          <cell r="A2" t="str">
            <v>Conta</v>
          </cell>
          <cell r="B2" t="str">
            <v>Nome</v>
          </cell>
          <cell r="C2" t="str">
            <v>Valor</v>
          </cell>
        </row>
        <row r="3">
          <cell r="A3">
            <v>8543113</v>
          </cell>
          <cell r="B3" t="str">
            <v>Robert</v>
          </cell>
          <cell r="C3">
            <v>52590779.290000007</v>
          </cell>
        </row>
        <row r="4">
          <cell r="A4">
            <v>5742596</v>
          </cell>
          <cell r="B4" t="str">
            <v>Fabiana</v>
          </cell>
          <cell r="C4">
            <v>35804188.409999996</v>
          </cell>
        </row>
        <row r="5">
          <cell r="A5">
            <v>1946304</v>
          </cell>
          <cell r="B5" t="str">
            <v>Edson</v>
          </cell>
          <cell r="C5">
            <v>8636221.6699999981</v>
          </cell>
        </row>
        <row r="6">
          <cell r="A6">
            <v>1465709</v>
          </cell>
          <cell r="B6" t="str">
            <v>Eduardo</v>
          </cell>
          <cell r="C6">
            <v>7157221.3300000001</v>
          </cell>
        </row>
        <row r="7">
          <cell r="A7">
            <v>5037838</v>
          </cell>
          <cell r="B7" t="str">
            <v>Only</v>
          </cell>
          <cell r="C7">
            <v>6466131.6699999999</v>
          </cell>
        </row>
        <row r="8">
          <cell r="A8">
            <v>2868078</v>
          </cell>
          <cell r="B8" t="str">
            <v>Roseli</v>
          </cell>
          <cell r="C8">
            <v>5925525.9600000009</v>
          </cell>
        </row>
        <row r="9">
          <cell r="A9">
            <v>1736997</v>
          </cell>
          <cell r="B9" t="str">
            <v>Michelle</v>
          </cell>
          <cell r="C9">
            <v>5395237.3300000001</v>
          </cell>
        </row>
        <row r="10">
          <cell r="A10">
            <v>3412696</v>
          </cell>
          <cell r="B10" t="str">
            <v>Negrelli</v>
          </cell>
          <cell r="C10">
            <v>5191011.5999999996</v>
          </cell>
        </row>
        <row r="11">
          <cell r="A11">
            <v>3908505</v>
          </cell>
          <cell r="B11" t="str">
            <v>William</v>
          </cell>
          <cell r="C11">
            <v>5160573.3999999994</v>
          </cell>
        </row>
        <row r="12">
          <cell r="A12">
            <v>1514440</v>
          </cell>
          <cell r="B12" t="str">
            <v>Gilson</v>
          </cell>
          <cell r="C12">
            <v>5035216.4399999995</v>
          </cell>
        </row>
        <row r="13">
          <cell r="A13">
            <v>4164768</v>
          </cell>
          <cell r="B13" t="str">
            <v>Maria</v>
          </cell>
          <cell r="C13">
            <v>4958743.7700000005</v>
          </cell>
        </row>
        <row r="14">
          <cell r="A14">
            <v>3992075</v>
          </cell>
          <cell r="B14" t="str">
            <v>Vitor</v>
          </cell>
          <cell r="C14">
            <v>4901442.37</v>
          </cell>
        </row>
        <row r="15">
          <cell r="A15">
            <v>3854493</v>
          </cell>
          <cell r="B15" t="str">
            <v>Loritza</v>
          </cell>
          <cell r="C15">
            <v>4793852.7199999988</v>
          </cell>
        </row>
        <row r="16">
          <cell r="A16">
            <v>1812143</v>
          </cell>
          <cell r="B16" t="str">
            <v>Kenji</v>
          </cell>
          <cell r="C16">
            <v>4716910.93</v>
          </cell>
        </row>
        <row r="17">
          <cell r="A17">
            <v>1268412</v>
          </cell>
          <cell r="B17" t="str">
            <v>Marco</v>
          </cell>
          <cell r="C17">
            <v>4439602.24</v>
          </cell>
        </row>
        <row r="18">
          <cell r="A18">
            <v>1133008</v>
          </cell>
          <cell r="B18" t="str">
            <v>Alex</v>
          </cell>
          <cell r="C18">
            <v>3950101.59</v>
          </cell>
        </row>
        <row r="19">
          <cell r="A19">
            <v>2290857</v>
          </cell>
          <cell r="B19" t="str">
            <v>Marco</v>
          </cell>
          <cell r="C19">
            <v>3879743.0900000008</v>
          </cell>
        </row>
        <row r="20">
          <cell r="A20">
            <v>1985904</v>
          </cell>
          <cell r="B20" t="str">
            <v>Poliana</v>
          </cell>
          <cell r="C20">
            <v>3791345.51</v>
          </cell>
        </row>
        <row r="21">
          <cell r="A21">
            <v>1234875</v>
          </cell>
          <cell r="B21" t="str">
            <v>Alice</v>
          </cell>
          <cell r="C21">
            <v>3729458.81</v>
          </cell>
        </row>
        <row r="22">
          <cell r="A22">
            <v>3003782</v>
          </cell>
          <cell r="B22" t="str">
            <v>Eunice</v>
          </cell>
          <cell r="C22">
            <v>3632821.0200000005</v>
          </cell>
        </row>
        <row r="23">
          <cell r="A23">
            <v>5156828</v>
          </cell>
          <cell r="B23" t="str">
            <v>Fernanda</v>
          </cell>
          <cell r="C23">
            <v>3369065.5300000003</v>
          </cell>
        </row>
        <row r="24">
          <cell r="A24">
            <v>1616612</v>
          </cell>
          <cell r="B24" t="str">
            <v>Luiz</v>
          </cell>
          <cell r="C24">
            <v>3347536.0900000003</v>
          </cell>
        </row>
        <row r="25">
          <cell r="A25">
            <v>4005958</v>
          </cell>
          <cell r="B25" t="str">
            <v>Carla</v>
          </cell>
          <cell r="C25">
            <v>3327707.9299999997</v>
          </cell>
        </row>
        <row r="26">
          <cell r="A26">
            <v>1650917</v>
          </cell>
          <cell r="B26" t="str">
            <v>Antonio</v>
          </cell>
          <cell r="C26">
            <v>3310301.92</v>
          </cell>
        </row>
        <row r="27">
          <cell r="A27">
            <v>4204580</v>
          </cell>
          <cell r="B27" t="str">
            <v>Carlos</v>
          </cell>
          <cell r="C27">
            <v>3301447.79</v>
          </cell>
        </row>
        <row r="28">
          <cell r="A28">
            <v>2370957</v>
          </cell>
          <cell r="B28" t="str">
            <v>Luiz</v>
          </cell>
          <cell r="C28">
            <v>3273710.9299999997</v>
          </cell>
        </row>
        <row r="29">
          <cell r="A29">
            <v>3869961</v>
          </cell>
          <cell r="B29" t="str">
            <v>Face</v>
          </cell>
          <cell r="C29">
            <v>3185932.8499999996</v>
          </cell>
        </row>
        <row r="30">
          <cell r="A30">
            <v>1767432</v>
          </cell>
          <cell r="B30" t="str">
            <v>Kijuro</v>
          </cell>
          <cell r="C30">
            <v>3062809.94</v>
          </cell>
        </row>
        <row r="31">
          <cell r="A31">
            <v>5290536</v>
          </cell>
          <cell r="B31" t="str">
            <v>Clinica</v>
          </cell>
          <cell r="C31">
            <v>3058880.3300000005</v>
          </cell>
        </row>
        <row r="32">
          <cell r="A32">
            <v>2249511</v>
          </cell>
          <cell r="B32" t="str">
            <v>Renata</v>
          </cell>
          <cell r="C32">
            <v>2836503.03</v>
          </cell>
        </row>
        <row r="33">
          <cell r="A33">
            <v>8733288</v>
          </cell>
          <cell r="B33" t="str">
            <v>Leandro</v>
          </cell>
          <cell r="C33">
            <v>2711201.7700000005</v>
          </cell>
        </row>
        <row r="34">
          <cell r="A34">
            <v>1952296</v>
          </cell>
          <cell r="B34" t="str">
            <v>Celia</v>
          </cell>
          <cell r="C34">
            <v>2503135.9821991767</v>
          </cell>
        </row>
        <row r="35">
          <cell r="A35">
            <v>1358716</v>
          </cell>
          <cell r="B35" t="str">
            <v>Luiz</v>
          </cell>
          <cell r="C35">
            <v>2420471.2000000002</v>
          </cell>
        </row>
        <row r="36">
          <cell r="A36">
            <v>4524398</v>
          </cell>
          <cell r="B36" t="str">
            <v>Juliana</v>
          </cell>
          <cell r="C36">
            <v>2208038.88</v>
          </cell>
        </row>
        <row r="37">
          <cell r="A37">
            <v>8087551</v>
          </cell>
          <cell r="B37" t="str">
            <v>Gabriel</v>
          </cell>
          <cell r="C37">
            <v>2203473.2000000002</v>
          </cell>
        </row>
        <row r="38">
          <cell r="A38">
            <v>8565325</v>
          </cell>
          <cell r="B38" t="str">
            <v>Nova</v>
          </cell>
          <cell r="C38">
            <v>2193036.96</v>
          </cell>
        </row>
        <row r="39">
          <cell r="A39">
            <v>5998145</v>
          </cell>
          <cell r="B39" t="str">
            <v>Rodrigo</v>
          </cell>
          <cell r="C39">
            <v>2121898.1</v>
          </cell>
        </row>
        <row r="40">
          <cell r="A40">
            <v>2254671</v>
          </cell>
          <cell r="B40" t="str">
            <v>Marco</v>
          </cell>
          <cell r="C40">
            <v>2032494.28</v>
          </cell>
        </row>
        <row r="41">
          <cell r="A41">
            <v>1830635</v>
          </cell>
          <cell r="B41" t="str">
            <v>Maria</v>
          </cell>
          <cell r="C41">
            <v>2020528.48</v>
          </cell>
        </row>
        <row r="42">
          <cell r="A42">
            <v>1820187</v>
          </cell>
          <cell r="B42" t="str">
            <v>Anita</v>
          </cell>
          <cell r="C42">
            <v>1830551.54</v>
          </cell>
        </row>
        <row r="43">
          <cell r="A43">
            <v>3648534</v>
          </cell>
          <cell r="B43" t="str">
            <v>Sandra</v>
          </cell>
          <cell r="C43">
            <v>1793150.6799999997</v>
          </cell>
        </row>
        <row r="44">
          <cell r="A44">
            <v>5069704</v>
          </cell>
          <cell r="B44" t="str">
            <v>Roberto</v>
          </cell>
          <cell r="C44">
            <v>1652152.78</v>
          </cell>
        </row>
        <row r="45">
          <cell r="A45">
            <v>8758138</v>
          </cell>
          <cell r="B45" t="str">
            <v>Gabriele</v>
          </cell>
          <cell r="C45">
            <v>1608421.0899999999</v>
          </cell>
        </row>
        <row r="46">
          <cell r="A46">
            <v>8337968</v>
          </cell>
          <cell r="B46" t="str">
            <v>Rodrigo</v>
          </cell>
          <cell r="C46">
            <v>1423081.06</v>
          </cell>
        </row>
        <row r="47">
          <cell r="A47">
            <v>4837933</v>
          </cell>
          <cell r="B47" t="str">
            <v>Cristiana</v>
          </cell>
          <cell r="C47">
            <v>1379255.4100000001</v>
          </cell>
        </row>
        <row r="48">
          <cell r="A48">
            <v>5535160</v>
          </cell>
          <cell r="B48" t="str">
            <v>Umberto</v>
          </cell>
          <cell r="C48">
            <v>1334321.56</v>
          </cell>
        </row>
        <row r="49">
          <cell r="A49">
            <v>1541659</v>
          </cell>
          <cell r="B49" t="str">
            <v>Matilde</v>
          </cell>
          <cell r="C49">
            <v>1279205.6100000001</v>
          </cell>
        </row>
        <row r="50">
          <cell r="A50">
            <v>1994919</v>
          </cell>
          <cell r="B50" t="str">
            <v>Leonardo</v>
          </cell>
          <cell r="C50">
            <v>1245275.8399999999</v>
          </cell>
        </row>
        <row r="51">
          <cell r="A51">
            <v>1773519</v>
          </cell>
          <cell r="B51" t="str">
            <v>Tania</v>
          </cell>
          <cell r="C51">
            <v>1164944.6399999999</v>
          </cell>
        </row>
        <row r="52">
          <cell r="A52">
            <v>1875071</v>
          </cell>
          <cell r="B52" t="str">
            <v>Sabrina</v>
          </cell>
          <cell r="C52">
            <v>1151381.1000000001</v>
          </cell>
        </row>
        <row r="53">
          <cell r="A53">
            <v>1569741</v>
          </cell>
          <cell r="B53" t="str">
            <v>Gabriela</v>
          </cell>
          <cell r="C53">
            <v>1143163.21</v>
          </cell>
        </row>
        <row r="54">
          <cell r="A54">
            <v>5651035</v>
          </cell>
          <cell r="B54" t="str">
            <v>Mauro</v>
          </cell>
          <cell r="C54">
            <v>1138613.3800000001</v>
          </cell>
        </row>
        <row r="55">
          <cell r="A55">
            <v>8845021</v>
          </cell>
          <cell r="B55" t="str">
            <v>Carlos</v>
          </cell>
          <cell r="C55">
            <v>1053983.3899999999</v>
          </cell>
        </row>
        <row r="56">
          <cell r="A56">
            <v>4009015</v>
          </cell>
          <cell r="B56" t="str">
            <v>Reginaldo</v>
          </cell>
          <cell r="C56">
            <v>1041006.89</v>
          </cell>
        </row>
        <row r="57">
          <cell r="A57">
            <v>4316747</v>
          </cell>
          <cell r="B57" t="str">
            <v>Miriam</v>
          </cell>
          <cell r="C57">
            <v>1029530.26</v>
          </cell>
        </row>
        <row r="58">
          <cell r="A58">
            <v>1533930</v>
          </cell>
          <cell r="B58" t="str">
            <v>Priscila</v>
          </cell>
          <cell r="C58">
            <v>1027098.4400000001</v>
          </cell>
        </row>
        <row r="59">
          <cell r="A59">
            <v>2080082</v>
          </cell>
          <cell r="B59" t="str">
            <v>Maria</v>
          </cell>
          <cell r="C59">
            <v>1025707.01</v>
          </cell>
        </row>
        <row r="60">
          <cell r="A60">
            <v>1507837</v>
          </cell>
          <cell r="B60" t="str">
            <v>Ricardo</v>
          </cell>
          <cell r="C60">
            <v>987103.97999999986</v>
          </cell>
        </row>
        <row r="61">
          <cell r="A61">
            <v>5955435</v>
          </cell>
          <cell r="B61" t="str">
            <v>Odila</v>
          </cell>
          <cell r="C61">
            <v>971505.78</v>
          </cell>
        </row>
        <row r="62">
          <cell r="A62">
            <v>4483023</v>
          </cell>
          <cell r="B62" t="str">
            <v>Patricia</v>
          </cell>
          <cell r="C62">
            <v>966884.72</v>
          </cell>
        </row>
        <row r="63">
          <cell r="A63">
            <v>682006</v>
          </cell>
          <cell r="B63" t="str">
            <v>Marcelo</v>
          </cell>
          <cell r="C63">
            <v>861156.32</v>
          </cell>
        </row>
        <row r="64">
          <cell r="A64">
            <v>4529076</v>
          </cell>
          <cell r="B64" t="str">
            <v>Alberoni</v>
          </cell>
          <cell r="C64">
            <v>710187.78</v>
          </cell>
        </row>
        <row r="65">
          <cell r="A65">
            <v>4541961</v>
          </cell>
          <cell r="B65" t="str">
            <v>Leonardo</v>
          </cell>
          <cell r="C65">
            <v>597984.85</v>
          </cell>
        </row>
        <row r="66">
          <cell r="A66">
            <v>3225742</v>
          </cell>
          <cell r="B66" t="str">
            <v>Carlos</v>
          </cell>
          <cell r="C66">
            <v>564701.88</v>
          </cell>
        </row>
        <row r="67">
          <cell r="A67">
            <v>1557548</v>
          </cell>
          <cell r="B67" t="str">
            <v>Edinardo</v>
          </cell>
          <cell r="C67">
            <v>556798.22</v>
          </cell>
        </row>
        <row r="68">
          <cell r="A68">
            <v>8760358</v>
          </cell>
          <cell r="B68" t="str">
            <v>Eduardo</v>
          </cell>
          <cell r="C68">
            <v>506900.19999999995</v>
          </cell>
        </row>
        <row r="69">
          <cell r="A69">
            <v>5287656</v>
          </cell>
          <cell r="B69" t="str">
            <v>Adriana</v>
          </cell>
          <cell r="C69">
            <v>366883.37</v>
          </cell>
        </row>
        <row r="70">
          <cell r="A70">
            <v>3899781</v>
          </cell>
          <cell r="B70" t="str">
            <v>Flavio</v>
          </cell>
          <cell r="C70">
            <v>357078.12</v>
          </cell>
        </row>
        <row r="71">
          <cell r="A71">
            <v>3800980</v>
          </cell>
          <cell r="B71" t="str">
            <v>M</v>
          </cell>
          <cell r="C71">
            <v>312906.12</v>
          </cell>
        </row>
        <row r="72">
          <cell r="A72">
            <v>1758709</v>
          </cell>
          <cell r="B72" t="str">
            <v>Jose</v>
          </cell>
          <cell r="C72">
            <v>305917.69</v>
          </cell>
        </row>
        <row r="73">
          <cell r="A73">
            <v>3659452</v>
          </cell>
          <cell r="B73" t="str">
            <v>Roberta</v>
          </cell>
          <cell r="C73">
            <v>300984.73</v>
          </cell>
        </row>
        <row r="74">
          <cell r="A74">
            <v>4288830</v>
          </cell>
          <cell r="B74" t="str">
            <v>Luis</v>
          </cell>
          <cell r="C74">
            <v>295956.94</v>
          </cell>
        </row>
        <row r="75">
          <cell r="A75">
            <v>4477296</v>
          </cell>
          <cell r="B75" t="str">
            <v>Gilberto</v>
          </cell>
          <cell r="C75">
            <v>271381.61</v>
          </cell>
        </row>
        <row r="76">
          <cell r="A76">
            <v>5251385</v>
          </cell>
          <cell r="B76" t="str">
            <v>Graziella</v>
          </cell>
          <cell r="C76">
            <v>173317.34</v>
          </cell>
        </row>
        <row r="77">
          <cell r="A77">
            <v>5646277</v>
          </cell>
          <cell r="B77" t="str">
            <v>Thiago</v>
          </cell>
          <cell r="C77">
            <v>169634.6</v>
          </cell>
        </row>
        <row r="78">
          <cell r="A78">
            <v>5646311</v>
          </cell>
          <cell r="B78" t="str">
            <v>Caio</v>
          </cell>
          <cell r="C78">
            <v>169527.24</v>
          </cell>
        </row>
        <row r="79">
          <cell r="A79">
            <v>3675565</v>
          </cell>
          <cell r="B79" t="str">
            <v>Marcelo</v>
          </cell>
          <cell r="C79">
            <v>135574.34</v>
          </cell>
        </row>
        <row r="80">
          <cell r="A80">
            <v>3115164</v>
          </cell>
          <cell r="B80" t="str">
            <v>Fernando</v>
          </cell>
          <cell r="C80">
            <v>106621.11</v>
          </cell>
        </row>
        <row r="81">
          <cell r="A81">
            <v>4491470</v>
          </cell>
          <cell r="B81" t="str">
            <v>Vitoria</v>
          </cell>
          <cell r="C81">
            <v>60473.29</v>
          </cell>
        </row>
        <row r="82">
          <cell r="A82">
            <v>8206152</v>
          </cell>
          <cell r="B82" t="str">
            <v>Olivia</v>
          </cell>
          <cell r="C82">
            <v>52339.96</v>
          </cell>
        </row>
        <row r="83">
          <cell r="A83">
            <v>8736395</v>
          </cell>
          <cell r="B83" t="str">
            <v>Rafael</v>
          </cell>
          <cell r="C83">
            <v>1048.3</v>
          </cell>
        </row>
        <row r="84">
          <cell r="A84">
            <v>5042891</v>
          </cell>
          <cell r="B84" t="str">
            <v>Walter</v>
          </cell>
          <cell r="C84">
            <v>156.54</v>
          </cell>
        </row>
        <row r="85">
          <cell r="A85">
            <v>4972264</v>
          </cell>
          <cell r="B85" t="str">
            <v>Lemig</v>
          </cell>
          <cell r="C85">
            <v>17</v>
          </cell>
        </row>
        <row r="90">
          <cell r="C90">
            <v>265260241.76219916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nanda@negrelliarquitetos.com.br" TargetMode="External"/><Relationship Id="rId18" Type="http://schemas.openxmlformats.org/officeDocument/2006/relationships/hyperlink" Target="mailto:rodrigo.amato@laqus.com.br" TargetMode="External"/><Relationship Id="rId26" Type="http://schemas.openxmlformats.org/officeDocument/2006/relationships/hyperlink" Target="mailto:marcelo.pugliesi@hiplatform.com" TargetMode="External"/><Relationship Id="rId39" Type="http://schemas.openxmlformats.org/officeDocument/2006/relationships/hyperlink" Target="mailto:odiladuque@icloud.com" TargetMode="External"/><Relationship Id="rId21" Type="http://schemas.openxmlformats.org/officeDocument/2006/relationships/hyperlink" Target="mailto:rodrigo.amato@laqus.com.br" TargetMode="External"/><Relationship Id="rId34" Type="http://schemas.openxmlformats.org/officeDocument/2006/relationships/hyperlink" Target="mailto:rantoneli@gcp.com" TargetMode="External"/><Relationship Id="rId42" Type="http://schemas.openxmlformats.org/officeDocument/2006/relationships/hyperlink" Target="mailto:priscila250483@gmail.com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mailto:regileme@uol.com.br" TargetMode="External"/><Relationship Id="rId2" Type="http://schemas.openxmlformats.org/officeDocument/2006/relationships/hyperlink" Target="mailto:gracastanheira@gmail.com" TargetMode="External"/><Relationship Id="rId16" Type="http://schemas.openxmlformats.org/officeDocument/2006/relationships/hyperlink" Target="mailto:mzangue@hotmail.com" TargetMode="External"/><Relationship Id="rId29" Type="http://schemas.openxmlformats.org/officeDocument/2006/relationships/hyperlink" Target="mailto:carlos.monteiro@cdmengenharia.com.br" TargetMode="External"/><Relationship Id="rId1" Type="http://schemas.openxmlformats.org/officeDocument/2006/relationships/hyperlink" Target="mailto:leonguimaraes@uoal.com.br" TargetMode="External"/><Relationship Id="rId6" Type="http://schemas.openxmlformats.org/officeDocument/2006/relationships/hyperlink" Target="mailto:arturconti982@gmail.com" TargetMode="External"/><Relationship Id="rId11" Type="http://schemas.openxmlformats.org/officeDocument/2006/relationships/hyperlink" Target="mailto:juridico.pandrade@gmail.com" TargetMode="External"/><Relationship Id="rId24" Type="http://schemas.openxmlformats.org/officeDocument/2006/relationships/hyperlink" Target="mailto:renata.mamato@gmail.com" TargetMode="External"/><Relationship Id="rId32" Type="http://schemas.openxmlformats.org/officeDocument/2006/relationships/hyperlink" Target="mailto:carlos.monteiro@cdmengenharia.com.br" TargetMode="External"/><Relationship Id="rId37" Type="http://schemas.openxmlformats.org/officeDocument/2006/relationships/hyperlink" Target="mailto:diretor@novamalha.group" TargetMode="External"/><Relationship Id="rId40" Type="http://schemas.openxmlformats.org/officeDocument/2006/relationships/hyperlink" Target="mailto:carla_cteixeira@yahoo.com.br" TargetMode="External"/><Relationship Id="rId45" Type="http://schemas.openxmlformats.org/officeDocument/2006/relationships/hyperlink" Target="mailto:tesore@gmail.com" TargetMode="External"/><Relationship Id="rId5" Type="http://schemas.openxmlformats.org/officeDocument/2006/relationships/hyperlink" Target="mailto:22anacordeiro@gmail.com" TargetMode="External"/><Relationship Id="rId15" Type="http://schemas.openxmlformats.org/officeDocument/2006/relationships/hyperlink" Target="mailto:drivieira@me.com" TargetMode="External"/><Relationship Id="rId23" Type="http://schemas.openxmlformats.org/officeDocument/2006/relationships/hyperlink" Target="mailto:docluizsiqueira@gmail.com" TargetMode="External"/><Relationship Id="rId28" Type="http://schemas.openxmlformats.org/officeDocument/2006/relationships/hyperlink" Target="mailto:lafeta55@gmail.com" TargetMode="External"/><Relationship Id="rId36" Type="http://schemas.openxmlformats.org/officeDocument/2006/relationships/hyperlink" Target="mailto:rclund@lund.com.br" TargetMode="External"/><Relationship Id="rId10" Type="http://schemas.openxmlformats.org/officeDocument/2006/relationships/hyperlink" Target="mailto:juridico.pandrade@gmail.com" TargetMode="External"/><Relationship Id="rId19" Type="http://schemas.openxmlformats.org/officeDocument/2006/relationships/hyperlink" Target="mailto:Luiz.sartori@latasareciclagem.com.br" TargetMode="External"/><Relationship Id="rId31" Type="http://schemas.openxmlformats.org/officeDocument/2006/relationships/hyperlink" Target="mailto:flavio.castanheira@gmail.com" TargetMode="External"/><Relationship Id="rId44" Type="http://schemas.openxmlformats.org/officeDocument/2006/relationships/hyperlink" Target="mailto:gabriele22corinti@gmail.com" TargetMode="External"/><Relationship Id="rId4" Type="http://schemas.openxmlformats.org/officeDocument/2006/relationships/hyperlink" Target="mailto:19thiagoleite@gmail.com" TargetMode="External"/><Relationship Id="rId9" Type="http://schemas.openxmlformats.org/officeDocument/2006/relationships/hyperlink" Target="mailto:arturconti982@gmail.com" TargetMode="External"/><Relationship Id="rId14" Type="http://schemas.openxmlformats.org/officeDocument/2006/relationships/hyperlink" Target="mailto:knmarto@hotmail.com" TargetMode="External"/><Relationship Id="rId22" Type="http://schemas.openxmlformats.org/officeDocument/2006/relationships/hyperlink" Target="mailto:akorner@gmail.com" TargetMode="External"/><Relationship Id="rId27" Type="http://schemas.openxmlformats.org/officeDocument/2006/relationships/hyperlink" Target="mailto:renata.mamato@gmail.com" TargetMode="External"/><Relationship Id="rId30" Type="http://schemas.openxmlformats.org/officeDocument/2006/relationships/hyperlink" Target="mailto:fazevdo@terra.com.br" TargetMode="External"/><Relationship Id="rId35" Type="http://schemas.openxmlformats.org/officeDocument/2006/relationships/hyperlink" Target="mailto:valmar@bahiatechsystem.com.br" TargetMode="External"/><Relationship Id="rId43" Type="http://schemas.openxmlformats.org/officeDocument/2006/relationships/hyperlink" Target="mailto:LEANDRO.M@HOOKDIG.COM" TargetMode="External"/><Relationship Id="rId8" Type="http://schemas.openxmlformats.org/officeDocument/2006/relationships/hyperlink" Target="mailto:arturconti982@gmail.com" TargetMode="External"/><Relationship Id="rId3" Type="http://schemas.openxmlformats.org/officeDocument/2006/relationships/hyperlink" Target="mailto:edinardocb@gmail.com" TargetMode="External"/><Relationship Id="rId12" Type="http://schemas.openxmlformats.org/officeDocument/2006/relationships/hyperlink" Target="mailto:nanda@negrelliarquitetos.com.br" TargetMode="External"/><Relationship Id="rId17" Type="http://schemas.openxmlformats.org/officeDocument/2006/relationships/hyperlink" Target="mailto:gilson.bento@latasareciclagem.com.br" TargetMode="External"/><Relationship Id="rId25" Type="http://schemas.openxmlformats.org/officeDocument/2006/relationships/hyperlink" Target="mailto:PIRESLEONARDO@HOTMAIL.COM" TargetMode="External"/><Relationship Id="rId33" Type="http://schemas.openxmlformats.org/officeDocument/2006/relationships/hyperlink" Target="mailto:eunicergb@gmail.com" TargetMode="External"/><Relationship Id="rId38" Type="http://schemas.openxmlformats.org/officeDocument/2006/relationships/hyperlink" Target="mailto:diretor@novamalha.group" TargetMode="External"/><Relationship Id="rId46" Type="http://schemas.openxmlformats.org/officeDocument/2006/relationships/hyperlink" Target="mailto:eduardo.monaco@clear.sale" TargetMode="External"/><Relationship Id="rId20" Type="http://schemas.openxmlformats.org/officeDocument/2006/relationships/hyperlink" Target="mailto:juliemenegassi@hotmail.com" TargetMode="External"/><Relationship Id="rId41" Type="http://schemas.openxmlformats.org/officeDocument/2006/relationships/hyperlink" Target="mailto:POLIANASD.NUTRI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nanda@negrelliarquitetos.com.br" TargetMode="External"/><Relationship Id="rId18" Type="http://schemas.openxmlformats.org/officeDocument/2006/relationships/hyperlink" Target="mailto:rodrigo.amato@laqus.com.br" TargetMode="External"/><Relationship Id="rId26" Type="http://schemas.openxmlformats.org/officeDocument/2006/relationships/hyperlink" Target="mailto:marcelo.pugliesi@hiplatform.com" TargetMode="External"/><Relationship Id="rId39" Type="http://schemas.openxmlformats.org/officeDocument/2006/relationships/hyperlink" Target="mailto:odiladuque@icloud.com" TargetMode="External"/><Relationship Id="rId21" Type="http://schemas.openxmlformats.org/officeDocument/2006/relationships/hyperlink" Target="mailto:rodrigo.amato@laqus.com.br" TargetMode="External"/><Relationship Id="rId34" Type="http://schemas.openxmlformats.org/officeDocument/2006/relationships/hyperlink" Target="mailto:rantoneli@gcp.com" TargetMode="External"/><Relationship Id="rId42" Type="http://schemas.openxmlformats.org/officeDocument/2006/relationships/hyperlink" Target="mailto:priscila250483@gmail.com" TargetMode="External"/><Relationship Id="rId7" Type="http://schemas.openxmlformats.org/officeDocument/2006/relationships/hyperlink" Target="mailto:regileme@uol.com.br" TargetMode="External"/><Relationship Id="rId2" Type="http://schemas.openxmlformats.org/officeDocument/2006/relationships/hyperlink" Target="mailto:gracastanheira@gmail.com" TargetMode="External"/><Relationship Id="rId16" Type="http://schemas.openxmlformats.org/officeDocument/2006/relationships/hyperlink" Target="mailto:mzangue@hotmail.com" TargetMode="External"/><Relationship Id="rId29" Type="http://schemas.openxmlformats.org/officeDocument/2006/relationships/hyperlink" Target="mailto:carlos.monteiro@cdmengenharia.com.br" TargetMode="External"/><Relationship Id="rId1" Type="http://schemas.openxmlformats.org/officeDocument/2006/relationships/hyperlink" Target="mailto:leonguimaraes@uoal.com.br" TargetMode="External"/><Relationship Id="rId6" Type="http://schemas.openxmlformats.org/officeDocument/2006/relationships/hyperlink" Target="mailto:arturconti982@gmail.com" TargetMode="External"/><Relationship Id="rId11" Type="http://schemas.openxmlformats.org/officeDocument/2006/relationships/hyperlink" Target="mailto:juridico.pandrade@gmail.com" TargetMode="External"/><Relationship Id="rId24" Type="http://schemas.openxmlformats.org/officeDocument/2006/relationships/hyperlink" Target="mailto:renata.mamato@gmail.com" TargetMode="External"/><Relationship Id="rId32" Type="http://schemas.openxmlformats.org/officeDocument/2006/relationships/hyperlink" Target="mailto:carlos.monteiro@cdmengenharia.com.br" TargetMode="External"/><Relationship Id="rId37" Type="http://schemas.openxmlformats.org/officeDocument/2006/relationships/hyperlink" Target="mailto:diretor@novamalha.group" TargetMode="External"/><Relationship Id="rId40" Type="http://schemas.openxmlformats.org/officeDocument/2006/relationships/hyperlink" Target="mailto:carla_cteixeira@yahoo.com.br" TargetMode="External"/><Relationship Id="rId45" Type="http://schemas.openxmlformats.org/officeDocument/2006/relationships/hyperlink" Target="mailto:tesore@gmail.com" TargetMode="External"/><Relationship Id="rId5" Type="http://schemas.openxmlformats.org/officeDocument/2006/relationships/hyperlink" Target="mailto:22anacordeiro@gmail.com" TargetMode="External"/><Relationship Id="rId15" Type="http://schemas.openxmlformats.org/officeDocument/2006/relationships/hyperlink" Target="mailto:drivieira@me.com" TargetMode="External"/><Relationship Id="rId23" Type="http://schemas.openxmlformats.org/officeDocument/2006/relationships/hyperlink" Target="mailto:docluizsiqueira@gmail.com" TargetMode="External"/><Relationship Id="rId28" Type="http://schemas.openxmlformats.org/officeDocument/2006/relationships/hyperlink" Target="mailto:lafeta55@gmail.com" TargetMode="External"/><Relationship Id="rId36" Type="http://schemas.openxmlformats.org/officeDocument/2006/relationships/hyperlink" Target="mailto:rclund@lund.com.br" TargetMode="External"/><Relationship Id="rId10" Type="http://schemas.openxmlformats.org/officeDocument/2006/relationships/hyperlink" Target="mailto:juridico.pandrade@gmail.com" TargetMode="External"/><Relationship Id="rId19" Type="http://schemas.openxmlformats.org/officeDocument/2006/relationships/hyperlink" Target="mailto:Luiz.sartori@latasareciclagem.com.br" TargetMode="External"/><Relationship Id="rId31" Type="http://schemas.openxmlformats.org/officeDocument/2006/relationships/hyperlink" Target="mailto:flavio.castanheira@gmail.com" TargetMode="External"/><Relationship Id="rId44" Type="http://schemas.openxmlformats.org/officeDocument/2006/relationships/hyperlink" Target="mailto:gabriele22corinti@gmail.com" TargetMode="External"/><Relationship Id="rId4" Type="http://schemas.openxmlformats.org/officeDocument/2006/relationships/hyperlink" Target="mailto:19thiagoleite@gmail.com" TargetMode="External"/><Relationship Id="rId9" Type="http://schemas.openxmlformats.org/officeDocument/2006/relationships/hyperlink" Target="mailto:arturconti982@gmail.com" TargetMode="External"/><Relationship Id="rId14" Type="http://schemas.openxmlformats.org/officeDocument/2006/relationships/hyperlink" Target="mailto:knmarto@hotmail.com" TargetMode="External"/><Relationship Id="rId22" Type="http://schemas.openxmlformats.org/officeDocument/2006/relationships/hyperlink" Target="mailto:akorner@gmail.com" TargetMode="External"/><Relationship Id="rId27" Type="http://schemas.openxmlformats.org/officeDocument/2006/relationships/hyperlink" Target="mailto:renata.mamato@gmail.com" TargetMode="External"/><Relationship Id="rId30" Type="http://schemas.openxmlformats.org/officeDocument/2006/relationships/hyperlink" Target="mailto:fazevdo@terra.com.br" TargetMode="External"/><Relationship Id="rId35" Type="http://schemas.openxmlformats.org/officeDocument/2006/relationships/hyperlink" Target="mailto:valmar@bahiatechsystem.com.br" TargetMode="External"/><Relationship Id="rId43" Type="http://schemas.openxmlformats.org/officeDocument/2006/relationships/hyperlink" Target="mailto:LEANDRO.M@HOOKDIG.COM" TargetMode="External"/><Relationship Id="rId8" Type="http://schemas.openxmlformats.org/officeDocument/2006/relationships/hyperlink" Target="mailto:arturconti982@gmail.com" TargetMode="External"/><Relationship Id="rId3" Type="http://schemas.openxmlformats.org/officeDocument/2006/relationships/hyperlink" Target="mailto:edinardocb@gmail.com" TargetMode="External"/><Relationship Id="rId12" Type="http://schemas.openxmlformats.org/officeDocument/2006/relationships/hyperlink" Target="mailto:nanda@negrelliarquitetos.com.br" TargetMode="External"/><Relationship Id="rId17" Type="http://schemas.openxmlformats.org/officeDocument/2006/relationships/hyperlink" Target="mailto:gilson.bento@latasareciclagem.com.br" TargetMode="External"/><Relationship Id="rId25" Type="http://schemas.openxmlformats.org/officeDocument/2006/relationships/hyperlink" Target="mailto:PIRESLEONARDO@HOTMAIL.COM" TargetMode="External"/><Relationship Id="rId33" Type="http://schemas.openxmlformats.org/officeDocument/2006/relationships/hyperlink" Target="mailto:eunicergb@gmail.com" TargetMode="External"/><Relationship Id="rId38" Type="http://schemas.openxmlformats.org/officeDocument/2006/relationships/hyperlink" Target="mailto:diretor@novamalha.group" TargetMode="External"/><Relationship Id="rId46" Type="http://schemas.openxmlformats.org/officeDocument/2006/relationships/hyperlink" Target="mailto:eduardo.monaco@clear.sale" TargetMode="External"/><Relationship Id="rId20" Type="http://schemas.openxmlformats.org/officeDocument/2006/relationships/hyperlink" Target="mailto:juliemenegassi@hotmail.com" TargetMode="External"/><Relationship Id="rId41" Type="http://schemas.openxmlformats.org/officeDocument/2006/relationships/hyperlink" Target="mailto:POLIANASD.NU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12D6-1E7E-4BC8-98CA-DEDA1520FDFF}">
  <dimension ref="B1:BB86"/>
  <sheetViews>
    <sheetView topLeftCell="AD5" zoomScale="110" zoomScaleNormal="110" zoomScaleSheetLayoutView="100" workbookViewId="0">
      <selection activeCell="AJ9" sqref="AJ9"/>
    </sheetView>
  </sheetViews>
  <sheetFormatPr defaultColWidth="9.77734375" defaultRowHeight="13.2"/>
  <cols>
    <col min="1" max="1" width="2.6640625" style="112" customWidth="1"/>
    <col min="2" max="2" width="24.6640625" style="114" customWidth="1"/>
    <col min="3" max="5" width="9.6640625" style="112" customWidth="1"/>
    <col min="6" max="6" width="3" style="112" customWidth="1"/>
    <col min="7" max="10" width="2.6640625" style="112" customWidth="1"/>
    <col min="11" max="11" width="10.44140625" style="112" customWidth="1"/>
    <col min="12" max="17" width="9.6640625" style="113" customWidth="1"/>
    <col min="18" max="22" width="6.77734375" style="112" customWidth="1"/>
    <col min="23" max="40" width="8.6640625" style="112" customWidth="1"/>
    <col min="41" max="41" width="2.6640625" style="112" customWidth="1"/>
    <col min="42" max="47" width="5.6640625" style="112" customWidth="1"/>
    <col min="48" max="53" width="6.6640625" style="112" customWidth="1"/>
    <col min="54" max="16384" width="9.77734375" style="112"/>
  </cols>
  <sheetData>
    <row r="1" spans="2:54" ht="18" customHeight="1"/>
    <row r="2" spans="2:54" ht="18" customHeight="1">
      <c r="C2" s="339" t="s">
        <v>1198</v>
      </c>
    </row>
    <row r="3" spans="2:54" ht="18" customHeight="1"/>
    <row r="4" spans="2:54" ht="18" customHeight="1"/>
    <row r="5" spans="2:54" ht="18" customHeight="1">
      <c r="B5" s="304">
        <v>45809</v>
      </c>
      <c r="C5" s="295"/>
      <c r="D5" s="295"/>
      <c r="E5" s="294"/>
      <c r="G5" s="303" t="s">
        <v>1197</v>
      </c>
      <c r="H5" s="302"/>
      <c r="I5" s="302"/>
      <c r="J5" s="302"/>
      <c r="K5" s="301"/>
      <c r="L5" s="181"/>
      <c r="M5" s="300"/>
      <c r="N5" s="300"/>
      <c r="O5" s="300"/>
      <c r="P5" s="300"/>
      <c r="Q5" s="299"/>
      <c r="R5" s="297" t="s">
        <v>1160</v>
      </c>
      <c r="S5" s="297"/>
      <c r="T5" s="298">
        <v>0.1</v>
      </c>
      <c r="U5" s="297"/>
      <c r="V5" s="296"/>
      <c r="W5" s="295"/>
      <c r="X5" s="295"/>
      <c r="Y5" s="295"/>
      <c r="Z5" s="295"/>
      <c r="AA5" s="295"/>
      <c r="AB5" s="295"/>
      <c r="AC5" s="295"/>
      <c r="AD5" s="295"/>
      <c r="AE5" s="294"/>
      <c r="AF5" s="295"/>
      <c r="AG5" s="295"/>
      <c r="AH5" s="294"/>
      <c r="AI5" s="295"/>
      <c r="AJ5" s="295"/>
      <c r="AK5" s="294"/>
      <c r="AL5" s="295"/>
      <c r="AM5" s="295"/>
      <c r="AN5" s="294"/>
      <c r="AP5" s="293">
        <f>-T5*2</f>
        <v>-0.2</v>
      </c>
      <c r="AQ5" s="293">
        <f>-$T5</f>
        <v>-0.1</v>
      </c>
      <c r="AR5" s="184">
        <v>0</v>
      </c>
      <c r="AS5" s="293">
        <f>T5</f>
        <v>0.1</v>
      </c>
      <c r="AT5" s="293">
        <f>T5*2</f>
        <v>0.2</v>
      </c>
      <c r="AV5" s="112" t="s">
        <v>1159</v>
      </c>
    </row>
    <row r="6" spans="2:54" ht="18" customHeight="1">
      <c r="B6" s="258"/>
      <c r="C6" s="153"/>
      <c r="D6" s="151"/>
      <c r="E6" s="150"/>
      <c r="G6" s="292" t="s">
        <v>1196</v>
      </c>
      <c r="H6" s="291"/>
      <c r="I6" s="291"/>
      <c r="J6" s="291"/>
      <c r="K6" s="290"/>
      <c r="L6" s="289" t="s">
        <v>1145</v>
      </c>
      <c r="M6" s="289" t="s">
        <v>1144</v>
      </c>
      <c r="N6" s="289" t="s">
        <v>1143</v>
      </c>
      <c r="O6" s="289" t="s">
        <v>1142</v>
      </c>
      <c r="P6" s="289" t="s">
        <v>1141</v>
      </c>
      <c r="Q6" s="289" t="s">
        <v>1140</v>
      </c>
      <c r="R6" s="154" t="s">
        <v>1151</v>
      </c>
      <c r="S6" s="154" t="s">
        <v>1150</v>
      </c>
      <c r="T6" s="154" t="s">
        <v>1149</v>
      </c>
      <c r="U6" s="154" t="s">
        <v>1148</v>
      </c>
      <c r="V6" s="154" t="s">
        <v>1147</v>
      </c>
      <c r="W6" s="385" t="s">
        <v>1158</v>
      </c>
      <c r="X6" s="386"/>
      <c r="Y6" s="387"/>
      <c r="Z6" s="385" t="s">
        <v>1157</v>
      </c>
      <c r="AA6" s="386"/>
      <c r="AB6" s="387"/>
      <c r="AC6" s="385" t="s">
        <v>1156</v>
      </c>
      <c r="AD6" s="386"/>
      <c r="AE6" s="387"/>
      <c r="AF6" s="385" t="s">
        <v>1155</v>
      </c>
      <c r="AG6" s="386"/>
      <c r="AH6" s="387"/>
      <c r="AI6" s="385" t="s">
        <v>1154</v>
      </c>
      <c r="AJ6" s="386" t="s">
        <v>1153</v>
      </c>
      <c r="AK6" s="387"/>
      <c r="AL6" s="385" t="s">
        <v>1152</v>
      </c>
      <c r="AM6" s="386"/>
      <c r="AN6" s="387"/>
      <c r="AP6" s="154" t="s">
        <v>1151</v>
      </c>
      <c r="AQ6" s="154" t="s">
        <v>1150</v>
      </c>
      <c r="AR6" s="154" t="s">
        <v>1149</v>
      </c>
      <c r="AS6" s="154" t="s">
        <v>1148</v>
      </c>
      <c r="AT6" s="154" t="s">
        <v>1147</v>
      </c>
      <c r="AU6" s="288" t="s">
        <v>1146</v>
      </c>
      <c r="AV6" s="288" t="s">
        <v>1145</v>
      </c>
      <c r="AW6" s="288" t="s">
        <v>1144</v>
      </c>
      <c r="AX6" s="288" t="s">
        <v>1143</v>
      </c>
      <c r="AY6" s="288" t="s">
        <v>1142</v>
      </c>
      <c r="AZ6" s="288" t="s">
        <v>1141</v>
      </c>
      <c r="BA6" s="288" t="s">
        <v>1140</v>
      </c>
    </row>
    <row r="7" spans="2:54" ht="18" customHeight="1">
      <c r="B7" s="262" t="str">
        <f>'Carteiras Brasil'!B7</f>
        <v>FX (BRL/USD)</v>
      </c>
      <c r="C7" s="200"/>
      <c r="D7" s="338">
        <f>'Carteiras Brasil'!D7</f>
        <v>5.52</v>
      </c>
      <c r="E7" s="199"/>
      <c r="G7" s="245" t="s">
        <v>1195</v>
      </c>
      <c r="H7" s="286"/>
      <c r="I7" s="286"/>
      <c r="J7" s="286"/>
      <c r="K7" s="285"/>
      <c r="L7" s="274">
        <f t="shared" ref="L7:Q7" si="0">L8+L9+L10+L14+L18</f>
        <v>1</v>
      </c>
      <c r="M7" s="274">
        <f t="shared" si="0"/>
        <v>1</v>
      </c>
      <c r="N7" s="274">
        <f t="shared" si="0"/>
        <v>0.9</v>
      </c>
      <c r="O7" s="274">
        <f t="shared" si="0"/>
        <v>0.8</v>
      </c>
      <c r="P7" s="274">
        <f t="shared" si="0"/>
        <v>0.5</v>
      </c>
      <c r="Q7" s="274">
        <f t="shared" si="0"/>
        <v>0</v>
      </c>
      <c r="R7" s="272"/>
      <c r="S7" s="271"/>
      <c r="T7" s="270"/>
      <c r="U7" s="269"/>
      <c r="V7" s="268"/>
      <c r="W7" s="197"/>
      <c r="X7" s="186">
        <f>X8+X9+X10+X14+X18</f>
        <v>1</v>
      </c>
      <c r="Y7" s="188"/>
      <c r="Z7" s="187"/>
      <c r="AA7" s="186">
        <f>AA8+AA9+AA10+AA14+AA18</f>
        <v>1</v>
      </c>
      <c r="AB7" s="188"/>
      <c r="AC7" s="187"/>
      <c r="AD7" s="186">
        <f>AD8+AD9+AD10+AD14+AD18</f>
        <v>0.9</v>
      </c>
      <c r="AE7" s="188"/>
      <c r="AF7" s="187"/>
      <c r="AG7" s="186">
        <f>AG8+AG9+AG10+AG14+AG18</f>
        <v>0.8</v>
      </c>
      <c r="AH7" s="188"/>
      <c r="AI7" s="187"/>
      <c r="AJ7" s="186">
        <f>AJ8+AJ10+AJ14+AJ18</f>
        <v>0.5</v>
      </c>
      <c r="AK7" s="188"/>
      <c r="AL7" s="187"/>
      <c r="AM7" s="186">
        <f>AM8+AM9+AM10+AM14+AM18</f>
        <v>0</v>
      </c>
      <c r="AN7" s="188"/>
      <c r="AP7" s="283"/>
      <c r="AQ7" s="283"/>
      <c r="AR7" s="283"/>
      <c r="AS7" s="283"/>
      <c r="AT7" s="283"/>
      <c r="AU7" s="337"/>
      <c r="AV7" s="337"/>
      <c r="AW7" s="337"/>
      <c r="AX7" s="337"/>
      <c r="AY7" s="337"/>
      <c r="AZ7" s="337"/>
      <c r="BA7" s="337"/>
      <c r="BB7" s="335"/>
    </row>
    <row r="8" spans="2:54" ht="18" customHeight="1">
      <c r="B8" s="262" t="str">
        <f>'Carteiras Brasil'!B8</f>
        <v>Selic (% a.a)</v>
      </c>
      <c r="C8" s="200"/>
      <c r="D8" s="332">
        <f>'Carteiras Brasil'!D8</f>
        <v>0.15</v>
      </c>
      <c r="E8" s="199"/>
      <c r="G8" s="135"/>
      <c r="H8" s="133" t="s">
        <v>1187</v>
      </c>
      <c r="I8" s="133"/>
      <c r="J8" s="133"/>
      <c r="K8" s="222"/>
      <c r="L8" s="281">
        <v>1</v>
      </c>
      <c r="M8" s="281">
        <v>1</v>
      </c>
      <c r="N8" s="281">
        <v>0.45</v>
      </c>
      <c r="O8" s="281">
        <v>0.25</v>
      </c>
      <c r="P8" s="281">
        <v>0.05</v>
      </c>
      <c r="Q8" s="281">
        <v>0</v>
      </c>
      <c r="R8" s="220"/>
      <c r="S8" s="219"/>
      <c r="T8" s="218"/>
      <c r="U8" s="217"/>
      <c r="V8" s="216"/>
      <c r="W8" s="197"/>
      <c r="X8" s="186">
        <f>L7-X9-X10-X14-X18+AV27</f>
        <v>1</v>
      </c>
      <c r="Y8" s="188"/>
      <c r="Z8" s="187"/>
      <c r="AA8" s="186">
        <f>M7-AA9-AA10-AA14-AA18+AW27</f>
        <v>1</v>
      </c>
      <c r="AB8" s="188"/>
      <c r="AC8" s="187"/>
      <c r="AD8" s="186">
        <f>N7-AD9-AD10-AD14-AD18+AX27</f>
        <v>0.45000000000000007</v>
      </c>
      <c r="AE8" s="188"/>
      <c r="AF8" s="187"/>
      <c r="AG8" s="186">
        <f>O7-AG9-AG10-AG14-AG18+AY27</f>
        <v>0.1</v>
      </c>
      <c r="AH8" s="188"/>
      <c r="AI8" s="187"/>
      <c r="AJ8" s="186">
        <f>P8</f>
        <v>0.05</v>
      </c>
      <c r="AK8" s="188"/>
      <c r="AL8" s="187"/>
      <c r="AM8" s="186">
        <f>Q7-AM9-AM10-AM14-AM18+BA27</f>
        <v>0</v>
      </c>
      <c r="AN8" s="188"/>
      <c r="AP8" s="279"/>
      <c r="AQ8" s="279"/>
      <c r="AR8" s="279"/>
      <c r="AS8" s="279"/>
      <c r="AT8" s="279"/>
      <c r="AU8" s="336"/>
      <c r="AV8" s="336"/>
      <c r="AW8" s="336"/>
      <c r="AX8" s="336"/>
      <c r="AY8" s="336"/>
      <c r="AZ8" s="336"/>
      <c r="BA8" s="336"/>
      <c r="BB8" s="335"/>
    </row>
    <row r="9" spans="2:54" ht="18" customHeight="1">
      <c r="B9" s="262" t="str">
        <f>'Carteiras Brasil'!B9</f>
        <v>Pre - 1 Y (%a.a)</v>
      </c>
      <c r="C9" s="200"/>
      <c r="D9" s="332">
        <f>'Carteiras Brasil'!D9</f>
        <v>0.14729999999999999</v>
      </c>
      <c r="E9" s="199"/>
      <c r="G9" s="135"/>
      <c r="H9" s="133" t="s">
        <v>1186</v>
      </c>
      <c r="I9" s="133"/>
      <c r="J9" s="133"/>
      <c r="K9" s="222"/>
      <c r="L9" s="281">
        <v>0</v>
      </c>
      <c r="M9" s="281">
        <v>0</v>
      </c>
      <c r="N9" s="281">
        <v>0</v>
      </c>
      <c r="O9" s="281">
        <v>0</v>
      </c>
      <c r="P9" s="281">
        <v>0</v>
      </c>
      <c r="Q9" s="281">
        <v>0</v>
      </c>
      <c r="R9" s="190"/>
      <c r="S9" s="190"/>
      <c r="T9" s="190" t="s">
        <v>1095</v>
      </c>
      <c r="U9" s="190"/>
      <c r="V9" s="190"/>
      <c r="W9" s="197"/>
      <c r="X9" s="186">
        <f>L9*$AU9</f>
        <v>0</v>
      </c>
      <c r="Y9" s="188"/>
      <c r="Z9" s="187"/>
      <c r="AA9" s="186">
        <f>M9*$AU9</f>
        <v>0</v>
      </c>
      <c r="AB9" s="188"/>
      <c r="AC9" s="187"/>
      <c r="AD9" s="186">
        <f>N9*$AU9</f>
        <v>0</v>
      </c>
      <c r="AE9" s="196"/>
      <c r="AF9" s="187"/>
      <c r="AG9" s="186">
        <f>O10*$AU9</f>
        <v>0.15</v>
      </c>
      <c r="AH9" s="196"/>
      <c r="AI9" s="187"/>
      <c r="AJ9" s="186">
        <f>P9*$AU9</f>
        <v>0</v>
      </c>
      <c r="AK9" s="196"/>
      <c r="AL9" s="187"/>
      <c r="AM9" s="186">
        <f>Q10*$AU9</f>
        <v>0</v>
      </c>
      <c r="AN9" s="196"/>
      <c r="AP9" s="184">
        <f t="shared" ref="AP9:AT10" si="1">IF(R9="",0,(1+AP$5))</f>
        <v>0</v>
      </c>
      <c r="AQ9" s="184">
        <f t="shared" si="1"/>
        <v>0</v>
      </c>
      <c r="AR9" s="184">
        <f t="shared" si="1"/>
        <v>1</v>
      </c>
      <c r="AS9" s="184">
        <f t="shared" si="1"/>
        <v>0</v>
      </c>
      <c r="AT9" s="184">
        <f t="shared" si="1"/>
        <v>0</v>
      </c>
      <c r="AU9" s="183">
        <f>SUM(AP9:AT9)</f>
        <v>1</v>
      </c>
      <c r="AV9" s="173">
        <f>L9-X9</f>
        <v>0</v>
      </c>
      <c r="AW9" s="173">
        <f>M9-AA9</f>
        <v>0</v>
      </c>
      <c r="AX9" s="173">
        <f>N9-AD9</f>
        <v>0</v>
      </c>
      <c r="AY9" s="173">
        <f>O9-AG9</f>
        <v>-0.15</v>
      </c>
      <c r="AZ9" s="173">
        <f>P9-AJ9</f>
        <v>0</v>
      </c>
      <c r="BA9" s="173">
        <f>Q9-AM9</f>
        <v>0</v>
      </c>
    </row>
    <row r="10" spans="2:54" ht="18" customHeight="1">
      <c r="B10" s="262" t="str">
        <f>'Carteiras Brasil'!B10</f>
        <v>Pre - 5 Y (%a.a)</v>
      </c>
      <c r="C10" s="200"/>
      <c r="D10" s="332">
        <f>'Carteiras Brasil'!D10</f>
        <v>0.13469999999999999</v>
      </c>
      <c r="E10" s="199"/>
      <c r="G10" s="144"/>
      <c r="H10" s="276" t="s">
        <v>1185</v>
      </c>
      <c r="I10" s="276"/>
      <c r="J10" s="276"/>
      <c r="K10" s="275"/>
      <c r="L10" s="274">
        <f t="shared" ref="L10:Q10" si="2">SUM(L11:L13)</f>
        <v>0</v>
      </c>
      <c r="M10" s="274">
        <f t="shared" si="2"/>
        <v>0</v>
      </c>
      <c r="N10" s="274">
        <f t="shared" si="2"/>
        <v>0.15</v>
      </c>
      <c r="O10" s="274">
        <f t="shared" si="2"/>
        <v>0.15</v>
      </c>
      <c r="P10" s="274">
        <f t="shared" si="2"/>
        <v>0.15</v>
      </c>
      <c r="Q10" s="274">
        <f t="shared" si="2"/>
        <v>0</v>
      </c>
      <c r="R10" s="190"/>
      <c r="S10" s="190"/>
      <c r="T10" s="190" t="s">
        <v>1095</v>
      </c>
      <c r="U10" s="190"/>
      <c r="V10" s="190"/>
      <c r="W10" s="226"/>
      <c r="X10" s="224">
        <f>L10*$AU10</f>
        <v>0</v>
      </c>
      <c r="Y10" s="223"/>
      <c r="Z10" s="225"/>
      <c r="AA10" s="224">
        <f>M10*$AU10</f>
        <v>0</v>
      </c>
      <c r="AB10" s="223"/>
      <c r="AC10" s="225"/>
      <c r="AD10" s="224">
        <f>N10*$AU10</f>
        <v>0.15</v>
      </c>
      <c r="AE10" s="223"/>
      <c r="AF10" s="225"/>
      <c r="AG10" s="224">
        <f>O10*$AU10</f>
        <v>0.15</v>
      </c>
      <c r="AH10" s="223"/>
      <c r="AI10" s="225"/>
      <c r="AJ10" s="224">
        <f>P10*$AU10</f>
        <v>0.15</v>
      </c>
      <c r="AK10" s="223"/>
      <c r="AL10" s="225"/>
      <c r="AM10" s="224">
        <f>Q10*$AU10</f>
        <v>0</v>
      </c>
      <c r="AN10" s="223"/>
      <c r="AP10" s="184">
        <f t="shared" si="1"/>
        <v>0</v>
      </c>
      <c r="AQ10" s="184">
        <f t="shared" si="1"/>
        <v>0</v>
      </c>
      <c r="AR10" s="184">
        <f t="shared" si="1"/>
        <v>1</v>
      </c>
      <c r="AS10" s="184">
        <f t="shared" si="1"/>
        <v>0</v>
      </c>
      <c r="AT10" s="184">
        <f t="shared" si="1"/>
        <v>0</v>
      </c>
      <c r="AU10" s="183">
        <f>SUM(AP10:AT10)</f>
        <v>1</v>
      </c>
      <c r="AV10" s="173">
        <f>L10-X10</f>
        <v>0</v>
      </c>
      <c r="AW10" s="173">
        <f>M10-AA10</f>
        <v>0</v>
      </c>
      <c r="AX10" s="173">
        <f>N10-AD10</f>
        <v>0</v>
      </c>
      <c r="AY10" s="173">
        <f>O10-AG10</f>
        <v>0</v>
      </c>
      <c r="AZ10" s="173">
        <f>P10-AJ10</f>
        <v>0</v>
      </c>
      <c r="BA10" s="173">
        <f>Q10-AM10</f>
        <v>0</v>
      </c>
    </row>
    <row r="11" spans="2:54" s="263" customFormat="1" ht="18" customHeight="1">
      <c r="B11" s="262" t="str">
        <f>'Carteiras Brasil'!B11</f>
        <v>Pre - 10 Y (%a.a)</v>
      </c>
      <c r="C11" s="200"/>
      <c r="D11" s="332">
        <f>'Carteiras Brasil'!D11</f>
        <v>0.13650000000000001</v>
      </c>
      <c r="E11" s="199"/>
      <c r="G11" s="135"/>
      <c r="H11" s="133"/>
      <c r="I11" s="222" t="s">
        <v>1190</v>
      </c>
      <c r="J11" s="133"/>
      <c r="K11" s="222"/>
      <c r="L11" s="266">
        <v>0</v>
      </c>
      <c r="M11" s="266">
        <v>0</v>
      </c>
      <c r="N11" s="266">
        <v>0</v>
      </c>
      <c r="O11" s="266">
        <v>0</v>
      </c>
      <c r="P11" s="266">
        <v>0</v>
      </c>
      <c r="Q11" s="266">
        <v>0</v>
      </c>
      <c r="R11" s="272"/>
      <c r="S11" s="271"/>
      <c r="T11" s="270"/>
      <c r="U11" s="269"/>
      <c r="V11" s="268"/>
      <c r="W11" s="197"/>
      <c r="X11" s="186">
        <f>IF(L$10=0,0,X$10*(L11/L$10))</f>
        <v>0</v>
      </c>
      <c r="Y11" s="188"/>
      <c r="Z11" s="187"/>
      <c r="AA11" s="186">
        <f>IF(M$10=0,0,AA$10*(M11/M$10))</f>
        <v>0</v>
      </c>
      <c r="AB11" s="188"/>
      <c r="AC11" s="187"/>
      <c r="AD11" s="186">
        <f>IF(N$10=0,0,AD$10*(N11/N$10))</f>
        <v>0</v>
      </c>
      <c r="AE11" s="188"/>
      <c r="AF11" s="187"/>
      <c r="AG11" s="186">
        <f>IF(O$10=0,0,AG$10*(O11/O$10))</f>
        <v>0</v>
      </c>
      <c r="AH11" s="188"/>
      <c r="AI11" s="187"/>
      <c r="AJ11" s="186">
        <f>IF(P$10=0,0,AJ$10*(P11/P$10))</f>
        <v>0</v>
      </c>
      <c r="AK11" s="188"/>
      <c r="AL11" s="187"/>
      <c r="AM11" s="186">
        <f>IF(Q$10=0,0,AM$10*(Q11/Q$10))</f>
        <v>0</v>
      </c>
      <c r="AN11" s="188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</row>
    <row r="12" spans="2:54" s="263" customFormat="1" ht="18" customHeight="1">
      <c r="B12" s="262" t="str">
        <f>'Carteiras Brasil'!B12</f>
        <v>IPCA (variacao %)</v>
      </c>
      <c r="C12" s="200"/>
      <c r="D12" s="332">
        <f>'Carteiras Brasil'!D12</f>
        <v>5.3199999999999997E-2</v>
      </c>
      <c r="E12" s="199"/>
      <c r="G12" s="135"/>
      <c r="H12" s="133"/>
      <c r="I12" s="222" t="s">
        <v>1189</v>
      </c>
      <c r="J12" s="133"/>
      <c r="K12" s="222"/>
      <c r="L12" s="266">
        <v>0</v>
      </c>
      <c r="M12" s="266">
        <v>0</v>
      </c>
      <c r="N12" s="266">
        <v>0</v>
      </c>
      <c r="O12" s="266">
        <v>0</v>
      </c>
      <c r="P12" s="266">
        <v>0</v>
      </c>
      <c r="Q12" s="266">
        <v>0</v>
      </c>
      <c r="R12" s="220"/>
      <c r="S12" s="219"/>
      <c r="T12" s="218"/>
      <c r="U12" s="217"/>
      <c r="V12" s="216"/>
      <c r="W12" s="197"/>
      <c r="X12" s="186">
        <f>IF(L$10=0,0,X$10*(L12/L$10))</f>
        <v>0</v>
      </c>
      <c r="Y12" s="188"/>
      <c r="Z12" s="187"/>
      <c r="AA12" s="186">
        <f>IF(M$10=0,0,AA$10*(M12/M$10))</f>
        <v>0</v>
      </c>
      <c r="AB12" s="188"/>
      <c r="AC12" s="187"/>
      <c r="AD12" s="186">
        <f>IF(N$10=0,0,AD$10*(N12/N$10))</f>
        <v>0</v>
      </c>
      <c r="AE12" s="188"/>
      <c r="AF12" s="187"/>
      <c r="AG12" s="186">
        <f>IF(O$10=0,0,AG$10*(O12/O$10))</f>
        <v>0</v>
      </c>
      <c r="AH12" s="188"/>
      <c r="AI12" s="187"/>
      <c r="AJ12" s="186">
        <f>IF(P$10=0,0,AJ$10*(P12/P$10))</f>
        <v>0</v>
      </c>
      <c r="AK12" s="188"/>
      <c r="AL12" s="187"/>
      <c r="AM12" s="186">
        <f>IF(Q$10=0,0,AM$10*(Q12/Q$10))</f>
        <v>0</v>
      </c>
      <c r="AN12" s="188"/>
      <c r="AO12" s="112"/>
      <c r="AP12" s="255"/>
      <c r="AQ12" s="255"/>
      <c r="AR12" s="255"/>
      <c r="AS12" s="255"/>
      <c r="AT12" s="255"/>
      <c r="AU12" s="255"/>
      <c r="AV12" s="255"/>
      <c r="AW12" s="255"/>
      <c r="AX12" s="255"/>
      <c r="AY12" s="255"/>
      <c r="AZ12" s="255"/>
      <c r="BA12" s="255"/>
    </row>
    <row r="13" spans="2:54" s="263" customFormat="1" ht="18" customHeight="1">
      <c r="B13" s="262" t="str">
        <f>'Carteiras Brasil'!B13</f>
        <v>Juro Real - Curto</v>
      </c>
      <c r="C13" s="200"/>
      <c r="D13" s="332">
        <f>'Carteiras Brasil'!D13</f>
        <v>9.9099999999999994E-2</v>
      </c>
      <c r="E13" s="199"/>
      <c r="G13" s="135"/>
      <c r="H13" s="133"/>
      <c r="I13" s="222" t="s">
        <v>1188</v>
      </c>
      <c r="J13" s="133"/>
      <c r="K13" s="222"/>
      <c r="L13" s="266">
        <v>0</v>
      </c>
      <c r="M13" s="266">
        <v>0</v>
      </c>
      <c r="N13" s="266">
        <v>0.15</v>
      </c>
      <c r="O13" s="266">
        <v>0.15</v>
      </c>
      <c r="P13" s="266">
        <v>0.15</v>
      </c>
      <c r="Q13" s="266">
        <v>0</v>
      </c>
      <c r="R13" s="211"/>
      <c r="S13" s="210"/>
      <c r="T13" s="209"/>
      <c r="U13" s="208"/>
      <c r="V13" s="207"/>
      <c r="W13" s="197"/>
      <c r="X13" s="186">
        <f>IF(L$10=0,0,X$10*(L13/L$10))</f>
        <v>0</v>
      </c>
      <c r="Y13" s="188"/>
      <c r="Z13" s="187"/>
      <c r="AA13" s="186">
        <f>IF(M$10=0,0,AA$10*(M13/M$10))</f>
        <v>0</v>
      </c>
      <c r="AB13" s="188"/>
      <c r="AC13" s="187"/>
      <c r="AD13" s="186">
        <f>IF(N$10=0,0,AD$10*(N13/N$10))</f>
        <v>0.15</v>
      </c>
      <c r="AE13" s="188"/>
      <c r="AF13" s="187"/>
      <c r="AG13" s="186">
        <f>IF(O$10=0,0,AG$10*(O13/O$10))</f>
        <v>0.15</v>
      </c>
      <c r="AH13" s="188"/>
      <c r="AI13" s="187"/>
      <c r="AJ13" s="186">
        <f>IF(P$10=0,0,AJ$10*(P13/P$10))</f>
        <v>0.15</v>
      </c>
      <c r="AK13" s="188"/>
      <c r="AL13" s="187"/>
      <c r="AM13" s="186">
        <f>IF(Q$10=0,0,AM$10*(Q13/Q$10))</f>
        <v>0</v>
      </c>
      <c r="AN13" s="188"/>
      <c r="AO13" s="112"/>
      <c r="AP13" s="255"/>
      <c r="AQ13" s="255"/>
      <c r="AR13" s="255"/>
      <c r="AS13" s="255"/>
      <c r="AT13" s="255"/>
      <c r="AU13" s="255"/>
      <c r="AV13" s="255"/>
      <c r="AW13" s="255"/>
      <c r="AX13" s="255"/>
      <c r="AY13" s="255"/>
      <c r="AZ13" s="255"/>
      <c r="BA13" s="255"/>
    </row>
    <row r="14" spans="2:54" ht="18" customHeight="1">
      <c r="B14" s="262" t="str">
        <f>'Carteiras Brasil'!B14</f>
        <v>Juro Real - Medio</v>
      </c>
      <c r="C14" s="200"/>
      <c r="D14" s="332">
        <f>'Carteiras Brasil'!D14</f>
        <v>7.5999999999999998E-2</v>
      </c>
      <c r="E14" s="199"/>
      <c r="G14" s="144"/>
      <c r="H14" s="276" t="s">
        <v>1191</v>
      </c>
      <c r="I14" s="276"/>
      <c r="J14" s="276"/>
      <c r="K14" s="275"/>
      <c r="L14" s="274">
        <f t="shared" ref="L14:Q14" si="3">SUM(L15:L17)</f>
        <v>0</v>
      </c>
      <c r="M14" s="274">
        <f t="shared" si="3"/>
        <v>0</v>
      </c>
      <c r="N14" s="274">
        <f t="shared" si="3"/>
        <v>0.2</v>
      </c>
      <c r="O14" s="274">
        <f t="shared" si="3"/>
        <v>0.25</v>
      </c>
      <c r="P14" s="274">
        <f t="shared" si="3"/>
        <v>0.2</v>
      </c>
      <c r="Q14" s="274">
        <f t="shared" si="3"/>
        <v>0</v>
      </c>
      <c r="R14" s="190"/>
      <c r="S14" s="190"/>
      <c r="T14" s="190" t="s">
        <v>1095</v>
      </c>
      <c r="U14" s="190"/>
      <c r="V14" s="190"/>
      <c r="W14" s="226"/>
      <c r="X14" s="224">
        <f>L14*$AU14</f>
        <v>0</v>
      </c>
      <c r="Y14" s="223"/>
      <c r="Z14" s="225"/>
      <c r="AA14" s="224">
        <f>M14*$AU14</f>
        <v>0</v>
      </c>
      <c r="AB14" s="223"/>
      <c r="AC14" s="225"/>
      <c r="AD14" s="224">
        <f>N14*$AU14</f>
        <v>0.2</v>
      </c>
      <c r="AE14" s="223"/>
      <c r="AF14" s="225"/>
      <c r="AG14" s="224">
        <f>O14*$AU14</f>
        <v>0.25</v>
      </c>
      <c r="AH14" s="223"/>
      <c r="AI14" s="225"/>
      <c r="AJ14" s="224">
        <f>P14*$AU14</f>
        <v>0.2</v>
      </c>
      <c r="AK14" s="223"/>
      <c r="AL14" s="225"/>
      <c r="AM14" s="224">
        <f>Q14*$AU14</f>
        <v>0</v>
      </c>
      <c r="AN14" s="223"/>
      <c r="AP14" s="184">
        <f>IF(R14="",0,(1+AP$5))</f>
        <v>0</v>
      </c>
      <c r="AQ14" s="184">
        <f>IF(S14="",0,(1+AQ$5))</f>
        <v>0</v>
      </c>
      <c r="AR14" s="184">
        <f>IF(T14="",0,(1+AR$5))</f>
        <v>1</v>
      </c>
      <c r="AS14" s="184">
        <f>IF(U14="",0,(1+AS$5))</f>
        <v>0</v>
      </c>
      <c r="AT14" s="184">
        <f>IF(V14="",0,(1+AT$5))</f>
        <v>0</v>
      </c>
      <c r="AU14" s="183">
        <f>SUM(AP14:AT14)</f>
        <v>1</v>
      </c>
      <c r="AV14" s="173">
        <f>L14-X14</f>
        <v>0</v>
      </c>
      <c r="AW14" s="173">
        <f>M14-AA14</f>
        <v>0</v>
      </c>
      <c r="AX14" s="173">
        <f>N14-AD14</f>
        <v>0</v>
      </c>
      <c r="AY14" s="173">
        <f>O14-AG14</f>
        <v>0</v>
      </c>
      <c r="AZ14" s="173">
        <f>P14-AJ14</f>
        <v>0</v>
      </c>
      <c r="BA14" s="173">
        <f>Q14-AM14</f>
        <v>0</v>
      </c>
    </row>
    <row r="15" spans="2:54" ht="18" customHeight="1">
      <c r="B15" s="262" t="str">
        <f>'Carteiras Brasil'!B15</f>
        <v>Juro Real - Longo</v>
      </c>
      <c r="C15" s="200"/>
      <c r="D15" s="332">
        <f>'Carteiras Brasil'!D15</f>
        <v>7.1099999999999997E-2</v>
      </c>
      <c r="E15" s="199"/>
      <c r="G15" s="135"/>
      <c r="H15" s="133"/>
      <c r="I15" s="222" t="s">
        <v>1190</v>
      </c>
      <c r="J15" s="133"/>
      <c r="K15" s="222"/>
      <c r="L15" s="266">
        <v>0</v>
      </c>
      <c r="M15" s="266">
        <v>0</v>
      </c>
      <c r="N15" s="266">
        <v>0</v>
      </c>
      <c r="O15" s="266">
        <v>0</v>
      </c>
      <c r="P15" s="266">
        <v>0</v>
      </c>
      <c r="Q15" s="266">
        <v>0</v>
      </c>
      <c r="R15" s="272"/>
      <c r="S15" s="271"/>
      <c r="T15" s="270"/>
      <c r="U15" s="269"/>
      <c r="V15" s="268"/>
      <c r="W15" s="197"/>
      <c r="X15" s="186">
        <f>IF(L$14=0,0,X$14*(L15/L$14))</f>
        <v>0</v>
      </c>
      <c r="Y15" s="188"/>
      <c r="Z15" s="187"/>
      <c r="AA15" s="186">
        <f>IF(M$14=0,0,AA$14*(M15/M$14))</f>
        <v>0</v>
      </c>
      <c r="AB15" s="188"/>
      <c r="AC15" s="187"/>
      <c r="AD15" s="186">
        <f>IF(N$14=0,0,AD$14*(N15/N$14))</f>
        <v>0</v>
      </c>
      <c r="AE15" s="188"/>
      <c r="AF15" s="187"/>
      <c r="AG15" s="186">
        <f>IF(O$14=0,0,AG$14*(O15/O$14))</f>
        <v>0</v>
      </c>
      <c r="AH15" s="188"/>
      <c r="AI15" s="187"/>
      <c r="AJ15" s="186">
        <f>IF(P$14=0,0,AJ$14*(P15/P$14))</f>
        <v>0</v>
      </c>
      <c r="AK15" s="188"/>
      <c r="AL15" s="187"/>
      <c r="AM15" s="186">
        <f>IF(Q$14=0,0,AM$14*(Q15/Q$14))</f>
        <v>0</v>
      </c>
      <c r="AN15" s="188"/>
      <c r="AO15" s="263"/>
      <c r="AP15" s="255"/>
      <c r="AQ15" s="255"/>
      <c r="AR15" s="255"/>
      <c r="AS15" s="255"/>
      <c r="AT15" s="255"/>
      <c r="AU15" s="255"/>
      <c r="AV15" s="255"/>
      <c r="AW15" s="255"/>
      <c r="AX15" s="255"/>
      <c r="AY15" s="255"/>
      <c r="AZ15" s="255"/>
      <c r="BA15" s="255"/>
    </row>
    <row r="16" spans="2:54" s="161" customFormat="1" ht="18" customHeight="1">
      <c r="B16" s="262" t="str">
        <f>'Carteiras Brasil'!B16</f>
        <v>Premio Cred Corp  IG</v>
      </c>
      <c r="C16" s="200"/>
      <c r="D16" s="332">
        <f>'Carteiras Brasil'!D16</f>
        <v>8.5000000000000006E-3</v>
      </c>
      <c r="E16" s="199"/>
      <c r="G16" s="135"/>
      <c r="H16" s="133"/>
      <c r="I16" s="222" t="s">
        <v>1189</v>
      </c>
      <c r="J16" s="133"/>
      <c r="K16" s="222"/>
      <c r="L16" s="266">
        <v>0</v>
      </c>
      <c r="M16" s="266">
        <v>0</v>
      </c>
      <c r="N16" s="266">
        <v>0.2</v>
      </c>
      <c r="O16" s="266">
        <v>0.25</v>
      </c>
      <c r="P16" s="266">
        <v>0.2</v>
      </c>
      <c r="Q16" s="266">
        <v>0</v>
      </c>
      <c r="R16" s="220"/>
      <c r="S16" s="219"/>
      <c r="T16" s="218"/>
      <c r="U16" s="217"/>
      <c r="V16" s="216"/>
      <c r="W16" s="197"/>
      <c r="X16" s="186">
        <f>IF(L$14=0,0,X$14*(L16/L$14))</f>
        <v>0</v>
      </c>
      <c r="Y16" s="188"/>
      <c r="Z16" s="187"/>
      <c r="AA16" s="186">
        <f>IF(M$14=0,0,AA$14*(M16/M$14))</f>
        <v>0</v>
      </c>
      <c r="AB16" s="188"/>
      <c r="AC16" s="187"/>
      <c r="AD16" s="186">
        <f>IF(N$14=0,0,AD$14*(N16/N$14))</f>
        <v>0.2</v>
      </c>
      <c r="AE16" s="188"/>
      <c r="AF16" s="187"/>
      <c r="AG16" s="186">
        <f>IF(O$14=0,0,AG$14*(O16/O$14))</f>
        <v>0.25</v>
      </c>
      <c r="AH16" s="188"/>
      <c r="AI16" s="187"/>
      <c r="AJ16" s="186">
        <f>IF(P$14=0,0,AJ$14*(P16/P$14))</f>
        <v>0.2</v>
      </c>
      <c r="AK16" s="188"/>
      <c r="AL16" s="187"/>
      <c r="AM16" s="186">
        <f>IF(Q$14=0,0,AM$14*(Q16/Q$14))</f>
        <v>0</v>
      </c>
      <c r="AN16" s="188"/>
      <c r="AO16" s="263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</row>
    <row r="17" spans="2:53" s="130" customFormat="1" ht="18" customHeight="1">
      <c r="B17" s="262" t="str">
        <f>'Carteiras Brasil'!B17</f>
        <v>Premio Cred Corp  HY</v>
      </c>
      <c r="C17" s="200"/>
      <c r="D17" s="332">
        <f>'Carteiras Brasil'!D17</f>
        <v>2.1499999999999998E-2</v>
      </c>
      <c r="E17" s="199"/>
      <c r="G17" s="135"/>
      <c r="H17" s="133"/>
      <c r="I17" s="222" t="s">
        <v>1188</v>
      </c>
      <c r="J17" s="133"/>
      <c r="K17" s="222"/>
      <c r="L17" s="266">
        <v>0</v>
      </c>
      <c r="M17" s="266">
        <v>0</v>
      </c>
      <c r="N17" s="266">
        <v>0</v>
      </c>
      <c r="O17" s="266">
        <v>0</v>
      </c>
      <c r="P17" s="266">
        <v>0</v>
      </c>
      <c r="Q17" s="334">
        <v>0</v>
      </c>
      <c r="R17" s="220"/>
      <c r="S17" s="219"/>
      <c r="T17" s="218"/>
      <c r="U17" s="217"/>
      <c r="V17" s="216"/>
      <c r="W17" s="197"/>
      <c r="X17" s="186">
        <f>IF(L$14=0,0,X$14*(L17/L$14))</f>
        <v>0</v>
      </c>
      <c r="Y17" s="188"/>
      <c r="Z17" s="187"/>
      <c r="AA17" s="186">
        <f>IF(M$14=0,0,AA$14*(M17/M$14))</f>
        <v>0</v>
      </c>
      <c r="AB17" s="188"/>
      <c r="AC17" s="187"/>
      <c r="AD17" s="186">
        <f>IF(N$14=0,0,AD$14*(N17/N$14))</f>
        <v>0</v>
      </c>
      <c r="AE17" s="188"/>
      <c r="AF17" s="187"/>
      <c r="AG17" s="186">
        <f>IF(O$14=0,0,AG$14*(O17/O$14))</f>
        <v>0</v>
      </c>
      <c r="AH17" s="188"/>
      <c r="AI17" s="187"/>
      <c r="AJ17" s="186">
        <f>IF(P$14=0,0,AJ$14*(P17/P$14))</f>
        <v>0</v>
      </c>
      <c r="AK17" s="188"/>
      <c r="AL17" s="187"/>
      <c r="AM17" s="186">
        <f>IF(Q$14=0,0,AM$14*(Q17/Q$14))</f>
        <v>0</v>
      </c>
      <c r="AN17" s="188"/>
      <c r="AO17" s="263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</row>
    <row r="18" spans="2:53" s="244" customFormat="1" ht="18" customHeight="1">
      <c r="B18" s="262" t="str">
        <f>'Carteiras Brasil'!B18</f>
        <v>Bovespa</v>
      </c>
      <c r="C18" s="146"/>
      <c r="D18" s="327">
        <f>'Carteiras Brasil'!D18</f>
        <v>137265.81</v>
      </c>
      <c r="E18" s="193"/>
      <c r="G18" s="144"/>
      <c r="H18" s="276" t="s">
        <v>1183</v>
      </c>
      <c r="I18" s="276"/>
      <c r="J18" s="276"/>
      <c r="K18" s="275"/>
      <c r="L18" s="274">
        <f t="shared" ref="L18:Q18" si="4">SUM(L19:L21)</f>
        <v>0</v>
      </c>
      <c r="M18" s="274">
        <f t="shared" si="4"/>
        <v>0</v>
      </c>
      <c r="N18" s="274">
        <f t="shared" si="4"/>
        <v>0.1</v>
      </c>
      <c r="O18" s="274">
        <f t="shared" si="4"/>
        <v>0.15</v>
      </c>
      <c r="P18" s="274">
        <f t="shared" si="4"/>
        <v>0.1</v>
      </c>
      <c r="Q18" s="274">
        <f t="shared" si="4"/>
        <v>0</v>
      </c>
      <c r="R18" s="190"/>
      <c r="S18" s="190"/>
      <c r="T18" s="190" t="s">
        <v>1095</v>
      </c>
      <c r="U18" s="190"/>
      <c r="V18" s="190"/>
      <c r="W18" s="226"/>
      <c r="X18" s="224">
        <f>L18*$AU18</f>
        <v>0</v>
      </c>
      <c r="Y18" s="223"/>
      <c r="Z18" s="225"/>
      <c r="AA18" s="224">
        <f>M18*$AU18</f>
        <v>0</v>
      </c>
      <c r="AB18" s="223"/>
      <c r="AC18" s="225"/>
      <c r="AD18" s="224">
        <f>N18*$AU18</f>
        <v>0.1</v>
      </c>
      <c r="AE18" s="223"/>
      <c r="AF18" s="225"/>
      <c r="AG18" s="224">
        <f>O18*$AU18</f>
        <v>0.15</v>
      </c>
      <c r="AH18" s="223"/>
      <c r="AI18" s="225"/>
      <c r="AJ18" s="224">
        <f>P18*$AU18</f>
        <v>0.1</v>
      </c>
      <c r="AK18" s="223"/>
      <c r="AL18" s="225"/>
      <c r="AM18" s="224">
        <f>Q18*$AU18</f>
        <v>0</v>
      </c>
      <c r="AN18" s="223"/>
      <c r="AO18" s="112"/>
      <c r="AP18" s="184">
        <f>IF(R18="",0,(1+AP$5))</f>
        <v>0</v>
      </c>
      <c r="AQ18" s="184">
        <f>IF(S18="",0,(1+AQ$5))</f>
        <v>0</v>
      </c>
      <c r="AR18" s="184">
        <f>IF(T18="",0,(1+AR$5))</f>
        <v>1</v>
      </c>
      <c r="AS18" s="184">
        <f>IF(U18="",0,(1+AS$5))</f>
        <v>0</v>
      </c>
      <c r="AT18" s="184">
        <f>IF(V18="",0,(1+AT$5))</f>
        <v>0</v>
      </c>
      <c r="AU18" s="183">
        <f>SUM(AP18:AT18)</f>
        <v>1</v>
      </c>
      <c r="AV18" s="173">
        <f>L18-X18</f>
        <v>0</v>
      </c>
      <c r="AW18" s="173">
        <f>M18-AA18</f>
        <v>0</v>
      </c>
      <c r="AX18" s="173">
        <f>N18-AD18</f>
        <v>0</v>
      </c>
      <c r="AY18" s="173">
        <f>O18-AG18</f>
        <v>0</v>
      </c>
      <c r="AZ18" s="173">
        <f>P18-AJ18</f>
        <v>0</v>
      </c>
      <c r="BA18" s="173">
        <f>Q18-AM18</f>
        <v>0</v>
      </c>
    </row>
    <row r="19" spans="2:53" s="130" customFormat="1" ht="18" customHeight="1">
      <c r="B19" s="258"/>
      <c r="C19" s="153"/>
      <c r="D19" s="151"/>
      <c r="E19" s="150"/>
      <c r="G19" s="135"/>
      <c r="H19" s="133"/>
      <c r="I19" s="222" t="s">
        <v>1190</v>
      </c>
      <c r="J19" s="133"/>
      <c r="K19" s="222"/>
      <c r="L19" s="266">
        <v>0</v>
      </c>
      <c r="M19" s="266">
        <v>0</v>
      </c>
      <c r="N19" s="266">
        <v>0</v>
      </c>
      <c r="O19" s="266">
        <v>0</v>
      </c>
      <c r="P19" s="266">
        <v>0</v>
      </c>
      <c r="Q19" s="266">
        <v>0</v>
      </c>
      <c r="R19" s="272"/>
      <c r="S19" s="271"/>
      <c r="T19" s="270"/>
      <c r="U19" s="269"/>
      <c r="V19" s="268"/>
      <c r="W19" s="197"/>
      <c r="X19" s="186">
        <f>IF(L$14=0,0,X$14*(L19/L$14))</f>
        <v>0</v>
      </c>
      <c r="Y19" s="188"/>
      <c r="Z19" s="187"/>
      <c r="AA19" s="186">
        <f>IF(M$14=0,0,AA$14*(M19/M$14))</f>
        <v>0</v>
      </c>
      <c r="AB19" s="188"/>
      <c r="AC19" s="187"/>
      <c r="AD19" s="186">
        <f>IF(N$14=0,0,AD$14*(N19/N$14))</f>
        <v>0</v>
      </c>
      <c r="AE19" s="188"/>
      <c r="AF19" s="187"/>
      <c r="AG19" s="186">
        <f>IF(O$14=0,0,AG$14*(O19/O$14))</f>
        <v>0</v>
      </c>
      <c r="AH19" s="188"/>
      <c r="AI19" s="187"/>
      <c r="AJ19" s="186">
        <f>IF(P$14=0,0,AJ$14*(P19/P$14))</f>
        <v>0</v>
      </c>
      <c r="AK19" s="188"/>
      <c r="AL19" s="187"/>
      <c r="AM19" s="186">
        <f>IF(Q$14=0,0,AM$14*(Q19/Q$14))</f>
        <v>0</v>
      </c>
      <c r="AN19" s="188"/>
      <c r="AO19" s="263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</row>
    <row r="20" spans="2:53" s="130" customFormat="1" ht="18" customHeight="1">
      <c r="B20" s="146" t="str">
        <f>'Carteiras Brasil'!B20</f>
        <v>DXY</v>
      </c>
      <c r="C20" s="146"/>
      <c r="D20" s="333">
        <f>'Carteiras Brasil'!D20</f>
        <v>97.89</v>
      </c>
      <c r="E20" s="193"/>
      <c r="G20" s="135"/>
      <c r="H20" s="133"/>
      <c r="I20" s="222" t="s">
        <v>1189</v>
      </c>
      <c r="J20" s="133"/>
      <c r="K20" s="222"/>
      <c r="L20" s="266">
        <v>0</v>
      </c>
      <c r="M20" s="266">
        <v>0</v>
      </c>
      <c r="N20" s="266">
        <v>0.1</v>
      </c>
      <c r="O20" s="266">
        <v>0.15</v>
      </c>
      <c r="P20" s="266">
        <v>0.1</v>
      </c>
      <c r="Q20" s="266">
        <v>0</v>
      </c>
      <c r="R20" s="220"/>
      <c r="S20" s="219"/>
      <c r="T20" s="218"/>
      <c r="U20" s="217"/>
      <c r="V20" s="216"/>
      <c r="W20" s="197"/>
      <c r="X20" s="186">
        <f>IF(L$14=0,0,X$14*(L20/L$14))</f>
        <v>0</v>
      </c>
      <c r="Y20" s="188"/>
      <c r="Z20" s="187"/>
      <c r="AA20" s="186">
        <f>IF(M$14=0,0,AA$14*(M20/M$14))</f>
        <v>0</v>
      </c>
      <c r="AB20" s="188"/>
      <c r="AC20" s="187"/>
      <c r="AD20" s="186">
        <f>IF(N$14=0,0,AD$14*(N20/N$14))</f>
        <v>0.1</v>
      </c>
      <c r="AE20" s="188"/>
      <c r="AF20" s="187"/>
      <c r="AG20" s="186">
        <f>IF(O$14=0,0,AG$14*(O20/O$14))</f>
        <v>0.15</v>
      </c>
      <c r="AH20" s="188"/>
      <c r="AI20" s="187"/>
      <c r="AJ20" s="186">
        <f>IF(P$14=0,0,AJ$14*(P20/P$14))</f>
        <v>0.1</v>
      </c>
      <c r="AK20" s="188"/>
      <c r="AL20" s="187"/>
      <c r="AM20" s="186">
        <f>IF(Q$14=0,0,AM$14*(Q20/Q$14))</f>
        <v>0</v>
      </c>
      <c r="AN20" s="188"/>
      <c r="AO20" s="263"/>
      <c r="AP20" s="255"/>
      <c r="AQ20" s="255"/>
      <c r="AR20" s="255"/>
      <c r="AS20" s="255"/>
      <c r="AT20" s="255"/>
      <c r="AU20" s="255"/>
      <c r="AV20" s="255"/>
      <c r="AW20" s="255"/>
      <c r="AX20" s="255"/>
      <c r="AY20" s="255"/>
      <c r="AZ20" s="255"/>
      <c r="BA20" s="255"/>
    </row>
    <row r="21" spans="2:53" s="130" customFormat="1" ht="18" customHeight="1">
      <c r="B21" s="146" t="str">
        <f>'Carteiras Brasil'!B21</f>
        <v>Fed Funds</v>
      </c>
      <c r="C21" s="146"/>
      <c r="D21" s="332">
        <f>'Carteiras Brasil'!D21</f>
        <v>4.4999999999999998E-2</v>
      </c>
      <c r="E21" s="193"/>
      <c r="G21" s="121"/>
      <c r="H21" s="119"/>
      <c r="I21" s="163" t="s">
        <v>1188</v>
      </c>
      <c r="J21" s="119"/>
      <c r="K21" s="163"/>
      <c r="L21" s="206">
        <v>0</v>
      </c>
      <c r="M21" s="206">
        <v>0</v>
      </c>
      <c r="N21" s="206">
        <v>0</v>
      </c>
      <c r="O21" s="206">
        <v>0</v>
      </c>
      <c r="P21" s="206">
        <v>0</v>
      </c>
      <c r="Q21" s="205">
        <v>0</v>
      </c>
      <c r="R21" s="220"/>
      <c r="S21" s="219"/>
      <c r="T21" s="218"/>
      <c r="U21" s="217"/>
      <c r="V21" s="216"/>
      <c r="W21" s="197"/>
      <c r="X21" s="186">
        <f>IF(L$14=0,0,X$14*(L21/L$14))</f>
        <v>0</v>
      </c>
      <c r="Y21" s="188"/>
      <c r="Z21" s="187"/>
      <c r="AA21" s="186">
        <f>IF(M$14=0,0,AA$14*(M21/M$14))</f>
        <v>0</v>
      </c>
      <c r="AB21" s="188"/>
      <c r="AC21" s="187"/>
      <c r="AD21" s="186">
        <f>IF(N$14=0,0,AD$14*(N21/N$14))</f>
        <v>0</v>
      </c>
      <c r="AE21" s="188"/>
      <c r="AF21" s="187"/>
      <c r="AG21" s="186">
        <f>IF(O$14=0,0,AG$14*(O21/O$14))</f>
        <v>0</v>
      </c>
      <c r="AH21" s="188"/>
      <c r="AI21" s="187"/>
      <c r="AJ21" s="186">
        <f>IF(P$14=0,0,AJ$14*(P21/P$14))</f>
        <v>0</v>
      </c>
      <c r="AK21" s="188"/>
      <c r="AL21" s="187"/>
      <c r="AM21" s="186">
        <f>IF(Q$14=0,0,AM$14*(Q21/Q$14))</f>
        <v>0</v>
      </c>
      <c r="AN21" s="188"/>
      <c r="AO21" s="263"/>
      <c r="AP21" s="255"/>
      <c r="AQ21" s="255"/>
      <c r="AR21" s="255"/>
      <c r="AS21" s="255"/>
      <c r="AT21" s="255"/>
      <c r="AU21" s="255"/>
      <c r="AV21" s="255"/>
      <c r="AW21" s="255"/>
      <c r="AX21" s="255"/>
      <c r="AY21" s="255"/>
      <c r="AZ21" s="255"/>
      <c r="BA21" s="255"/>
    </row>
    <row r="22" spans="2:53" ht="18" customHeight="1">
      <c r="B22" s="146" t="str">
        <f>'Carteiras Brasil'!B22</f>
        <v>US Treasury 2Y</v>
      </c>
      <c r="C22" s="146"/>
      <c r="D22" s="332">
        <f>'Carteiras Brasil'!D22</f>
        <v>3.8100000000000002E-2</v>
      </c>
      <c r="E22" s="193"/>
      <c r="G22" s="200" t="s">
        <v>1182</v>
      </c>
      <c r="H22" s="136"/>
      <c r="I22" s="136"/>
      <c r="J22" s="136"/>
      <c r="K22" s="199"/>
      <c r="L22" s="192">
        <v>0</v>
      </c>
      <c r="M22" s="192">
        <v>0</v>
      </c>
      <c r="N22" s="192">
        <v>0.05</v>
      </c>
      <c r="O22" s="192">
        <v>0.1</v>
      </c>
      <c r="P22" s="191">
        <v>0.3</v>
      </c>
      <c r="Q22" s="191">
        <v>0.33400000000000002</v>
      </c>
      <c r="R22" s="190"/>
      <c r="S22" s="190"/>
      <c r="T22" s="190" t="s">
        <v>1095</v>
      </c>
      <c r="U22" s="190"/>
      <c r="V22" s="190"/>
      <c r="W22" s="197"/>
      <c r="X22" s="186">
        <f>L22*$AU22</f>
        <v>0</v>
      </c>
      <c r="Y22" s="188"/>
      <c r="Z22" s="187"/>
      <c r="AA22" s="186">
        <f>M22*$AU22</f>
        <v>0</v>
      </c>
      <c r="AB22" s="188"/>
      <c r="AC22" s="187"/>
      <c r="AD22" s="186">
        <f>N22*$AU22</f>
        <v>0.05</v>
      </c>
      <c r="AE22" s="196"/>
      <c r="AF22" s="187"/>
      <c r="AG22" s="186">
        <f>O22*$AU22</f>
        <v>0.1</v>
      </c>
      <c r="AH22" s="196"/>
      <c r="AI22" s="187"/>
      <c r="AJ22" s="186">
        <f>P22*$AU22</f>
        <v>0.3</v>
      </c>
      <c r="AK22" s="196"/>
      <c r="AL22" s="187"/>
      <c r="AM22" s="186">
        <f>Q22*$AU22</f>
        <v>0.33400000000000002</v>
      </c>
      <c r="AN22" s="196"/>
      <c r="AP22" s="184">
        <f t="shared" ref="AP22:AT26" si="5">IF(R22="",0,(1+AP$5))</f>
        <v>0</v>
      </c>
      <c r="AQ22" s="184">
        <f t="shared" si="5"/>
        <v>0</v>
      </c>
      <c r="AR22" s="184">
        <f t="shared" si="5"/>
        <v>1</v>
      </c>
      <c r="AS22" s="184">
        <f t="shared" si="5"/>
        <v>0</v>
      </c>
      <c r="AT22" s="184">
        <f t="shared" si="5"/>
        <v>0</v>
      </c>
      <c r="AU22" s="183">
        <f>SUM(AP22:AT22)</f>
        <v>1</v>
      </c>
      <c r="AV22" s="173">
        <f>L22-X22</f>
        <v>0</v>
      </c>
      <c r="AW22" s="173">
        <f>M22-AA22</f>
        <v>0</v>
      </c>
      <c r="AX22" s="173">
        <f>N22-AD22</f>
        <v>0</v>
      </c>
      <c r="AY22" s="173">
        <f>O22-AG22</f>
        <v>0</v>
      </c>
      <c r="AZ22" s="173">
        <f>P22-AJ22</f>
        <v>0</v>
      </c>
      <c r="BA22" s="173">
        <f>Q22-AM22</f>
        <v>0</v>
      </c>
    </row>
    <row r="23" spans="2:53" s="255" customFormat="1" ht="18" customHeight="1">
      <c r="B23" s="146" t="str">
        <f>'Carteiras Brasil'!B23</f>
        <v>US Treasury 5Y</v>
      </c>
      <c r="C23" s="146"/>
      <c r="D23" s="332">
        <f>'Carteiras Brasil'!D23</f>
        <v>3.8600000000000002E-2</v>
      </c>
      <c r="E23" s="193"/>
      <c r="G23" s="200" t="s">
        <v>1076</v>
      </c>
      <c r="H23" s="136"/>
      <c r="I23" s="136"/>
      <c r="J23" s="136"/>
      <c r="K23" s="199"/>
      <c r="L23" s="192">
        <v>0</v>
      </c>
      <c r="M23" s="192">
        <v>0</v>
      </c>
      <c r="N23" s="192">
        <v>0</v>
      </c>
      <c r="O23" s="192">
        <v>0.05</v>
      </c>
      <c r="P23" s="191">
        <v>0.05</v>
      </c>
      <c r="Q23" s="191">
        <v>0.33300000000000002</v>
      </c>
      <c r="R23" s="190"/>
      <c r="S23" s="190"/>
      <c r="T23" s="190" t="s">
        <v>1095</v>
      </c>
      <c r="U23" s="190"/>
      <c r="V23" s="190"/>
      <c r="W23" s="197"/>
      <c r="X23" s="186">
        <f>L23*$AU23</f>
        <v>0</v>
      </c>
      <c r="Y23" s="188"/>
      <c r="Z23" s="187"/>
      <c r="AA23" s="186">
        <f>M23*$AU23</f>
        <v>0</v>
      </c>
      <c r="AB23" s="188"/>
      <c r="AC23" s="187"/>
      <c r="AD23" s="186">
        <f>N23*$AU23</f>
        <v>0</v>
      </c>
      <c r="AE23" s="196"/>
      <c r="AF23" s="187"/>
      <c r="AG23" s="186">
        <f>O23*$AU23</f>
        <v>0.05</v>
      </c>
      <c r="AH23" s="196"/>
      <c r="AI23" s="187"/>
      <c r="AJ23" s="186">
        <f>P23*$AU23</f>
        <v>0.05</v>
      </c>
      <c r="AK23" s="196"/>
      <c r="AL23" s="187"/>
      <c r="AM23" s="186">
        <f>Q23*$AU23</f>
        <v>0.33300000000000002</v>
      </c>
      <c r="AN23" s="196"/>
      <c r="AO23" s="112"/>
      <c r="AP23" s="184">
        <f t="shared" si="5"/>
        <v>0</v>
      </c>
      <c r="AQ23" s="184">
        <f t="shared" si="5"/>
        <v>0</v>
      </c>
      <c r="AR23" s="184">
        <f t="shared" si="5"/>
        <v>1</v>
      </c>
      <c r="AS23" s="184">
        <f t="shared" si="5"/>
        <v>0</v>
      </c>
      <c r="AT23" s="184">
        <f t="shared" si="5"/>
        <v>0</v>
      </c>
      <c r="AU23" s="183">
        <f>SUM(AP23:AT23)</f>
        <v>1</v>
      </c>
      <c r="AV23" s="173">
        <f>L23-X23</f>
        <v>0</v>
      </c>
      <c r="AW23" s="173">
        <f>M23-AA23</f>
        <v>0</v>
      </c>
      <c r="AX23" s="173">
        <f>N23-AD23</f>
        <v>0</v>
      </c>
      <c r="AY23" s="173">
        <f>O23-AG23</f>
        <v>0</v>
      </c>
      <c r="AZ23" s="173">
        <f>P23-AJ23</f>
        <v>0</v>
      </c>
      <c r="BA23" s="173">
        <f>Q23-AM23</f>
        <v>0</v>
      </c>
    </row>
    <row r="24" spans="2:53" ht="18" customHeight="1">
      <c r="B24" s="146" t="str">
        <f>'Carteiras Brasil'!B24</f>
        <v>US Treasury 10Y</v>
      </c>
      <c r="C24" s="146"/>
      <c r="D24" s="332">
        <f>'Carteiras Brasil'!D24</f>
        <v>4.2900000000000001E-2</v>
      </c>
      <c r="E24" s="193"/>
      <c r="F24" s="130"/>
      <c r="G24" s="146" t="s">
        <v>1074</v>
      </c>
      <c r="H24" s="194"/>
      <c r="I24" s="194"/>
      <c r="J24" s="194"/>
      <c r="K24" s="193"/>
      <c r="L24" s="192">
        <v>0</v>
      </c>
      <c r="M24" s="192">
        <v>0</v>
      </c>
      <c r="N24" s="192">
        <v>0.05</v>
      </c>
      <c r="O24" s="192">
        <v>0.05</v>
      </c>
      <c r="P24" s="191">
        <v>0.05</v>
      </c>
      <c r="Q24" s="191">
        <v>0.33300000000000002</v>
      </c>
      <c r="R24" s="190"/>
      <c r="S24" s="190"/>
      <c r="T24" s="190" t="s">
        <v>1095</v>
      </c>
      <c r="U24" s="190"/>
      <c r="V24" s="190"/>
      <c r="W24" s="197"/>
      <c r="X24" s="186">
        <f>L24*$AU24</f>
        <v>0</v>
      </c>
      <c r="Y24" s="188"/>
      <c r="Z24" s="187"/>
      <c r="AA24" s="186">
        <f>M24*$AU24</f>
        <v>0</v>
      </c>
      <c r="AB24" s="188"/>
      <c r="AC24" s="187"/>
      <c r="AD24" s="186">
        <f>N24*$AU24</f>
        <v>0.05</v>
      </c>
      <c r="AE24" s="196"/>
      <c r="AF24" s="187"/>
      <c r="AG24" s="186">
        <f>O24*$AU24</f>
        <v>0.05</v>
      </c>
      <c r="AH24" s="196"/>
      <c r="AI24" s="187"/>
      <c r="AJ24" s="186">
        <f>P24*$AU24</f>
        <v>0.05</v>
      </c>
      <c r="AK24" s="196"/>
      <c r="AL24" s="187"/>
      <c r="AM24" s="186">
        <f>Q24*$AU24</f>
        <v>0.33300000000000002</v>
      </c>
      <c r="AN24" s="196"/>
      <c r="AP24" s="184">
        <f t="shared" si="5"/>
        <v>0</v>
      </c>
      <c r="AQ24" s="184">
        <f t="shared" si="5"/>
        <v>0</v>
      </c>
      <c r="AR24" s="184">
        <f t="shared" si="5"/>
        <v>1</v>
      </c>
      <c r="AS24" s="184">
        <f t="shared" si="5"/>
        <v>0</v>
      </c>
      <c r="AT24" s="184">
        <f t="shared" si="5"/>
        <v>0</v>
      </c>
      <c r="AU24" s="183">
        <f>SUM(AP24:AT24)</f>
        <v>1</v>
      </c>
      <c r="AV24" s="173">
        <f>L24-X24</f>
        <v>0</v>
      </c>
      <c r="AW24" s="173">
        <f>M24-AA24</f>
        <v>0</v>
      </c>
      <c r="AX24" s="173">
        <f>N24-AD24</f>
        <v>0</v>
      </c>
      <c r="AY24" s="173">
        <f>O24-AG24</f>
        <v>0</v>
      </c>
      <c r="AZ24" s="173">
        <f>P24-AJ24</f>
        <v>0</v>
      </c>
      <c r="BA24" s="173">
        <f>Q24-AM24</f>
        <v>0</v>
      </c>
    </row>
    <row r="25" spans="2:53" s="130" customFormat="1" ht="18" customHeight="1">
      <c r="B25" s="146" t="str">
        <f>'Carteiras Brasil'!B25</f>
        <v>CPI</v>
      </c>
      <c r="C25" s="146"/>
      <c r="D25" s="332">
        <f>'Carteiras Brasil'!D25</f>
        <v>0.03</v>
      </c>
      <c r="E25" s="193"/>
      <c r="G25" s="146" t="s">
        <v>1181</v>
      </c>
      <c r="H25" s="194"/>
      <c r="I25" s="194"/>
      <c r="J25" s="194"/>
      <c r="K25" s="193"/>
      <c r="L25" s="192">
        <v>0</v>
      </c>
      <c r="M25" s="192">
        <v>0</v>
      </c>
      <c r="N25" s="192">
        <v>0</v>
      </c>
      <c r="O25" s="192">
        <v>0</v>
      </c>
      <c r="P25" s="191">
        <v>0</v>
      </c>
      <c r="Q25" s="191">
        <v>0</v>
      </c>
      <c r="R25" s="190"/>
      <c r="S25" s="190"/>
      <c r="T25" s="190" t="s">
        <v>1095</v>
      </c>
      <c r="U25" s="190"/>
      <c r="V25" s="190"/>
      <c r="W25" s="189"/>
      <c r="X25" s="186">
        <f>L25*$AU25</f>
        <v>0</v>
      </c>
      <c r="Y25" s="188"/>
      <c r="Z25" s="187"/>
      <c r="AA25" s="186">
        <f>M25*$AU25</f>
        <v>0</v>
      </c>
      <c r="AB25" s="188"/>
      <c r="AC25" s="187"/>
      <c r="AD25" s="186">
        <f>N25*$AU25</f>
        <v>0</v>
      </c>
      <c r="AE25" s="185"/>
      <c r="AF25" s="187"/>
      <c r="AG25" s="186">
        <f>O25*$AU25</f>
        <v>0</v>
      </c>
      <c r="AH25" s="185"/>
      <c r="AI25" s="187"/>
      <c r="AJ25" s="186">
        <f>P25*$AU25</f>
        <v>0</v>
      </c>
      <c r="AK25" s="185"/>
      <c r="AL25" s="187"/>
      <c r="AM25" s="186">
        <f>Q25*$AU25</f>
        <v>0</v>
      </c>
      <c r="AN25" s="185"/>
      <c r="AO25" s="112"/>
      <c r="AP25" s="184">
        <f t="shared" si="5"/>
        <v>0</v>
      </c>
      <c r="AQ25" s="184">
        <f t="shared" si="5"/>
        <v>0</v>
      </c>
      <c r="AR25" s="184">
        <f t="shared" si="5"/>
        <v>1</v>
      </c>
      <c r="AS25" s="184">
        <f t="shared" si="5"/>
        <v>0</v>
      </c>
      <c r="AT25" s="184">
        <f t="shared" si="5"/>
        <v>0</v>
      </c>
      <c r="AU25" s="183">
        <f>SUM(AP25:AT25)</f>
        <v>1</v>
      </c>
      <c r="AV25" s="173">
        <f>L25-X25</f>
        <v>0</v>
      </c>
      <c r="AW25" s="173">
        <f>M25-AA25</f>
        <v>0</v>
      </c>
      <c r="AX25" s="173">
        <f>N25-AD25</f>
        <v>0</v>
      </c>
      <c r="AY25" s="173">
        <f>O25-AG25</f>
        <v>0</v>
      </c>
      <c r="AZ25" s="173">
        <f>P25-AJ25</f>
        <v>0</v>
      </c>
      <c r="BA25" s="173">
        <f>Q25-AM25</f>
        <v>0</v>
      </c>
    </row>
    <row r="26" spans="2:53" ht="18" customHeight="1">
      <c r="B26" s="146" t="str">
        <f>'Carteiras Brasil'!B26</f>
        <v>TIPS</v>
      </c>
      <c r="C26" s="146"/>
      <c r="D26" s="332">
        <f>'Carteiras Brasil'!D26</f>
        <v>1.4500000000000001E-2</v>
      </c>
      <c r="E26" s="193"/>
      <c r="F26" s="130"/>
      <c r="G26" s="146" t="s">
        <v>1194</v>
      </c>
      <c r="H26" s="194"/>
      <c r="I26" s="194"/>
      <c r="J26" s="194"/>
      <c r="K26" s="193"/>
      <c r="L26" s="192">
        <v>0</v>
      </c>
      <c r="M26" s="192">
        <v>0</v>
      </c>
      <c r="N26" s="192">
        <v>0</v>
      </c>
      <c r="O26" s="192">
        <v>0</v>
      </c>
      <c r="P26" s="191">
        <v>0.1</v>
      </c>
      <c r="Q26" s="191">
        <v>0</v>
      </c>
      <c r="R26" s="190"/>
      <c r="S26" s="190"/>
      <c r="T26" s="190" t="s">
        <v>1095</v>
      </c>
      <c r="U26" s="190"/>
      <c r="V26" s="190"/>
      <c r="W26" s="189"/>
      <c r="X26" s="186">
        <f>L26*$AU26</f>
        <v>0</v>
      </c>
      <c r="Y26" s="188"/>
      <c r="Z26" s="187"/>
      <c r="AA26" s="186">
        <f>M26*$AU26</f>
        <v>0</v>
      </c>
      <c r="AB26" s="188"/>
      <c r="AC26" s="187"/>
      <c r="AD26" s="186">
        <f>N26*$AU26</f>
        <v>0</v>
      </c>
      <c r="AE26" s="185"/>
      <c r="AF26" s="187"/>
      <c r="AG26" s="186">
        <f>O26*$AU26</f>
        <v>0</v>
      </c>
      <c r="AH26" s="185"/>
      <c r="AI26" s="187"/>
      <c r="AJ26" s="186">
        <f>P26*$AU26</f>
        <v>0.1</v>
      </c>
      <c r="AK26" s="185"/>
      <c r="AL26" s="187"/>
      <c r="AM26" s="186">
        <f>Q26*$AU26</f>
        <v>0</v>
      </c>
      <c r="AN26" s="185"/>
      <c r="AP26" s="184">
        <f t="shared" si="5"/>
        <v>0</v>
      </c>
      <c r="AQ26" s="184">
        <f t="shared" si="5"/>
        <v>0</v>
      </c>
      <c r="AR26" s="184">
        <f t="shared" si="5"/>
        <v>1</v>
      </c>
      <c r="AS26" s="184">
        <f t="shared" si="5"/>
        <v>0</v>
      </c>
      <c r="AT26" s="184">
        <f t="shared" si="5"/>
        <v>0</v>
      </c>
      <c r="AU26" s="183">
        <f>SUM(AP26:AT26)</f>
        <v>1</v>
      </c>
      <c r="AV26" s="173">
        <f>L26-X26</f>
        <v>0</v>
      </c>
      <c r="AW26" s="173">
        <f>M26-AA26</f>
        <v>0</v>
      </c>
      <c r="AX26" s="173">
        <f>N26-AD26</f>
        <v>0</v>
      </c>
      <c r="AY26" s="173">
        <f>O26-AG26</f>
        <v>0</v>
      </c>
      <c r="AZ26" s="173">
        <f>P26-AJ26</f>
        <v>0</v>
      </c>
      <c r="BA26" s="173">
        <f>Q26-AM26</f>
        <v>0</v>
      </c>
    </row>
    <row r="27" spans="2:53" ht="18" customHeight="1">
      <c r="B27" s="146" t="str">
        <f>'Carteiras Brasil'!B27</f>
        <v>Premium Investment Grade</v>
      </c>
      <c r="C27" s="146"/>
      <c r="D27" s="332">
        <f>'Carteiras Brasil'!D27</f>
        <v>1.2E-2</v>
      </c>
      <c r="E27" s="193"/>
      <c r="G27" s="179" t="s">
        <v>1093</v>
      </c>
      <c r="H27" s="180"/>
      <c r="I27" s="180"/>
      <c r="J27" s="180"/>
      <c r="K27" s="174"/>
      <c r="L27" s="181">
        <f t="shared" ref="L27:Q27" si="6">L7+SUM(L22:L26)</f>
        <v>1</v>
      </c>
      <c r="M27" s="181">
        <f t="shared" si="6"/>
        <v>1</v>
      </c>
      <c r="N27" s="181">
        <f t="shared" si="6"/>
        <v>1</v>
      </c>
      <c r="O27" s="181">
        <f t="shared" si="6"/>
        <v>1</v>
      </c>
      <c r="P27" s="181">
        <f t="shared" si="6"/>
        <v>1</v>
      </c>
      <c r="Q27" s="181">
        <f t="shared" si="6"/>
        <v>1</v>
      </c>
      <c r="R27" s="179"/>
      <c r="S27" s="180"/>
      <c r="T27" s="180"/>
      <c r="U27" s="180"/>
      <c r="V27" s="180"/>
      <c r="W27" s="179"/>
      <c r="X27" s="175">
        <f>X7+SUM(X22:X26)</f>
        <v>1</v>
      </c>
      <c r="Y27" s="178"/>
      <c r="Z27" s="176"/>
      <c r="AA27" s="175">
        <f>AA7+SUM(AA22:AA26)</f>
        <v>1</v>
      </c>
      <c r="AB27" s="178"/>
      <c r="AC27" s="176"/>
      <c r="AD27" s="175">
        <f>AD7+SUM(AD22:AD26)</f>
        <v>1</v>
      </c>
      <c r="AE27" s="177"/>
      <c r="AF27" s="176"/>
      <c r="AG27" s="175">
        <f>AG7+SUM(AG22:AG26)</f>
        <v>1</v>
      </c>
      <c r="AH27" s="177"/>
      <c r="AI27" s="176"/>
      <c r="AJ27" s="175">
        <f>AJ7+SUM(AJ22:AJ26)</f>
        <v>1</v>
      </c>
      <c r="AK27" s="177"/>
      <c r="AL27" s="176"/>
      <c r="AM27" s="175">
        <f>AM7+SUM(AM22:AM26)</f>
        <v>1</v>
      </c>
      <c r="AN27" s="174"/>
      <c r="AV27" s="173">
        <f t="shared" ref="AV27:BA27" si="7">SUM(AV22:AV26)</f>
        <v>0</v>
      </c>
      <c r="AW27" s="173">
        <f t="shared" si="7"/>
        <v>0</v>
      </c>
      <c r="AX27" s="173">
        <f t="shared" si="7"/>
        <v>0</v>
      </c>
      <c r="AY27" s="173">
        <f t="shared" si="7"/>
        <v>0</v>
      </c>
      <c r="AZ27" s="173">
        <f t="shared" si="7"/>
        <v>0</v>
      </c>
      <c r="BA27" s="173">
        <f t="shared" si="7"/>
        <v>0</v>
      </c>
    </row>
    <row r="28" spans="2:53" ht="18" customHeight="1">
      <c r="B28" s="146" t="str">
        <f>'Carteiras Brasil'!B28</f>
        <v>Premium High Yield / EM</v>
      </c>
      <c r="C28" s="146"/>
      <c r="D28" s="332">
        <f>'Carteiras Brasil'!D28</f>
        <v>0.03</v>
      </c>
      <c r="E28" s="193"/>
      <c r="G28" s="331" t="s">
        <v>1193</v>
      </c>
      <c r="H28" s="329"/>
      <c r="I28" s="329"/>
      <c r="J28" s="329"/>
      <c r="K28" s="328"/>
      <c r="L28" s="227"/>
      <c r="M28" s="330"/>
      <c r="N28" s="330"/>
      <c r="O28" s="330"/>
      <c r="P28" s="330"/>
      <c r="Q28" s="330"/>
      <c r="R28" s="329"/>
      <c r="S28" s="329"/>
      <c r="T28" s="329"/>
      <c r="U28" s="329"/>
      <c r="V28" s="328"/>
      <c r="W28" s="165">
        <f t="shared" ref="W28:AN28" si="8">SUM(W32:W47)</f>
        <v>4.3499999999999997E-2</v>
      </c>
      <c r="X28" s="165">
        <f t="shared" si="8"/>
        <v>4.2500000000000003E-2</v>
      </c>
      <c r="Y28" s="165">
        <f t="shared" si="8"/>
        <v>0.04</v>
      </c>
      <c r="Z28" s="165">
        <f t="shared" si="8"/>
        <v>4.3499999999999997E-2</v>
      </c>
      <c r="AA28" s="165">
        <f t="shared" si="8"/>
        <v>4.2500000000000003E-2</v>
      </c>
      <c r="AB28" s="165">
        <f t="shared" si="8"/>
        <v>0.04</v>
      </c>
      <c r="AC28" s="165">
        <f t="shared" si="8"/>
        <v>6.0360592803053899E-2</v>
      </c>
      <c r="AD28" s="165">
        <f t="shared" si="8"/>
        <v>7.3091056496359469E-2</v>
      </c>
      <c r="AE28" s="165">
        <f t="shared" si="8"/>
        <v>5.8706907138345157E-2</v>
      </c>
      <c r="AF28" s="165">
        <f t="shared" si="8"/>
        <v>6.5259155283236878E-2</v>
      </c>
      <c r="AG28" s="165">
        <f t="shared" si="8"/>
        <v>8.2954394719559926E-2</v>
      </c>
      <c r="AH28" s="165">
        <f t="shared" si="8"/>
        <v>9.6209201932841201E-2</v>
      </c>
      <c r="AI28" s="165">
        <f t="shared" si="8"/>
        <v>3.0571598306683351E-2</v>
      </c>
      <c r="AJ28" s="165">
        <f t="shared" si="8"/>
        <v>9.2703939726938203E-2</v>
      </c>
      <c r="AK28" s="165">
        <f t="shared" si="8"/>
        <v>0.13476294271001776</v>
      </c>
      <c r="AL28" s="165">
        <f t="shared" si="8"/>
        <v>5.8142850241998927E-3</v>
      </c>
      <c r="AM28" s="165">
        <f t="shared" si="8"/>
        <v>9.2951562273816984E-2</v>
      </c>
      <c r="AN28" s="165">
        <f t="shared" si="8"/>
        <v>0.15243301627131234</v>
      </c>
    </row>
    <row r="29" spans="2:53" ht="18" customHeight="1">
      <c r="B29" s="146" t="str">
        <f>'Carteiras Brasil'!B29</f>
        <v>S&amp;P500</v>
      </c>
      <c r="C29" s="146"/>
      <c r="D29" s="327">
        <f>'Carteiras Brasil'!D29</f>
        <v>6099</v>
      </c>
      <c r="E29" s="193"/>
      <c r="G29" s="161"/>
      <c r="H29" s="161"/>
      <c r="I29" s="161"/>
      <c r="J29" s="161"/>
      <c r="K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</row>
    <row r="30" spans="2:53" ht="18" customHeight="1">
      <c r="B30" s="146" t="str">
        <f>'Carteiras Brasil'!B30</f>
        <v>Nasdaq 100</v>
      </c>
      <c r="C30" s="146"/>
      <c r="D30" s="327">
        <f>'Carteiras Brasil'!D30</f>
        <v>19936.29</v>
      </c>
      <c r="E30" s="193"/>
      <c r="G30" s="160" t="s">
        <v>1192</v>
      </c>
      <c r="H30" s="158"/>
      <c r="I30" s="158"/>
      <c r="J30" s="158"/>
      <c r="K30" s="158"/>
      <c r="L30" s="159"/>
      <c r="M30" s="159"/>
      <c r="N30" s="159"/>
      <c r="O30" s="159"/>
      <c r="P30" s="159"/>
      <c r="Q30" s="159"/>
      <c r="R30" s="158"/>
      <c r="S30" s="158"/>
      <c r="T30" s="158"/>
      <c r="U30" s="158"/>
      <c r="V30" s="158"/>
      <c r="W30" s="157"/>
      <c r="X30" s="157"/>
      <c r="Y30" s="157"/>
      <c r="Z30" s="157"/>
      <c r="AA30" s="157"/>
      <c r="AB30" s="157"/>
      <c r="AC30" s="157"/>
      <c r="AD30" s="157"/>
      <c r="AE30" s="156"/>
      <c r="AF30" s="157"/>
      <c r="AG30" s="157"/>
      <c r="AH30" s="156"/>
      <c r="AI30" s="157"/>
      <c r="AJ30" s="157"/>
      <c r="AK30" s="156"/>
      <c r="AL30" s="157"/>
      <c r="AM30" s="157"/>
      <c r="AN30" s="156"/>
    </row>
    <row r="31" spans="2:53" ht="18" customHeight="1">
      <c r="B31" s="326" t="str">
        <f>'Carteiras Brasil'!B31</f>
        <v>Russell 2000</v>
      </c>
      <c r="C31" s="250"/>
      <c r="D31" s="325">
        <f>'Carteiras Brasil'!D31</f>
        <v>2162.8000000000002</v>
      </c>
      <c r="E31" s="324"/>
      <c r="G31" s="153" t="s">
        <v>1084</v>
      </c>
      <c r="H31" s="151"/>
      <c r="I31" s="151"/>
      <c r="J31" s="151"/>
      <c r="K31" s="151"/>
      <c r="L31" s="152"/>
      <c r="M31" s="152"/>
      <c r="N31" s="152"/>
      <c r="O31" s="152"/>
      <c r="P31" s="152"/>
      <c r="Q31" s="152"/>
      <c r="R31" s="151"/>
      <c r="S31" s="151"/>
      <c r="T31" s="151"/>
      <c r="U31" s="151"/>
      <c r="V31" s="151"/>
      <c r="W31" s="385" t="str">
        <f>W6</f>
        <v>Avin I</v>
      </c>
      <c r="X31" s="386"/>
      <c r="Y31" s="387"/>
      <c r="Z31" s="386" t="str">
        <f>Z6</f>
        <v>Avin II</v>
      </c>
      <c r="AA31" s="386"/>
      <c r="AB31" s="386"/>
      <c r="AC31" s="385" t="str">
        <f>AC6</f>
        <v>Avin III</v>
      </c>
      <c r="AD31" s="386"/>
      <c r="AE31" s="387"/>
      <c r="AF31" s="385" t="str">
        <f>AF6</f>
        <v>Avin IV</v>
      </c>
      <c r="AG31" s="386"/>
      <c r="AH31" s="387"/>
      <c r="AI31" s="385" t="str">
        <f>AI6</f>
        <v>Avin V</v>
      </c>
      <c r="AJ31" s="386"/>
      <c r="AK31" s="387"/>
      <c r="AL31" s="385" t="str">
        <f>AL6</f>
        <v>Avin VI</v>
      </c>
      <c r="AM31" s="386"/>
      <c r="AN31" s="387"/>
    </row>
    <row r="32" spans="2:53" ht="18" customHeight="1">
      <c r="B32" s="161"/>
      <c r="C32" s="161"/>
      <c r="D32" s="161"/>
      <c r="E32" s="161"/>
      <c r="G32" s="135"/>
      <c r="H32" s="133" t="s">
        <v>1187</v>
      </c>
      <c r="I32" s="133"/>
      <c r="J32" s="133"/>
      <c r="K32" s="133"/>
      <c r="L32" s="134"/>
      <c r="M32" s="134"/>
      <c r="N32" s="134"/>
      <c r="O32" s="134"/>
      <c r="P32" s="134"/>
      <c r="Q32" s="134"/>
      <c r="R32" s="136"/>
      <c r="S32" s="136"/>
      <c r="T32" s="136"/>
      <c r="U32" s="136"/>
      <c r="V32" s="136"/>
      <c r="W32" s="131">
        <f>$X8*$C62</f>
        <v>4.3499999999999997E-2</v>
      </c>
      <c r="X32" s="130">
        <f>$X8*$D62</f>
        <v>4.2500000000000003E-2</v>
      </c>
      <c r="Y32" s="129">
        <f>$X8*$E62</f>
        <v>0.04</v>
      </c>
      <c r="Z32" s="131">
        <f>$AA8*$C62</f>
        <v>4.3499999999999997E-2</v>
      </c>
      <c r="AA32" s="130">
        <f>$AA8*$D62</f>
        <v>4.2500000000000003E-2</v>
      </c>
      <c r="AB32" s="129">
        <f>$AA8*$E62</f>
        <v>0.04</v>
      </c>
      <c r="AC32" s="131">
        <f>$AD8*$C62</f>
        <v>1.9575000000000002E-2</v>
      </c>
      <c r="AD32" s="130">
        <f>$AD8*$D62</f>
        <v>1.9125000000000003E-2</v>
      </c>
      <c r="AE32" s="129">
        <f>$AD8*$E62</f>
        <v>1.8000000000000002E-2</v>
      </c>
      <c r="AF32" s="131">
        <f>$AG8*$C62</f>
        <v>4.3499999999999997E-3</v>
      </c>
      <c r="AG32" s="130">
        <f>$AG8*$D62</f>
        <v>4.2500000000000003E-3</v>
      </c>
      <c r="AH32" s="129">
        <f>$AG8*$E62</f>
        <v>4.0000000000000001E-3</v>
      </c>
      <c r="AI32" s="131">
        <f>$AJ8*$C62</f>
        <v>2.1749999999999999E-3</v>
      </c>
      <c r="AJ32" s="130">
        <f>$AJ8*$D62</f>
        <v>2.1250000000000002E-3</v>
      </c>
      <c r="AK32" s="129">
        <f>$AJ8*$E62</f>
        <v>2E-3</v>
      </c>
      <c r="AL32" s="131">
        <f>$AM8*$C62</f>
        <v>0</v>
      </c>
      <c r="AM32" s="130">
        <f>$AM8*$D62</f>
        <v>0</v>
      </c>
      <c r="AN32" s="129">
        <f>$AM8*$E62</f>
        <v>0</v>
      </c>
    </row>
    <row r="33" spans="2:40" ht="18" customHeight="1">
      <c r="B33" s="245" t="s">
        <v>1123</v>
      </c>
      <c r="C33" s="243" t="s">
        <v>1122</v>
      </c>
      <c r="D33" s="323">
        <v>1</v>
      </c>
      <c r="E33" s="241"/>
      <c r="G33" s="135"/>
      <c r="H33" s="133" t="s">
        <v>1186</v>
      </c>
      <c r="I33" s="133"/>
      <c r="J33" s="133"/>
      <c r="K33" s="133"/>
      <c r="L33" s="134"/>
      <c r="M33" s="137"/>
      <c r="N33" s="137"/>
      <c r="O33" s="134"/>
      <c r="P33" s="134"/>
      <c r="Q33" s="134"/>
      <c r="R33" s="136"/>
      <c r="S33" s="136"/>
      <c r="T33" s="136"/>
      <c r="U33" s="136"/>
      <c r="V33" s="136"/>
      <c r="W33" s="131">
        <f>$X9*($C66+$D26)</f>
        <v>0</v>
      </c>
      <c r="X33" s="130">
        <f>$X9*($D66+$D26)</f>
        <v>0</v>
      </c>
      <c r="Y33" s="129">
        <f>$X9*($E66+$D26)</f>
        <v>0</v>
      </c>
      <c r="Z33" s="131">
        <f>$AA9*($C66+$D26)</f>
        <v>0</v>
      </c>
      <c r="AA33" s="130">
        <f>$AA9*($D66+$D26)</f>
        <v>0</v>
      </c>
      <c r="AB33" s="129">
        <f>$AA9*($E66+$D26)</f>
        <v>0</v>
      </c>
      <c r="AC33" s="131">
        <f>$AD9*($C66+$D26)</f>
        <v>0</v>
      </c>
      <c r="AD33" s="130">
        <f>$AD9*($D66+$D26)</f>
        <v>0</v>
      </c>
      <c r="AE33" s="129">
        <f>$AD9*($E66+$D26)</f>
        <v>0</v>
      </c>
      <c r="AF33" s="131">
        <f>$AG9*($C66+$D26)</f>
        <v>6.6749999999999995E-3</v>
      </c>
      <c r="AG33" s="130">
        <f>$AG9*($D66+$D26)</f>
        <v>6.3E-3</v>
      </c>
      <c r="AH33" s="129">
        <f>$AG9*($E66+$D26)</f>
        <v>5.9249999999999997E-3</v>
      </c>
      <c r="AI33" s="131">
        <f>$AJ9*($C66+$D26)</f>
        <v>0</v>
      </c>
      <c r="AJ33" s="130">
        <f>$AJ9*($D66+$D26)</f>
        <v>0</v>
      </c>
      <c r="AK33" s="129">
        <f>$AJ9*($E66+$D26)</f>
        <v>0</v>
      </c>
      <c r="AL33" s="131">
        <f>$AM9*($C66+$D26)</f>
        <v>0</v>
      </c>
      <c r="AM33" s="130">
        <f>$AM9*($D66+$D26)</f>
        <v>0</v>
      </c>
      <c r="AN33" s="129">
        <f>$AM9*($E66+$D26)</f>
        <v>0</v>
      </c>
    </row>
    <row r="34" spans="2:40" ht="18" customHeight="1">
      <c r="B34" s="130"/>
      <c r="C34" s="243" t="s">
        <v>1121</v>
      </c>
      <c r="D34" s="323">
        <v>3</v>
      </c>
      <c r="E34" s="241"/>
      <c r="G34" s="135"/>
      <c r="H34" s="133" t="s">
        <v>1185</v>
      </c>
      <c r="I34" s="133"/>
      <c r="J34" s="133"/>
      <c r="K34" s="133"/>
      <c r="L34" s="137" t="s">
        <v>1190</v>
      </c>
      <c r="M34" s="137"/>
      <c r="N34" s="137"/>
      <c r="O34" s="134"/>
      <c r="P34" s="134"/>
      <c r="Q34" s="134"/>
      <c r="R34" s="136"/>
      <c r="S34" s="136"/>
      <c r="T34" s="136"/>
      <c r="U34" s="136"/>
      <c r="V34" s="136"/>
      <c r="W34" s="131">
        <f t="shared" ref="W34:Y36" si="9">$X11*($D22+(($D63-C63)*$D33))</f>
        <v>0</v>
      </c>
      <c r="X34" s="130">
        <f t="shared" si="9"/>
        <v>0</v>
      </c>
      <c r="Y34" s="129">
        <f t="shared" si="9"/>
        <v>0</v>
      </c>
      <c r="Z34" s="131">
        <f t="shared" ref="Z34:AB36" si="10">$AA11*($D22+(($D63-C63)*$D33))</f>
        <v>0</v>
      </c>
      <c r="AA34" s="130">
        <f t="shared" si="10"/>
        <v>0</v>
      </c>
      <c r="AB34" s="129">
        <f t="shared" si="10"/>
        <v>0</v>
      </c>
      <c r="AC34" s="131">
        <f t="shared" ref="AC34:AE36" si="11">$AD11*($D22+(($D63-C63)*$D33))</f>
        <v>0</v>
      </c>
      <c r="AD34" s="130">
        <f t="shared" si="11"/>
        <v>0</v>
      </c>
      <c r="AE34" s="129">
        <f t="shared" si="11"/>
        <v>0</v>
      </c>
      <c r="AF34" s="131">
        <f t="shared" ref="AF34:AH36" si="12">$AG11*($D22+(($D63-C63)*$D33))</f>
        <v>0</v>
      </c>
      <c r="AG34" s="130">
        <f t="shared" si="12"/>
        <v>0</v>
      </c>
      <c r="AH34" s="129">
        <f t="shared" si="12"/>
        <v>0</v>
      </c>
      <c r="AI34" s="131">
        <f t="shared" ref="AI34:AK36" si="13">$AJ11*($D22+(($D63-C63)*$D33))</f>
        <v>0</v>
      </c>
      <c r="AJ34" s="130">
        <f t="shared" si="13"/>
        <v>0</v>
      </c>
      <c r="AK34" s="129">
        <f t="shared" si="13"/>
        <v>0</v>
      </c>
      <c r="AL34" s="131">
        <f t="shared" ref="AL34:AN36" si="14">$AM11*($D22+(($D63-C63)*$D33))</f>
        <v>0</v>
      </c>
      <c r="AM34" s="130">
        <f t="shared" si="14"/>
        <v>0</v>
      </c>
      <c r="AN34" s="129">
        <f t="shared" si="14"/>
        <v>0</v>
      </c>
    </row>
    <row r="35" spans="2:40" ht="18" customHeight="1">
      <c r="B35" s="244"/>
      <c r="C35" s="243" t="s">
        <v>1120</v>
      </c>
      <c r="D35" s="323">
        <v>6</v>
      </c>
      <c r="E35" s="241"/>
      <c r="G35" s="135"/>
      <c r="H35" s="133" t="s">
        <v>1185</v>
      </c>
      <c r="I35" s="133"/>
      <c r="J35" s="133"/>
      <c r="K35" s="133"/>
      <c r="L35" s="137" t="s">
        <v>1189</v>
      </c>
      <c r="M35" s="137"/>
      <c r="N35" s="137"/>
      <c r="O35" s="134"/>
      <c r="P35" s="134"/>
      <c r="Q35" s="134"/>
      <c r="R35" s="136"/>
      <c r="S35" s="136"/>
      <c r="T35" s="136"/>
      <c r="U35" s="136"/>
      <c r="V35" s="136"/>
      <c r="W35" s="131">
        <f t="shared" si="9"/>
        <v>0</v>
      </c>
      <c r="X35" s="130">
        <f t="shared" si="9"/>
        <v>0</v>
      </c>
      <c r="Y35" s="129">
        <f t="shared" si="9"/>
        <v>0</v>
      </c>
      <c r="Z35" s="131">
        <f t="shared" si="10"/>
        <v>0</v>
      </c>
      <c r="AA35" s="130">
        <f t="shared" si="10"/>
        <v>0</v>
      </c>
      <c r="AB35" s="129">
        <f t="shared" si="10"/>
        <v>0</v>
      </c>
      <c r="AC35" s="131">
        <f t="shared" si="11"/>
        <v>0</v>
      </c>
      <c r="AD35" s="130">
        <f t="shared" si="11"/>
        <v>0</v>
      </c>
      <c r="AE35" s="129">
        <f t="shared" si="11"/>
        <v>0</v>
      </c>
      <c r="AF35" s="131">
        <f t="shared" si="12"/>
        <v>0</v>
      </c>
      <c r="AG35" s="130">
        <f t="shared" si="12"/>
        <v>0</v>
      </c>
      <c r="AH35" s="129">
        <f t="shared" si="12"/>
        <v>0</v>
      </c>
      <c r="AI35" s="131">
        <f t="shared" si="13"/>
        <v>0</v>
      </c>
      <c r="AJ35" s="130">
        <f t="shared" si="13"/>
        <v>0</v>
      </c>
      <c r="AK35" s="129">
        <f t="shared" si="13"/>
        <v>0</v>
      </c>
      <c r="AL35" s="131">
        <f t="shared" si="14"/>
        <v>0</v>
      </c>
      <c r="AM35" s="130">
        <f t="shared" si="14"/>
        <v>0</v>
      </c>
      <c r="AN35" s="129">
        <f t="shared" si="14"/>
        <v>0</v>
      </c>
    </row>
    <row r="36" spans="2:40" ht="18" customHeight="1">
      <c r="G36" s="135"/>
      <c r="H36" s="133" t="s">
        <v>1185</v>
      </c>
      <c r="I36" s="133"/>
      <c r="J36" s="133"/>
      <c r="K36" s="133"/>
      <c r="L36" s="137" t="s">
        <v>1188</v>
      </c>
      <c r="M36" s="137"/>
      <c r="N36" s="137"/>
      <c r="O36" s="134"/>
      <c r="P36" s="134"/>
      <c r="Q36" s="134"/>
      <c r="R36" s="136"/>
      <c r="S36" s="136"/>
      <c r="T36" s="136"/>
      <c r="U36" s="136"/>
      <c r="V36" s="136"/>
      <c r="W36" s="131">
        <f t="shared" si="9"/>
        <v>0</v>
      </c>
      <c r="X36" s="130">
        <f t="shared" si="9"/>
        <v>0</v>
      </c>
      <c r="Y36" s="129">
        <f t="shared" si="9"/>
        <v>0</v>
      </c>
      <c r="Z36" s="131">
        <f t="shared" si="10"/>
        <v>0</v>
      </c>
      <c r="AA36" s="130">
        <f t="shared" si="10"/>
        <v>0</v>
      </c>
      <c r="AB36" s="129">
        <f t="shared" si="10"/>
        <v>0</v>
      </c>
      <c r="AC36" s="131">
        <f t="shared" si="11"/>
        <v>4.5450000000000022E-3</v>
      </c>
      <c r="AD36" s="130">
        <f t="shared" si="11"/>
        <v>6.4349999999999997E-3</v>
      </c>
      <c r="AE36" s="129">
        <f t="shared" si="11"/>
        <v>9.0449999999999992E-3</v>
      </c>
      <c r="AF36" s="131">
        <f t="shared" si="12"/>
        <v>4.5450000000000022E-3</v>
      </c>
      <c r="AG36" s="130">
        <f t="shared" si="12"/>
        <v>6.4349999999999997E-3</v>
      </c>
      <c r="AH36" s="129">
        <f t="shared" si="12"/>
        <v>9.0449999999999992E-3</v>
      </c>
      <c r="AI36" s="131">
        <f t="shared" si="13"/>
        <v>4.5450000000000022E-3</v>
      </c>
      <c r="AJ36" s="130">
        <f t="shared" si="13"/>
        <v>6.4349999999999997E-3</v>
      </c>
      <c r="AK36" s="129">
        <f t="shared" si="13"/>
        <v>9.0449999999999992E-3</v>
      </c>
      <c r="AL36" s="131">
        <f t="shared" si="14"/>
        <v>0</v>
      </c>
      <c r="AM36" s="130">
        <f t="shared" si="14"/>
        <v>0</v>
      </c>
      <c r="AN36" s="129">
        <f t="shared" si="14"/>
        <v>0</v>
      </c>
    </row>
    <row r="37" spans="2:40" ht="18" customHeight="1">
      <c r="B37" s="240" t="s">
        <v>1119</v>
      </c>
      <c r="C37" s="239"/>
      <c r="D37" s="238">
        <v>46174</v>
      </c>
      <c r="E37" s="237"/>
      <c r="G37" s="135"/>
      <c r="H37" s="133" t="s">
        <v>1191</v>
      </c>
      <c r="I37" s="133"/>
      <c r="J37" s="133"/>
      <c r="K37" s="133"/>
      <c r="L37" s="137" t="s">
        <v>1190</v>
      </c>
      <c r="M37" s="134"/>
      <c r="N37" s="137"/>
      <c r="O37" s="134"/>
      <c r="P37" s="134"/>
      <c r="Q37" s="134"/>
      <c r="R37" s="136"/>
      <c r="S37" s="136"/>
      <c r="T37" s="136"/>
      <c r="U37" s="136"/>
      <c r="V37" s="136"/>
      <c r="W37" s="131">
        <f>$X15*(($D22+$D27)+(($D22-$C63)*$D33)+(($D27-$C68)*$D33))</f>
        <v>0</v>
      </c>
      <c r="X37" s="130">
        <f>$X15*(($D22+$D27)+(($D22-$D63)*$D33)+(($D27-$D68)*$D33))</f>
        <v>0</v>
      </c>
      <c r="Y37" s="129">
        <f>$X15*(($D22+$D27)+(($D22-$E63)*$D33)+(($D27-$E68)*$D33))</f>
        <v>0</v>
      </c>
      <c r="Z37" s="131">
        <f>$AA15*(($D22+$D27)+(($D22-$C63)*$D33)+(($D27-$C68)*$D33))</f>
        <v>0</v>
      </c>
      <c r="AA37" s="130">
        <f>$AA15*(($D22+$D27)+(($D22-$D63)*$D33)+(($D27-$D68)*$D33))</f>
        <v>0</v>
      </c>
      <c r="AB37" s="129">
        <f>$AA15*(($D22+$D27)+(($D22-$E63)*$D33)+(($D27-$E68)*$D33))</f>
        <v>0</v>
      </c>
      <c r="AC37" s="131">
        <f>$AD15*(($D22+$D27)+(($D22-$C63)*$D33)+(($D27-$C68)*$D33))</f>
        <v>0</v>
      </c>
      <c r="AD37" s="130">
        <f>$AD15*(($D22+$D27)+(($D22-$D63)*$D33)+(($D27-$D68)*$D33))</f>
        <v>0</v>
      </c>
      <c r="AE37" s="129">
        <f>$AD15*(($D22+$D27)+(($D22-$E63)*$D33)+(($D27-$E68)*$D33))</f>
        <v>0</v>
      </c>
      <c r="AF37" s="131">
        <f>$AG15*(($D22+$D27)+(($D22-$C63)*$D33)+(($D27-$C68)*$D33))</f>
        <v>0</v>
      </c>
      <c r="AG37" s="130">
        <f>$AG15*(($D22+$D27)+(($D22-$D63)*$D33)+(($D27-$D68)*$D33))</f>
        <v>0</v>
      </c>
      <c r="AH37" s="129">
        <f>$AG15*(($D22+$D27)+(($D22-$E63)*$D33)+(($D27-$E68)*$D33))</f>
        <v>0</v>
      </c>
      <c r="AI37" s="131">
        <f>$AJ15*(($D22+$D27)+(($D22-$C63)*$D33)+(($D27-$C68)*$D33))</f>
        <v>0</v>
      </c>
      <c r="AJ37" s="130">
        <f>$AJ15*(($D22+$D27)+(($D22-$D63)*$D33)+(($D27-$D68)*$D33))</f>
        <v>0</v>
      </c>
      <c r="AK37" s="129">
        <f>$AJ15*(($D22+$D27)+(($D22-$E63)*$D33)+(($D27-$E68)*$D33))</f>
        <v>0</v>
      </c>
      <c r="AL37" s="131">
        <f>$AM15*(($D22+$D27)+(($D22-$C63)*$D33)+(($D27-$C68)*$D33))</f>
        <v>0</v>
      </c>
      <c r="AM37" s="130">
        <f>$AM15*(($D22+$D27)+(($D22-$D63)*$D33)+(($D27-$D68)*$D33))</f>
        <v>0</v>
      </c>
      <c r="AN37" s="129">
        <f>$AM15*(($D22+$D27)+(($D22-$E63)*$D33)+(($D27-$E68)*$D33))</f>
        <v>0</v>
      </c>
    </row>
    <row r="38" spans="2:40" ht="18" customHeight="1">
      <c r="B38" s="155"/>
      <c r="C38" s="154" t="s">
        <v>1087</v>
      </c>
      <c r="D38" s="154" t="s">
        <v>1086</v>
      </c>
      <c r="E38" s="154" t="s">
        <v>1085</v>
      </c>
      <c r="G38" s="135"/>
      <c r="H38" s="133" t="s">
        <v>1191</v>
      </c>
      <c r="I38" s="133"/>
      <c r="J38" s="133"/>
      <c r="K38" s="133"/>
      <c r="L38" s="137" t="s">
        <v>1189</v>
      </c>
      <c r="M38" s="134"/>
      <c r="N38" s="137"/>
      <c r="O38" s="134"/>
      <c r="P38" s="134"/>
      <c r="Q38" s="134"/>
      <c r="R38" s="136"/>
      <c r="S38" s="136"/>
      <c r="T38" s="136"/>
      <c r="U38" s="136"/>
      <c r="V38" s="136"/>
      <c r="W38" s="131">
        <f>$X16*(($D23+$D27)+(($D23-$C64)*$D34)+(($D27-$C68)*$D34))</f>
        <v>0</v>
      </c>
      <c r="X38" s="130">
        <f>$X16*(($D23+$D27)+(($D23-$D64)*$D34)+(($D27-$D68)*$D34))</f>
        <v>0</v>
      </c>
      <c r="Y38" s="129">
        <f>$X16*(($D23+$D27)+(($D23-$E64)*$D34)+(($D27-$E68)*$D34))</f>
        <v>0</v>
      </c>
      <c r="Z38" s="131">
        <f>$AA16*(($D23+$D27)+(($D23-$C64)*$D34)+(($D27-$C68)*$D34))</f>
        <v>0</v>
      </c>
      <c r="AA38" s="130">
        <f>$AA16*(($D23+$D27)+(($D23-$D64)*$D34)+(($D27-$D68)*$D34))</f>
        <v>0</v>
      </c>
      <c r="AB38" s="129">
        <f>$AA16*(($D23+$D27)+(($D23-$E64)*$D34)+(($D27-$E68)*$D34))</f>
        <v>0</v>
      </c>
      <c r="AC38" s="131">
        <f>$AD16*(($D23+$D27)+(($D23-$C64)*$D34)+(($D27-$C68)*$D34))</f>
        <v>8.0800000000000038E-3</v>
      </c>
      <c r="AD38" s="130">
        <f>$AD16*(($D23+$D27)+(($D23-$D64)*$D34)+(($D27-$D68)*$D34))</f>
        <v>1.1320000000000002E-2</v>
      </c>
      <c r="AE38" s="129">
        <f>$AD16*(($D23+$D27)+(($D23-$E64)*$D34)+(($D27-$E68)*$D34))</f>
        <v>1.6480000000000002E-2</v>
      </c>
      <c r="AF38" s="131">
        <f>$AG16*(($D23+$D27)+(($D23-$C64)*$D34)+(($D27-$C68)*$D34))</f>
        <v>1.0100000000000005E-2</v>
      </c>
      <c r="AG38" s="130">
        <f>$AG16*(($D23+$D27)+(($D23-$D64)*$D34)+(($D27-$D68)*$D34))</f>
        <v>1.4150000000000001E-2</v>
      </c>
      <c r="AH38" s="129">
        <f>$AG16*(($D23+$D27)+(($D23-$E64)*$D34)+(($D27-$E68)*$D34))</f>
        <v>2.06E-2</v>
      </c>
      <c r="AI38" s="131">
        <f>$AJ16*(($D23+$D27)+(($D23-$C64)*$D34)+(($D27-$C68)*$D34))</f>
        <v>8.0800000000000038E-3</v>
      </c>
      <c r="AJ38" s="130">
        <f>$AJ16*(($D23+$D27)+(($D23-$D64)*$D34)+(($D27-$D68)*$D34))</f>
        <v>1.1320000000000002E-2</v>
      </c>
      <c r="AK38" s="129">
        <f>$AJ16*(($D23+$D27)+(($D23-$E64)*$D34)+(($D27-$E68)*$D34))</f>
        <v>1.6480000000000002E-2</v>
      </c>
      <c r="AL38" s="131">
        <f>$AM16*(($D23+$D27)+(($D23-$C64)*$D34)+(($D27-$C68)*$D34))</f>
        <v>0</v>
      </c>
      <c r="AM38" s="130">
        <f>$AM16*(($D23+$D27)+(($D23-$D64)*$D34)+(($D27-$D68)*$D34))</f>
        <v>0</v>
      </c>
      <c r="AN38" s="129">
        <f>$AM16*(($D23+$D27)+(($D23-$E64)*$D34)+(($D27-$E68)*$D34))</f>
        <v>0</v>
      </c>
    </row>
    <row r="39" spans="2:40" ht="18" customHeight="1">
      <c r="B39" s="149" t="str">
        <f>'Carteiras Brasil'!B39</f>
        <v>FX (BRL/USD)</v>
      </c>
      <c r="C39" s="322">
        <f>'Carteiras Brasil'!C39</f>
        <v>6.5</v>
      </c>
      <c r="D39" s="322">
        <f>'Carteiras Brasil'!D39</f>
        <v>5.7</v>
      </c>
      <c r="E39" s="322">
        <f>'Carteiras Brasil'!E39</f>
        <v>4.5</v>
      </c>
      <c r="G39" s="135"/>
      <c r="H39" s="133" t="s">
        <v>1191</v>
      </c>
      <c r="I39" s="133"/>
      <c r="J39" s="133"/>
      <c r="K39" s="133"/>
      <c r="L39" s="137" t="s">
        <v>1188</v>
      </c>
      <c r="M39" s="134"/>
      <c r="N39" s="134"/>
      <c r="O39" s="134"/>
      <c r="P39" s="134"/>
      <c r="Q39" s="134"/>
      <c r="R39" s="136"/>
      <c r="S39" s="136"/>
      <c r="T39" s="136"/>
      <c r="U39" s="136"/>
      <c r="V39" s="136"/>
      <c r="W39" s="131">
        <f>$X17*(($D24+$D27)+(($D24-$C65)*$D35)+(($D27-$C68)*$D35))</f>
        <v>0</v>
      </c>
      <c r="X39" s="130">
        <f>$X17*(($D24+$D27)+(($D24-$D65)*$D35)+(($D27-$D68)*$D35))</f>
        <v>0</v>
      </c>
      <c r="Y39" s="129">
        <f>$X17*(($D24+$D27)+(($D24-$E65)*$D35)+(($D27-$E68)*$D35))</f>
        <v>0</v>
      </c>
      <c r="Z39" s="131">
        <f>$AA17*(($D24+$D27)+(($D24-$C65)*$D35)+(($D27-$C68)*$D35))</f>
        <v>0</v>
      </c>
      <c r="AA39" s="130">
        <f>$AA17*(($D24+$D27)+(($D24-$D65)*$D35)+(($D27-$D68)*$D35))</f>
        <v>0</v>
      </c>
      <c r="AB39" s="129">
        <f>$AA17*(($D24+$D27)+(($D24-$E65)*$D35)+(($D27-$E68)*$D35))</f>
        <v>0</v>
      </c>
      <c r="AC39" s="131">
        <f>$AD17*(($D24+$D27)+(($D24-$C65)*$D35)+(($D27-$C68)*$D35))</f>
        <v>0</v>
      </c>
      <c r="AD39" s="130">
        <f>$AD17*(($D24+$D27)+(($D24-$D65)*$D35)+(($D27-$D68)*$D35))</f>
        <v>0</v>
      </c>
      <c r="AE39" s="129">
        <f>$AD17*(($D24+$D27)+(($D24-$E65)*$D35)+(($D27-$E68)*$D35))</f>
        <v>0</v>
      </c>
      <c r="AF39" s="131">
        <f>$AG17*(($D24+$D27)+(($D24-$C65)*$D35)+(($D27-$C68)*$D35))</f>
        <v>0</v>
      </c>
      <c r="AG39" s="130">
        <f>$AG17*(($D24+$D27)+(($D24-$D65)*$D35)+(($D27-$D68)*$D35))</f>
        <v>0</v>
      </c>
      <c r="AH39" s="129">
        <f>$AG17*(($D24+$D27)+(($D24-$E65)*$D35)+(($D27-$E68)*$D35))</f>
        <v>0</v>
      </c>
      <c r="AI39" s="131">
        <f>$AJ17*(($D24+$D27)+(($D24-$C65)*$D35)+(($D27-$C68)*$D35))</f>
        <v>0</v>
      </c>
      <c r="AJ39" s="130">
        <f>$AJ17*(($D24+$D27)+(($D24-$D65)*$D35)+(($D27-$D68)*$D35))</f>
        <v>0</v>
      </c>
      <c r="AK39" s="129">
        <f>$AJ17*(($D24+$D27)+(($D24-$E65)*$D35)+(($D27-$E68)*$D35))</f>
        <v>0</v>
      </c>
      <c r="AL39" s="131">
        <f>$AM17*(($D24+$D27)+(($D24-$C65)*$D35)+(($D27-$C68)*$D35))</f>
        <v>0</v>
      </c>
      <c r="AM39" s="130">
        <f>$AM17*(($D24+$D27)+(($D24-$D65)*$D35)+(($D27-$D68)*$D35))</f>
        <v>0</v>
      </c>
      <c r="AN39" s="129">
        <f>$AM17*(($D24+$D27)+(($D24-$E65)*$D35)+(($D27-$E68)*$D35))</f>
        <v>0</v>
      </c>
    </row>
    <row r="40" spans="2:40" ht="18" customHeight="1">
      <c r="B40" s="147" t="str">
        <f>'Carteiras Brasil'!B40</f>
        <v>Variacao %</v>
      </c>
      <c r="C40" s="321">
        <f>'Carteiras Brasil'!C40</f>
        <v>0.17753623188405809</v>
      </c>
      <c r="D40" s="321">
        <f>'Carteiras Brasil'!D40</f>
        <v>3.2608695652174058E-2</v>
      </c>
      <c r="E40" s="321">
        <f>'Carteiras Brasil'!E40</f>
        <v>-0.18478260869565211</v>
      </c>
      <c r="G40" s="135"/>
      <c r="H40" s="133" t="s">
        <v>1183</v>
      </c>
      <c r="I40" s="133"/>
      <c r="J40" s="133"/>
      <c r="K40" s="133"/>
      <c r="L40" s="137" t="s">
        <v>1190</v>
      </c>
      <c r="M40" s="137"/>
      <c r="N40" s="137"/>
      <c r="O40" s="134"/>
      <c r="P40" s="134"/>
      <c r="Q40" s="134"/>
      <c r="R40" s="136"/>
      <c r="S40" s="136"/>
      <c r="T40" s="136"/>
      <c r="U40" s="136"/>
      <c r="V40" s="136"/>
      <c r="W40" s="131">
        <f>$X19*(($D22+$D28)+(($D22-$C63)*$D33)+(($D28-$C69)*$D33))</f>
        <v>0</v>
      </c>
      <c r="X40" s="130">
        <f>$X19*(($D22+$D28)+(($D22-$D63)*$D33)+(($D28-$D69)*$D33))</f>
        <v>0</v>
      </c>
      <c r="Y40" s="129">
        <f>$X19*(($D22+$D28)+(($D22-$E63)*$D33)+(($D28-$E69)*$D33))</f>
        <v>0</v>
      </c>
      <c r="Z40" s="131">
        <f>$AA19*(($D22+$D28)+(($D22-$C63)*$D33)+(($D28-$C69)*$D33))</f>
        <v>0</v>
      </c>
      <c r="AA40" s="130">
        <f>$AA19*(($D22+$D28)+(($D22-$D63)*$D33)+(($D28-$D69)*$D33))</f>
        <v>0</v>
      </c>
      <c r="AB40" s="129">
        <f>$AA19*(($D22+$D28)+(($D22-$E63)*$D33)+(($D28-$E69)*$D33))</f>
        <v>0</v>
      </c>
      <c r="AC40" s="131">
        <f>$AD19*(($D22+$D28)+(($D22-$C63)*$D33)+(($D28-$C69)*$D33))</f>
        <v>0</v>
      </c>
      <c r="AD40" s="130">
        <f>$AD19*(($D22+$D28)+(($D22-$D63)*$D33)+(($D28-$D69)*$D33))</f>
        <v>0</v>
      </c>
      <c r="AE40" s="129">
        <f>$AD19*(($D22+$D28)+(($D22-$E63)*$D33)+(($D28-$E69)*$D33))</f>
        <v>0</v>
      </c>
      <c r="AF40" s="131">
        <f>$AG19*(($D22+$D28)+(($D22-$C63)*$D33)+(($D28-$C69)*$D33))</f>
        <v>0</v>
      </c>
      <c r="AG40" s="130">
        <f>$AG19*(($D22+$D28)+(($D22-$D63)*$D33)+(($D28-$D69)*$D33))</f>
        <v>0</v>
      </c>
      <c r="AH40" s="129">
        <f>$AG19*(($D22+$D28)+(($D22-$E63)*$D33)+(($D28-$E69)*$D33))</f>
        <v>0</v>
      </c>
      <c r="AI40" s="131">
        <f>$AJ19*(($D22+$D28)+(($D22-$C63)*$D33)+(($D28-$C69)*$D33))</f>
        <v>0</v>
      </c>
      <c r="AJ40" s="130">
        <f>$AJ19*(($D22+$D28)+(($D22-$D63)*$D33)+(($D28-$D69)*$D33))</f>
        <v>0</v>
      </c>
      <c r="AK40" s="129">
        <f>$AJ19*(($D22+$D28)+(($D22-$E63)*$D33)+(($D28-$E69)*$D33))</f>
        <v>0</v>
      </c>
      <c r="AL40" s="131">
        <f>$AM19*(($D22+$D28)+(($D22-$C63)*$D33)+(($D28-$C69)*$D33))</f>
        <v>0</v>
      </c>
      <c r="AM40" s="130">
        <f>$AM19*(($D22+$D28)+(($D22-$D63)*$D33)+(($D28-$D69)*$D33))</f>
        <v>0</v>
      </c>
      <c r="AN40" s="129">
        <f>$AM19*(($D22+$D28)+(($D22-$E63)*$D33)+(($D28-$E69)*$D33))</f>
        <v>0</v>
      </c>
    </row>
    <row r="41" spans="2:40" ht="18" customHeight="1">
      <c r="B41" s="135" t="str">
        <f>'Carteiras Brasil'!B41</f>
        <v>Selic Media</v>
      </c>
      <c r="C41" s="320">
        <f>'Carteiras Brasil'!C41</f>
        <v>0.15</v>
      </c>
      <c r="D41" s="320">
        <f>'Carteiras Brasil'!D41</f>
        <v>0.14499999999999999</v>
      </c>
      <c r="E41" s="320">
        <f>'Carteiras Brasil'!E41</f>
        <v>0.13</v>
      </c>
      <c r="G41" s="135"/>
      <c r="H41" s="133" t="s">
        <v>1183</v>
      </c>
      <c r="I41" s="133"/>
      <c r="J41" s="133"/>
      <c r="K41" s="133"/>
      <c r="L41" s="137" t="s">
        <v>1189</v>
      </c>
      <c r="M41" s="137"/>
      <c r="N41" s="137"/>
      <c r="O41" s="134"/>
      <c r="P41" s="134"/>
      <c r="Q41" s="134"/>
      <c r="R41" s="136"/>
      <c r="S41" s="136"/>
      <c r="T41" s="136"/>
      <c r="U41" s="136"/>
      <c r="V41" s="136"/>
      <c r="W41" s="131">
        <f>$X20*(($D23+$D28)+(($D23-C64)*$D34)+(($D28-C69)*$D34))</f>
        <v>0</v>
      </c>
      <c r="X41" s="130">
        <f>$X20*(($D23+$D28)+(($D23-D64)*$D34)+(($D28-D69)*$D34))</f>
        <v>0</v>
      </c>
      <c r="Y41" s="129">
        <f>$X20*(($D23+$D28)+(($D23-E64)*$D34)+(($D28-E69)*$D34))</f>
        <v>0</v>
      </c>
      <c r="Z41" s="131">
        <f>$AA20*(($D23+$D28)+(($D23-F64)*$D34)+(($D28-F69)*$D34))</f>
        <v>0</v>
      </c>
      <c r="AA41" s="130">
        <f>$AA20*(($D23+$D28)+(($D23-G62)*$D34)+(($D28-G67)*$D34))</f>
        <v>0</v>
      </c>
      <c r="AB41" s="129">
        <f>$AA20*(($D23+$D28)+(($D23-H62)*$D34)+(($D28-H67)*$D34))</f>
        <v>0</v>
      </c>
      <c r="AC41" s="131">
        <f>$AD20*(($D23+$D28)+(($D23-I62)*$D34)+(($D28-I67)*$D34))</f>
        <v>2.7439999999999999E-2</v>
      </c>
      <c r="AD41" s="130">
        <f>$AD20*(($D23+$D28)+(($D23-J62)*$D34)+(($D28-J67)*$D34))</f>
        <v>2.7439999999999999E-2</v>
      </c>
      <c r="AE41" s="129">
        <f>$AD21*(($D23+$D28)+(($D23-K62)*$D34)+(($D28-K67)*$D34))</f>
        <v>0</v>
      </c>
      <c r="AF41" s="131">
        <f>$AG20*(($D23+$D28)+(($D23-L62)*$D34)+(($D28-L67)*$D34))</f>
        <v>4.1159999999999995E-2</v>
      </c>
      <c r="AG41" s="130">
        <f>$AG20*(($D23+$D28)+(($D23-M62)*$D34)+(($D28-M67)*$D34))</f>
        <v>4.1159999999999995E-2</v>
      </c>
      <c r="AH41" s="129">
        <f>$AG20*(($D23+$D28)+(($D23-N62)*$D34)+(($D28-N67)*$D34))</f>
        <v>4.1159999999999995E-2</v>
      </c>
      <c r="AI41" s="131">
        <f>$AJ20*(($D23+$D28)+(($D23-O62)*$D34)+(($D28-O67)*$D34))</f>
        <v>2.7439999999999999E-2</v>
      </c>
      <c r="AJ41" s="130">
        <f>$AJ20*(($D23+$D28)+(($D23-P62)*$D34)+(($D28-P67)*$D34))</f>
        <v>2.7439999999999999E-2</v>
      </c>
      <c r="AK41" s="129">
        <f>$AJ20*(($D23+$D28)+(($D23-Q62)*$D34)+(($D28-Q67)*$D34))</f>
        <v>2.7439999999999999E-2</v>
      </c>
      <c r="AL41" s="131">
        <f>$AM20*(($D23+$D28)+(($D23-R62)*$D34)+(($D28-R67)*$D34))</f>
        <v>0</v>
      </c>
      <c r="AM41" s="130">
        <f>$AM20*(($D23+$D28)+(($D23-S62)*$D34)+(($D28-S67)*$D34))</f>
        <v>0</v>
      </c>
      <c r="AN41" s="129">
        <f>$AM20*(($D23+$D28)+(($D23-T62)*$D34)+(($D28-T67)*$D34))</f>
        <v>0</v>
      </c>
    </row>
    <row r="42" spans="2:40" ht="18" customHeight="1">
      <c r="B42" s="135" t="str">
        <f>'Carteiras Brasil'!B42</f>
        <v>Selic Final do Período (% a.a)</v>
      </c>
      <c r="C42" s="320">
        <f>'Carteiras Brasil'!C42</f>
        <v>0.15</v>
      </c>
      <c r="D42" s="320">
        <f>'Carteiras Brasil'!D42</f>
        <v>0.14000000000000001</v>
      </c>
      <c r="E42" s="320">
        <f>'Carteiras Brasil'!E42</f>
        <v>0.12</v>
      </c>
      <c r="G42" s="135"/>
      <c r="H42" s="133" t="s">
        <v>1183</v>
      </c>
      <c r="I42" s="133"/>
      <c r="J42" s="133"/>
      <c r="K42" s="133"/>
      <c r="L42" s="137" t="s">
        <v>1188</v>
      </c>
      <c r="M42" s="137"/>
      <c r="N42" s="137"/>
      <c r="O42" s="134"/>
      <c r="P42" s="134"/>
      <c r="Q42" s="134"/>
      <c r="R42" s="136"/>
      <c r="S42" s="136"/>
      <c r="T42" s="136"/>
      <c r="U42" s="136"/>
      <c r="V42" s="136"/>
      <c r="W42" s="131">
        <f>$X21*(($D24+$D28)+(($D24-$C65)*$D35)+(($D28-$C69)*$D35))</f>
        <v>0</v>
      </c>
      <c r="X42" s="130">
        <f>$X21*(($D24+$D28)+(($D24-$D65)*$D35)+(($D28-$D69)*$D35))</f>
        <v>0</v>
      </c>
      <c r="Y42" s="129">
        <f>$X21*(($D24+$D28)+(($D24-$E65)*$D35)+(($D28-$E69)*$D35))</f>
        <v>0</v>
      </c>
      <c r="Z42" s="131">
        <f>$AA21*(($D24+$D28)+(($D24-$C65)*$D35)+(($D28-$C69)*$D35))</f>
        <v>0</v>
      </c>
      <c r="AA42" s="130">
        <f>$AA21*(($D24+$D28)+(($D24-$D65)*$D35)+(($D28-$D69)*$D35))</f>
        <v>0</v>
      </c>
      <c r="AB42" s="129">
        <f>$AA21*(($D24+$D28)+(($D24-$E65)*$D35)+(($D28-$E69)*$D35))</f>
        <v>0</v>
      </c>
      <c r="AC42" s="131">
        <f>$AD21*(($D24+$D28)+(($D24-$C65)*$D35)+(($D28-$C69)*$D35))</f>
        <v>0</v>
      </c>
      <c r="AD42" s="130">
        <f>$AD21*(($D24+$D28)+(($D24-$D65)*$D35)+(($D28-$D69)*$D35))</f>
        <v>0</v>
      </c>
      <c r="AE42" s="129">
        <f>$AD21*(($D24+$D28)+(($D24-$E65)*$D35)+(($D28-$E69)*$D35))</f>
        <v>0</v>
      </c>
      <c r="AF42" s="131">
        <f>$AG21*(($D24+$D28)+(($D24-$C65)*$D35)+(($D28-$C69)*$D35))</f>
        <v>0</v>
      </c>
      <c r="AG42" s="130">
        <f>$AG21*(($D24+$D28)+(($D24-$D65)*$D35)+(($D28-$D69)*$D35))</f>
        <v>0</v>
      </c>
      <c r="AH42" s="129">
        <f>$AG21*(($D24+$D28)+(($D24-$E65)*$D35)+(($D28-$E69)*$D35))</f>
        <v>0</v>
      </c>
      <c r="AI42" s="131">
        <f>$AJ21*(($D24+$D28)+(($D24-$C65)*$D35)+(($D28-$C69)*$D35))</f>
        <v>0</v>
      </c>
      <c r="AJ42" s="130">
        <f>$AJ21*(($D24+$D28)+(($D24-$D65)*$D35)+(($D28-$D69)*$D35))</f>
        <v>0</v>
      </c>
      <c r="AK42" s="129">
        <f>$AJ21*(($D24+$D28)+(($D24-$E65)*$D35)+(($D28-$E69)*$D35))</f>
        <v>0</v>
      </c>
      <c r="AL42" s="131">
        <f>$AM21*(($D24+$D28)+(($D24-$C65)*$D35)+(($D28-$C69)*$D35))</f>
        <v>0</v>
      </c>
      <c r="AM42" s="130">
        <f>$AM21*(($D24+$D28)+(($D24-$D65)*$D35)+(($D28-$D69)*$D35))</f>
        <v>0</v>
      </c>
      <c r="AN42" s="129">
        <f>$AM21*(($D24+$D28)+(($D24-$E65)*$D35)+(($D28-$E69)*$D35))</f>
        <v>0</v>
      </c>
    </row>
    <row r="43" spans="2:40" ht="18" customHeight="1">
      <c r="B43" s="135" t="str">
        <f>'Carteiras Brasil'!B43</f>
        <v>Pre - 1 Y (%a.a)</v>
      </c>
      <c r="C43" s="320">
        <f>'Carteiras Brasil'!C43</f>
        <v>0.13500000000000001</v>
      </c>
      <c r="D43" s="320">
        <f>'Carteiras Brasil'!D43</f>
        <v>0.13</v>
      </c>
      <c r="E43" s="320">
        <f>'Carteiras Brasil'!E43</f>
        <v>0.11</v>
      </c>
      <c r="G43" s="135" t="str">
        <f>G22</f>
        <v>S&amp;P 500</v>
      </c>
      <c r="H43" s="133"/>
      <c r="I43" s="133"/>
      <c r="J43" s="133"/>
      <c r="K43" s="133"/>
      <c r="L43" s="134"/>
      <c r="M43" s="134"/>
      <c r="N43" s="134"/>
      <c r="O43" s="134"/>
      <c r="P43" s="134"/>
      <c r="Q43" s="134"/>
      <c r="R43" s="133"/>
      <c r="S43" s="133"/>
      <c r="T43" s="133"/>
      <c r="U43" s="133"/>
      <c r="V43" s="133"/>
      <c r="W43" s="131">
        <f>$X$22*$C72</f>
        <v>0</v>
      </c>
      <c r="X43" s="130">
        <f>$X$22*$D72</f>
        <v>0</v>
      </c>
      <c r="Y43" s="129">
        <f>$X$22*$E72</f>
        <v>0</v>
      </c>
      <c r="Z43" s="131">
        <f>$AA$22*$C72</f>
        <v>0</v>
      </c>
      <c r="AA43" s="130">
        <f>$AA$22*$D72</f>
        <v>0</v>
      </c>
      <c r="AB43" s="129">
        <f>$AA$22*$E72</f>
        <v>0</v>
      </c>
      <c r="AC43" s="131">
        <f>$AD$22*$C72</f>
        <v>-2.4512215117232341E-3</v>
      </c>
      <c r="AD43" s="130">
        <f>$AD$22*$D72</f>
        <v>3.2874241678963801E-3</v>
      </c>
      <c r="AE43" s="129">
        <f>$AD$22*$E72</f>
        <v>7.3864567961960947E-3</v>
      </c>
      <c r="AF43" s="131">
        <f>$AG$22*$C72</f>
        <v>-4.9024430234464681E-3</v>
      </c>
      <c r="AG43" s="130">
        <f>$SG$23*$D72</f>
        <v>0</v>
      </c>
      <c r="AH43" s="129">
        <f>$SG$23*$E72</f>
        <v>0</v>
      </c>
      <c r="AI43" s="131">
        <f>$SJ$23*$C72</f>
        <v>0</v>
      </c>
      <c r="AJ43" s="130">
        <f>$AJ$22*$D72</f>
        <v>1.9724545007378278E-2</v>
      </c>
      <c r="AK43" s="129">
        <f>$AJ$22*$E72</f>
        <v>4.4318740777176568E-2</v>
      </c>
      <c r="AL43" s="131">
        <f>$AM$22*$C72</f>
        <v>-1.6374159698311203E-2</v>
      </c>
      <c r="AM43" s="130">
        <f>$AM$22*$D72</f>
        <v>2.195999344154782E-2</v>
      </c>
      <c r="AN43" s="129">
        <f>$AM$22*$E72</f>
        <v>4.9341531398589919E-2</v>
      </c>
    </row>
    <row r="44" spans="2:40" ht="18" customHeight="1">
      <c r="B44" s="135" t="str">
        <f>'Carteiras Brasil'!B44</f>
        <v>Pre - 5 Y (%a.a)</v>
      </c>
      <c r="C44" s="320">
        <f>'Carteiras Brasil'!C44</f>
        <v>0.125</v>
      </c>
      <c r="D44" s="320">
        <f>'Carteiras Brasil'!D44</f>
        <v>0.12</v>
      </c>
      <c r="E44" s="320">
        <f>'Carteiras Brasil'!E44</f>
        <v>0.1</v>
      </c>
      <c r="G44" s="135" t="str">
        <f>G23</f>
        <v>Nasdaq 100</v>
      </c>
      <c r="H44" s="133"/>
      <c r="I44" s="133"/>
      <c r="J44" s="133"/>
      <c r="K44" s="133"/>
      <c r="L44" s="134"/>
      <c r="M44" s="134"/>
      <c r="N44" s="134"/>
      <c r="O44" s="134"/>
      <c r="P44" s="134"/>
      <c r="Q44" s="134"/>
      <c r="R44" s="133"/>
      <c r="S44" s="133"/>
      <c r="T44" s="133"/>
      <c r="U44" s="133"/>
      <c r="V44" s="133"/>
      <c r="W44" s="131">
        <f>$X$23*$C74</f>
        <v>0</v>
      </c>
      <c r="X44" s="130">
        <f>$X$23*$D74</f>
        <v>0</v>
      </c>
      <c r="Y44" s="129">
        <f>$X$23*$E74</f>
        <v>0</v>
      </c>
      <c r="Z44" s="131">
        <f>$AA$23*$C74</f>
        <v>0</v>
      </c>
      <c r="AA44" s="130">
        <f>$AA$23*$D74</f>
        <v>0</v>
      </c>
      <c r="AB44" s="129">
        <f>$AA$23*$E74</f>
        <v>0</v>
      </c>
      <c r="AC44" s="131">
        <f>$AD$23*$C74</f>
        <v>0</v>
      </c>
      <c r="AD44" s="130">
        <f>$AD$23*$D74</f>
        <v>0</v>
      </c>
      <c r="AE44" s="129">
        <f>$AD$23*$E74</f>
        <v>0</v>
      </c>
      <c r="AF44" s="131">
        <f>$AG$23*$C74</f>
        <v>1.5978399190621497E-4</v>
      </c>
      <c r="AG44" s="130">
        <f>$AG$23*$D74</f>
        <v>5.1757623910968394E-3</v>
      </c>
      <c r="AH44" s="129">
        <f>$AG$23*$E74</f>
        <v>7.6837515906921453E-3</v>
      </c>
      <c r="AI44" s="131">
        <f>$AJ$23*$C74</f>
        <v>1.5978399190621497E-4</v>
      </c>
      <c r="AJ44" s="130">
        <f>$AJ$23*$D74</f>
        <v>5.1757623910968394E-3</v>
      </c>
      <c r="AK44" s="129">
        <f>$AJ$23*$E74</f>
        <v>7.6837515906921453E-3</v>
      </c>
      <c r="AL44" s="131">
        <f>$AM$23*$C74</f>
        <v>1.0641613860953917E-3</v>
      </c>
      <c r="AM44" s="130">
        <f>$AM$23*$D74</f>
        <v>3.4470577524704948E-2</v>
      </c>
      <c r="AN44" s="129">
        <f>$AM$23*$E74</f>
        <v>5.1173785594009688E-2</v>
      </c>
    </row>
    <row r="45" spans="2:40" ht="18" customHeight="1">
      <c r="B45" s="135" t="str">
        <f>'Carteiras Brasil'!B45</f>
        <v>Pre - 10 Y (%a.a)</v>
      </c>
      <c r="C45" s="320">
        <f>'Carteiras Brasil'!C45</f>
        <v>0.12</v>
      </c>
      <c r="D45" s="320">
        <f>'Carteiras Brasil'!D45</f>
        <v>0.115</v>
      </c>
      <c r="E45" s="320">
        <f>'Carteiras Brasil'!E45</f>
        <v>0.1</v>
      </c>
      <c r="G45" s="135" t="str">
        <f>G24</f>
        <v>Russell 2000</v>
      </c>
      <c r="H45" s="133"/>
      <c r="I45" s="133"/>
      <c r="J45" s="133"/>
      <c r="K45" s="133"/>
      <c r="L45" s="134"/>
      <c r="M45" s="134"/>
      <c r="N45" s="134"/>
      <c r="O45" s="134"/>
      <c r="P45" s="134"/>
      <c r="Q45" s="134"/>
      <c r="R45" s="133"/>
      <c r="S45" s="133"/>
      <c r="T45" s="133"/>
      <c r="U45" s="133"/>
      <c r="V45" s="133"/>
      <c r="W45" s="131">
        <f>$X$24*$C76</f>
        <v>0</v>
      </c>
      <c r="X45" s="130">
        <f>$X$24*$D76</f>
        <v>0</v>
      </c>
      <c r="Y45" s="129">
        <f>$X$24*$E76</f>
        <v>0</v>
      </c>
      <c r="Z45" s="131">
        <f>$AA$24*$C76</f>
        <v>0</v>
      </c>
      <c r="AA45" s="130">
        <f>$AA$24*$D76</f>
        <v>0</v>
      </c>
      <c r="AB45" s="129">
        <f>$AA$24*$E76</f>
        <v>0</v>
      </c>
      <c r="AC45" s="131">
        <f>$AD$24*$C76</f>
        <v>3.171814314777133E-3</v>
      </c>
      <c r="AD45" s="130">
        <f>$AD$24*$D76</f>
        <v>5.4836323284630957E-3</v>
      </c>
      <c r="AE45" s="129">
        <f>$AD$24*$E76</f>
        <v>7.795450342149058E-3</v>
      </c>
      <c r="AF45" s="131">
        <f>$AG$24*$C76</f>
        <v>3.171814314777133E-3</v>
      </c>
      <c r="AG45" s="130">
        <f>$AG$24*$D76</f>
        <v>5.4836323284630957E-3</v>
      </c>
      <c r="AH45" s="129">
        <f>$AG$24*$E76</f>
        <v>7.795450342149058E-3</v>
      </c>
      <c r="AI45" s="131">
        <f>$AJ$24*$C76</f>
        <v>3.171814314777133E-3</v>
      </c>
      <c r="AJ45" s="130">
        <f>$AJ$24*$D76</f>
        <v>5.4836323284630957E-3</v>
      </c>
      <c r="AK45" s="129">
        <f>$AJ$24*$E76</f>
        <v>7.795450342149058E-3</v>
      </c>
      <c r="AL45" s="131">
        <f>$AM$24*$C76</f>
        <v>2.1124283336415705E-2</v>
      </c>
      <c r="AM45" s="130">
        <f>$AM$24*$D76</f>
        <v>3.6520991307564213E-2</v>
      </c>
      <c r="AN45" s="129">
        <f>$AM$24*$E76</f>
        <v>5.1917699278712724E-2</v>
      </c>
    </row>
    <row r="46" spans="2:40" ht="18" customHeight="1">
      <c r="B46" s="135" t="str">
        <f>'Carteiras Brasil'!B46</f>
        <v>IPCA (variacao %)</v>
      </c>
      <c r="C46" s="320">
        <f>'Carteiras Brasil'!C46</f>
        <v>0.05</v>
      </c>
      <c r="D46" s="320">
        <f>'Carteiras Brasil'!D46</f>
        <v>4.4999999999999998E-2</v>
      </c>
      <c r="E46" s="320">
        <f>'Carteiras Brasil'!E46</f>
        <v>0.04</v>
      </c>
      <c r="G46" s="135" t="str">
        <f>G25</f>
        <v>Hedge Funds</v>
      </c>
      <c r="H46" s="133"/>
      <c r="I46" s="133"/>
      <c r="J46" s="133"/>
      <c r="K46" s="133"/>
      <c r="L46" s="134"/>
      <c r="M46" s="134"/>
      <c r="N46" s="134"/>
      <c r="O46" s="134"/>
      <c r="P46" s="134"/>
      <c r="Q46" s="134"/>
      <c r="R46" s="133"/>
      <c r="S46" s="133"/>
      <c r="T46" s="133"/>
      <c r="U46" s="133"/>
      <c r="V46" s="133"/>
      <c r="W46" s="131">
        <f>$X$25*($C70+$C62)</f>
        <v>0</v>
      </c>
      <c r="X46" s="130">
        <f>$X$25*($D70+$D62)</f>
        <v>0</v>
      </c>
      <c r="Y46" s="129">
        <f>$X$25*($E70+$E62)</f>
        <v>0</v>
      </c>
      <c r="Z46" s="131">
        <f>$AA$25*($C70+$C62)</f>
        <v>0</v>
      </c>
      <c r="AA46" s="130">
        <f>$AA$25*($D70+$D62)</f>
        <v>0</v>
      </c>
      <c r="AB46" s="129">
        <f>$AA$25*($E70+$E62)</f>
        <v>0</v>
      </c>
      <c r="AC46" s="131">
        <f>$AD$25*($C70+$C62)</f>
        <v>0</v>
      </c>
      <c r="AD46" s="130">
        <f>$AD$25*($D70+$D62)</f>
        <v>0</v>
      </c>
      <c r="AE46" s="129">
        <f>$AD$25*($E70+$E62)</f>
        <v>0</v>
      </c>
      <c r="AF46" s="131">
        <f>$AG$25*($C70+$C62)</f>
        <v>0</v>
      </c>
      <c r="AG46" s="130">
        <f>$AG$25*($D70+$D62)</f>
        <v>0</v>
      </c>
      <c r="AH46" s="129">
        <f>$AG$25*($E70+$E62)</f>
        <v>0</v>
      </c>
      <c r="AI46" s="131">
        <f>$AJ$25*($C70+$C62)</f>
        <v>0</v>
      </c>
      <c r="AJ46" s="130">
        <f>$AJ$25*($D70+$D62)</f>
        <v>0</v>
      </c>
      <c r="AK46" s="129">
        <f>$AJ$25*($E70+$E62)</f>
        <v>0</v>
      </c>
      <c r="AL46" s="131">
        <f>$AM$25*($C70+$C62)</f>
        <v>0</v>
      </c>
      <c r="AM46" s="130">
        <f>$AM$25*($D70+$D62)</f>
        <v>0</v>
      </c>
      <c r="AN46" s="129">
        <f>$AM$25*($E70+$E62)</f>
        <v>0</v>
      </c>
    </row>
    <row r="47" spans="2:40" ht="18" customHeight="1">
      <c r="B47" s="135" t="str">
        <f>'Carteiras Brasil'!B47</f>
        <v>Juro Real - Curto</v>
      </c>
      <c r="C47" s="320">
        <f>'Carteiras Brasil'!C47</f>
        <v>9.9999999999999992E-2</v>
      </c>
      <c r="D47" s="320">
        <f>'Carteiras Brasil'!D47</f>
        <v>9.5000000000000015E-2</v>
      </c>
      <c r="E47" s="320">
        <f>'Carteiras Brasil'!E47</f>
        <v>7.9999999999999988E-2</v>
      </c>
      <c r="G47" s="121" t="str">
        <f>G26</f>
        <v>Alternative</v>
      </c>
      <c r="H47" s="119"/>
      <c r="I47" s="119"/>
      <c r="J47" s="119"/>
      <c r="K47" s="119"/>
      <c r="L47" s="120"/>
      <c r="M47" s="120"/>
      <c r="N47" s="120"/>
      <c r="O47" s="120"/>
      <c r="P47" s="120"/>
      <c r="Q47" s="120"/>
      <c r="R47" s="119"/>
      <c r="S47" s="119"/>
      <c r="T47" s="119"/>
      <c r="U47" s="119"/>
      <c r="V47" s="119"/>
      <c r="W47" s="118">
        <f>$X$26*C56</f>
        <v>0</v>
      </c>
      <c r="X47" s="117">
        <f>$X$26*D56</f>
        <v>0</v>
      </c>
      <c r="Y47" s="116">
        <f>$X$26*E56</f>
        <v>0</v>
      </c>
      <c r="Z47" s="117">
        <f>$AA$26*C56</f>
        <v>0</v>
      </c>
      <c r="AA47" s="117">
        <f>$AA$26*D56</f>
        <v>0</v>
      </c>
      <c r="AB47" s="117">
        <f>$AA$26*E56</f>
        <v>0</v>
      </c>
      <c r="AC47" s="118">
        <f>$AD$26*C56</f>
        <v>0</v>
      </c>
      <c r="AD47" s="117">
        <f>$AD$26*D56</f>
        <v>0</v>
      </c>
      <c r="AE47" s="116">
        <f>$AD$26*E56</f>
        <v>0</v>
      </c>
      <c r="AF47" s="118">
        <f>$AG$26*$C$56</f>
        <v>0</v>
      </c>
      <c r="AG47" s="117">
        <f>$AG$26*D56</f>
        <v>0</v>
      </c>
      <c r="AH47" s="116">
        <f>$AG$26*E56</f>
        <v>0</v>
      </c>
      <c r="AI47" s="118">
        <f>$AJ$26*$C$56</f>
        <v>-1.4999999999999999E-2</v>
      </c>
      <c r="AJ47" s="117">
        <f>$AJ$26*D56</f>
        <v>1.4999999999999999E-2</v>
      </c>
      <c r="AK47" s="116">
        <f>$AJ$26*E56</f>
        <v>2.0000000000000004E-2</v>
      </c>
      <c r="AL47" s="118">
        <f>$AM$26*$C$56</f>
        <v>0</v>
      </c>
      <c r="AM47" s="117">
        <f>$AM$26*D56</f>
        <v>0</v>
      </c>
      <c r="AN47" s="116">
        <f>$AM$26*E56</f>
        <v>0</v>
      </c>
    </row>
    <row r="48" spans="2:40" ht="18" customHeight="1">
      <c r="B48" s="135" t="str">
        <f>'Carteiras Brasil'!B48</f>
        <v>Juro Real - Medio</v>
      </c>
      <c r="C48" s="320">
        <f>'Carteiras Brasil'!C48</f>
        <v>9.5000000000000001E-2</v>
      </c>
      <c r="D48" s="320">
        <f>'Carteiras Brasil'!D48</f>
        <v>0.09</v>
      </c>
      <c r="E48" s="320">
        <f>'Carteiras Brasil'!E48</f>
        <v>0.08</v>
      </c>
    </row>
    <row r="49" spans="2:40" ht="18" customHeight="1">
      <c r="B49" s="135" t="str">
        <f>'Carteiras Brasil'!B49</f>
        <v>Juro Real - Longo</v>
      </c>
      <c r="C49" s="320">
        <f>'Carteiras Brasil'!C49</f>
        <v>0.08</v>
      </c>
      <c r="D49" s="320">
        <f>'Carteiras Brasil'!D49</f>
        <v>0.08</v>
      </c>
      <c r="E49" s="320">
        <f>'Carteiras Brasil'!E49</f>
        <v>0.08</v>
      </c>
      <c r="G49" s="128"/>
      <c r="H49" s="127"/>
      <c r="I49" s="127"/>
      <c r="J49" s="127"/>
      <c r="K49" s="127" t="s">
        <v>1187</v>
      </c>
      <c r="L49" s="126"/>
      <c r="M49" s="126"/>
      <c r="N49" s="126"/>
      <c r="O49" s="126"/>
      <c r="P49" s="126"/>
      <c r="Q49" s="126"/>
      <c r="R49" s="125"/>
      <c r="S49" s="125"/>
      <c r="T49" s="125"/>
      <c r="U49" s="125"/>
      <c r="V49" s="125"/>
      <c r="W49" s="124">
        <f t="shared" ref="W49:AN49" si="15">W32</f>
        <v>4.3499999999999997E-2</v>
      </c>
      <c r="X49" s="123">
        <f t="shared" si="15"/>
        <v>4.2500000000000003E-2</v>
      </c>
      <c r="Y49" s="122">
        <f t="shared" si="15"/>
        <v>0.04</v>
      </c>
      <c r="Z49" s="123">
        <f t="shared" si="15"/>
        <v>4.3499999999999997E-2</v>
      </c>
      <c r="AA49" s="123">
        <f t="shared" si="15"/>
        <v>4.2500000000000003E-2</v>
      </c>
      <c r="AB49" s="123">
        <f t="shared" si="15"/>
        <v>0.04</v>
      </c>
      <c r="AC49" s="124">
        <f t="shared" si="15"/>
        <v>1.9575000000000002E-2</v>
      </c>
      <c r="AD49" s="123">
        <f t="shared" si="15"/>
        <v>1.9125000000000003E-2</v>
      </c>
      <c r="AE49" s="122">
        <f t="shared" si="15"/>
        <v>1.8000000000000002E-2</v>
      </c>
      <c r="AF49" s="124">
        <f t="shared" si="15"/>
        <v>4.3499999999999997E-3</v>
      </c>
      <c r="AG49" s="123">
        <f t="shared" si="15"/>
        <v>4.2500000000000003E-3</v>
      </c>
      <c r="AH49" s="122">
        <f t="shared" si="15"/>
        <v>4.0000000000000001E-3</v>
      </c>
      <c r="AI49" s="124">
        <f t="shared" si="15"/>
        <v>2.1749999999999999E-3</v>
      </c>
      <c r="AJ49" s="123">
        <f t="shared" si="15"/>
        <v>2.1250000000000002E-3</v>
      </c>
      <c r="AK49" s="122">
        <f t="shared" si="15"/>
        <v>2E-3</v>
      </c>
      <c r="AL49" s="124">
        <f t="shared" si="15"/>
        <v>0</v>
      </c>
      <c r="AM49" s="123">
        <f t="shared" si="15"/>
        <v>0</v>
      </c>
      <c r="AN49" s="122">
        <f t="shared" si="15"/>
        <v>0</v>
      </c>
    </row>
    <row r="50" spans="2:40" ht="18" customHeight="1">
      <c r="B50" s="198" t="str">
        <f>'Carteiras Brasil'!B50</f>
        <v>Premio Credito Privado IG</v>
      </c>
      <c r="C50" s="320">
        <f>'Carteiras Brasil'!C50</f>
        <v>0.02</v>
      </c>
      <c r="D50" s="320">
        <f>'Carteiras Brasil'!D50</f>
        <v>1.4999999999999999E-2</v>
      </c>
      <c r="E50" s="320">
        <f>'Carteiras Brasil'!E50</f>
        <v>0.01</v>
      </c>
      <c r="G50" s="135"/>
      <c r="H50" s="133"/>
      <c r="I50" s="133"/>
      <c r="J50" s="133"/>
      <c r="K50" s="133" t="s">
        <v>1186</v>
      </c>
      <c r="L50" s="134"/>
      <c r="M50" s="134"/>
      <c r="N50" s="134"/>
      <c r="O50" s="134"/>
      <c r="P50" s="134"/>
      <c r="Q50" s="134"/>
      <c r="R50" s="133"/>
      <c r="S50" s="133"/>
      <c r="T50" s="133"/>
      <c r="U50" s="133"/>
      <c r="V50" s="133"/>
      <c r="W50" s="131">
        <f t="shared" ref="W50:AN50" si="16">W33</f>
        <v>0</v>
      </c>
      <c r="X50" s="130">
        <f t="shared" si="16"/>
        <v>0</v>
      </c>
      <c r="Y50" s="129">
        <f t="shared" si="16"/>
        <v>0</v>
      </c>
      <c r="Z50" s="130">
        <f t="shared" si="16"/>
        <v>0</v>
      </c>
      <c r="AA50" s="130">
        <f t="shared" si="16"/>
        <v>0</v>
      </c>
      <c r="AB50" s="130">
        <f t="shared" si="16"/>
        <v>0</v>
      </c>
      <c r="AC50" s="131">
        <f t="shared" si="16"/>
        <v>0</v>
      </c>
      <c r="AD50" s="130">
        <f t="shared" si="16"/>
        <v>0</v>
      </c>
      <c r="AE50" s="129">
        <f t="shared" si="16"/>
        <v>0</v>
      </c>
      <c r="AF50" s="131">
        <f t="shared" si="16"/>
        <v>6.6749999999999995E-3</v>
      </c>
      <c r="AG50" s="130">
        <f t="shared" si="16"/>
        <v>6.3E-3</v>
      </c>
      <c r="AH50" s="129">
        <f t="shared" si="16"/>
        <v>5.9249999999999997E-3</v>
      </c>
      <c r="AI50" s="131">
        <f t="shared" si="16"/>
        <v>0</v>
      </c>
      <c r="AJ50" s="130">
        <f t="shared" si="16"/>
        <v>0</v>
      </c>
      <c r="AK50" s="129">
        <f t="shared" si="16"/>
        <v>0</v>
      </c>
      <c r="AL50" s="131">
        <f t="shared" si="16"/>
        <v>0</v>
      </c>
      <c r="AM50" s="130">
        <f t="shared" si="16"/>
        <v>0</v>
      </c>
      <c r="AN50" s="129">
        <f t="shared" si="16"/>
        <v>0</v>
      </c>
    </row>
    <row r="51" spans="2:40" ht="18" customHeight="1">
      <c r="B51" s="121" t="str">
        <f>'Carteiras Brasil'!B51</f>
        <v>Premio Credito Privado HY</v>
      </c>
      <c r="C51" s="317">
        <f>'Carteiras Brasil'!C51</f>
        <v>0.03</v>
      </c>
      <c r="D51" s="317">
        <f>'Carteiras Brasil'!D51</f>
        <v>0.02</v>
      </c>
      <c r="E51" s="317">
        <f>'Carteiras Brasil'!E51</f>
        <v>1.4999999999999999E-2</v>
      </c>
      <c r="G51" s="135"/>
      <c r="H51" s="133"/>
      <c r="I51" s="133"/>
      <c r="J51" s="133"/>
      <c r="K51" s="133" t="s">
        <v>1185</v>
      </c>
      <c r="L51" s="134"/>
      <c r="M51" s="134"/>
      <c r="N51" s="134"/>
      <c r="O51" s="134"/>
      <c r="P51" s="134"/>
      <c r="Q51" s="134"/>
      <c r="R51" s="133"/>
      <c r="S51" s="133"/>
      <c r="T51" s="133"/>
      <c r="U51" s="133"/>
      <c r="V51" s="133"/>
      <c r="W51" s="131">
        <f t="shared" ref="W51:AN51" si="17">W34+W35+W36</f>
        <v>0</v>
      </c>
      <c r="X51" s="130">
        <f t="shared" si="17"/>
        <v>0</v>
      </c>
      <c r="Y51" s="129">
        <f t="shared" si="17"/>
        <v>0</v>
      </c>
      <c r="Z51" s="130">
        <f t="shared" si="17"/>
        <v>0</v>
      </c>
      <c r="AA51" s="130">
        <f t="shared" si="17"/>
        <v>0</v>
      </c>
      <c r="AB51" s="130">
        <f t="shared" si="17"/>
        <v>0</v>
      </c>
      <c r="AC51" s="131">
        <f t="shared" si="17"/>
        <v>4.5450000000000022E-3</v>
      </c>
      <c r="AD51" s="130">
        <f t="shared" si="17"/>
        <v>6.4349999999999997E-3</v>
      </c>
      <c r="AE51" s="129">
        <f t="shared" si="17"/>
        <v>9.0449999999999992E-3</v>
      </c>
      <c r="AF51" s="131">
        <f t="shared" si="17"/>
        <v>4.5450000000000022E-3</v>
      </c>
      <c r="AG51" s="130">
        <f t="shared" si="17"/>
        <v>6.4349999999999997E-3</v>
      </c>
      <c r="AH51" s="129">
        <f t="shared" si="17"/>
        <v>9.0449999999999992E-3</v>
      </c>
      <c r="AI51" s="131">
        <f t="shared" si="17"/>
        <v>4.5450000000000022E-3</v>
      </c>
      <c r="AJ51" s="132">
        <f t="shared" si="17"/>
        <v>6.4349999999999997E-3</v>
      </c>
      <c r="AK51" s="129">
        <f t="shared" si="17"/>
        <v>9.0449999999999992E-3</v>
      </c>
      <c r="AL51" s="131">
        <f t="shared" si="17"/>
        <v>0</v>
      </c>
      <c r="AM51" s="130">
        <f t="shared" si="17"/>
        <v>0</v>
      </c>
      <c r="AN51" s="129">
        <f t="shared" si="17"/>
        <v>0</v>
      </c>
    </row>
    <row r="52" spans="2:40" ht="18" customHeight="1">
      <c r="B52" s="144" t="str">
        <f>'Carteiras Brasil'!B52</f>
        <v>Alpha Fundos Multimercado</v>
      </c>
      <c r="C52" s="319">
        <f>'Carteiras Brasil'!C52</f>
        <v>0</v>
      </c>
      <c r="D52" s="319">
        <f>'Carteiras Brasil'!D52</f>
        <v>0.05</v>
      </c>
      <c r="E52" s="319">
        <f>'Carteiras Brasil'!E52</f>
        <v>0.1</v>
      </c>
      <c r="G52" s="135"/>
      <c r="H52" s="133"/>
      <c r="I52" s="133"/>
      <c r="J52" s="133"/>
      <c r="K52" s="133" t="s">
        <v>1184</v>
      </c>
      <c r="L52" s="134"/>
      <c r="M52" s="134"/>
      <c r="N52" s="134"/>
      <c r="O52" s="134"/>
      <c r="P52" s="134"/>
      <c r="Q52" s="134"/>
      <c r="R52" s="133"/>
      <c r="S52" s="133"/>
      <c r="T52" s="133"/>
      <c r="U52" s="133"/>
      <c r="V52" s="133"/>
      <c r="W52" s="131">
        <f t="shared" ref="W52:AN52" si="18">W37+W38+W39</f>
        <v>0</v>
      </c>
      <c r="X52" s="130">
        <f t="shared" si="18"/>
        <v>0</v>
      </c>
      <c r="Y52" s="129">
        <f t="shared" si="18"/>
        <v>0</v>
      </c>
      <c r="Z52" s="130">
        <f t="shared" si="18"/>
        <v>0</v>
      </c>
      <c r="AA52" s="130">
        <f t="shared" si="18"/>
        <v>0</v>
      </c>
      <c r="AB52" s="130">
        <f t="shared" si="18"/>
        <v>0</v>
      </c>
      <c r="AC52" s="131">
        <f t="shared" si="18"/>
        <v>8.0800000000000038E-3</v>
      </c>
      <c r="AD52" s="130">
        <f t="shared" si="18"/>
        <v>1.1320000000000002E-2</v>
      </c>
      <c r="AE52" s="129">
        <f t="shared" si="18"/>
        <v>1.6480000000000002E-2</v>
      </c>
      <c r="AF52" s="131">
        <f t="shared" si="18"/>
        <v>1.0100000000000005E-2</v>
      </c>
      <c r="AG52" s="130">
        <f t="shared" si="18"/>
        <v>1.4150000000000001E-2</v>
      </c>
      <c r="AH52" s="129">
        <f t="shared" si="18"/>
        <v>2.06E-2</v>
      </c>
      <c r="AI52" s="131">
        <f t="shared" si="18"/>
        <v>8.0800000000000038E-3</v>
      </c>
      <c r="AJ52" s="130">
        <f t="shared" si="18"/>
        <v>1.1320000000000002E-2</v>
      </c>
      <c r="AK52" s="129">
        <f t="shared" si="18"/>
        <v>1.6480000000000002E-2</v>
      </c>
      <c r="AL52" s="131">
        <f t="shared" si="18"/>
        <v>0</v>
      </c>
      <c r="AM52" s="130">
        <f t="shared" si="18"/>
        <v>0</v>
      </c>
      <c r="AN52" s="129">
        <f t="shared" si="18"/>
        <v>0</v>
      </c>
    </row>
    <row r="53" spans="2:40" ht="18" customHeight="1">
      <c r="B53" s="182" t="str">
        <f>'Carteiras Brasil'!B53</f>
        <v>Bovespa</v>
      </c>
      <c r="C53" s="318">
        <f>'Carteiras Brasil'!C53</f>
        <v>120000</v>
      </c>
      <c r="D53" s="318">
        <f>'Carteiras Brasil'!D53</f>
        <v>145000</v>
      </c>
      <c r="E53" s="318">
        <f>'Carteiras Brasil'!E53</f>
        <v>160000</v>
      </c>
      <c r="G53" s="135"/>
      <c r="H53" s="133"/>
      <c r="I53" s="133"/>
      <c r="J53" s="133"/>
      <c r="K53" s="133" t="s">
        <v>1183</v>
      </c>
      <c r="L53" s="134"/>
      <c r="M53" s="134"/>
      <c r="N53" s="134"/>
      <c r="O53" s="134"/>
      <c r="P53" s="134"/>
      <c r="Q53" s="134"/>
      <c r="R53" s="133"/>
      <c r="S53" s="133"/>
      <c r="T53" s="133"/>
      <c r="U53" s="133"/>
      <c r="V53" s="133"/>
      <c r="W53" s="131">
        <f t="shared" ref="W53:AN53" si="19">W40+W41+W42</f>
        <v>0</v>
      </c>
      <c r="X53" s="130">
        <f t="shared" si="19"/>
        <v>0</v>
      </c>
      <c r="Y53" s="129">
        <f t="shared" si="19"/>
        <v>0</v>
      </c>
      <c r="Z53" s="130">
        <f t="shared" si="19"/>
        <v>0</v>
      </c>
      <c r="AA53" s="130">
        <f t="shared" si="19"/>
        <v>0</v>
      </c>
      <c r="AB53" s="130">
        <f t="shared" si="19"/>
        <v>0</v>
      </c>
      <c r="AC53" s="131">
        <f t="shared" si="19"/>
        <v>2.7439999999999999E-2</v>
      </c>
      <c r="AD53" s="130">
        <f t="shared" si="19"/>
        <v>2.7439999999999999E-2</v>
      </c>
      <c r="AE53" s="129">
        <f t="shared" si="19"/>
        <v>0</v>
      </c>
      <c r="AF53" s="131">
        <f t="shared" si="19"/>
        <v>4.1159999999999995E-2</v>
      </c>
      <c r="AG53" s="130">
        <f t="shared" si="19"/>
        <v>4.1159999999999995E-2</v>
      </c>
      <c r="AH53" s="129">
        <f t="shared" si="19"/>
        <v>4.1159999999999995E-2</v>
      </c>
      <c r="AI53" s="131">
        <f t="shared" si="19"/>
        <v>2.7439999999999999E-2</v>
      </c>
      <c r="AJ53" s="132">
        <f t="shared" si="19"/>
        <v>2.7439999999999999E-2</v>
      </c>
      <c r="AK53" s="129">
        <f t="shared" si="19"/>
        <v>2.7439999999999999E-2</v>
      </c>
      <c r="AL53" s="131">
        <f t="shared" si="19"/>
        <v>0</v>
      </c>
      <c r="AM53" s="130">
        <f t="shared" si="19"/>
        <v>0</v>
      </c>
      <c r="AN53" s="129">
        <f t="shared" si="19"/>
        <v>0</v>
      </c>
    </row>
    <row r="54" spans="2:40" ht="18" customHeight="1">
      <c r="B54" s="141" t="str">
        <f>'Carteiras Brasil'!B54</f>
        <v>Variacao %</v>
      </c>
      <c r="C54" s="317">
        <f>'Carteiras Brasil'!C54</f>
        <v>-0.12578376217646625</v>
      </c>
      <c r="D54" s="317">
        <f>'Carteiras Brasil'!D54</f>
        <v>5.6344620703436599E-2</v>
      </c>
      <c r="E54" s="317">
        <f>'Carteiras Brasil'!E54</f>
        <v>0.16562165043137833</v>
      </c>
      <c r="G54" s="135"/>
      <c r="H54" s="133"/>
      <c r="I54" s="133"/>
      <c r="J54" s="133"/>
      <c r="K54" s="133" t="s">
        <v>1182</v>
      </c>
      <c r="L54" s="134"/>
      <c r="M54" s="134"/>
      <c r="N54" s="134"/>
      <c r="O54" s="134"/>
      <c r="P54" s="134"/>
      <c r="Q54" s="134"/>
      <c r="R54" s="133"/>
      <c r="S54" s="133"/>
      <c r="T54" s="133"/>
      <c r="U54" s="133"/>
      <c r="V54" s="133"/>
      <c r="W54" s="131">
        <f t="shared" ref="W54:AN54" si="20">W43</f>
        <v>0</v>
      </c>
      <c r="X54" s="130">
        <f t="shared" si="20"/>
        <v>0</v>
      </c>
      <c r="Y54" s="129">
        <f t="shared" si="20"/>
        <v>0</v>
      </c>
      <c r="Z54" s="130">
        <f t="shared" si="20"/>
        <v>0</v>
      </c>
      <c r="AA54" s="130">
        <f t="shared" si="20"/>
        <v>0</v>
      </c>
      <c r="AB54" s="130">
        <f t="shared" si="20"/>
        <v>0</v>
      </c>
      <c r="AC54" s="131">
        <f t="shared" si="20"/>
        <v>-2.4512215117232341E-3</v>
      </c>
      <c r="AD54" s="130">
        <f t="shared" si="20"/>
        <v>3.2874241678963801E-3</v>
      </c>
      <c r="AE54" s="129">
        <f t="shared" si="20"/>
        <v>7.3864567961960947E-3</v>
      </c>
      <c r="AF54" s="131">
        <f t="shared" si="20"/>
        <v>-4.9024430234464681E-3</v>
      </c>
      <c r="AG54" s="130">
        <f t="shared" si="20"/>
        <v>0</v>
      </c>
      <c r="AH54" s="129">
        <f t="shared" si="20"/>
        <v>0</v>
      </c>
      <c r="AI54" s="131">
        <f t="shared" si="20"/>
        <v>0</v>
      </c>
      <c r="AJ54" s="130">
        <f t="shared" si="20"/>
        <v>1.9724545007378278E-2</v>
      </c>
      <c r="AK54" s="129">
        <f t="shared" si="20"/>
        <v>4.4318740777176568E-2</v>
      </c>
      <c r="AL54" s="131">
        <f t="shared" si="20"/>
        <v>-1.6374159698311203E-2</v>
      </c>
      <c r="AM54" s="130">
        <f t="shared" si="20"/>
        <v>2.195999344154782E-2</v>
      </c>
      <c r="AN54" s="129">
        <f t="shared" si="20"/>
        <v>4.9341531398589919E-2</v>
      </c>
    </row>
    <row r="55" spans="2:40" ht="18" customHeight="1">
      <c r="B55" s="144" t="str">
        <f>'Carteiras Brasil'!B55</f>
        <v>Alpha Fundos Imobiliarios</v>
      </c>
      <c r="C55" s="319">
        <f>'Carteiras Brasil'!C55</f>
        <v>-0.05</v>
      </c>
      <c r="D55" s="319">
        <f>'Carteiras Brasil'!D55</f>
        <v>0.05</v>
      </c>
      <c r="E55" s="319">
        <f>'Carteiras Brasil'!E55</f>
        <v>0.1</v>
      </c>
      <c r="G55" s="135"/>
      <c r="H55" s="133"/>
      <c r="I55" s="133"/>
      <c r="J55" s="133"/>
      <c r="K55" s="133" t="s">
        <v>1076</v>
      </c>
      <c r="L55" s="134"/>
      <c r="M55" s="134"/>
      <c r="N55" s="134"/>
      <c r="O55" s="134"/>
      <c r="P55" s="134"/>
      <c r="Q55" s="134"/>
      <c r="R55" s="133"/>
      <c r="S55" s="133"/>
      <c r="T55" s="133"/>
      <c r="U55" s="133"/>
      <c r="V55" s="133"/>
      <c r="W55" s="131">
        <f t="shared" ref="W55:AN55" si="21">W44</f>
        <v>0</v>
      </c>
      <c r="X55" s="130">
        <f t="shared" si="21"/>
        <v>0</v>
      </c>
      <c r="Y55" s="129">
        <f t="shared" si="21"/>
        <v>0</v>
      </c>
      <c r="Z55" s="130">
        <f t="shared" si="21"/>
        <v>0</v>
      </c>
      <c r="AA55" s="130">
        <f t="shared" si="21"/>
        <v>0</v>
      </c>
      <c r="AB55" s="130">
        <f t="shared" si="21"/>
        <v>0</v>
      </c>
      <c r="AC55" s="131">
        <f t="shared" si="21"/>
        <v>0</v>
      </c>
      <c r="AD55" s="130">
        <f t="shared" si="21"/>
        <v>0</v>
      </c>
      <c r="AE55" s="129">
        <f t="shared" si="21"/>
        <v>0</v>
      </c>
      <c r="AF55" s="131">
        <f t="shared" si="21"/>
        <v>1.5978399190621497E-4</v>
      </c>
      <c r="AG55" s="130">
        <f t="shared" si="21"/>
        <v>5.1757623910968394E-3</v>
      </c>
      <c r="AH55" s="129">
        <f t="shared" si="21"/>
        <v>7.6837515906921453E-3</v>
      </c>
      <c r="AI55" s="131">
        <f t="shared" si="21"/>
        <v>1.5978399190621497E-4</v>
      </c>
      <c r="AJ55" s="130">
        <f t="shared" si="21"/>
        <v>5.1757623910968394E-3</v>
      </c>
      <c r="AK55" s="129">
        <f t="shared" si="21"/>
        <v>7.6837515906921453E-3</v>
      </c>
      <c r="AL55" s="131">
        <f t="shared" si="21"/>
        <v>1.0641613860953917E-3</v>
      </c>
      <c r="AM55" s="130">
        <f t="shared" si="21"/>
        <v>3.4470577524704948E-2</v>
      </c>
      <c r="AN55" s="129">
        <f t="shared" si="21"/>
        <v>5.1173785594009688E-2</v>
      </c>
    </row>
    <row r="56" spans="2:40" ht="18" customHeight="1">
      <c r="B56" s="139" t="str">
        <f>'Carteiras Brasil'!B56</f>
        <v>Ativos Alternativos</v>
      </c>
      <c r="C56" s="316">
        <f>'Carteiras Brasil'!C56</f>
        <v>-0.15</v>
      </c>
      <c r="D56" s="316">
        <f>'Carteiras Brasil'!D56</f>
        <v>0.15</v>
      </c>
      <c r="E56" s="316">
        <f>'Carteiras Brasil'!E56</f>
        <v>0.2</v>
      </c>
      <c r="G56" s="135"/>
      <c r="H56" s="133"/>
      <c r="I56" s="133"/>
      <c r="J56" s="133"/>
      <c r="K56" s="133" t="s">
        <v>1074</v>
      </c>
      <c r="L56" s="134"/>
      <c r="M56" s="134"/>
      <c r="N56" s="134"/>
      <c r="O56" s="134"/>
      <c r="P56" s="134"/>
      <c r="Q56" s="134"/>
      <c r="R56" s="133"/>
      <c r="S56" s="133"/>
      <c r="T56" s="133"/>
      <c r="U56" s="133"/>
      <c r="V56" s="133"/>
      <c r="W56" s="131">
        <f t="shared" ref="W56:AN56" si="22">W45</f>
        <v>0</v>
      </c>
      <c r="X56" s="130">
        <f t="shared" si="22"/>
        <v>0</v>
      </c>
      <c r="Y56" s="129">
        <f t="shared" si="22"/>
        <v>0</v>
      </c>
      <c r="Z56" s="130">
        <f t="shared" si="22"/>
        <v>0</v>
      </c>
      <c r="AA56" s="130">
        <f t="shared" si="22"/>
        <v>0</v>
      </c>
      <c r="AB56" s="130">
        <f t="shared" si="22"/>
        <v>0</v>
      </c>
      <c r="AC56" s="131">
        <f t="shared" si="22"/>
        <v>3.171814314777133E-3</v>
      </c>
      <c r="AD56" s="130">
        <f t="shared" si="22"/>
        <v>5.4836323284630957E-3</v>
      </c>
      <c r="AE56" s="129">
        <f t="shared" si="22"/>
        <v>7.795450342149058E-3</v>
      </c>
      <c r="AF56" s="131">
        <f t="shared" si="22"/>
        <v>3.171814314777133E-3</v>
      </c>
      <c r="AG56" s="130">
        <f t="shared" si="22"/>
        <v>5.4836323284630957E-3</v>
      </c>
      <c r="AH56" s="129">
        <f t="shared" si="22"/>
        <v>7.795450342149058E-3</v>
      </c>
      <c r="AI56" s="131">
        <f t="shared" si="22"/>
        <v>3.171814314777133E-3</v>
      </c>
      <c r="AJ56" s="130">
        <f t="shared" si="22"/>
        <v>5.4836323284630957E-3</v>
      </c>
      <c r="AK56" s="129">
        <f t="shared" si="22"/>
        <v>7.795450342149058E-3</v>
      </c>
      <c r="AL56" s="131">
        <f t="shared" si="22"/>
        <v>2.1124283336415705E-2</v>
      </c>
      <c r="AM56" s="130">
        <f t="shared" si="22"/>
        <v>3.6520991307564213E-2</v>
      </c>
      <c r="AN56" s="129">
        <f t="shared" si="22"/>
        <v>5.1917699278712724E-2</v>
      </c>
    </row>
    <row r="57" spans="2:40" ht="18" customHeight="1">
      <c r="G57" s="135"/>
      <c r="H57" s="133"/>
      <c r="I57" s="133"/>
      <c r="J57" s="133"/>
      <c r="K57" s="133" t="s">
        <v>1181</v>
      </c>
      <c r="L57" s="134"/>
      <c r="M57" s="134"/>
      <c r="N57" s="134"/>
      <c r="O57" s="134"/>
      <c r="P57" s="134"/>
      <c r="Q57" s="134"/>
      <c r="R57" s="133"/>
      <c r="S57" s="133"/>
      <c r="T57" s="133"/>
      <c r="U57" s="133"/>
      <c r="V57" s="133"/>
      <c r="W57" s="131">
        <f t="shared" ref="W57:AN57" si="23">W46</f>
        <v>0</v>
      </c>
      <c r="X57" s="130">
        <f t="shared" si="23"/>
        <v>0</v>
      </c>
      <c r="Y57" s="129">
        <f t="shared" si="23"/>
        <v>0</v>
      </c>
      <c r="Z57" s="130">
        <f t="shared" si="23"/>
        <v>0</v>
      </c>
      <c r="AA57" s="130">
        <f t="shared" si="23"/>
        <v>0</v>
      </c>
      <c r="AB57" s="130">
        <f t="shared" si="23"/>
        <v>0</v>
      </c>
      <c r="AC57" s="131">
        <f t="shared" si="23"/>
        <v>0</v>
      </c>
      <c r="AD57" s="130">
        <f t="shared" si="23"/>
        <v>0</v>
      </c>
      <c r="AE57" s="129">
        <f t="shared" si="23"/>
        <v>0</v>
      </c>
      <c r="AF57" s="131">
        <f t="shared" si="23"/>
        <v>0</v>
      </c>
      <c r="AG57" s="130">
        <f t="shared" si="23"/>
        <v>0</v>
      </c>
      <c r="AH57" s="129">
        <f t="shared" si="23"/>
        <v>0</v>
      </c>
      <c r="AI57" s="131">
        <f t="shared" si="23"/>
        <v>0</v>
      </c>
      <c r="AJ57" s="132">
        <f t="shared" si="23"/>
        <v>0</v>
      </c>
      <c r="AK57" s="129">
        <f t="shared" si="23"/>
        <v>0</v>
      </c>
      <c r="AL57" s="131">
        <f t="shared" si="23"/>
        <v>0</v>
      </c>
      <c r="AM57" s="130">
        <f t="shared" si="23"/>
        <v>0</v>
      </c>
      <c r="AN57" s="129">
        <f t="shared" si="23"/>
        <v>0</v>
      </c>
    </row>
    <row r="58" spans="2:40" ht="18" customHeight="1">
      <c r="B58" s="155"/>
      <c r="C58" s="154" t="s">
        <v>1087</v>
      </c>
      <c r="D58" s="154" t="s">
        <v>1086</v>
      </c>
      <c r="E58" s="154" t="s">
        <v>1085</v>
      </c>
      <c r="G58" s="121"/>
      <c r="H58" s="119"/>
      <c r="I58" s="119"/>
      <c r="J58" s="119"/>
      <c r="K58" s="119" t="s">
        <v>1071</v>
      </c>
      <c r="L58" s="120"/>
      <c r="M58" s="120"/>
      <c r="N58" s="120"/>
      <c r="O58" s="120"/>
      <c r="P58" s="120"/>
      <c r="Q58" s="120"/>
      <c r="R58" s="119"/>
      <c r="S58" s="119"/>
      <c r="T58" s="119"/>
      <c r="U58" s="119"/>
      <c r="V58" s="119"/>
      <c r="W58" s="118">
        <f t="shared" ref="W58:AN58" si="24">W47</f>
        <v>0</v>
      </c>
      <c r="X58" s="117">
        <f t="shared" si="24"/>
        <v>0</v>
      </c>
      <c r="Y58" s="116">
        <f t="shared" si="24"/>
        <v>0</v>
      </c>
      <c r="Z58" s="117">
        <f t="shared" si="24"/>
        <v>0</v>
      </c>
      <c r="AA58" s="117">
        <f t="shared" si="24"/>
        <v>0</v>
      </c>
      <c r="AB58" s="117">
        <f t="shared" si="24"/>
        <v>0</v>
      </c>
      <c r="AC58" s="118">
        <f t="shared" si="24"/>
        <v>0</v>
      </c>
      <c r="AD58" s="117">
        <f t="shared" si="24"/>
        <v>0</v>
      </c>
      <c r="AE58" s="116">
        <f t="shared" si="24"/>
        <v>0</v>
      </c>
      <c r="AF58" s="118">
        <f t="shared" si="24"/>
        <v>0</v>
      </c>
      <c r="AG58" s="117">
        <f t="shared" si="24"/>
        <v>0</v>
      </c>
      <c r="AH58" s="116">
        <f t="shared" si="24"/>
        <v>0</v>
      </c>
      <c r="AI58" s="118">
        <f t="shared" si="24"/>
        <v>-1.4999999999999999E-2</v>
      </c>
      <c r="AJ58" s="117">
        <f t="shared" si="24"/>
        <v>1.4999999999999999E-2</v>
      </c>
      <c r="AK58" s="116">
        <f t="shared" si="24"/>
        <v>2.0000000000000004E-2</v>
      </c>
      <c r="AL58" s="118">
        <f t="shared" si="24"/>
        <v>0</v>
      </c>
      <c r="AM58" s="117">
        <f t="shared" si="24"/>
        <v>0</v>
      </c>
      <c r="AN58" s="116">
        <f t="shared" si="24"/>
        <v>0</v>
      </c>
    </row>
    <row r="59" spans="2:40" ht="18" customHeight="1">
      <c r="B59" s="149" t="str">
        <f>'Carteiras Brasil'!B59</f>
        <v>DXY</v>
      </c>
      <c r="C59" s="322">
        <f>'Carteiras Brasil'!C59</f>
        <v>90</v>
      </c>
      <c r="D59" s="322">
        <f>'Carteiras Brasil'!D59</f>
        <v>100</v>
      </c>
      <c r="E59" s="322">
        <f>'Carteiras Brasil'!E59</f>
        <v>110</v>
      </c>
      <c r="G59" s="128"/>
      <c r="H59" s="127"/>
      <c r="I59" s="127"/>
      <c r="J59" s="127"/>
      <c r="K59" s="127"/>
      <c r="L59" s="126"/>
      <c r="M59" s="126"/>
      <c r="N59" s="126"/>
      <c r="O59" s="126"/>
      <c r="P59" s="126"/>
      <c r="Q59" s="126"/>
      <c r="R59" s="125"/>
      <c r="S59" s="125"/>
      <c r="T59" s="125"/>
      <c r="U59" s="125"/>
      <c r="V59" s="125"/>
      <c r="W59" s="124">
        <f t="shared" ref="W59:AN59" si="25">SUM(W49:W58)</f>
        <v>4.3499999999999997E-2</v>
      </c>
      <c r="X59" s="123">
        <f t="shared" si="25"/>
        <v>4.2500000000000003E-2</v>
      </c>
      <c r="Y59" s="122">
        <f t="shared" si="25"/>
        <v>0.04</v>
      </c>
      <c r="Z59" s="123">
        <f t="shared" si="25"/>
        <v>4.3499999999999997E-2</v>
      </c>
      <c r="AA59" s="123">
        <f t="shared" si="25"/>
        <v>4.2500000000000003E-2</v>
      </c>
      <c r="AB59" s="123">
        <f t="shared" si="25"/>
        <v>0.04</v>
      </c>
      <c r="AC59" s="124">
        <f t="shared" si="25"/>
        <v>6.0360592803053899E-2</v>
      </c>
      <c r="AD59" s="123">
        <f t="shared" si="25"/>
        <v>7.3091056496359469E-2</v>
      </c>
      <c r="AE59" s="122">
        <f t="shared" si="25"/>
        <v>5.8706907138345157E-2</v>
      </c>
      <c r="AF59" s="124">
        <f t="shared" si="25"/>
        <v>6.5259155283236878E-2</v>
      </c>
      <c r="AG59" s="123">
        <f t="shared" si="25"/>
        <v>8.2954394719559926E-2</v>
      </c>
      <c r="AH59" s="122">
        <f t="shared" si="25"/>
        <v>9.6209201932841201E-2</v>
      </c>
      <c r="AI59" s="124">
        <f t="shared" si="25"/>
        <v>3.0571598306683351E-2</v>
      </c>
      <c r="AJ59" s="123">
        <f t="shared" si="25"/>
        <v>9.2703939726938203E-2</v>
      </c>
      <c r="AK59" s="122">
        <f t="shared" si="25"/>
        <v>0.13476294271001776</v>
      </c>
      <c r="AL59" s="124">
        <f t="shared" si="25"/>
        <v>5.8142850241998927E-3</v>
      </c>
      <c r="AM59" s="123">
        <f t="shared" si="25"/>
        <v>9.2951562273816984E-2</v>
      </c>
      <c r="AN59" s="122">
        <f t="shared" si="25"/>
        <v>0.15243301627131234</v>
      </c>
    </row>
    <row r="60" spans="2:40" ht="18" customHeight="1">
      <c r="B60" s="147" t="str">
        <f>'Carteiras Brasil'!B60</f>
        <v>Variacao %</v>
      </c>
      <c r="C60" s="321">
        <f>'Carteiras Brasil'!C60</f>
        <v>-8.0600674226172231E-2</v>
      </c>
      <c r="D60" s="321">
        <f>'Carteiras Brasil'!D60</f>
        <v>2.1554806415364114E-2</v>
      </c>
      <c r="E60" s="321">
        <f>'Carteiras Brasil'!E60</f>
        <v>0.12371028705690068</v>
      </c>
      <c r="G60" s="121"/>
      <c r="H60" s="119"/>
      <c r="I60" s="119"/>
      <c r="J60" s="119"/>
      <c r="K60" s="119"/>
      <c r="L60" s="120"/>
      <c r="M60" s="120"/>
      <c r="N60" s="120"/>
      <c r="O60" s="120"/>
      <c r="P60" s="120"/>
      <c r="Q60" s="120"/>
      <c r="R60" s="119"/>
      <c r="S60" s="119"/>
      <c r="T60" s="119"/>
      <c r="U60" s="119"/>
      <c r="V60" s="119"/>
      <c r="W60" s="118"/>
      <c r="X60" s="117"/>
      <c r="Y60" s="116"/>
      <c r="Z60" s="117"/>
      <c r="AA60" s="117"/>
      <c r="AB60" s="117"/>
      <c r="AC60" s="118"/>
      <c r="AD60" s="117"/>
      <c r="AE60" s="116"/>
      <c r="AF60" s="118"/>
      <c r="AG60" s="117"/>
      <c r="AH60" s="116"/>
      <c r="AI60" s="118"/>
      <c r="AJ60" s="117"/>
      <c r="AK60" s="116"/>
      <c r="AL60" s="118"/>
      <c r="AM60" s="117"/>
      <c r="AN60" s="116"/>
    </row>
    <row r="61" spans="2:40" ht="18" customHeight="1">
      <c r="B61" s="146" t="str">
        <f>'Carteiras Brasil'!B61</f>
        <v>Fed Funds</v>
      </c>
      <c r="C61" s="320">
        <f>'Carteiras Brasil'!C61</f>
        <v>4.2500000000000003E-2</v>
      </c>
      <c r="D61" s="320">
        <f>'Carteiras Brasil'!D61</f>
        <v>0.04</v>
      </c>
      <c r="E61" s="320">
        <f>'Carteiras Brasil'!E61</f>
        <v>3.5000000000000003E-2</v>
      </c>
    </row>
    <row r="62" spans="2:40" ht="18" customHeight="1">
      <c r="B62" s="146" t="str">
        <f>'Carteiras Brasil'!B62</f>
        <v>Average FED Funds</v>
      </c>
      <c r="C62" s="320">
        <f>'Carteiras Brasil'!C62</f>
        <v>4.3499999999999997E-2</v>
      </c>
      <c r="D62" s="320">
        <f>'Carteiras Brasil'!D62</f>
        <v>4.2500000000000003E-2</v>
      </c>
      <c r="E62" s="320">
        <f>'Carteiras Brasil'!E62</f>
        <v>0.04</v>
      </c>
    </row>
    <row r="63" spans="2:40" ht="18" customHeight="1">
      <c r="B63" s="146" t="str">
        <f>'Carteiras Brasil'!B63</f>
        <v>US Treasury 2Y</v>
      </c>
      <c r="C63" s="320">
        <f>'Carteiras Brasil'!C63</f>
        <v>0.04</v>
      </c>
      <c r="D63" s="320">
        <f>'Carteiras Brasil'!D63</f>
        <v>3.8100000000000002E-2</v>
      </c>
      <c r="E63" s="320">
        <f>'Carteiras Brasil'!E63</f>
        <v>3.6999999999999998E-2</v>
      </c>
    </row>
    <row r="64" spans="2:40" ht="18" customHeight="1">
      <c r="B64" s="146" t="str">
        <f>'Carteiras Brasil'!B64</f>
        <v>US Treasury 5Y</v>
      </c>
      <c r="C64" s="320">
        <f>'Carteiras Brasil'!C64</f>
        <v>3.9E-2</v>
      </c>
      <c r="D64" s="320">
        <f>'Carteiras Brasil'!D64</f>
        <v>3.8600000000000002E-2</v>
      </c>
      <c r="E64" s="320">
        <f>'Carteiras Brasil'!E64</f>
        <v>3.5000000000000003E-2</v>
      </c>
    </row>
    <row r="65" spans="2:5" ht="18" customHeight="1">
      <c r="B65" s="146" t="str">
        <f>'Carteiras Brasil'!B65</f>
        <v>US Treasury 10Y</v>
      </c>
      <c r="C65" s="320">
        <f>'Carteiras Brasil'!C65</f>
        <v>4.4999999999999998E-2</v>
      </c>
      <c r="D65" s="320">
        <f>'Carteiras Brasil'!D65</f>
        <v>4.2900000000000001E-2</v>
      </c>
      <c r="E65" s="320">
        <f>'Carteiras Brasil'!E65</f>
        <v>0.04</v>
      </c>
    </row>
    <row r="66" spans="2:5" ht="18" customHeight="1">
      <c r="B66" s="146" t="str">
        <f>'Carteiras Brasil'!B66</f>
        <v>CPI</v>
      </c>
      <c r="C66" s="320">
        <f>'Carteiras Brasil'!C66</f>
        <v>0.03</v>
      </c>
      <c r="D66" s="320">
        <f>'Carteiras Brasil'!D66</f>
        <v>2.75E-2</v>
      </c>
      <c r="E66" s="320">
        <f>'Carteiras Brasil'!E66</f>
        <v>2.5000000000000001E-2</v>
      </c>
    </row>
    <row r="67" spans="2:5" ht="18" customHeight="1">
      <c r="B67" s="146" t="str">
        <f>'Carteiras Brasil'!B67</f>
        <v>TIPS</v>
      </c>
      <c r="C67" s="320">
        <f>'Carteiras Brasil'!C67</f>
        <v>1.2500000000000001E-2</v>
      </c>
      <c r="D67" s="320">
        <f>'Carteiras Brasil'!D67</f>
        <v>1.4500000000000001E-2</v>
      </c>
      <c r="E67" s="320">
        <f>'Carteiras Brasil'!E67</f>
        <v>1.6500000000000001E-2</v>
      </c>
    </row>
    <row r="68" spans="2:5" ht="18" customHeight="1">
      <c r="B68" s="146" t="str">
        <f>'Carteiras Brasil'!B68</f>
        <v>Premium Investment Grade</v>
      </c>
      <c r="C68" s="320">
        <f>'Carteiras Brasil'!C68</f>
        <v>1.4999999999999999E-2</v>
      </c>
      <c r="D68" s="320">
        <f>'Carteiras Brasil'!D68</f>
        <v>0.01</v>
      </c>
      <c r="E68" s="320">
        <f>'Carteiras Brasil'!E68</f>
        <v>5.0000000000000001E-3</v>
      </c>
    </row>
    <row r="69" spans="2:5" ht="18" customHeight="1">
      <c r="B69" s="146" t="str">
        <f>'Carteiras Brasil'!B69</f>
        <v>Premium High Yield / EM</v>
      </c>
      <c r="C69" s="320">
        <f>'Carteiras Brasil'!C69</f>
        <v>0.03</v>
      </c>
      <c r="D69" s="320">
        <f>'Carteiras Brasil'!D69</f>
        <v>0.02</v>
      </c>
      <c r="E69" s="320">
        <f>'Carteiras Brasil'!E69</f>
        <v>0.01</v>
      </c>
    </row>
    <row r="70" spans="2:5" ht="18" customHeight="1">
      <c r="B70" s="144" t="str">
        <f>'Carteiras Brasil'!B70</f>
        <v>Alpha Hedge Funds</v>
      </c>
      <c r="C70" s="319">
        <f>'Carteiras Brasil'!C70</f>
        <v>-0.05</v>
      </c>
      <c r="D70" s="319">
        <f>'Carteiras Brasil'!D70</f>
        <v>0.15</v>
      </c>
      <c r="E70" s="319">
        <f>'Carteiras Brasil'!E70</f>
        <v>0.2</v>
      </c>
    </row>
    <row r="71" spans="2:5" ht="18" customHeight="1">
      <c r="B71" s="135" t="str">
        <f>'Carteiras Brasil'!B71</f>
        <v>S&amp;P500</v>
      </c>
      <c r="C71" s="318">
        <f>'Carteiras Brasil'!C71</f>
        <v>5800</v>
      </c>
      <c r="D71" s="318">
        <f>'Carteiras Brasil'!D71</f>
        <v>6500</v>
      </c>
      <c r="E71" s="318">
        <f>'Carteiras Brasil'!E71</f>
        <v>7000</v>
      </c>
    </row>
    <row r="72" spans="2:5" ht="18" customHeight="1">
      <c r="B72" s="141" t="str">
        <f>'Carteiras Brasil'!B72</f>
        <v>% Change</v>
      </c>
      <c r="C72" s="317">
        <f>'Carteiras Brasil'!C72</f>
        <v>-4.9024430234464678E-2</v>
      </c>
      <c r="D72" s="317">
        <f>'Carteiras Brasil'!D72</f>
        <v>6.5748483357927601E-2</v>
      </c>
      <c r="E72" s="317">
        <f>'Carteiras Brasil'!E72</f>
        <v>0.14772913592392189</v>
      </c>
    </row>
    <row r="73" spans="2:5" ht="18" customHeight="1">
      <c r="B73" s="135" t="str">
        <f>'Carteiras Brasil'!B73</f>
        <v>Nasdaq 100</v>
      </c>
      <c r="C73" s="318">
        <f>'Carteiras Brasil'!C73</f>
        <v>20000</v>
      </c>
      <c r="D73" s="318">
        <f>'Carteiras Brasil'!D73</f>
        <v>22000</v>
      </c>
      <c r="E73" s="318">
        <f>'Carteiras Brasil'!E73</f>
        <v>23000</v>
      </c>
    </row>
    <row r="74" spans="2:5" ht="18" customHeight="1">
      <c r="B74" s="141" t="str">
        <f>'Carteiras Brasil'!B74</f>
        <v>% Change</v>
      </c>
      <c r="C74" s="317">
        <f>'Carteiras Brasil'!C74</f>
        <v>3.195679838124299E-3</v>
      </c>
      <c r="D74" s="317">
        <f>'Carteiras Brasil'!D74</f>
        <v>0.10351524782193677</v>
      </c>
      <c r="E74" s="317">
        <f>'Carteiras Brasil'!E74</f>
        <v>0.1536750318138429</v>
      </c>
    </row>
    <row r="75" spans="2:5" ht="18" customHeight="1">
      <c r="B75" s="135" t="str">
        <f>'Carteiras Brasil'!B75</f>
        <v>Russell 2000</v>
      </c>
      <c r="C75" s="318">
        <f>'Carteiras Brasil'!C75</f>
        <v>2300</v>
      </c>
      <c r="D75" s="318">
        <f>'Carteiras Brasil'!D75</f>
        <v>2400</v>
      </c>
      <c r="E75" s="318">
        <f>'Carteiras Brasil'!E75</f>
        <v>2500</v>
      </c>
    </row>
    <row r="76" spans="2:5" ht="18" customHeight="1">
      <c r="B76" s="141" t="str">
        <f>'Carteiras Brasil'!B76</f>
        <v>% Change</v>
      </c>
      <c r="C76" s="317">
        <f>'Carteiras Brasil'!C76</f>
        <v>6.3436286295542654E-2</v>
      </c>
      <c r="D76" s="317">
        <f>'Carteiras Brasil'!D76</f>
        <v>0.1096726465692619</v>
      </c>
      <c r="E76" s="317">
        <f>'Carteiras Brasil'!E76</f>
        <v>0.15590900684298115</v>
      </c>
    </row>
    <row r="77" spans="2:5" ht="18" customHeight="1">
      <c r="B77" s="139" t="str">
        <f>'Carteiras Brasil'!B77</f>
        <v>Alternative Investments</v>
      </c>
      <c r="C77" s="316">
        <f>'Carteiras Brasil'!C77</f>
        <v>-0.15</v>
      </c>
      <c r="D77" s="316">
        <f>'Carteiras Brasil'!D77</f>
        <v>0.15</v>
      </c>
      <c r="E77" s="316">
        <f>'Carteiras Brasil'!E77</f>
        <v>0.2</v>
      </c>
    </row>
    <row r="78" spans="2:5" ht="18" customHeight="1"/>
    <row r="79" spans="2:5" ht="18" customHeight="1"/>
    <row r="80" spans="2: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mergeCells count="12">
    <mergeCell ref="AF31:AH31"/>
    <mergeCell ref="AI31:AK31"/>
    <mergeCell ref="AL31:AN31"/>
    <mergeCell ref="W6:Y6"/>
    <mergeCell ref="Z6:AB6"/>
    <mergeCell ref="AC6:AE6"/>
    <mergeCell ref="AF6:AH6"/>
    <mergeCell ref="AI6:AK6"/>
    <mergeCell ref="AL6:AN6"/>
    <mergeCell ref="W31:Y31"/>
    <mergeCell ref="Z31:AB31"/>
    <mergeCell ref="AC31:AE31"/>
  </mergeCells>
  <conditionalFormatting sqref="R9:V10">
    <cfRule type="expression" dxfId="6" priority="4">
      <formula>R9=""</formula>
    </cfRule>
  </conditionalFormatting>
  <conditionalFormatting sqref="R14:V14">
    <cfRule type="expression" dxfId="5" priority="3">
      <formula>R14=""</formula>
    </cfRule>
  </conditionalFormatting>
  <conditionalFormatting sqref="R18:V18">
    <cfRule type="expression" dxfId="4" priority="2">
      <formula>R18=""</formula>
    </cfRule>
  </conditionalFormatting>
  <conditionalFormatting sqref="R22:V26">
    <cfRule type="expression" dxfId="3" priority="1">
      <formula>R22=""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A399-621C-46F6-9290-DD8C35A28EDA}">
  <dimension ref="A1:F22"/>
  <sheetViews>
    <sheetView showGridLines="0" workbookViewId="0">
      <selection activeCell="F4" sqref="F4"/>
    </sheetView>
  </sheetViews>
  <sheetFormatPr defaultRowHeight="14.4"/>
  <cols>
    <col min="1" max="1" width="45.77734375" bestFit="1" customWidth="1"/>
    <col min="2" max="2" width="32.109375" bestFit="1" customWidth="1"/>
    <col min="3" max="3" width="28.21875" bestFit="1" customWidth="1"/>
    <col min="4" max="4" width="18.5546875" bestFit="1" customWidth="1"/>
    <col min="6" max="6" width="22.77734375" bestFit="1" customWidth="1"/>
  </cols>
  <sheetData>
    <row r="1" spans="1:6" ht="16.8">
      <c r="A1" s="70" t="s">
        <v>1055</v>
      </c>
      <c r="B1" s="70" t="s">
        <v>1339</v>
      </c>
      <c r="C1" s="70" t="s">
        <v>1340</v>
      </c>
      <c r="D1" s="70" t="s">
        <v>1341</v>
      </c>
      <c r="E1" s="70"/>
      <c r="F1" s="70" t="s">
        <v>1046</v>
      </c>
    </row>
    <row r="2" spans="1:6" ht="16.8">
      <c r="A2" s="70" t="s">
        <v>1056</v>
      </c>
      <c r="B2" s="374">
        <f>'PL SWM ONSHORE'!N2</f>
        <v>1550894.1169109887</v>
      </c>
      <c r="C2" s="71">
        <v>3.0000000000000001E-3</v>
      </c>
      <c r="D2" s="375">
        <f>(B2/$B$5)*C2</f>
        <v>1.5866736121372053E-3</v>
      </c>
      <c r="E2" s="69"/>
      <c r="F2" s="374">
        <f>'PL SWM ONSHORE'!J2</f>
        <v>505980195.22559559</v>
      </c>
    </row>
    <row r="3" spans="1:6" ht="16.8">
      <c r="A3" s="70" t="s">
        <v>1057</v>
      </c>
      <c r="B3" s="374">
        <f>SUM(Veiculos!R2:R13)</f>
        <v>1381455.8731199999</v>
      </c>
      <c r="C3" s="71">
        <v>2.0999999999999999E-3</v>
      </c>
      <c r="D3" s="375">
        <f>(B3/$B$5)*C3</f>
        <v>9.8932847150395636E-4</v>
      </c>
      <c r="E3" s="69"/>
      <c r="F3" s="374">
        <f>SUM(Veiculos!E2:E13)</f>
        <v>646025017</v>
      </c>
    </row>
    <row r="4" spans="1:6" ht="16.8">
      <c r="A4" s="69"/>
      <c r="B4" s="69"/>
      <c r="C4" s="69"/>
      <c r="D4" s="69"/>
      <c r="E4" s="69"/>
      <c r="F4" s="69"/>
    </row>
    <row r="5" spans="1:6" ht="16.8">
      <c r="A5" s="376" t="s">
        <v>1342</v>
      </c>
      <c r="B5" s="377">
        <f>SUM(B2:B3)</f>
        <v>2932349.9900309886</v>
      </c>
      <c r="C5" s="378"/>
      <c r="D5" s="379">
        <f>SUM(D2:D3)</f>
        <v>2.5760020836411617E-3</v>
      </c>
      <c r="E5" s="379"/>
      <c r="F5" s="380">
        <f>SUM(F2:F3)+B22</f>
        <v>1283210376.7655954</v>
      </c>
    </row>
    <row r="6" spans="1:6" ht="16.8">
      <c r="A6" s="69"/>
      <c r="B6" s="69"/>
      <c r="C6" s="69"/>
      <c r="D6" s="69"/>
      <c r="E6" s="69"/>
      <c r="F6" s="69"/>
    </row>
    <row r="7" spans="1:6" ht="16.8">
      <c r="A7" s="69"/>
      <c r="B7" s="69"/>
      <c r="C7" s="69"/>
      <c r="D7" s="69"/>
      <c r="E7" s="69"/>
      <c r="F7" s="69"/>
    </row>
    <row r="8" spans="1:6" ht="16.8">
      <c r="A8" s="70" t="s">
        <v>1316</v>
      </c>
      <c r="B8" s="381">
        <f>'pl swm offs'!N2</f>
        <v>148670.437785405</v>
      </c>
      <c r="C8" s="71">
        <f>'pl swm offs'!O2</f>
        <v>4.0706230090441897E-3</v>
      </c>
      <c r="D8" s="69"/>
      <c r="E8" s="69"/>
      <c r="F8" s="381">
        <f>'pl swm offs'!J2</f>
        <v>36522772.424537003</v>
      </c>
    </row>
    <row r="9" spans="1:6" ht="16.8">
      <c r="A9" s="70" t="s">
        <v>1317</v>
      </c>
      <c r="B9" s="382">
        <v>5.5763999999999996</v>
      </c>
      <c r="C9" s="69"/>
      <c r="D9" s="69"/>
      <c r="E9" s="69"/>
      <c r="F9" s="69"/>
    </row>
    <row r="10" spans="1:6" ht="16.8">
      <c r="A10" s="376" t="s">
        <v>1343</v>
      </c>
      <c r="B10" s="383">
        <f>B8*B9</f>
        <v>829045.82926653232</v>
      </c>
      <c r="C10" s="379">
        <f>C8</f>
        <v>4.0706230090441897E-3</v>
      </c>
      <c r="D10" s="378"/>
      <c r="E10" s="378"/>
      <c r="F10" s="380">
        <f>F8*B9</f>
        <v>203665588.14818811</v>
      </c>
    </row>
    <row r="11" spans="1:6" ht="16.8">
      <c r="A11" s="69"/>
      <c r="B11" s="69"/>
      <c r="C11" s="69"/>
      <c r="D11" s="69"/>
      <c r="E11" s="69"/>
      <c r="F11" s="69"/>
    </row>
    <row r="12" spans="1:6" ht="16.8">
      <c r="A12" s="69"/>
      <c r="B12" s="69"/>
      <c r="C12" s="69"/>
      <c r="D12" s="69"/>
      <c r="E12" s="69"/>
      <c r="F12" s="69"/>
    </row>
    <row r="13" spans="1:6" ht="16.8">
      <c r="A13" s="376" t="s">
        <v>1213</v>
      </c>
      <c r="B13" s="377">
        <f>B5+B10</f>
        <v>3761395.8192975209</v>
      </c>
      <c r="C13" s="378"/>
      <c r="D13" s="378"/>
      <c r="E13" s="378"/>
      <c r="F13" s="377">
        <f>F5+F10</f>
        <v>1486875964.9137836</v>
      </c>
    </row>
    <row r="14" spans="1:6" ht="16.8">
      <c r="F14" s="374">
        <f>F13+B22</f>
        <v>1618081129.4537835</v>
      </c>
    </row>
    <row r="15" spans="1:6" ht="16.8">
      <c r="B15" s="374">
        <f>B13*0.85</f>
        <v>3197186.4464028925</v>
      </c>
    </row>
    <row r="16" spans="1:6" ht="16.8">
      <c r="A16" s="68" t="s">
        <v>1346</v>
      </c>
      <c r="B16" s="374">
        <f>B15/12</f>
        <v>266432.20386690769</v>
      </c>
    </row>
    <row r="17" spans="1:2" ht="16.8">
      <c r="A17" s="68" t="s">
        <v>1344</v>
      </c>
      <c r="B17" s="374">
        <v>50000</v>
      </c>
    </row>
    <row r="18" spans="1:2" ht="16.8">
      <c r="A18" s="68" t="s">
        <v>1345</v>
      </c>
      <c r="B18" s="374">
        <f>B16-B17</f>
        <v>216432.20386690769</v>
      </c>
    </row>
    <row r="22" spans="1:2" ht="16.8">
      <c r="A22" s="69" t="s">
        <v>1350</v>
      </c>
      <c r="B22" s="72">
        <v>131205164.54000001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4D5E-271B-463C-BD6E-C30D58A96DBA}">
  <dimension ref="A1:R14"/>
  <sheetViews>
    <sheetView showGridLines="0" tabSelected="1" topLeftCell="E1" workbookViewId="0">
      <selection activeCell="Q10" sqref="Q10"/>
    </sheetView>
  </sheetViews>
  <sheetFormatPr defaultRowHeight="14.4"/>
  <cols>
    <col min="1" max="1" width="49.88671875" customWidth="1"/>
    <col min="2" max="2" width="28.21875" customWidth="1"/>
    <col min="3" max="4" width="20.5546875" customWidth="1"/>
    <col min="5" max="6" width="25.109375" customWidth="1"/>
    <col min="7" max="7" width="21.109375" bestFit="1" customWidth="1"/>
    <col min="10" max="13" width="16.109375" customWidth="1"/>
    <col min="15" max="15" width="14.5546875" customWidth="1"/>
    <col min="16" max="16" width="19.109375" customWidth="1"/>
    <col min="17" max="17" width="15.5546875" bestFit="1" customWidth="1"/>
    <col min="18" max="18" width="17.33203125" bestFit="1" customWidth="1"/>
  </cols>
  <sheetData>
    <row r="1" spans="1:18" ht="28.8">
      <c r="A1" s="94" t="s">
        <v>1017</v>
      </c>
      <c r="B1" s="94" t="s">
        <v>1018</v>
      </c>
      <c r="C1" s="94" t="s">
        <v>1019</v>
      </c>
      <c r="D1" s="94" t="s">
        <v>1049</v>
      </c>
      <c r="E1" s="94" t="s">
        <v>1020</v>
      </c>
      <c r="F1" s="94" t="s">
        <v>1047</v>
      </c>
      <c r="G1" s="94" t="s">
        <v>1021</v>
      </c>
      <c r="H1" s="94" t="s">
        <v>1037</v>
      </c>
      <c r="I1" s="94" t="s">
        <v>709</v>
      </c>
      <c r="J1" s="94" t="s">
        <v>1048</v>
      </c>
      <c r="K1" s="94" t="s">
        <v>1051</v>
      </c>
      <c r="L1" s="94" t="s">
        <v>1052</v>
      </c>
      <c r="M1" s="94" t="s">
        <v>709</v>
      </c>
      <c r="N1" s="94" t="s">
        <v>1042</v>
      </c>
      <c r="O1" s="94" t="s">
        <v>1043</v>
      </c>
      <c r="P1" s="94" t="s">
        <v>1038</v>
      </c>
      <c r="Q1" s="94" t="s">
        <v>1054</v>
      </c>
      <c r="R1" s="94" t="s">
        <v>1053</v>
      </c>
    </row>
    <row r="2" spans="1:18">
      <c r="A2" s="95" t="s">
        <v>1022</v>
      </c>
      <c r="B2" s="96" t="s">
        <v>1023</v>
      </c>
      <c r="C2" s="97">
        <v>36712</v>
      </c>
      <c r="D2" s="97" t="s">
        <v>758</v>
      </c>
      <c r="E2" s="98">
        <v>82851765</v>
      </c>
      <c r="F2" s="99">
        <v>0.12824853963821031</v>
      </c>
      <c r="G2" s="96">
        <v>2</v>
      </c>
      <c r="H2" s="100">
        <v>4.1999999999999997E-3</v>
      </c>
      <c r="I2" s="100">
        <v>5.3864386648048328E-4</v>
      </c>
      <c r="J2" s="100">
        <v>8.0000000000000004E-4</v>
      </c>
      <c r="K2" s="100">
        <v>0.5</v>
      </c>
      <c r="L2" s="100">
        <v>1.6999999999999999E-3</v>
      </c>
      <c r="M2" s="100">
        <v>2.1802251738495753E-4</v>
      </c>
      <c r="N2" s="100"/>
      <c r="O2" s="100" t="s">
        <v>1044</v>
      </c>
      <c r="P2" s="101" t="s">
        <v>1039</v>
      </c>
      <c r="Q2" s="98">
        <v>347977.413</v>
      </c>
      <c r="R2" s="98">
        <v>140848.00049999999</v>
      </c>
    </row>
    <row r="3" spans="1:18">
      <c r="A3" s="95" t="s">
        <v>1024</v>
      </c>
      <c r="B3" s="96" t="s">
        <v>1023</v>
      </c>
      <c r="C3" s="97">
        <v>45414</v>
      </c>
      <c r="D3" s="97" t="s">
        <v>758</v>
      </c>
      <c r="E3" s="98">
        <v>12745572</v>
      </c>
      <c r="F3" s="99">
        <v>1.972922358206447E-2</v>
      </c>
      <c r="G3" s="96">
        <v>2</v>
      </c>
      <c r="H3" s="100">
        <v>4.0000000000000001E-3</v>
      </c>
      <c r="I3" s="100">
        <v>7.8916894328257881E-5</v>
      </c>
      <c r="J3" s="100">
        <v>8.0000000000000004E-4</v>
      </c>
      <c r="K3" s="100">
        <v>0.5</v>
      </c>
      <c r="L3" s="100">
        <v>1.6000000000000001E-3</v>
      </c>
      <c r="M3" s="100">
        <v>3.1566757731303154E-5</v>
      </c>
      <c r="N3" s="100"/>
      <c r="O3" s="100" t="s">
        <v>1044</v>
      </c>
      <c r="P3" s="101" t="s">
        <v>1039</v>
      </c>
      <c r="Q3" s="98">
        <v>50982.288</v>
      </c>
      <c r="R3" s="98">
        <v>20392.915199999999</v>
      </c>
    </row>
    <row r="4" spans="1:18" ht="34.200000000000003" customHeight="1">
      <c r="A4" s="95" t="s">
        <v>1025</v>
      </c>
      <c r="B4" s="96" t="s">
        <v>1023</v>
      </c>
      <c r="C4" s="97">
        <v>45565</v>
      </c>
      <c r="D4" s="97" t="s">
        <v>758</v>
      </c>
      <c r="E4" s="98">
        <v>20324808</v>
      </c>
      <c r="F4" s="99">
        <v>3.1461332711825926E-2</v>
      </c>
      <c r="G4" s="96">
        <v>1</v>
      </c>
      <c r="H4" s="100">
        <v>4.0000000000000001E-3</v>
      </c>
      <c r="I4" s="100">
        <v>1.2584533084730371E-4</v>
      </c>
      <c r="J4" s="100">
        <v>8.0000000000000004E-4</v>
      </c>
      <c r="K4" s="100">
        <v>0.5</v>
      </c>
      <c r="L4" s="100">
        <v>1.6000000000000001E-3</v>
      </c>
      <c r="M4" s="100">
        <v>5.0338132338921483E-5</v>
      </c>
      <c r="N4" s="100"/>
      <c r="O4" s="100" t="s">
        <v>1044</v>
      </c>
      <c r="P4" s="101" t="s">
        <v>1041</v>
      </c>
      <c r="Q4" s="98">
        <v>81299.232000000004</v>
      </c>
      <c r="R4" s="98">
        <v>32519.692800000001</v>
      </c>
    </row>
    <row r="5" spans="1:18">
      <c r="A5" s="95" t="s">
        <v>1026</v>
      </c>
      <c r="B5" s="96" t="s">
        <v>1023</v>
      </c>
      <c r="C5" s="97">
        <v>44301</v>
      </c>
      <c r="D5" s="97" t="s">
        <v>758</v>
      </c>
      <c r="E5" s="98">
        <v>10123692</v>
      </c>
      <c r="F5" s="99">
        <v>1.5670742979911566E-2</v>
      </c>
      <c r="G5" s="96">
        <v>5</v>
      </c>
      <c r="H5" s="100">
        <v>6.4999999999999997E-3</v>
      </c>
      <c r="I5" s="100">
        <v>1.0185982936942518E-4</v>
      </c>
      <c r="J5" s="100">
        <v>8.0000000000000004E-4</v>
      </c>
      <c r="K5" s="100">
        <v>0.5</v>
      </c>
      <c r="L5" s="100">
        <v>2.8499999999999997E-3</v>
      </c>
      <c r="M5" s="100">
        <v>4.4661617492747959E-5</v>
      </c>
      <c r="N5" s="100"/>
      <c r="O5" s="100" t="s">
        <v>1044</v>
      </c>
      <c r="P5" s="101" t="s">
        <v>1039</v>
      </c>
      <c r="Q5" s="98">
        <v>65803.997999999992</v>
      </c>
      <c r="R5" s="98">
        <v>28852.522199999996</v>
      </c>
    </row>
    <row r="6" spans="1:18">
      <c r="A6" s="95" t="s">
        <v>1027</v>
      </c>
      <c r="B6" s="96" t="s">
        <v>1023</v>
      </c>
      <c r="C6" s="97">
        <v>44425</v>
      </c>
      <c r="D6" s="97" t="s">
        <v>758</v>
      </c>
      <c r="E6" s="98">
        <v>54028414</v>
      </c>
      <c r="F6" s="99">
        <v>8.363207705313988E-2</v>
      </c>
      <c r="G6" s="96">
        <v>1</v>
      </c>
      <c r="H6" s="100">
        <v>3.5999999999999999E-3</v>
      </c>
      <c r="I6" s="100">
        <v>3.0107547739130356E-4</v>
      </c>
      <c r="J6" s="100">
        <v>8.0000000000000004E-4</v>
      </c>
      <c r="K6" s="100">
        <v>0.5</v>
      </c>
      <c r="L6" s="100">
        <v>1.4E-3</v>
      </c>
      <c r="M6" s="100">
        <v>1.1708490787439583E-4</v>
      </c>
      <c r="N6" s="100"/>
      <c r="O6" s="100" t="s">
        <v>1044</v>
      </c>
      <c r="P6" s="101" t="s">
        <v>1039</v>
      </c>
      <c r="Q6" s="98">
        <v>194502.2904</v>
      </c>
      <c r="R6" s="98">
        <v>75639.779599999994</v>
      </c>
    </row>
    <row r="7" spans="1:18" ht="28.8">
      <c r="A7" s="95" t="s">
        <v>1028</v>
      </c>
      <c r="B7" s="96" t="s">
        <v>1023</v>
      </c>
      <c r="C7" s="97">
        <v>45567</v>
      </c>
      <c r="D7" s="97" t="s">
        <v>758</v>
      </c>
      <c r="E7" s="98">
        <v>13431050</v>
      </c>
      <c r="F7" s="99">
        <v>2.0790293946155339E-2</v>
      </c>
      <c r="G7" s="96">
        <v>5</v>
      </c>
      <c r="H7" s="100">
        <v>3.0000000000000001E-3</v>
      </c>
      <c r="I7" s="100">
        <v>6.237088183846602E-5</v>
      </c>
      <c r="J7" s="100">
        <v>8.0000000000000004E-4</v>
      </c>
      <c r="K7" s="100">
        <v>0.5</v>
      </c>
      <c r="L7" s="100">
        <v>1.1000000000000001E-3</v>
      </c>
      <c r="M7" s="100">
        <v>2.2869323340770876E-5</v>
      </c>
      <c r="N7" s="101"/>
      <c r="O7" s="100" t="s">
        <v>1044</v>
      </c>
      <c r="P7" s="101" t="s">
        <v>1041</v>
      </c>
      <c r="Q7" s="98">
        <v>40293.15</v>
      </c>
      <c r="R7" s="98">
        <v>14774.155000000001</v>
      </c>
    </row>
    <row r="8" spans="1:18" ht="28.8">
      <c r="A8" s="95" t="s">
        <v>1029</v>
      </c>
      <c r="B8" s="96" t="s">
        <v>1023</v>
      </c>
      <c r="C8" s="97">
        <v>45579</v>
      </c>
      <c r="D8" s="97" t="s">
        <v>758</v>
      </c>
      <c r="E8" s="98">
        <v>213509829</v>
      </c>
      <c r="F8" s="99">
        <v>0.33049777234865196</v>
      </c>
      <c r="G8" s="96">
        <v>3</v>
      </c>
      <c r="H8" s="100">
        <v>1E-3</v>
      </c>
      <c r="I8" s="100">
        <v>3.3049777234865196E-4</v>
      </c>
      <c r="J8" s="100">
        <v>8.0000000000000004E-4</v>
      </c>
      <c r="K8" s="100">
        <v>0.5</v>
      </c>
      <c r="L8" s="100">
        <v>9.9999999999999991E-5</v>
      </c>
      <c r="M8" s="100">
        <v>3.3049777234865194E-5</v>
      </c>
      <c r="N8" s="101"/>
      <c r="O8" s="100" t="s">
        <v>1044</v>
      </c>
      <c r="P8" s="101" t="s">
        <v>1041</v>
      </c>
      <c r="Q8" s="98">
        <v>213509.829</v>
      </c>
      <c r="R8" s="98">
        <v>21350.982899999999</v>
      </c>
    </row>
    <row r="9" spans="1:18">
      <c r="A9" s="95" t="s">
        <v>1030</v>
      </c>
      <c r="B9" s="96" t="s">
        <v>1023</v>
      </c>
      <c r="C9" s="97">
        <v>45755</v>
      </c>
      <c r="D9" s="97" t="s">
        <v>758</v>
      </c>
      <c r="E9" s="98">
        <v>9146024</v>
      </c>
      <c r="F9" s="99">
        <v>1.4157383629618788E-2</v>
      </c>
      <c r="G9" s="96">
        <v>35</v>
      </c>
      <c r="H9" s="100">
        <v>8.6999999999999994E-3</v>
      </c>
      <c r="I9" s="100">
        <v>1.2316923757768345E-4</v>
      </c>
      <c r="J9" s="100">
        <v>8.0000000000000004E-4</v>
      </c>
      <c r="K9" s="100">
        <v>0.4</v>
      </c>
      <c r="L9" s="100">
        <v>4.7399999999999994E-3</v>
      </c>
      <c r="M9" s="100">
        <v>6.7105998404393043E-5</v>
      </c>
      <c r="N9" s="100">
        <v>0.4</v>
      </c>
      <c r="O9" s="100" t="s">
        <v>1044</v>
      </c>
      <c r="P9" s="101" t="s">
        <v>1040</v>
      </c>
      <c r="Q9" s="98">
        <v>79570.408800000005</v>
      </c>
      <c r="R9" s="98">
        <v>43352.153759999994</v>
      </c>
    </row>
    <row r="10" spans="1:18" ht="28.8">
      <c r="A10" s="95" t="s">
        <v>1031</v>
      </c>
      <c r="B10" s="96" t="s">
        <v>1032</v>
      </c>
      <c r="C10" s="97">
        <v>45789</v>
      </c>
      <c r="D10" s="97" t="s">
        <v>1050</v>
      </c>
      <c r="E10" s="98">
        <v>30000000</v>
      </c>
      <c r="F10" s="99">
        <v>4.6437830131274935E-2</v>
      </c>
      <c r="G10" s="96" t="s">
        <v>1033</v>
      </c>
      <c r="H10" s="100">
        <v>0.01</v>
      </c>
      <c r="I10" s="100">
        <v>4.6437830131274937E-4</v>
      </c>
      <c r="J10" s="100">
        <v>1.4E-3</v>
      </c>
      <c r="K10" s="100">
        <v>0.4</v>
      </c>
      <c r="L10" s="100">
        <v>5.1599999999999997E-3</v>
      </c>
      <c r="M10" s="100">
        <v>2.3961920347737863E-4</v>
      </c>
      <c r="N10" s="101"/>
      <c r="O10" s="100" t="s">
        <v>1044</v>
      </c>
      <c r="P10" s="96" t="s">
        <v>1039</v>
      </c>
      <c r="Q10" s="98">
        <v>300000</v>
      </c>
      <c r="R10" s="98">
        <v>154800</v>
      </c>
    </row>
    <row r="11" spans="1:18" ht="28.8">
      <c r="A11" s="95" t="s">
        <v>1034</v>
      </c>
      <c r="B11" s="96" t="s">
        <v>1023</v>
      </c>
      <c r="C11" s="97">
        <v>45460</v>
      </c>
      <c r="D11" s="97" t="s">
        <v>758</v>
      </c>
      <c r="E11" s="98">
        <v>36907735</v>
      </c>
      <c r="F11" s="99">
        <v>5.7130504282003683E-2</v>
      </c>
      <c r="G11" s="96">
        <v>201</v>
      </c>
      <c r="H11" s="100">
        <v>9.7000000000000003E-3</v>
      </c>
      <c r="I11" s="100">
        <v>5.5416589153543577E-4</v>
      </c>
      <c r="J11" s="100">
        <v>8.0000000000000004E-4</v>
      </c>
      <c r="K11" s="100">
        <v>0.4</v>
      </c>
      <c r="L11" s="100">
        <v>5.3400000000000001E-3</v>
      </c>
      <c r="M11" s="100">
        <v>3.050768928658997E-4</v>
      </c>
      <c r="N11" s="101"/>
      <c r="O11" s="100" t="s">
        <v>1045</v>
      </c>
      <c r="P11" s="101" t="s">
        <v>1041</v>
      </c>
      <c r="Q11" s="98">
        <v>358005.0295</v>
      </c>
      <c r="R11" s="98">
        <v>197087.30490000002</v>
      </c>
    </row>
    <row r="12" spans="1:18">
      <c r="A12" s="95" t="s">
        <v>1035</v>
      </c>
      <c r="B12" s="96" t="s">
        <v>1023</v>
      </c>
      <c r="C12" s="97">
        <v>45474</v>
      </c>
      <c r="D12" s="97" t="s">
        <v>758</v>
      </c>
      <c r="E12" s="98">
        <v>14352695</v>
      </c>
      <c r="F12" s="99">
        <v>2.2216933744533301E-2</v>
      </c>
      <c r="G12" s="96">
        <v>86</v>
      </c>
      <c r="H12" s="100">
        <v>1.23E-2</v>
      </c>
      <c r="I12" s="100">
        <v>2.7326828505775958E-4</v>
      </c>
      <c r="J12" s="100">
        <v>8.0000000000000004E-4</v>
      </c>
      <c r="K12" s="100">
        <v>0.4</v>
      </c>
      <c r="L12" s="100">
        <v>6.8999999999999999E-3</v>
      </c>
      <c r="M12" s="100">
        <v>1.5329684283727976E-4</v>
      </c>
      <c r="N12" s="101"/>
      <c r="O12" s="100" t="s">
        <v>1044</v>
      </c>
      <c r="P12" s="101" t="s">
        <v>1039</v>
      </c>
      <c r="Q12" s="98">
        <v>176538.14850000001</v>
      </c>
      <c r="R12" s="98">
        <v>99033.595499999996</v>
      </c>
    </row>
    <row r="13" spans="1:18">
      <c r="A13" s="95" t="s">
        <v>1036</v>
      </c>
      <c r="B13" s="96" t="s">
        <v>1023</v>
      </c>
      <c r="C13" s="97">
        <v>44980</v>
      </c>
      <c r="D13" s="97" t="s">
        <v>758</v>
      </c>
      <c r="E13" s="98">
        <v>148603433</v>
      </c>
      <c r="F13" s="99">
        <v>0.23002736595260986</v>
      </c>
      <c r="G13" s="96">
        <v>624</v>
      </c>
      <c r="H13" s="100">
        <v>7.0000000000000001E-3</v>
      </c>
      <c r="I13" s="100">
        <v>1.6101915616682692E-3</v>
      </c>
      <c r="J13" s="100">
        <v>8.0000000000000004E-4</v>
      </c>
      <c r="K13" s="100">
        <v>0.4</v>
      </c>
      <c r="L13" s="100">
        <v>3.7199999999999998E-3</v>
      </c>
      <c r="M13" s="100">
        <v>8.5570180134370867E-4</v>
      </c>
      <c r="N13" s="101"/>
      <c r="O13" s="100" t="s">
        <v>1044</v>
      </c>
      <c r="P13" s="101" t="s">
        <v>1039</v>
      </c>
      <c r="Q13" s="98">
        <v>1040224.0310000001</v>
      </c>
      <c r="R13" s="98">
        <v>552804.77075999998</v>
      </c>
    </row>
    <row r="14" spans="1:18" ht="1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</sheetData>
  <autoFilter ref="A1:R13" xr:uid="{78C24D5E-271B-463C-BD6E-C30D58A96DBA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33A6-3322-4BAD-BECA-CF8DB70DD419}">
  <dimension ref="A1:B40"/>
  <sheetViews>
    <sheetView showGridLines="0" topLeftCell="A16" zoomScale="200" zoomScaleNormal="200" workbookViewId="0">
      <selection activeCell="B40" sqref="B40"/>
    </sheetView>
  </sheetViews>
  <sheetFormatPr defaultColWidth="10.77734375" defaultRowHeight="14.4"/>
  <cols>
    <col min="1" max="1" width="30.77734375" style="306" customWidth="1"/>
    <col min="2" max="2" width="14" style="306" customWidth="1"/>
    <col min="3" max="16384" width="10.77734375" style="306"/>
  </cols>
  <sheetData>
    <row r="1" spans="1:2">
      <c r="A1" s="304" t="s">
        <v>1180</v>
      </c>
      <c r="B1" s="295"/>
    </row>
    <row r="2" spans="1:2">
      <c r="A2" s="258"/>
      <c r="B2" s="151"/>
    </row>
    <row r="3" spans="1:2">
      <c r="A3" s="262" t="s">
        <v>1116</v>
      </c>
      <c r="B3" s="315">
        <v>5.52</v>
      </c>
    </row>
    <row r="4" spans="1:2">
      <c r="A4" s="262" t="s">
        <v>1138</v>
      </c>
      <c r="B4" s="311">
        <v>0.15</v>
      </c>
    </row>
    <row r="5" spans="1:2">
      <c r="A5" s="262" t="s">
        <v>1112</v>
      </c>
      <c r="B5" s="311">
        <v>0.14729999999999999</v>
      </c>
    </row>
    <row r="6" spans="1:2">
      <c r="A6" s="262" t="s">
        <v>1110</v>
      </c>
      <c r="B6" s="311">
        <v>0.13469999999999999</v>
      </c>
    </row>
    <row r="7" spans="1:2">
      <c r="A7" s="262" t="s">
        <v>1108</v>
      </c>
      <c r="B7" s="311">
        <v>0.13650000000000001</v>
      </c>
    </row>
    <row r="8" spans="1:2">
      <c r="A8" s="262" t="s">
        <v>1106</v>
      </c>
      <c r="B8" s="311">
        <v>5.3199999999999997E-2</v>
      </c>
    </row>
    <row r="9" spans="1:2">
      <c r="A9" s="262" t="s">
        <v>1179</v>
      </c>
      <c r="B9" s="311">
        <v>9.9099999999999994E-2</v>
      </c>
    </row>
    <row r="10" spans="1:2">
      <c r="A10" s="262" t="s">
        <v>1178</v>
      </c>
      <c r="B10" s="311">
        <v>7.5999999999999998E-2</v>
      </c>
    </row>
    <row r="11" spans="1:2">
      <c r="A11" s="262" t="s">
        <v>1177</v>
      </c>
      <c r="B11" s="311">
        <v>7.1099999999999997E-2</v>
      </c>
    </row>
    <row r="12" spans="1:2">
      <c r="A12" s="262" t="s">
        <v>1136</v>
      </c>
      <c r="B12" s="311">
        <v>8.5000000000000006E-3</v>
      </c>
    </row>
    <row r="13" spans="1:2">
      <c r="A13" s="262" t="s">
        <v>1135</v>
      </c>
      <c r="B13" s="311">
        <v>2.1499999999999998E-2</v>
      </c>
    </row>
    <row r="14" spans="1:2">
      <c r="A14" s="262" t="s">
        <v>1176</v>
      </c>
      <c r="B14" s="311">
        <v>2.8999999999999998E-3</v>
      </c>
    </row>
    <row r="15" spans="1:2">
      <c r="A15" s="262" t="s">
        <v>1175</v>
      </c>
      <c r="B15" s="309">
        <v>34.33</v>
      </c>
    </row>
    <row r="16" spans="1:2">
      <c r="A16" s="262" t="s">
        <v>1174</v>
      </c>
      <c r="B16" s="314">
        <v>17734.419999999998</v>
      </c>
    </row>
    <row r="17" spans="1:2">
      <c r="A17" s="262" t="s">
        <v>1045</v>
      </c>
      <c r="B17" s="314">
        <v>10445.27</v>
      </c>
    </row>
    <row r="18" spans="1:2">
      <c r="A18" s="262" t="s">
        <v>1173</v>
      </c>
      <c r="B18" s="314">
        <v>10072.91</v>
      </c>
    </row>
    <row r="19" spans="1:2">
      <c r="A19" s="262" t="s">
        <v>1172</v>
      </c>
      <c r="B19" s="314">
        <v>11625.93</v>
      </c>
    </row>
    <row r="20" spans="1:2">
      <c r="A20" s="146" t="s">
        <v>1094</v>
      </c>
      <c r="B20" s="313">
        <v>137265.81</v>
      </c>
    </row>
    <row r="21" spans="1:2">
      <c r="A21" s="258"/>
      <c r="B21" s="151"/>
    </row>
    <row r="22" spans="1:2">
      <c r="A22" s="146" t="s">
        <v>1083</v>
      </c>
      <c r="B22" s="312">
        <v>97.89</v>
      </c>
    </row>
    <row r="23" spans="1:2">
      <c r="A23" s="146" t="s">
        <v>1132</v>
      </c>
      <c r="B23" s="311">
        <v>4.4999999999999998E-2</v>
      </c>
    </row>
    <row r="24" spans="1:2">
      <c r="A24" s="146" t="s">
        <v>1131</v>
      </c>
      <c r="B24" s="311">
        <v>3.8100000000000002E-2</v>
      </c>
    </row>
    <row r="25" spans="1:2">
      <c r="A25" s="146" t="s">
        <v>1130</v>
      </c>
      <c r="B25" s="311">
        <v>3.8600000000000002E-2</v>
      </c>
    </row>
    <row r="26" spans="1:2">
      <c r="A26" s="146" t="s">
        <v>1129</v>
      </c>
      <c r="B26" s="311">
        <v>4.2900000000000001E-2</v>
      </c>
    </row>
    <row r="27" spans="1:2">
      <c r="A27" s="146" t="s">
        <v>1171</v>
      </c>
      <c r="B27" s="311">
        <v>4.8300000000000003E-2</v>
      </c>
    </row>
    <row r="28" spans="1:2">
      <c r="A28" s="146" t="s">
        <v>1128</v>
      </c>
      <c r="B28" s="311">
        <v>0.03</v>
      </c>
    </row>
    <row r="29" spans="1:2">
      <c r="A29" s="146" t="s">
        <v>1127</v>
      </c>
      <c r="B29" s="311">
        <v>1.4500000000000001E-2</v>
      </c>
    </row>
    <row r="30" spans="1:2">
      <c r="A30" s="146" t="s">
        <v>1170</v>
      </c>
      <c r="B30" s="311">
        <v>1.2E-2</v>
      </c>
    </row>
    <row r="31" spans="1:2">
      <c r="A31" s="146" t="s">
        <v>1169</v>
      </c>
      <c r="B31" s="311">
        <v>0.03</v>
      </c>
    </row>
    <row r="32" spans="1:2">
      <c r="A32" s="146" t="s">
        <v>1168</v>
      </c>
      <c r="B32" s="310">
        <v>3330.42</v>
      </c>
    </row>
    <row r="33" spans="1:2">
      <c r="A33" s="146" t="s">
        <v>1167</v>
      </c>
      <c r="B33" s="309">
        <v>20.43</v>
      </c>
    </row>
    <row r="34" spans="1:2">
      <c r="A34" s="146" t="s">
        <v>1166</v>
      </c>
      <c r="B34" s="309">
        <v>65.02</v>
      </c>
    </row>
    <row r="35" spans="1:2">
      <c r="A35" s="146" t="s">
        <v>1165</v>
      </c>
      <c r="B35" s="308">
        <v>105486</v>
      </c>
    </row>
    <row r="36" spans="1:2">
      <c r="A36" s="146" t="s">
        <v>1164</v>
      </c>
      <c r="B36" s="308">
        <v>139000</v>
      </c>
    </row>
    <row r="37" spans="1:2">
      <c r="A37" s="146" t="s">
        <v>1163</v>
      </c>
      <c r="B37" s="308"/>
    </row>
    <row r="38" spans="1:2">
      <c r="A38" s="135" t="s">
        <v>1078</v>
      </c>
      <c r="B38" s="308">
        <v>6099</v>
      </c>
    </row>
    <row r="39" spans="1:2">
      <c r="A39" s="146" t="s">
        <v>1076</v>
      </c>
      <c r="B39" s="308">
        <v>19936.29</v>
      </c>
    </row>
    <row r="40" spans="1:2">
      <c r="A40" s="250" t="s">
        <v>1074</v>
      </c>
      <c r="B40" s="307">
        <v>2162.8000000000002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E51C-B027-4668-93FF-633BCF2FCBBA}">
  <dimension ref="B1:BA101"/>
  <sheetViews>
    <sheetView topLeftCell="B1" zoomScale="151" zoomScaleNormal="151" zoomScaleSheetLayoutView="100" workbookViewId="0">
      <selection activeCell="P8" sqref="P8"/>
    </sheetView>
  </sheetViews>
  <sheetFormatPr defaultColWidth="9.77734375" defaultRowHeight="13.2"/>
  <cols>
    <col min="1" max="1" width="2.6640625" style="112" customWidth="1"/>
    <col min="2" max="2" width="24.6640625" style="114" customWidth="1"/>
    <col min="3" max="5" width="9.6640625" style="112" customWidth="1"/>
    <col min="6" max="6" width="3" style="112" customWidth="1"/>
    <col min="7" max="10" width="2.6640625" style="112" customWidth="1"/>
    <col min="11" max="11" width="22.44140625" style="112" customWidth="1"/>
    <col min="12" max="17" width="9.6640625" style="113" customWidth="1"/>
    <col min="18" max="22" width="6.77734375" style="112" customWidth="1"/>
    <col min="23" max="40" width="8.44140625" style="112" customWidth="1"/>
    <col min="41" max="41" width="2.6640625" style="112" customWidth="1"/>
    <col min="42" max="53" width="5.6640625" style="112" customWidth="1"/>
    <col min="54" max="16384" width="9.77734375" style="112"/>
  </cols>
  <sheetData>
    <row r="1" spans="2:53" ht="18" customHeight="1"/>
    <row r="2" spans="2:53" ht="18" customHeight="1">
      <c r="C2" s="305" t="s">
        <v>1162</v>
      </c>
    </row>
    <row r="3" spans="2:53" ht="18" customHeight="1"/>
    <row r="4" spans="2:53" ht="18" customHeight="1"/>
    <row r="5" spans="2:53" ht="18" customHeight="1">
      <c r="B5" s="304">
        <v>45809</v>
      </c>
      <c r="C5" s="295"/>
      <c r="D5" s="295"/>
      <c r="E5" s="294"/>
      <c r="G5" s="303" t="s">
        <v>1161</v>
      </c>
      <c r="H5" s="302"/>
      <c r="I5" s="302"/>
      <c r="J5" s="302"/>
      <c r="K5" s="301"/>
      <c r="L5" s="181"/>
      <c r="M5" s="300"/>
      <c r="N5" s="300"/>
      <c r="O5" s="300"/>
      <c r="P5" s="300"/>
      <c r="Q5" s="299"/>
      <c r="R5" s="297" t="s">
        <v>1160</v>
      </c>
      <c r="S5" s="297"/>
      <c r="T5" s="298">
        <v>0.1</v>
      </c>
      <c r="U5" s="297"/>
      <c r="V5" s="296"/>
      <c r="W5" s="295"/>
      <c r="X5" s="295"/>
      <c r="Y5" s="295"/>
      <c r="Z5" s="295"/>
      <c r="AA5" s="295"/>
      <c r="AB5" s="295"/>
      <c r="AC5" s="295"/>
      <c r="AD5" s="295"/>
      <c r="AE5" s="294"/>
      <c r="AF5" s="295"/>
      <c r="AG5" s="295"/>
      <c r="AH5" s="294"/>
      <c r="AI5" s="295"/>
      <c r="AJ5" s="295"/>
      <c r="AK5" s="294"/>
      <c r="AL5" s="295"/>
      <c r="AM5" s="295"/>
      <c r="AN5" s="294"/>
      <c r="AP5" s="293">
        <f>-T5*2</f>
        <v>-0.2</v>
      </c>
      <c r="AQ5" s="293">
        <f>-$T5</f>
        <v>-0.1</v>
      </c>
      <c r="AR5" s="184">
        <v>0</v>
      </c>
      <c r="AS5" s="293">
        <f>T5</f>
        <v>0.1</v>
      </c>
      <c r="AT5" s="293">
        <f>T5*2</f>
        <v>0.2</v>
      </c>
      <c r="AV5" s="112" t="s">
        <v>1159</v>
      </c>
    </row>
    <row r="6" spans="2:53" ht="18" customHeight="1">
      <c r="B6" s="258"/>
      <c r="C6" s="153"/>
      <c r="D6" s="151"/>
      <c r="E6" s="150"/>
      <c r="G6" s="292" t="s">
        <v>1084</v>
      </c>
      <c r="H6" s="291"/>
      <c r="I6" s="291"/>
      <c r="J6" s="291"/>
      <c r="K6" s="290"/>
      <c r="L6" s="289" t="s">
        <v>1145</v>
      </c>
      <c r="M6" s="289" t="s">
        <v>1144</v>
      </c>
      <c r="N6" s="289" t="s">
        <v>1143</v>
      </c>
      <c r="O6" s="289" t="s">
        <v>1142</v>
      </c>
      <c r="P6" s="289" t="s">
        <v>1141</v>
      </c>
      <c r="Q6" s="289" t="s">
        <v>1140</v>
      </c>
      <c r="R6" s="154" t="s">
        <v>1151</v>
      </c>
      <c r="S6" s="154" t="s">
        <v>1150</v>
      </c>
      <c r="T6" s="154" t="s">
        <v>1149</v>
      </c>
      <c r="U6" s="154" t="s">
        <v>1148</v>
      </c>
      <c r="V6" s="154" t="s">
        <v>1147</v>
      </c>
      <c r="W6" s="385" t="s">
        <v>1158</v>
      </c>
      <c r="X6" s="386"/>
      <c r="Y6" s="387"/>
      <c r="Z6" s="385" t="s">
        <v>1157</v>
      </c>
      <c r="AA6" s="386"/>
      <c r="AB6" s="387"/>
      <c r="AC6" s="385" t="s">
        <v>1156</v>
      </c>
      <c r="AD6" s="386"/>
      <c r="AE6" s="387"/>
      <c r="AF6" s="385" t="s">
        <v>1155</v>
      </c>
      <c r="AG6" s="386"/>
      <c r="AH6" s="387"/>
      <c r="AI6" s="385" t="s">
        <v>1154</v>
      </c>
      <c r="AJ6" s="386" t="s">
        <v>1153</v>
      </c>
      <c r="AK6" s="387"/>
      <c r="AL6" s="385" t="s">
        <v>1152</v>
      </c>
      <c r="AM6" s="386"/>
      <c r="AN6" s="387"/>
      <c r="AP6" s="154" t="s">
        <v>1151</v>
      </c>
      <c r="AQ6" s="154" t="s">
        <v>1150</v>
      </c>
      <c r="AR6" s="154" t="s">
        <v>1149</v>
      </c>
      <c r="AS6" s="154" t="s">
        <v>1148</v>
      </c>
      <c r="AT6" s="154" t="s">
        <v>1147</v>
      </c>
      <c r="AU6" s="288" t="s">
        <v>1146</v>
      </c>
      <c r="AV6" s="288" t="s">
        <v>1145</v>
      </c>
      <c r="AW6" s="288" t="s">
        <v>1144</v>
      </c>
      <c r="AX6" s="288" t="s">
        <v>1143</v>
      </c>
      <c r="AY6" s="288" t="s">
        <v>1142</v>
      </c>
      <c r="AZ6" s="288" t="s">
        <v>1141</v>
      </c>
      <c r="BA6" s="288" t="s">
        <v>1140</v>
      </c>
    </row>
    <row r="7" spans="2:53" ht="18" customHeight="1">
      <c r="B7" s="262" t="s">
        <v>1116</v>
      </c>
      <c r="C7" s="261"/>
      <c r="D7" s="287">
        <f>'Infos Macro'!$B$3</f>
        <v>5.52</v>
      </c>
      <c r="E7" s="260"/>
      <c r="G7" s="245" t="s">
        <v>1139</v>
      </c>
      <c r="H7" s="286"/>
      <c r="I7" s="286"/>
      <c r="J7" s="286"/>
      <c r="K7" s="285"/>
      <c r="L7" s="274">
        <f t="shared" ref="L7:Q7" si="0">L8+L9+L13</f>
        <v>1</v>
      </c>
      <c r="M7" s="274">
        <f t="shared" si="0"/>
        <v>0.95000000000000007</v>
      </c>
      <c r="N7" s="274">
        <f t="shared" si="0"/>
        <v>0.8</v>
      </c>
      <c r="O7" s="274">
        <f t="shared" si="0"/>
        <v>0.6</v>
      </c>
      <c r="P7" s="274">
        <f t="shared" si="0"/>
        <v>0.4</v>
      </c>
      <c r="Q7" s="274">
        <f t="shared" si="0"/>
        <v>0</v>
      </c>
      <c r="R7" s="272"/>
      <c r="S7" s="271"/>
      <c r="T7" s="270"/>
      <c r="U7" s="269"/>
      <c r="V7" s="268"/>
      <c r="W7" s="197"/>
      <c r="X7" s="186">
        <f>X8+X9+X13</f>
        <v>1</v>
      </c>
      <c r="Y7" s="188"/>
      <c r="Z7" s="187"/>
      <c r="AA7" s="186">
        <f>AA8+AA9+AA13</f>
        <v>0.95000000000000007</v>
      </c>
      <c r="AB7" s="188"/>
      <c r="AC7" s="187"/>
      <c r="AD7" s="186">
        <f>AD8+AD9+AD13+AD15</f>
        <v>0.8</v>
      </c>
      <c r="AE7" s="188"/>
      <c r="AF7" s="187"/>
      <c r="AG7" s="186">
        <f>AG8+AG9+AG13</f>
        <v>0.6</v>
      </c>
      <c r="AH7" s="188"/>
      <c r="AI7" s="187"/>
      <c r="AJ7" s="186">
        <f>AJ8+AJ9+AJ13</f>
        <v>0.4</v>
      </c>
      <c r="AK7" s="188"/>
      <c r="AL7" s="187"/>
      <c r="AM7" s="186">
        <f>AM8+AM9+AM13</f>
        <v>0</v>
      </c>
      <c r="AN7" s="188"/>
      <c r="AP7" s="284"/>
      <c r="AQ7" s="283"/>
      <c r="AR7" s="283"/>
      <c r="AS7" s="283"/>
      <c r="AT7" s="283"/>
      <c r="AU7" s="282"/>
      <c r="AV7" s="273"/>
      <c r="AW7" s="273"/>
      <c r="AX7" s="273"/>
      <c r="AY7" s="273"/>
      <c r="AZ7" s="273"/>
      <c r="BA7" s="273"/>
    </row>
    <row r="8" spans="2:53" ht="18" customHeight="1">
      <c r="B8" s="262" t="s">
        <v>1138</v>
      </c>
      <c r="C8" s="261"/>
      <c r="D8" s="254">
        <f>'Infos Macro'!$B$4</f>
        <v>0.15</v>
      </c>
      <c r="E8" s="260"/>
      <c r="G8" s="267"/>
      <c r="H8" s="133" t="s">
        <v>1117</v>
      </c>
      <c r="I8" s="133"/>
      <c r="J8" s="133"/>
      <c r="K8" s="222"/>
      <c r="L8" s="281">
        <v>1</v>
      </c>
      <c r="M8" s="281">
        <v>0.75</v>
      </c>
      <c r="N8" s="281">
        <v>0.55000000000000004</v>
      </c>
      <c r="O8" s="281">
        <v>0.35</v>
      </c>
      <c r="P8" s="281">
        <v>0.25</v>
      </c>
      <c r="Q8" s="281">
        <v>0</v>
      </c>
      <c r="R8" s="211"/>
      <c r="S8" s="210"/>
      <c r="T8" s="209"/>
      <c r="U8" s="208"/>
      <c r="V8" s="207"/>
      <c r="W8" s="197"/>
      <c r="X8" s="186">
        <f>L7-X9-X13+AV53</f>
        <v>1</v>
      </c>
      <c r="Y8" s="188"/>
      <c r="Z8" s="187"/>
      <c r="AA8" s="186">
        <f>M7-AA9-AA13+AW53</f>
        <v>0.75</v>
      </c>
      <c r="AB8" s="188"/>
      <c r="AC8" s="187"/>
      <c r="AD8" s="186">
        <f>N7-AD9-AD13+AX53</f>
        <v>0.55000000000000004</v>
      </c>
      <c r="AE8" s="188"/>
      <c r="AF8" s="187"/>
      <c r="AG8" s="186">
        <f>O7-AG9-AG13+AY53</f>
        <v>0.35</v>
      </c>
      <c r="AH8" s="188"/>
      <c r="AI8" s="187"/>
      <c r="AJ8" s="186">
        <f>P7-AJ9-AJ13+AZ53</f>
        <v>0.25</v>
      </c>
      <c r="AK8" s="188"/>
      <c r="AL8" s="187"/>
      <c r="AM8" s="186">
        <f>S7-AM9-AM13+BA53</f>
        <v>0</v>
      </c>
      <c r="AN8" s="188"/>
      <c r="AP8" s="280"/>
      <c r="AQ8" s="279"/>
      <c r="AR8" s="279"/>
      <c r="AS8" s="279"/>
      <c r="AT8" s="279"/>
      <c r="AU8" s="278"/>
      <c r="AV8" s="273"/>
      <c r="AW8" s="273"/>
      <c r="AX8" s="273"/>
      <c r="AY8" s="273"/>
      <c r="AZ8" s="273"/>
      <c r="BA8" s="273"/>
    </row>
    <row r="9" spans="2:53" ht="18" customHeight="1">
      <c r="B9" s="262" t="s">
        <v>1112</v>
      </c>
      <c r="C9" s="261"/>
      <c r="D9" s="254">
        <f>'Infos Macro'!$B$5</f>
        <v>0.14729999999999999</v>
      </c>
      <c r="E9" s="260"/>
      <c r="G9" s="277"/>
      <c r="H9" s="276" t="s">
        <v>1137</v>
      </c>
      <c r="I9" s="276"/>
      <c r="J9" s="276"/>
      <c r="K9" s="275"/>
      <c r="L9" s="274">
        <f t="shared" ref="L9:Q9" si="1">SUM(L10:L12)</f>
        <v>0</v>
      </c>
      <c r="M9" s="274">
        <f t="shared" si="1"/>
        <v>0.05</v>
      </c>
      <c r="N9" s="274">
        <f t="shared" si="1"/>
        <v>0.1</v>
      </c>
      <c r="O9" s="274">
        <f t="shared" si="1"/>
        <v>0.1</v>
      </c>
      <c r="P9" s="274">
        <f t="shared" si="1"/>
        <v>0.05</v>
      </c>
      <c r="Q9" s="274">
        <f t="shared" si="1"/>
        <v>0</v>
      </c>
      <c r="R9" s="190"/>
      <c r="S9" s="190"/>
      <c r="T9" s="190" t="s">
        <v>1095</v>
      </c>
      <c r="U9" s="190"/>
      <c r="V9" s="190"/>
      <c r="W9" s="226"/>
      <c r="X9" s="224">
        <f>L9*$AU9</f>
        <v>0</v>
      </c>
      <c r="Y9" s="223"/>
      <c r="Z9" s="225"/>
      <c r="AA9" s="224">
        <f>M9*$AU9</f>
        <v>0.05</v>
      </c>
      <c r="AB9" s="223"/>
      <c r="AC9" s="225"/>
      <c r="AD9" s="224">
        <f>N9*$AU9</f>
        <v>0.1</v>
      </c>
      <c r="AE9" s="223"/>
      <c r="AF9" s="225"/>
      <c r="AG9" s="224">
        <f>O9*$AU9</f>
        <v>0.1</v>
      </c>
      <c r="AH9" s="223"/>
      <c r="AI9" s="225"/>
      <c r="AJ9" s="224">
        <f>P9*$AU9</f>
        <v>0.05</v>
      </c>
      <c r="AK9" s="223"/>
      <c r="AL9" s="225"/>
      <c r="AM9" s="224">
        <f>Q9*$AU9</f>
        <v>0</v>
      </c>
      <c r="AN9" s="223"/>
      <c r="AP9" s="184">
        <f>IF(R9="",0,(1+AP$5))</f>
        <v>0</v>
      </c>
      <c r="AQ9" s="184">
        <f>IF(S9="",0,(1+AQ$5))</f>
        <v>0</v>
      </c>
      <c r="AR9" s="184">
        <f>IF(T9="",0,(1+AR$5))</f>
        <v>1</v>
      </c>
      <c r="AS9" s="184">
        <f>IF(U9="",0,(1+AS$5))</f>
        <v>0</v>
      </c>
      <c r="AT9" s="184">
        <f>IF(V9="",0,(1+AT$5))</f>
        <v>0</v>
      </c>
      <c r="AU9" s="183">
        <f>SUM(AP9:AT9)</f>
        <v>1</v>
      </c>
      <c r="AV9" s="273"/>
      <c r="AW9" s="273"/>
      <c r="AX9" s="273"/>
      <c r="AY9" s="273"/>
      <c r="AZ9" s="273"/>
      <c r="BA9" s="273"/>
    </row>
    <row r="10" spans="2:53" ht="18" customHeight="1">
      <c r="B10" s="262" t="s">
        <v>1110</v>
      </c>
      <c r="C10" s="261"/>
      <c r="D10" s="254">
        <f>'Infos Macro'!$B$6</f>
        <v>0.13469999999999999</v>
      </c>
      <c r="E10" s="260"/>
      <c r="G10" s="267"/>
      <c r="H10" s="133"/>
      <c r="I10" s="133"/>
      <c r="J10" s="133"/>
      <c r="K10" s="222" t="s">
        <v>1109</v>
      </c>
      <c r="L10" s="266">
        <v>0</v>
      </c>
      <c r="M10" s="266">
        <v>0.05</v>
      </c>
      <c r="N10" s="266">
        <v>0.1</v>
      </c>
      <c r="O10" s="266">
        <v>0.1</v>
      </c>
      <c r="P10" s="266">
        <v>0.05</v>
      </c>
      <c r="Q10" s="266">
        <v>0</v>
      </c>
      <c r="R10" s="272"/>
      <c r="S10" s="271"/>
      <c r="T10" s="270"/>
      <c r="U10" s="269"/>
      <c r="V10" s="268"/>
      <c r="W10" s="197"/>
      <c r="X10" s="186">
        <f>IF(L$9=0,0,X$9*(L10/L$9))</f>
        <v>0</v>
      </c>
      <c r="Y10" s="188"/>
      <c r="Z10" s="187"/>
      <c r="AA10" s="186">
        <f>IF(M$9=0,0,AA$9*(M10/M$9))</f>
        <v>0.05</v>
      </c>
      <c r="AB10" s="188"/>
      <c r="AC10" s="187"/>
      <c r="AD10" s="186">
        <f>IF(N$9=0,0,AD$9*(N10/N$9))</f>
        <v>0.1</v>
      </c>
      <c r="AE10" s="188"/>
      <c r="AF10" s="187"/>
      <c r="AG10" s="186">
        <f>IF(O$9=0,0,AG$9*(O10/O$9))</f>
        <v>0.1</v>
      </c>
      <c r="AH10" s="188"/>
      <c r="AI10" s="187"/>
      <c r="AJ10" s="186">
        <f>IF(P$9=0,0,AJ$9*(P10/P$9))</f>
        <v>0.05</v>
      </c>
      <c r="AK10" s="188"/>
      <c r="AL10" s="187"/>
      <c r="AM10" s="186">
        <f>IF(Q$9=0,0,AM$9*(Q10/Q$9))</f>
        <v>0</v>
      </c>
      <c r="AN10" s="188"/>
    </row>
    <row r="11" spans="2:53" s="263" customFormat="1" ht="18" customHeight="1">
      <c r="B11" s="262" t="s">
        <v>1108</v>
      </c>
      <c r="C11" s="261"/>
      <c r="D11" s="254">
        <f>'Infos Macro'!$B$7</f>
        <v>0.13650000000000001</v>
      </c>
      <c r="E11" s="260"/>
      <c r="G11" s="267"/>
      <c r="H11" s="133"/>
      <c r="I11" s="133"/>
      <c r="J11" s="133"/>
      <c r="K11" s="222" t="s">
        <v>1107</v>
      </c>
      <c r="L11" s="266">
        <v>0</v>
      </c>
      <c r="M11" s="266">
        <v>0</v>
      </c>
      <c r="N11" s="266">
        <v>0</v>
      </c>
      <c r="O11" s="266">
        <v>0</v>
      </c>
      <c r="P11" s="266">
        <v>0</v>
      </c>
      <c r="Q11" s="266">
        <v>0</v>
      </c>
      <c r="R11" s="220"/>
      <c r="S11" s="219"/>
      <c r="T11" s="218"/>
      <c r="U11" s="217"/>
      <c r="V11" s="216"/>
      <c r="W11" s="197"/>
      <c r="X11" s="186">
        <f>IF(L$9=0,0,X$9*(L11/L$9))</f>
        <v>0</v>
      </c>
      <c r="Y11" s="188"/>
      <c r="Z11" s="187"/>
      <c r="AA11" s="186">
        <f>IF(M$9=0,0,AA$9*(M11/M$9))</f>
        <v>0</v>
      </c>
      <c r="AB11" s="188"/>
      <c r="AC11" s="187"/>
      <c r="AD11" s="186">
        <f>IF(N$9=0,0,AD$9*(N11/N$9))</f>
        <v>0</v>
      </c>
      <c r="AE11" s="188"/>
      <c r="AF11" s="187"/>
      <c r="AG11" s="186">
        <f>IF(O$9=0,0,AG$9*(O11/O$9))</f>
        <v>0</v>
      </c>
      <c r="AH11" s="188"/>
      <c r="AI11" s="187"/>
      <c r="AJ11" s="186">
        <f>IF(P$9=0,0,AJ$9*(P11/P$9))</f>
        <v>0</v>
      </c>
      <c r="AK11" s="188"/>
      <c r="AL11" s="187"/>
      <c r="AM11" s="186">
        <f>IF(Q$9=0,0,AM$9*(Q11/Q$9))</f>
        <v>0</v>
      </c>
      <c r="AN11" s="188"/>
      <c r="AO11" s="112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</row>
    <row r="12" spans="2:53" s="263" customFormat="1" ht="18" customHeight="1">
      <c r="B12" s="262" t="s">
        <v>1106</v>
      </c>
      <c r="C12" s="261"/>
      <c r="D12" s="254">
        <f>'Infos Macro'!$B$8</f>
        <v>5.3199999999999997E-2</v>
      </c>
      <c r="E12" s="260"/>
      <c r="G12" s="267"/>
      <c r="H12" s="133"/>
      <c r="I12" s="133"/>
      <c r="J12" s="133"/>
      <c r="K12" s="222" t="s">
        <v>1105</v>
      </c>
      <c r="L12" s="266">
        <v>0</v>
      </c>
      <c r="M12" s="266">
        <v>0</v>
      </c>
      <c r="N12" s="266">
        <v>0</v>
      </c>
      <c r="O12" s="266">
        <v>0</v>
      </c>
      <c r="P12" s="266">
        <v>0</v>
      </c>
      <c r="Q12" s="266">
        <v>0</v>
      </c>
      <c r="R12" s="211"/>
      <c r="S12" s="210"/>
      <c r="T12" s="209"/>
      <c r="U12" s="208"/>
      <c r="V12" s="207"/>
      <c r="W12" s="197"/>
      <c r="X12" s="186">
        <f>IF(L$9=0,0,X$9*(L12/L$9))</f>
        <v>0</v>
      </c>
      <c r="Y12" s="188"/>
      <c r="Z12" s="187"/>
      <c r="AA12" s="186">
        <f>IF(M$9=0,0,AA$9*(M12/M$9))</f>
        <v>0</v>
      </c>
      <c r="AB12" s="188"/>
      <c r="AC12" s="187"/>
      <c r="AD12" s="186">
        <f>IF(N$9=0,0,AD$9*(N12/N$9))</f>
        <v>0</v>
      </c>
      <c r="AE12" s="188"/>
      <c r="AF12" s="187"/>
      <c r="AG12" s="186">
        <f>IF(O$9=0,0,AG$9*(O12/O$9))</f>
        <v>0</v>
      </c>
      <c r="AH12" s="188"/>
      <c r="AI12" s="187"/>
      <c r="AJ12" s="186">
        <f>IF(P$9=0,0,AJ$9*(P12/P$9))</f>
        <v>0</v>
      </c>
      <c r="AK12" s="188"/>
      <c r="AL12" s="187"/>
      <c r="AM12" s="186">
        <f>IF(Q$9=0,0,AM$9*(Q12/Q$9))</f>
        <v>0</v>
      </c>
      <c r="AN12" s="188"/>
      <c r="AO12" s="112"/>
      <c r="AP12" s="255"/>
      <c r="AQ12" s="255"/>
      <c r="AR12" s="255"/>
      <c r="AS12" s="255"/>
      <c r="AT12" s="255"/>
      <c r="AU12" s="255"/>
      <c r="AV12" s="255"/>
      <c r="AW12" s="255"/>
      <c r="AX12" s="255"/>
      <c r="AY12" s="255"/>
      <c r="AZ12" s="255"/>
      <c r="BA12" s="255"/>
    </row>
    <row r="13" spans="2:53" s="263" customFormat="1" ht="18" customHeight="1">
      <c r="B13" s="262" t="s">
        <v>1104</v>
      </c>
      <c r="C13" s="261"/>
      <c r="D13" s="254">
        <f>'Infos Macro'!$B$9</f>
        <v>9.9099999999999994E-2</v>
      </c>
      <c r="E13" s="260"/>
      <c r="G13" s="277"/>
      <c r="H13" s="276" t="s">
        <v>1111</v>
      </c>
      <c r="I13" s="276"/>
      <c r="J13" s="276"/>
      <c r="K13" s="275"/>
      <c r="L13" s="274">
        <f t="shared" ref="L13:Q13" si="2">SUM(L14:L16)</f>
        <v>0</v>
      </c>
      <c r="M13" s="274">
        <f t="shared" si="2"/>
        <v>0.15</v>
      </c>
      <c r="N13" s="274">
        <f t="shared" si="2"/>
        <v>0.15</v>
      </c>
      <c r="O13" s="274">
        <f t="shared" si="2"/>
        <v>0.15</v>
      </c>
      <c r="P13" s="274">
        <f t="shared" si="2"/>
        <v>0.1</v>
      </c>
      <c r="Q13" s="274">
        <f t="shared" si="2"/>
        <v>0</v>
      </c>
      <c r="R13" s="190"/>
      <c r="S13" s="190"/>
      <c r="T13" s="190" t="s">
        <v>1095</v>
      </c>
      <c r="U13" s="190"/>
      <c r="V13" s="190"/>
      <c r="W13" s="226"/>
      <c r="X13" s="224">
        <f>L13*$AU13</f>
        <v>0</v>
      </c>
      <c r="Y13" s="223"/>
      <c r="Z13" s="225"/>
      <c r="AA13" s="224">
        <f>M13*$AU13</f>
        <v>0.15</v>
      </c>
      <c r="AB13" s="223"/>
      <c r="AC13" s="225"/>
      <c r="AD13" s="224">
        <f>N13*$AU13</f>
        <v>0.15</v>
      </c>
      <c r="AE13" s="223"/>
      <c r="AF13" s="225"/>
      <c r="AG13" s="224">
        <f>O13*$AU13</f>
        <v>0.15</v>
      </c>
      <c r="AH13" s="223"/>
      <c r="AI13" s="225"/>
      <c r="AJ13" s="224">
        <f>P13*$AU13</f>
        <v>0.1</v>
      </c>
      <c r="AK13" s="223"/>
      <c r="AL13" s="225"/>
      <c r="AM13" s="224">
        <f>Q13*$AU13</f>
        <v>0</v>
      </c>
      <c r="AN13" s="223"/>
      <c r="AO13" s="112"/>
      <c r="AP13" s="184">
        <f>IF(R13="",0,(1+AP$5))</f>
        <v>0</v>
      </c>
      <c r="AQ13" s="184">
        <f>IF(S13="",0,(1+AQ$5))</f>
        <v>0</v>
      </c>
      <c r="AR13" s="184">
        <f>IF(T13="",0,(1+AR$5))</f>
        <v>1</v>
      </c>
      <c r="AS13" s="184">
        <f>IF(U13="",0,(1+AS$5))</f>
        <v>0</v>
      </c>
      <c r="AT13" s="184">
        <f>IF(V13="",0,(1+AT$5))</f>
        <v>0</v>
      </c>
      <c r="AU13" s="183">
        <f>SUM(AP13:AT13)</f>
        <v>1</v>
      </c>
      <c r="AV13" s="273"/>
      <c r="AW13" s="273"/>
      <c r="AX13" s="273"/>
      <c r="AY13" s="273"/>
      <c r="AZ13" s="273"/>
      <c r="BA13" s="273"/>
    </row>
    <row r="14" spans="2:53" ht="18" customHeight="1">
      <c r="B14" s="262" t="s">
        <v>1102</v>
      </c>
      <c r="C14" s="261"/>
      <c r="D14" s="254">
        <f>'Infos Macro'!$B$10</f>
        <v>7.5999999999999998E-2</v>
      </c>
      <c r="E14" s="260"/>
      <c r="G14" s="267"/>
      <c r="H14" s="133"/>
      <c r="I14" s="133"/>
      <c r="J14" s="133"/>
      <c r="K14" s="222" t="s">
        <v>1109</v>
      </c>
      <c r="L14" s="266">
        <v>0</v>
      </c>
      <c r="M14" s="266">
        <v>0.15</v>
      </c>
      <c r="N14" s="266">
        <v>0.15</v>
      </c>
      <c r="O14" s="266">
        <v>0</v>
      </c>
      <c r="P14" s="266">
        <v>0.1</v>
      </c>
      <c r="Q14" s="266">
        <v>0</v>
      </c>
      <c r="R14" s="272"/>
      <c r="S14" s="271"/>
      <c r="T14" s="270"/>
      <c r="U14" s="269"/>
      <c r="V14" s="268"/>
      <c r="W14" s="197"/>
      <c r="X14" s="186">
        <f>IF(L$13=0,0,X$13*(L14/L$13))</f>
        <v>0</v>
      </c>
      <c r="Y14" s="188"/>
      <c r="Z14" s="187"/>
      <c r="AA14" s="186">
        <f>IF(M$13=0,0,AA$13*(M14/M$13))</f>
        <v>0.15</v>
      </c>
      <c r="AB14" s="188"/>
      <c r="AC14" s="187"/>
      <c r="AD14" s="186">
        <f>IF(N$13=0,0,AD$13*(N14/N$13))</f>
        <v>0.15</v>
      </c>
      <c r="AE14" s="188"/>
      <c r="AF14" s="187"/>
      <c r="AG14" s="186">
        <f>IF(O$13=0,0,AG$13*(O14/O$13))</f>
        <v>0</v>
      </c>
      <c r="AH14" s="188"/>
      <c r="AI14" s="187"/>
      <c r="AJ14" s="186">
        <f>IF(P$13=0,0,AJ$13*(P14/P$13))</f>
        <v>0.1</v>
      </c>
      <c r="AK14" s="188"/>
      <c r="AL14" s="187"/>
      <c r="AM14" s="186">
        <f>IF(Q$13=0,0,AM$13*(Q14/Q$13))</f>
        <v>0</v>
      </c>
      <c r="AN14" s="188"/>
      <c r="AO14" s="263"/>
      <c r="AP14" s="255"/>
      <c r="AQ14" s="255"/>
      <c r="AR14" s="255"/>
      <c r="AS14" s="255"/>
      <c r="AT14" s="255"/>
      <c r="AU14" s="255"/>
      <c r="AV14" s="255"/>
      <c r="AW14" s="255"/>
      <c r="AX14" s="255"/>
      <c r="AY14" s="255"/>
      <c r="AZ14" s="255"/>
      <c r="BA14" s="255"/>
    </row>
    <row r="15" spans="2:53" ht="18" customHeight="1">
      <c r="B15" s="262" t="s">
        <v>1100</v>
      </c>
      <c r="C15" s="261"/>
      <c r="D15" s="254">
        <f>'Infos Macro'!$B$11</f>
        <v>7.1099999999999997E-2</v>
      </c>
      <c r="E15" s="260"/>
      <c r="G15" s="267"/>
      <c r="H15" s="133"/>
      <c r="I15" s="133"/>
      <c r="J15" s="133"/>
      <c r="K15" s="222" t="s">
        <v>1107</v>
      </c>
      <c r="L15" s="266">
        <v>0</v>
      </c>
      <c r="M15" s="266">
        <v>0</v>
      </c>
      <c r="N15" s="266">
        <v>0</v>
      </c>
      <c r="O15" s="266">
        <v>0.15</v>
      </c>
      <c r="P15" s="266">
        <v>0</v>
      </c>
      <c r="Q15" s="266">
        <v>0</v>
      </c>
      <c r="R15" s="220"/>
      <c r="S15" s="219"/>
      <c r="T15" s="218"/>
      <c r="U15" s="217"/>
      <c r="V15" s="216"/>
      <c r="W15" s="197"/>
      <c r="X15" s="186">
        <f>IF(L$13=0,0,X$13*(L15/L$13))</f>
        <v>0</v>
      </c>
      <c r="Y15" s="188"/>
      <c r="Z15" s="187"/>
      <c r="AA15" s="186">
        <f>IF(M$13=0,0,AA$13*(M15/M$13))</f>
        <v>0</v>
      </c>
      <c r="AB15" s="188"/>
      <c r="AC15" s="187"/>
      <c r="AD15" s="186">
        <f>IF(N$13=0,0,AD$13*(N15/N$13))</f>
        <v>0</v>
      </c>
      <c r="AE15" s="188"/>
      <c r="AF15" s="187"/>
      <c r="AG15" s="186">
        <f>IF(O$13=0,0,AG$13*(O15/O$13))</f>
        <v>0.15</v>
      </c>
      <c r="AH15" s="188"/>
      <c r="AI15" s="187"/>
      <c r="AJ15" s="186">
        <f>IF(P$13=0,0,AJ$13*(P15/P$13))</f>
        <v>0</v>
      </c>
      <c r="AK15" s="188"/>
      <c r="AL15" s="187"/>
      <c r="AM15" s="186">
        <f>IF(Q$13=0,0,AM$13*(Q15/Q$13))</f>
        <v>0</v>
      </c>
      <c r="AN15" s="188"/>
      <c r="AO15" s="263"/>
      <c r="AP15" s="255"/>
      <c r="AQ15" s="255"/>
      <c r="AR15" s="255"/>
      <c r="AS15" s="255"/>
      <c r="AT15" s="255"/>
      <c r="AU15" s="255"/>
      <c r="AV15" s="255"/>
      <c r="AW15" s="255"/>
      <c r="AX15" s="255"/>
      <c r="AY15" s="255"/>
      <c r="AZ15" s="255"/>
      <c r="BA15" s="255"/>
    </row>
    <row r="16" spans="2:53" s="161" customFormat="1" ht="18" customHeight="1">
      <c r="B16" s="262" t="s">
        <v>1136</v>
      </c>
      <c r="C16" s="261"/>
      <c r="D16" s="254">
        <f>'Infos Macro'!$B$12</f>
        <v>8.5000000000000006E-3</v>
      </c>
      <c r="E16" s="260"/>
      <c r="G16" s="265"/>
      <c r="H16" s="214"/>
      <c r="I16" s="214"/>
      <c r="J16" s="214"/>
      <c r="K16" s="213" t="s">
        <v>1105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  <c r="R16" s="211"/>
      <c r="S16" s="210"/>
      <c r="T16" s="209"/>
      <c r="U16" s="208"/>
      <c r="V16" s="207"/>
      <c r="W16" s="197"/>
      <c r="X16" s="186">
        <f>IF(L$13=0,0,X$13*(L16/L$13))</f>
        <v>0</v>
      </c>
      <c r="Y16" s="188"/>
      <c r="Z16" s="187"/>
      <c r="AA16" s="186">
        <f>IF(M$13=0,0,AA$13*(M16/M$13))</f>
        <v>0</v>
      </c>
      <c r="AB16" s="188"/>
      <c r="AC16" s="187"/>
      <c r="AD16" s="186">
        <f>IF(N$13=0,0,AD$13*(N16/N$13))</f>
        <v>0</v>
      </c>
      <c r="AE16" s="188"/>
      <c r="AF16" s="187"/>
      <c r="AG16" s="186">
        <f>IF(O$13=0,0,AG$13*(O16/O$13))</f>
        <v>0</v>
      </c>
      <c r="AH16" s="188"/>
      <c r="AI16" s="187"/>
      <c r="AJ16" s="186">
        <f>IF(P$13=0,0,AJ$13*(P16/P$13))</f>
        <v>0</v>
      </c>
      <c r="AK16" s="188"/>
      <c r="AL16" s="187"/>
      <c r="AM16" s="186">
        <f>IF(Q$13=0,0,AM$13*(Q16/Q$13))</f>
        <v>0</v>
      </c>
      <c r="AN16" s="188"/>
      <c r="AO16" s="263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</row>
    <row r="17" spans="2:53" s="130" customFormat="1" ht="18" customHeight="1">
      <c r="B17" s="262" t="s">
        <v>1135</v>
      </c>
      <c r="C17" s="261"/>
      <c r="D17" s="254">
        <f>'Infos Macro'!$B$13</f>
        <v>2.1499999999999998E-2</v>
      </c>
      <c r="E17" s="260"/>
      <c r="G17" s="135"/>
      <c r="H17" s="133"/>
      <c r="I17" s="236" t="s">
        <v>1134</v>
      </c>
      <c r="J17" s="133"/>
      <c r="K17" s="222"/>
      <c r="L17" s="235">
        <v>0.5</v>
      </c>
      <c r="M17" s="235">
        <v>0.4</v>
      </c>
      <c r="N17" s="235">
        <v>0.3</v>
      </c>
      <c r="O17" s="235">
        <v>0.2</v>
      </c>
      <c r="P17" s="259">
        <v>0.1</v>
      </c>
      <c r="Q17" s="259">
        <v>0</v>
      </c>
      <c r="R17" s="220"/>
      <c r="S17" s="219"/>
      <c r="T17" s="218"/>
      <c r="U17" s="217"/>
      <c r="V17" s="216"/>
      <c r="W17" s="234"/>
      <c r="X17" s="232"/>
      <c r="Y17" s="231"/>
      <c r="Z17" s="233"/>
      <c r="AA17" s="232"/>
      <c r="AB17" s="231"/>
      <c r="AC17" s="233"/>
      <c r="AD17" s="232"/>
      <c r="AE17" s="231"/>
      <c r="AF17" s="233"/>
      <c r="AG17" s="232"/>
      <c r="AH17" s="231"/>
      <c r="AI17" s="233"/>
      <c r="AJ17" s="232"/>
      <c r="AK17" s="231"/>
      <c r="AL17" s="233"/>
      <c r="AM17" s="232"/>
      <c r="AN17" s="231"/>
      <c r="AO17" s="112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</row>
    <row r="18" spans="2:53" s="244" customFormat="1" ht="18" customHeight="1">
      <c r="B18" s="146" t="s">
        <v>1094</v>
      </c>
      <c r="C18" s="253"/>
      <c r="D18" s="252">
        <f>'Infos Macro'!$B$20</f>
        <v>137265.81</v>
      </c>
      <c r="E18" s="251"/>
      <c r="G18" s="135"/>
      <c r="H18" s="133"/>
      <c r="I18" s="133"/>
      <c r="J18" s="228" t="s">
        <v>1117</v>
      </c>
      <c r="K18" s="227"/>
      <c r="L18" s="227">
        <f t="shared" ref="L18:Q19" si="3">L8*L$17</f>
        <v>0.5</v>
      </c>
      <c r="M18" s="227">
        <f t="shared" si="3"/>
        <v>0.30000000000000004</v>
      </c>
      <c r="N18" s="227">
        <f t="shared" si="3"/>
        <v>0.16500000000000001</v>
      </c>
      <c r="O18" s="227">
        <f t="shared" si="3"/>
        <v>6.9999999999999993E-2</v>
      </c>
      <c r="P18" s="227">
        <f t="shared" si="3"/>
        <v>2.5000000000000001E-2</v>
      </c>
      <c r="Q18" s="227">
        <f t="shared" si="3"/>
        <v>0</v>
      </c>
      <c r="R18" s="220"/>
      <c r="S18" s="219"/>
      <c r="T18" s="218"/>
      <c r="U18" s="217"/>
      <c r="V18" s="216"/>
      <c r="W18" s="197"/>
      <c r="X18" s="186">
        <f>X8*L$17</f>
        <v>0.5</v>
      </c>
      <c r="Y18" s="188"/>
      <c r="Z18" s="187"/>
      <c r="AA18" s="186">
        <f>AA8*M$17</f>
        <v>0.30000000000000004</v>
      </c>
      <c r="AB18" s="188"/>
      <c r="AC18" s="187"/>
      <c r="AD18" s="186">
        <f>AD8*N$17</f>
        <v>0.16500000000000001</v>
      </c>
      <c r="AE18" s="188"/>
      <c r="AF18" s="187"/>
      <c r="AG18" s="186">
        <f>AG8*O$17</f>
        <v>6.9999999999999993E-2</v>
      </c>
      <c r="AH18" s="188"/>
      <c r="AI18" s="187"/>
      <c r="AJ18" s="186">
        <f>AJ8*P$17</f>
        <v>2.5000000000000001E-2</v>
      </c>
      <c r="AK18" s="188"/>
      <c r="AL18" s="187"/>
      <c r="AM18" s="186">
        <f>AM8*Q$17</f>
        <v>0</v>
      </c>
      <c r="AN18" s="188"/>
      <c r="AO18" s="112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</row>
    <row r="19" spans="2:53" s="130" customFormat="1" ht="18" customHeight="1">
      <c r="B19" s="258"/>
      <c r="C19" s="153"/>
      <c r="D19" s="151"/>
      <c r="E19" s="150"/>
      <c r="G19" s="135"/>
      <c r="H19" s="133"/>
      <c r="I19" s="133"/>
      <c r="J19" s="228" t="s">
        <v>1133</v>
      </c>
      <c r="K19" s="227"/>
      <c r="L19" s="227">
        <f t="shared" si="3"/>
        <v>0</v>
      </c>
      <c r="M19" s="227">
        <f t="shared" si="3"/>
        <v>2.0000000000000004E-2</v>
      </c>
      <c r="N19" s="227">
        <f t="shared" si="3"/>
        <v>0.03</v>
      </c>
      <c r="O19" s="227">
        <f t="shared" si="3"/>
        <v>2.0000000000000004E-2</v>
      </c>
      <c r="P19" s="227">
        <f t="shared" si="3"/>
        <v>5.000000000000001E-3</v>
      </c>
      <c r="Q19" s="227">
        <f t="shared" si="3"/>
        <v>0</v>
      </c>
      <c r="R19" s="220"/>
      <c r="S19" s="219"/>
      <c r="T19" s="218"/>
      <c r="U19" s="217"/>
      <c r="V19" s="216"/>
      <c r="W19" s="226"/>
      <c r="X19" s="224">
        <f>X9*L$17</f>
        <v>0</v>
      </c>
      <c r="Y19" s="223"/>
      <c r="Z19" s="225"/>
      <c r="AA19" s="224">
        <f>AA9*M$17</f>
        <v>2.0000000000000004E-2</v>
      </c>
      <c r="AB19" s="223"/>
      <c r="AC19" s="225"/>
      <c r="AD19" s="224">
        <f>AD9*N$17</f>
        <v>0.03</v>
      </c>
      <c r="AE19" s="223"/>
      <c r="AF19" s="225"/>
      <c r="AG19" s="224">
        <f>AG9*O$17</f>
        <v>2.0000000000000004E-2</v>
      </c>
      <c r="AH19" s="223"/>
      <c r="AI19" s="225"/>
      <c r="AJ19" s="224">
        <f>AJ9*P$17</f>
        <v>5.000000000000001E-3</v>
      </c>
      <c r="AK19" s="223"/>
      <c r="AL19" s="225"/>
      <c r="AM19" s="224">
        <f>AM9*Q$17</f>
        <v>0</v>
      </c>
      <c r="AN19" s="223"/>
      <c r="AO19" s="161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</row>
    <row r="20" spans="2:53" s="130" customFormat="1" ht="18" customHeight="1">
      <c r="B20" s="146" t="s">
        <v>1083</v>
      </c>
      <c r="C20" s="253"/>
      <c r="D20" s="257">
        <f>'Infos Macro'!$B$22</f>
        <v>97.89</v>
      </c>
      <c r="E20" s="251"/>
      <c r="G20" s="135"/>
      <c r="H20" s="133"/>
      <c r="I20" s="133"/>
      <c r="J20" s="133"/>
      <c r="K20" s="222" t="s">
        <v>1109</v>
      </c>
      <c r="L20" s="221">
        <f t="shared" ref="L20:Q22" si="4">IF(L$19=0,0,L$19*(L10/L$9))</f>
        <v>0</v>
      </c>
      <c r="M20" s="221">
        <f t="shared" si="4"/>
        <v>2.0000000000000004E-2</v>
      </c>
      <c r="N20" s="221">
        <f t="shared" si="4"/>
        <v>0.03</v>
      </c>
      <c r="O20" s="221">
        <f t="shared" si="4"/>
        <v>2.0000000000000004E-2</v>
      </c>
      <c r="P20" s="221">
        <f t="shared" si="4"/>
        <v>5.000000000000001E-3</v>
      </c>
      <c r="Q20" s="221">
        <f t="shared" si="4"/>
        <v>0</v>
      </c>
      <c r="R20" s="220"/>
      <c r="S20" s="219"/>
      <c r="T20" s="218"/>
      <c r="U20" s="217"/>
      <c r="V20" s="216"/>
      <c r="W20" s="197"/>
      <c r="X20" s="186">
        <f>IF(L$19=0,0,L20/L$19*X$19)</f>
        <v>0</v>
      </c>
      <c r="Y20" s="188"/>
      <c r="Z20" s="187"/>
      <c r="AA20" s="186">
        <f>IF(M$19=0,0,M20/M$19*AA$19)</f>
        <v>2.0000000000000004E-2</v>
      </c>
      <c r="AB20" s="188"/>
      <c r="AC20" s="187"/>
      <c r="AD20" s="186">
        <f>IF(N$19=0,0,N20/N$19*AD$19)</f>
        <v>0.03</v>
      </c>
      <c r="AE20" s="188"/>
      <c r="AF20" s="187"/>
      <c r="AG20" s="186">
        <f>IF(O$19=0,0,O20/O$19*AG$19)</f>
        <v>2.0000000000000004E-2</v>
      </c>
      <c r="AH20" s="188"/>
      <c r="AI20" s="187"/>
      <c r="AJ20" s="186">
        <f>IF(P$19=0,0,P20/P$19*AJ$19)</f>
        <v>5.000000000000001E-3</v>
      </c>
      <c r="AK20" s="188"/>
      <c r="AL20" s="187"/>
      <c r="AM20" s="186">
        <f>IF(Q$19=0,0,Q20/Q$19*AM$19)</f>
        <v>0</v>
      </c>
      <c r="AN20" s="188"/>
      <c r="AP20" s="255"/>
      <c r="AQ20" s="255"/>
      <c r="AR20" s="255"/>
      <c r="AS20" s="255"/>
      <c r="AT20" s="255"/>
      <c r="AU20" s="255"/>
      <c r="AV20" s="255"/>
      <c r="AW20" s="255"/>
      <c r="AX20" s="255"/>
      <c r="AY20" s="255"/>
      <c r="AZ20" s="255"/>
      <c r="BA20" s="255"/>
    </row>
    <row r="21" spans="2:53" s="130" customFormat="1" ht="18" customHeight="1">
      <c r="B21" s="146" t="s">
        <v>1132</v>
      </c>
      <c r="C21" s="253"/>
      <c r="D21" s="254">
        <f>'Infos Macro'!$B$23</f>
        <v>4.4999999999999998E-2</v>
      </c>
      <c r="E21" s="251"/>
      <c r="G21" s="135"/>
      <c r="H21" s="133"/>
      <c r="I21" s="133"/>
      <c r="J21" s="133"/>
      <c r="K21" s="222" t="s">
        <v>1107</v>
      </c>
      <c r="L21" s="221">
        <f t="shared" si="4"/>
        <v>0</v>
      </c>
      <c r="M21" s="221">
        <f t="shared" si="4"/>
        <v>0</v>
      </c>
      <c r="N21" s="221">
        <f t="shared" si="4"/>
        <v>0</v>
      </c>
      <c r="O21" s="221">
        <f t="shared" si="4"/>
        <v>0</v>
      </c>
      <c r="P21" s="221">
        <f t="shared" si="4"/>
        <v>0</v>
      </c>
      <c r="Q21" s="221">
        <f t="shared" si="4"/>
        <v>0</v>
      </c>
      <c r="R21" s="220"/>
      <c r="S21" s="219"/>
      <c r="T21" s="218"/>
      <c r="U21" s="217"/>
      <c r="V21" s="216"/>
      <c r="W21" s="197"/>
      <c r="X21" s="186">
        <f>IF(L$19=0,0,L21/L$19*X$19)</f>
        <v>0</v>
      </c>
      <c r="Y21" s="188"/>
      <c r="Z21" s="187"/>
      <c r="AA21" s="186">
        <f>IF(M$19=0,0,M21/M$19*AA$19)</f>
        <v>0</v>
      </c>
      <c r="AB21" s="188"/>
      <c r="AC21" s="187"/>
      <c r="AD21" s="186">
        <f>IF(N$19=0,0,N21/N$19*AD$19)</f>
        <v>0</v>
      </c>
      <c r="AE21" s="188"/>
      <c r="AF21" s="187"/>
      <c r="AG21" s="186">
        <f>IF(O$19=0,0,O21/O$19*AG$19)</f>
        <v>0</v>
      </c>
      <c r="AH21" s="188"/>
      <c r="AI21" s="187"/>
      <c r="AJ21" s="186">
        <f>IF(P$19=0,0,P21/P$19*AJ$19)</f>
        <v>0</v>
      </c>
      <c r="AK21" s="188"/>
      <c r="AL21" s="187"/>
      <c r="AM21" s="186">
        <f>IF(Q$19=0,0,Q21/Q$19*AM$19)</f>
        <v>0</v>
      </c>
      <c r="AN21" s="188"/>
      <c r="AO21" s="244"/>
      <c r="AP21" s="255"/>
      <c r="AQ21" s="255"/>
      <c r="AR21" s="255"/>
      <c r="AS21" s="255"/>
      <c r="AT21" s="255"/>
      <c r="AU21" s="255"/>
      <c r="AV21" s="255"/>
      <c r="AW21" s="255"/>
      <c r="AX21" s="255"/>
      <c r="AY21" s="255"/>
      <c r="AZ21" s="255"/>
      <c r="BA21" s="255"/>
    </row>
    <row r="22" spans="2:53" ht="18" customHeight="1">
      <c r="B22" s="146" t="s">
        <v>1131</v>
      </c>
      <c r="C22" s="253"/>
      <c r="D22" s="254">
        <f>'Infos Macro'!$B$24</f>
        <v>3.8100000000000002E-2</v>
      </c>
      <c r="E22" s="251"/>
      <c r="G22" s="135"/>
      <c r="H22" s="133"/>
      <c r="I22" s="133"/>
      <c r="J22" s="133"/>
      <c r="K22" s="222" t="s">
        <v>1105</v>
      </c>
      <c r="L22" s="221">
        <f t="shared" si="4"/>
        <v>0</v>
      </c>
      <c r="M22" s="221">
        <f t="shared" si="4"/>
        <v>0</v>
      </c>
      <c r="N22" s="221">
        <f t="shared" si="4"/>
        <v>0</v>
      </c>
      <c r="O22" s="221">
        <f t="shared" si="4"/>
        <v>0</v>
      </c>
      <c r="P22" s="221">
        <f t="shared" si="4"/>
        <v>0</v>
      </c>
      <c r="Q22" s="221">
        <f t="shared" si="4"/>
        <v>0</v>
      </c>
      <c r="R22" s="220"/>
      <c r="S22" s="219"/>
      <c r="T22" s="218"/>
      <c r="U22" s="217"/>
      <c r="V22" s="216"/>
      <c r="W22" s="197"/>
      <c r="X22" s="186">
        <f>IF(L$19=0,0,L22/L$19*X$19)</f>
        <v>0</v>
      </c>
      <c r="Y22" s="188"/>
      <c r="Z22" s="187"/>
      <c r="AA22" s="186">
        <f>IF(M$19=0,0,M22/M$19*AA$19)</f>
        <v>0</v>
      </c>
      <c r="AB22" s="188"/>
      <c r="AC22" s="187"/>
      <c r="AD22" s="186">
        <f>IF(N$19=0,0,N22/N$19*AD$19)</f>
        <v>0</v>
      </c>
      <c r="AE22" s="188"/>
      <c r="AF22" s="187"/>
      <c r="AG22" s="186">
        <f>IF(O$19=0,0,O22/O$19*AG$19)</f>
        <v>0</v>
      </c>
      <c r="AH22" s="188"/>
      <c r="AI22" s="187"/>
      <c r="AJ22" s="186">
        <f>IF(P$19=0,0,P22/P$19*AJ$19)</f>
        <v>0</v>
      </c>
      <c r="AK22" s="188"/>
      <c r="AL22" s="187"/>
      <c r="AM22" s="186">
        <f>IF(Q$19=0,0,Q22/Q$19*AM$19)</f>
        <v>0</v>
      </c>
      <c r="AN22" s="188"/>
      <c r="AO22" s="130"/>
      <c r="AP22" s="255"/>
      <c r="AQ22" s="255"/>
      <c r="AR22" s="255"/>
      <c r="AS22" s="255"/>
      <c r="AT22" s="255"/>
      <c r="AU22" s="255"/>
      <c r="AV22" s="255"/>
      <c r="AW22" s="255"/>
      <c r="AX22" s="255"/>
      <c r="AY22" s="255"/>
      <c r="AZ22" s="255"/>
      <c r="BA22" s="255"/>
    </row>
    <row r="23" spans="2:53" s="255" customFormat="1" ht="18" customHeight="1">
      <c r="B23" s="146" t="s">
        <v>1130</v>
      </c>
      <c r="C23" s="253"/>
      <c r="D23" s="254">
        <f>'Infos Macro'!$B$25</f>
        <v>3.8600000000000002E-2</v>
      </c>
      <c r="E23" s="251"/>
      <c r="G23" s="135"/>
      <c r="H23" s="133"/>
      <c r="I23" s="133"/>
      <c r="J23" s="228" t="s">
        <v>1111</v>
      </c>
      <c r="K23" s="227"/>
      <c r="L23" s="227">
        <f t="shared" ref="L23:Q23" si="5">L13*L$17</f>
        <v>0</v>
      </c>
      <c r="M23" s="227">
        <f t="shared" si="5"/>
        <v>0.06</v>
      </c>
      <c r="N23" s="227">
        <f t="shared" si="5"/>
        <v>4.4999999999999998E-2</v>
      </c>
      <c r="O23" s="227">
        <f t="shared" si="5"/>
        <v>0.03</v>
      </c>
      <c r="P23" s="227">
        <f t="shared" si="5"/>
        <v>1.0000000000000002E-2</v>
      </c>
      <c r="Q23" s="227">
        <f t="shared" si="5"/>
        <v>0</v>
      </c>
      <c r="R23" s="220"/>
      <c r="S23" s="219"/>
      <c r="T23" s="218"/>
      <c r="U23" s="217"/>
      <c r="V23" s="216"/>
      <c r="W23" s="226"/>
      <c r="X23" s="224">
        <f>X13*L$17</f>
        <v>0</v>
      </c>
      <c r="Y23" s="223"/>
      <c r="Z23" s="225"/>
      <c r="AA23" s="224">
        <f>AA13*M$17</f>
        <v>0.06</v>
      </c>
      <c r="AB23" s="223"/>
      <c r="AC23" s="225"/>
      <c r="AD23" s="224">
        <f>AD13*N$17</f>
        <v>4.4999999999999998E-2</v>
      </c>
      <c r="AE23" s="223"/>
      <c r="AF23" s="225"/>
      <c r="AG23" s="224">
        <f>AG13*O$17</f>
        <v>0.03</v>
      </c>
      <c r="AH23" s="223"/>
      <c r="AI23" s="225"/>
      <c r="AJ23" s="224">
        <f>AJ13*P$17</f>
        <v>1.0000000000000002E-2</v>
      </c>
      <c r="AK23" s="223"/>
      <c r="AL23" s="225"/>
      <c r="AM23" s="224">
        <f>AM13*Q$17</f>
        <v>0</v>
      </c>
      <c r="AN23" s="223"/>
      <c r="AO23" s="130"/>
    </row>
    <row r="24" spans="2:53" ht="18" customHeight="1">
      <c r="B24" s="146" t="s">
        <v>1129</v>
      </c>
      <c r="C24" s="253"/>
      <c r="D24" s="254">
        <f>'Infos Macro'!$B$26</f>
        <v>4.2900000000000001E-2</v>
      </c>
      <c r="E24" s="251"/>
      <c r="F24" s="130"/>
      <c r="G24" s="135"/>
      <c r="H24" s="133"/>
      <c r="I24" s="133"/>
      <c r="J24" s="133"/>
      <c r="K24" s="222" t="s">
        <v>1109</v>
      </c>
      <c r="L24" s="221">
        <f t="shared" ref="L24:Q26" si="6">IF(L$23=0,0,L$23*(L14/L$13))</f>
        <v>0</v>
      </c>
      <c r="M24" s="221">
        <f t="shared" si="6"/>
        <v>0.06</v>
      </c>
      <c r="N24" s="221">
        <f t="shared" si="6"/>
        <v>4.4999999999999998E-2</v>
      </c>
      <c r="O24" s="221">
        <f t="shared" si="6"/>
        <v>0</v>
      </c>
      <c r="P24" s="221">
        <f t="shared" si="6"/>
        <v>1.0000000000000002E-2</v>
      </c>
      <c r="Q24" s="221">
        <f t="shared" si="6"/>
        <v>0</v>
      </c>
      <c r="R24" s="220"/>
      <c r="S24" s="219"/>
      <c r="T24" s="218"/>
      <c r="U24" s="217"/>
      <c r="V24" s="216"/>
      <c r="W24" s="197"/>
      <c r="X24" s="186">
        <f>IF(L$23=0,0,L24/L$23*X$23)</f>
        <v>0</v>
      </c>
      <c r="Y24" s="188"/>
      <c r="Z24" s="187"/>
      <c r="AA24" s="186">
        <f>IF(M$23=0,0,M24/M$23*AA$23)</f>
        <v>0.06</v>
      </c>
      <c r="AB24" s="188"/>
      <c r="AC24" s="187"/>
      <c r="AD24" s="186">
        <f>IF(N$23=0,0,N24/N$23*AD$23)</f>
        <v>4.4999999999999998E-2</v>
      </c>
      <c r="AE24" s="188"/>
      <c r="AF24" s="187"/>
      <c r="AG24" s="186">
        <f>IF(O$23=0,0,O24/O$23*AG$23)</f>
        <v>0</v>
      </c>
      <c r="AH24" s="188"/>
      <c r="AI24" s="187"/>
      <c r="AJ24" s="186">
        <f>IF(P$23=0,0,P24/P$23*AJ$23)</f>
        <v>1.0000000000000002E-2</v>
      </c>
      <c r="AK24" s="188"/>
      <c r="AL24" s="187"/>
      <c r="AM24" s="186">
        <f>IF(Q$23=0,0,Q24/Q$23*AM$23)</f>
        <v>0</v>
      </c>
      <c r="AN24" s="188"/>
      <c r="AO24" s="130"/>
    </row>
    <row r="25" spans="2:53" s="130" customFormat="1" ht="18" customHeight="1">
      <c r="B25" s="146" t="s">
        <v>1128</v>
      </c>
      <c r="C25" s="253"/>
      <c r="D25" s="254">
        <f>'Infos Macro'!$B$28</f>
        <v>0.03</v>
      </c>
      <c r="E25" s="251"/>
      <c r="G25" s="135"/>
      <c r="H25" s="133"/>
      <c r="I25" s="133"/>
      <c r="J25" s="133"/>
      <c r="K25" s="222" t="s">
        <v>1107</v>
      </c>
      <c r="L25" s="221">
        <f t="shared" si="6"/>
        <v>0</v>
      </c>
      <c r="M25" s="221">
        <f t="shared" si="6"/>
        <v>0</v>
      </c>
      <c r="N25" s="221">
        <f t="shared" si="6"/>
        <v>0</v>
      </c>
      <c r="O25" s="221">
        <f t="shared" si="6"/>
        <v>0.03</v>
      </c>
      <c r="P25" s="221">
        <f t="shared" si="6"/>
        <v>0</v>
      </c>
      <c r="Q25" s="221">
        <f t="shared" si="6"/>
        <v>0</v>
      </c>
      <c r="R25" s="220"/>
      <c r="S25" s="219"/>
      <c r="T25" s="218"/>
      <c r="U25" s="217"/>
      <c r="V25" s="216"/>
      <c r="W25" s="197"/>
      <c r="X25" s="186">
        <f>IF(L$23=0,0,L25/L$23*X$23)</f>
        <v>0</v>
      </c>
      <c r="Y25" s="188"/>
      <c r="Z25" s="187"/>
      <c r="AA25" s="186">
        <f>IF(M$23=0,0,M25/M$23*AA$23)</f>
        <v>0</v>
      </c>
      <c r="AB25" s="188"/>
      <c r="AC25" s="187"/>
      <c r="AD25" s="186">
        <f>IF(N$23=0,0,N25/N$23*AD$23)</f>
        <v>0</v>
      </c>
      <c r="AE25" s="188"/>
      <c r="AF25" s="187"/>
      <c r="AG25" s="186">
        <f>IF(O$23=0,0,O25/O$23*AG$23)</f>
        <v>0.03</v>
      </c>
      <c r="AH25" s="188"/>
      <c r="AI25" s="187"/>
      <c r="AJ25" s="186">
        <f>IF(P$23=0,0,P25/P$23*AJ$23)</f>
        <v>0</v>
      </c>
      <c r="AK25" s="188"/>
      <c r="AL25" s="187"/>
      <c r="AM25" s="186">
        <f>IF(Q$23=0,0,Q25/Q$23*AM$23)</f>
        <v>0</v>
      </c>
      <c r="AN25" s="188"/>
      <c r="AO25" s="112"/>
    </row>
    <row r="26" spans="2:53" ht="18" customHeight="1">
      <c r="B26" s="146" t="s">
        <v>1127</v>
      </c>
      <c r="C26" s="253"/>
      <c r="D26" s="254">
        <f>'Infos Macro'!$B$29</f>
        <v>1.4500000000000001E-2</v>
      </c>
      <c r="E26" s="251"/>
      <c r="F26" s="130"/>
      <c r="G26" s="215"/>
      <c r="H26" s="214"/>
      <c r="I26" s="214"/>
      <c r="J26" s="214"/>
      <c r="K26" s="213" t="s">
        <v>1105</v>
      </c>
      <c r="L26" s="212">
        <f t="shared" si="6"/>
        <v>0</v>
      </c>
      <c r="M26" s="212">
        <f t="shared" si="6"/>
        <v>0</v>
      </c>
      <c r="N26" s="212">
        <f t="shared" si="6"/>
        <v>0</v>
      </c>
      <c r="O26" s="212">
        <f t="shared" si="6"/>
        <v>0</v>
      </c>
      <c r="P26" s="212">
        <f t="shared" si="6"/>
        <v>0</v>
      </c>
      <c r="Q26" s="256">
        <f t="shared" si="6"/>
        <v>0</v>
      </c>
      <c r="R26" s="211"/>
      <c r="S26" s="210"/>
      <c r="T26" s="209"/>
      <c r="U26" s="208"/>
      <c r="V26" s="207"/>
      <c r="W26" s="197"/>
      <c r="X26" s="186">
        <f>IF(L$23=0,0,L26/L$23*X$23)</f>
        <v>0</v>
      </c>
      <c r="Y26" s="188"/>
      <c r="Z26" s="187"/>
      <c r="AA26" s="186">
        <f>IF(M$23=0,0,M26/M$23*AA$23)</f>
        <v>0</v>
      </c>
      <c r="AB26" s="188"/>
      <c r="AC26" s="187"/>
      <c r="AD26" s="186">
        <f>IF(N$23=0,0,N26/N$23*AD$23)</f>
        <v>0</v>
      </c>
      <c r="AE26" s="188"/>
      <c r="AF26" s="187"/>
      <c r="AG26" s="186">
        <f>IF(O$23=0,0,O26/O$23*AG$23)</f>
        <v>0</v>
      </c>
      <c r="AH26" s="188"/>
      <c r="AI26" s="187"/>
      <c r="AJ26" s="186">
        <f>IF(P$23=0,0,P26/P$23*AJ$23)</f>
        <v>0</v>
      </c>
      <c r="AK26" s="188"/>
      <c r="AL26" s="187"/>
      <c r="AM26" s="186">
        <f>IF(Q$23=0,0,Q26/Q$23*AM$23)</f>
        <v>0</v>
      </c>
      <c r="AN26" s="188"/>
      <c r="AO26" s="255"/>
    </row>
    <row r="27" spans="2:53" ht="18" customHeight="1">
      <c r="B27" s="146" t="s">
        <v>1126</v>
      </c>
      <c r="C27" s="253"/>
      <c r="D27" s="254">
        <f>'Infos Macro'!$B$30</f>
        <v>1.2E-2</v>
      </c>
      <c r="E27" s="251"/>
      <c r="G27" s="135"/>
      <c r="H27" s="133"/>
      <c r="I27" s="236" t="s">
        <v>1125</v>
      </c>
      <c r="J27" s="133"/>
      <c r="K27" s="222"/>
      <c r="L27" s="235">
        <v>0.5</v>
      </c>
      <c r="M27" s="235">
        <v>0.55000000000000004</v>
      </c>
      <c r="N27" s="235">
        <v>0.625</v>
      </c>
      <c r="O27" s="235">
        <v>0.67500000000000004</v>
      </c>
      <c r="P27" s="235">
        <v>0.7</v>
      </c>
      <c r="Q27" s="235">
        <v>0</v>
      </c>
      <c r="R27" s="220"/>
      <c r="S27" s="219"/>
      <c r="T27" s="218"/>
      <c r="U27" s="217"/>
      <c r="V27" s="216"/>
      <c r="W27" s="234"/>
      <c r="X27" s="232"/>
      <c r="Y27" s="231"/>
      <c r="Z27" s="233"/>
      <c r="AA27" s="232"/>
      <c r="AB27" s="231"/>
      <c r="AC27" s="233"/>
      <c r="AD27" s="232"/>
      <c r="AE27" s="231"/>
      <c r="AF27" s="233"/>
      <c r="AG27" s="232"/>
      <c r="AH27" s="231"/>
      <c r="AI27" s="233"/>
      <c r="AJ27" s="232"/>
      <c r="AK27" s="231"/>
      <c r="AL27" s="233"/>
      <c r="AM27" s="232"/>
      <c r="AN27" s="231"/>
    </row>
    <row r="28" spans="2:53" ht="18" customHeight="1">
      <c r="B28" s="146" t="s">
        <v>1124</v>
      </c>
      <c r="C28" s="253"/>
      <c r="D28" s="254">
        <f>'Infos Macro'!$B$31</f>
        <v>0.03</v>
      </c>
      <c r="E28" s="251"/>
      <c r="G28" s="135"/>
      <c r="H28" s="133"/>
      <c r="I28" s="133"/>
      <c r="J28" s="228" t="s">
        <v>1117</v>
      </c>
      <c r="K28" s="227"/>
      <c r="L28" s="221">
        <f t="shared" ref="L28:Q29" si="7">L8*L$27</f>
        <v>0.5</v>
      </c>
      <c r="M28" s="221">
        <f t="shared" si="7"/>
        <v>0.41250000000000003</v>
      </c>
      <c r="N28" s="221">
        <f t="shared" si="7"/>
        <v>0.34375</v>
      </c>
      <c r="O28" s="221">
        <f t="shared" si="7"/>
        <v>0.23624999999999999</v>
      </c>
      <c r="P28" s="221">
        <f t="shared" si="7"/>
        <v>0.17499999999999999</v>
      </c>
      <c r="Q28" s="221">
        <f t="shared" si="7"/>
        <v>0</v>
      </c>
      <c r="R28" s="220"/>
      <c r="S28" s="219"/>
      <c r="T28" s="218"/>
      <c r="U28" s="217"/>
      <c r="V28" s="216"/>
      <c r="W28" s="197"/>
      <c r="X28" s="186">
        <f>X8*L$27</f>
        <v>0.5</v>
      </c>
      <c r="Y28" s="188"/>
      <c r="Z28" s="187"/>
      <c r="AA28" s="186">
        <f>AA8*M$27</f>
        <v>0.41250000000000003</v>
      </c>
      <c r="AB28" s="188"/>
      <c r="AC28" s="187"/>
      <c r="AD28" s="186">
        <f>AD8*N$27</f>
        <v>0.34375</v>
      </c>
      <c r="AE28" s="188"/>
      <c r="AF28" s="187"/>
      <c r="AG28" s="186">
        <f>AG8*O$27</f>
        <v>0.23624999999999999</v>
      </c>
      <c r="AH28" s="188"/>
      <c r="AI28" s="187"/>
      <c r="AJ28" s="186">
        <f>AJ8*P$27</f>
        <v>0.17499999999999999</v>
      </c>
      <c r="AK28" s="188"/>
      <c r="AL28" s="187"/>
      <c r="AM28" s="186">
        <f>AM8*Q$27</f>
        <v>0</v>
      </c>
      <c r="AN28" s="188"/>
      <c r="AO28" s="130"/>
    </row>
    <row r="29" spans="2:53" ht="18" customHeight="1">
      <c r="B29" s="135" t="s">
        <v>1078</v>
      </c>
      <c r="C29" s="253"/>
      <c r="D29" s="252">
        <f>'Infos Macro'!$B$38</f>
        <v>6099</v>
      </c>
      <c r="E29" s="251"/>
      <c r="G29" s="135"/>
      <c r="H29" s="133"/>
      <c r="I29" s="133"/>
      <c r="J29" s="228" t="s">
        <v>1115</v>
      </c>
      <c r="K29" s="227"/>
      <c r="L29" s="227">
        <f t="shared" si="7"/>
        <v>0</v>
      </c>
      <c r="M29" s="227">
        <f t="shared" si="7"/>
        <v>2.7500000000000004E-2</v>
      </c>
      <c r="N29" s="227">
        <f t="shared" si="7"/>
        <v>6.25E-2</v>
      </c>
      <c r="O29" s="227">
        <f t="shared" si="7"/>
        <v>6.7500000000000004E-2</v>
      </c>
      <c r="P29" s="227">
        <f t="shared" si="7"/>
        <v>3.4999999999999996E-2</v>
      </c>
      <c r="Q29" s="227">
        <f t="shared" si="7"/>
        <v>0</v>
      </c>
      <c r="R29" s="220"/>
      <c r="S29" s="219"/>
      <c r="T29" s="218"/>
      <c r="U29" s="217"/>
      <c r="V29" s="216"/>
      <c r="W29" s="226"/>
      <c r="X29" s="224">
        <f>X9*L$27</f>
        <v>0</v>
      </c>
      <c r="Y29" s="223"/>
      <c r="Z29" s="225"/>
      <c r="AA29" s="224">
        <f>AA9*M$27</f>
        <v>2.7500000000000004E-2</v>
      </c>
      <c r="AB29" s="223"/>
      <c r="AC29" s="225"/>
      <c r="AD29" s="224">
        <f>AD9*N$27</f>
        <v>6.25E-2</v>
      </c>
      <c r="AE29" s="223"/>
      <c r="AF29" s="225"/>
      <c r="AG29" s="224">
        <f>AG9*O$27</f>
        <v>6.7500000000000004E-2</v>
      </c>
      <c r="AH29" s="223"/>
      <c r="AI29" s="225"/>
      <c r="AJ29" s="224">
        <f>AJ9*P$27</f>
        <v>3.4999999999999996E-2</v>
      </c>
      <c r="AK29" s="223"/>
      <c r="AL29" s="225"/>
      <c r="AM29" s="224">
        <f>AM9*Q$27</f>
        <v>0</v>
      </c>
      <c r="AN29" s="223"/>
    </row>
    <row r="30" spans="2:53" ht="18" customHeight="1">
      <c r="B30" s="146" t="s">
        <v>1076</v>
      </c>
      <c r="C30" s="253"/>
      <c r="D30" s="252">
        <f>'Infos Macro'!$B$39</f>
        <v>19936.29</v>
      </c>
      <c r="E30" s="251"/>
      <c r="G30" s="135"/>
      <c r="H30" s="133"/>
      <c r="I30" s="133"/>
      <c r="J30" s="133"/>
      <c r="K30" s="222" t="s">
        <v>1109</v>
      </c>
      <c r="L30" s="221">
        <f t="shared" ref="L30:Q32" si="8">IF(L$29=0,0,L$29*(L10/L$9))</f>
        <v>0</v>
      </c>
      <c r="M30" s="221">
        <f t="shared" si="8"/>
        <v>2.7500000000000004E-2</v>
      </c>
      <c r="N30" s="221">
        <f t="shared" si="8"/>
        <v>6.25E-2</v>
      </c>
      <c r="O30" s="221">
        <f t="shared" si="8"/>
        <v>6.7500000000000004E-2</v>
      </c>
      <c r="P30" s="221">
        <f t="shared" si="8"/>
        <v>3.4999999999999996E-2</v>
      </c>
      <c r="Q30" s="221">
        <f t="shared" si="8"/>
        <v>0</v>
      </c>
      <c r="R30" s="220"/>
      <c r="S30" s="219"/>
      <c r="T30" s="218"/>
      <c r="U30" s="217"/>
      <c r="V30" s="216"/>
      <c r="W30" s="197"/>
      <c r="X30" s="186">
        <f>IF(L$29=0,0,L30/L$29*X$29)</f>
        <v>0</v>
      </c>
      <c r="Y30" s="188"/>
      <c r="Z30" s="187"/>
      <c r="AA30" s="186">
        <f>IF(M$29=0,0,M30/M$29*AA$29)</f>
        <v>2.7500000000000004E-2</v>
      </c>
      <c r="AB30" s="188"/>
      <c r="AC30" s="187"/>
      <c r="AD30" s="186">
        <f>IF(N$29=0,0,N30/N$29*AD$29)</f>
        <v>6.25E-2</v>
      </c>
      <c r="AE30" s="188"/>
      <c r="AF30" s="187"/>
      <c r="AG30" s="186">
        <f>IF(O$29=0,0,O30/O$29*AG$29)</f>
        <v>6.7500000000000004E-2</v>
      </c>
      <c r="AH30" s="188"/>
      <c r="AI30" s="187"/>
      <c r="AJ30" s="186">
        <f>IF(P$29=0,0,P30/P$29*AJ$29)</f>
        <v>3.4999999999999996E-2</v>
      </c>
      <c r="AK30" s="188"/>
      <c r="AL30" s="187"/>
      <c r="AM30" s="186">
        <f>IF(Q$29=0,0,Q30/Q$29*AM$29)</f>
        <v>0</v>
      </c>
      <c r="AN30" s="188"/>
      <c r="AV30" s="246"/>
      <c r="AW30" s="246"/>
      <c r="AX30" s="246"/>
      <c r="AY30" s="246"/>
      <c r="AZ30" s="246"/>
      <c r="BA30" s="246"/>
    </row>
    <row r="31" spans="2:53" ht="18" customHeight="1">
      <c r="B31" s="250" t="s">
        <v>1074</v>
      </c>
      <c r="C31" s="249"/>
      <c r="D31" s="248">
        <f>'Infos Macro'!$B$40</f>
        <v>2162.8000000000002</v>
      </c>
      <c r="E31" s="247"/>
      <c r="G31" s="135"/>
      <c r="H31" s="133"/>
      <c r="I31" s="133"/>
      <c r="J31" s="133"/>
      <c r="K31" s="222" t="s">
        <v>1107</v>
      </c>
      <c r="L31" s="221">
        <f t="shared" si="8"/>
        <v>0</v>
      </c>
      <c r="M31" s="221">
        <f t="shared" si="8"/>
        <v>0</v>
      </c>
      <c r="N31" s="221">
        <f t="shared" si="8"/>
        <v>0</v>
      </c>
      <c r="O31" s="221">
        <f t="shared" si="8"/>
        <v>0</v>
      </c>
      <c r="P31" s="221">
        <f t="shared" si="8"/>
        <v>0</v>
      </c>
      <c r="Q31" s="221">
        <f t="shared" si="8"/>
        <v>0</v>
      </c>
      <c r="R31" s="220"/>
      <c r="S31" s="219"/>
      <c r="T31" s="218"/>
      <c r="U31" s="217"/>
      <c r="V31" s="216"/>
      <c r="W31" s="197"/>
      <c r="X31" s="186">
        <f>IF(L$29=0,0,L31/L$29*X$29)</f>
        <v>0</v>
      </c>
      <c r="Y31" s="188"/>
      <c r="Z31" s="187"/>
      <c r="AA31" s="186">
        <f>IF(M$29=0,0,M31/M$29*AA$29)</f>
        <v>0</v>
      </c>
      <c r="AB31" s="188"/>
      <c r="AC31" s="187"/>
      <c r="AD31" s="186">
        <f>IF(N$29=0,0,N31/N$29*AD$29)</f>
        <v>0</v>
      </c>
      <c r="AE31" s="188"/>
      <c r="AF31" s="187"/>
      <c r="AG31" s="186">
        <f>IF(O$29=0,0,O31/O$29*AG$29)</f>
        <v>0</v>
      </c>
      <c r="AH31" s="188"/>
      <c r="AI31" s="187"/>
      <c r="AJ31" s="186">
        <f>IF(P$29=0,0,P31/P$29*AJ$29)</f>
        <v>0</v>
      </c>
      <c r="AK31" s="188"/>
      <c r="AL31" s="187"/>
      <c r="AM31" s="186">
        <f>IF(Q$29=0,0,Q31/Q$29*AM$29)</f>
        <v>0</v>
      </c>
      <c r="AN31" s="188"/>
      <c r="AV31" s="246"/>
      <c r="AW31" s="246"/>
      <c r="AX31" s="246"/>
      <c r="AY31" s="246"/>
      <c r="AZ31" s="246"/>
      <c r="BA31" s="246"/>
    </row>
    <row r="32" spans="2:53" ht="18" customHeight="1">
      <c r="B32" s="161"/>
      <c r="C32" s="161"/>
      <c r="D32" s="161"/>
      <c r="E32" s="161"/>
      <c r="G32" s="135"/>
      <c r="H32" s="133"/>
      <c r="I32" s="133"/>
      <c r="J32" s="133"/>
      <c r="K32" s="222" t="s">
        <v>1105</v>
      </c>
      <c r="L32" s="221">
        <f t="shared" si="8"/>
        <v>0</v>
      </c>
      <c r="M32" s="221">
        <f t="shared" si="8"/>
        <v>0</v>
      </c>
      <c r="N32" s="221">
        <f t="shared" si="8"/>
        <v>0</v>
      </c>
      <c r="O32" s="221">
        <f t="shared" si="8"/>
        <v>0</v>
      </c>
      <c r="P32" s="221">
        <f t="shared" si="8"/>
        <v>0</v>
      </c>
      <c r="Q32" s="221">
        <f t="shared" si="8"/>
        <v>0</v>
      </c>
      <c r="R32" s="220"/>
      <c r="S32" s="219"/>
      <c r="T32" s="218"/>
      <c r="U32" s="217"/>
      <c r="V32" s="216"/>
      <c r="W32" s="197"/>
      <c r="X32" s="186">
        <f>IF(L$29=0,0,L32/L$29*X$29)</f>
        <v>0</v>
      </c>
      <c r="Y32" s="188"/>
      <c r="Z32" s="187"/>
      <c r="AA32" s="186">
        <f>IF(M$29=0,0,M32/M$29*AA$29)</f>
        <v>0</v>
      </c>
      <c r="AB32" s="188"/>
      <c r="AC32" s="187"/>
      <c r="AD32" s="186">
        <f>IF(N$29=0,0,N32/N$29*AD$29)</f>
        <v>0</v>
      </c>
      <c r="AE32" s="188"/>
      <c r="AF32" s="187"/>
      <c r="AG32" s="186">
        <f>IF(O$29=0,0,O32/O$29*AG$29)</f>
        <v>0</v>
      </c>
      <c r="AH32" s="188"/>
      <c r="AI32" s="187"/>
      <c r="AJ32" s="186">
        <f>IF(P$29=0,0,P32/P$29*AJ$29)</f>
        <v>0</v>
      </c>
      <c r="AK32" s="188"/>
      <c r="AL32" s="187"/>
      <c r="AM32" s="186">
        <f>IF(Q$29=0,0,Q32/Q$29*AM$29)</f>
        <v>0</v>
      </c>
      <c r="AN32" s="188"/>
      <c r="AV32" s="246"/>
      <c r="AW32" s="246"/>
      <c r="AX32" s="246"/>
      <c r="AY32" s="246"/>
      <c r="AZ32" s="246"/>
      <c r="BA32" s="246"/>
    </row>
    <row r="33" spans="2:53" ht="18" customHeight="1">
      <c r="B33" s="245" t="s">
        <v>1123</v>
      </c>
      <c r="C33" s="243" t="s">
        <v>1122</v>
      </c>
      <c r="D33" s="242">
        <v>1</v>
      </c>
      <c r="E33" s="241"/>
      <c r="G33" s="135"/>
      <c r="H33" s="133"/>
      <c r="I33" s="133"/>
      <c r="J33" s="228" t="s">
        <v>1111</v>
      </c>
      <c r="K33" s="227"/>
      <c r="L33" s="227">
        <f t="shared" ref="L33:Q33" si="9">L13*L$27</f>
        <v>0</v>
      </c>
      <c r="M33" s="227">
        <f t="shared" si="9"/>
        <v>8.2500000000000004E-2</v>
      </c>
      <c r="N33" s="227">
        <f t="shared" si="9"/>
        <v>9.375E-2</v>
      </c>
      <c r="O33" s="227">
        <f t="shared" si="9"/>
        <v>0.10125000000000001</v>
      </c>
      <c r="P33" s="227">
        <f t="shared" si="9"/>
        <v>6.9999999999999993E-2</v>
      </c>
      <c r="Q33" s="227">
        <f t="shared" si="9"/>
        <v>0</v>
      </c>
      <c r="R33" s="220"/>
      <c r="S33" s="219"/>
      <c r="T33" s="218"/>
      <c r="U33" s="217"/>
      <c r="V33" s="216"/>
      <c r="W33" s="226"/>
      <c r="X33" s="224">
        <f>X13*L$27</f>
        <v>0</v>
      </c>
      <c r="Y33" s="223"/>
      <c r="Z33" s="225"/>
      <c r="AA33" s="224">
        <f>AA13*M$27</f>
        <v>8.2500000000000004E-2</v>
      </c>
      <c r="AB33" s="223"/>
      <c r="AC33" s="225"/>
      <c r="AD33" s="224">
        <f>AD13*N$27</f>
        <v>9.375E-2</v>
      </c>
      <c r="AE33" s="223"/>
      <c r="AF33" s="225"/>
      <c r="AG33" s="224">
        <f>AG13*O$27</f>
        <v>0.10125000000000001</v>
      </c>
      <c r="AH33" s="223"/>
      <c r="AI33" s="225"/>
      <c r="AJ33" s="224">
        <f>AJ13*P$27</f>
        <v>6.9999999999999993E-2</v>
      </c>
      <c r="AK33" s="223"/>
      <c r="AL33" s="225"/>
      <c r="AM33" s="224">
        <f>AM13*Q$27</f>
        <v>0</v>
      </c>
      <c r="AN33" s="223"/>
    </row>
    <row r="34" spans="2:53" ht="18" customHeight="1">
      <c r="B34" s="130"/>
      <c r="C34" s="243" t="s">
        <v>1121</v>
      </c>
      <c r="D34" s="242">
        <v>3</v>
      </c>
      <c r="E34" s="241"/>
      <c r="G34" s="135"/>
      <c r="H34" s="133"/>
      <c r="I34" s="133"/>
      <c r="J34" s="133"/>
      <c r="K34" s="222" t="s">
        <v>1109</v>
      </c>
      <c r="L34" s="221">
        <f t="shared" ref="L34:Q36" si="10">IF(L$33=0,0,L$33*(L14/L$13))</f>
        <v>0</v>
      </c>
      <c r="M34" s="221">
        <f t="shared" si="10"/>
        <v>8.2500000000000004E-2</v>
      </c>
      <c r="N34" s="221">
        <f t="shared" si="10"/>
        <v>9.375E-2</v>
      </c>
      <c r="O34" s="221">
        <f t="shared" si="10"/>
        <v>0</v>
      </c>
      <c r="P34" s="221">
        <f t="shared" si="10"/>
        <v>6.9999999999999993E-2</v>
      </c>
      <c r="Q34" s="221">
        <f t="shared" si="10"/>
        <v>0</v>
      </c>
      <c r="R34" s="220"/>
      <c r="S34" s="219"/>
      <c r="T34" s="218"/>
      <c r="U34" s="217"/>
      <c r="V34" s="216"/>
      <c r="W34" s="197"/>
      <c r="X34" s="186">
        <f>IF(L$33=0,0,L34/L$33*X$33)</f>
        <v>0</v>
      </c>
      <c r="Y34" s="188"/>
      <c r="Z34" s="187"/>
      <c r="AA34" s="186">
        <f>IF(M$33=0,0,M34/M$33*AA$33)</f>
        <v>8.2500000000000004E-2</v>
      </c>
      <c r="AB34" s="188"/>
      <c r="AC34" s="187"/>
      <c r="AD34" s="186">
        <f>IF(N$33=0,0,N34/N$33*AD$33)</f>
        <v>9.375E-2</v>
      </c>
      <c r="AE34" s="188"/>
      <c r="AF34" s="187"/>
      <c r="AG34" s="186">
        <f>IF(O$33=0,0,O34/O$33*AG$33)</f>
        <v>0</v>
      </c>
      <c r="AH34" s="188"/>
      <c r="AI34" s="187"/>
      <c r="AJ34" s="186">
        <f>IF(P$33=0,0,P34/P$33*AJ$33)</f>
        <v>6.9999999999999993E-2</v>
      </c>
      <c r="AK34" s="188"/>
      <c r="AL34" s="187"/>
      <c r="AM34" s="186">
        <f>IF(Q$33=0,0,Q34/Q$33*AM$33)</f>
        <v>0</v>
      </c>
      <c r="AN34" s="188"/>
    </row>
    <row r="35" spans="2:53" ht="18" customHeight="1">
      <c r="B35" s="244"/>
      <c r="C35" s="243" t="s">
        <v>1120</v>
      </c>
      <c r="D35" s="242">
        <v>6</v>
      </c>
      <c r="E35" s="241"/>
      <c r="G35" s="135"/>
      <c r="H35" s="133"/>
      <c r="I35" s="133"/>
      <c r="J35" s="133"/>
      <c r="K35" s="222" t="s">
        <v>1107</v>
      </c>
      <c r="L35" s="221">
        <f t="shared" si="10"/>
        <v>0</v>
      </c>
      <c r="M35" s="221">
        <f t="shared" si="10"/>
        <v>0</v>
      </c>
      <c r="N35" s="221">
        <f t="shared" si="10"/>
        <v>0</v>
      </c>
      <c r="O35" s="221">
        <f t="shared" si="10"/>
        <v>0.10125000000000001</v>
      </c>
      <c r="P35" s="221">
        <f t="shared" si="10"/>
        <v>0</v>
      </c>
      <c r="Q35" s="221">
        <f t="shared" si="10"/>
        <v>0</v>
      </c>
      <c r="R35" s="220"/>
      <c r="S35" s="219"/>
      <c r="T35" s="218"/>
      <c r="U35" s="217"/>
      <c r="V35" s="216"/>
      <c r="W35" s="197"/>
      <c r="X35" s="186">
        <f>IF(L$33=0,0,L35/L$33*X$33)</f>
        <v>0</v>
      </c>
      <c r="Y35" s="188"/>
      <c r="Z35" s="187"/>
      <c r="AA35" s="186">
        <f>IF(M$33=0,0,M35/M$33*AA$33)</f>
        <v>0</v>
      </c>
      <c r="AB35" s="188"/>
      <c r="AC35" s="187"/>
      <c r="AD35" s="186">
        <f>IF(N$33=0,0,N35/N$33*AD$33)</f>
        <v>0</v>
      </c>
      <c r="AE35" s="188"/>
      <c r="AF35" s="187"/>
      <c r="AG35" s="186">
        <f>IF(O$33=0,0,O35/O$33*AG$33)</f>
        <v>0.10125000000000001</v>
      </c>
      <c r="AH35" s="188"/>
      <c r="AI35" s="187"/>
      <c r="AJ35" s="186">
        <f>IF(P$33=0,0,P35/P$33*AJ$33)</f>
        <v>0</v>
      </c>
      <c r="AK35" s="188"/>
      <c r="AL35" s="187"/>
      <c r="AM35" s="186">
        <f>IF(Q$33=0,0,Q35/Q$33*AM$33)</f>
        <v>0</v>
      </c>
      <c r="AN35" s="188"/>
    </row>
    <row r="36" spans="2:53" ht="18" customHeight="1">
      <c r="G36" s="215"/>
      <c r="H36" s="214"/>
      <c r="I36" s="214"/>
      <c r="J36" s="214"/>
      <c r="K36" s="213" t="s">
        <v>1105</v>
      </c>
      <c r="L36" s="212">
        <f t="shared" si="10"/>
        <v>0</v>
      </c>
      <c r="M36" s="212">
        <f t="shared" si="10"/>
        <v>0</v>
      </c>
      <c r="N36" s="212">
        <f t="shared" si="10"/>
        <v>0</v>
      </c>
      <c r="O36" s="212">
        <f t="shared" si="10"/>
        <v>0</v>
      </c>
      <c r="P36" s="212">
        <f t="shared" si="10"/>
        <v>0</v>
      </c>
      <c r="Q36" s="212">
        <f t="shared" si="10"/>
        <v>0</v>
      </c>
      <c r="R36" s="211"/>
      <c r="S36" s="210"/>
      <c r="T36" s="209"/>
      <c r="U36" s="208"/>
      <c r="V36" s="207"/>
      <c r="W36" s="197"/>
      <c r="X36" s="186">
        <f>IF(L$33=0,0,L36/L$33*X$33)</f>
        <v>0</v>
      </c>
      <c r="Y36" s="188"/>
      <c r="Z36" s="187"/>
      <c r="AA36" s="186">
        <f>IF(M$33=0,0,M36/M$33*AA$33)</f>
        <v>0</v>
      </c>
      <c r="AB36" s="188"/>
      <c r="AC36" s="187"/>
      <c r="AD36" s="186">
        <f>IF(N$33=0,0,N36/N$33*AD$33)</f>
        <v>0</v>
      </c>
      <c r="AE36" s="188"/>
      <c r="AF36" s="187"/>
      <c r="AG36" s="186">
        <f>IF(O$33=0,0,O36/O$33*AG$33)</f>
        <v>0</v>
      </c>
      <c r="AH36" s="188"/>
      <c r="AI36" s="187"/>
      <c r="AJ36" s="186">
        <f>IF(P$33=0,0,P36/P$33*AJ$33)</f>
        <v>0</v>
      </c>
      <c r="AK36" s="188"/>
      <c r="AL36" s="187"/>
      <c r="AM36" s="186">
        <f>IF(Q$33=0,0,Q36/Q$33*AM$33)</f>
        <v>0</v>
      </c>
      <c r="AN36" s="188"/>
    </row>
    <row r="37" spans="2:53" ht="18" customHeight="1">
      <c r="B37" s="240" t="s">
        <v>1119</v>
      </c>
      <c r="C37" s="239"/>
      <c r="D37" s="238">
        <v>46174</v>
      </c>
      <c r="E37" s="237"/>
      <c r="G37" s="135"/>
      <c r="H37" s="133"/>
      <c r="I37" s="236" t="s">
        <v>1118</v>
      </c>
      <c r="J37" s="133"/>
      <c r="K37" s="222"/>
      <c r="L37" s="235">
        <v>0</v>
      </c>
      <c r="M37" s="235">
        <v>0.05</v>
      </c>
      <c r="N37" s="235">
        <v>7.4999999999999997E-2</v>
      </c>
      <c r="O37" s="235">
        <v>0.125</v>
      </c>
      <c r="P37" s="235">
        <v>0.2</v>
      </c>
      <c r="Q37" s="235">
        <v>0</v>
      </c>
      <c r="R37" s="220"/>
      <c r="S37" s="219"/>
      <c r="T37" s="218"/>
      <c r="U37" s="217"/>
      <c r="V37" s="216"/>
      <c r="W37" s="234"/>
      <c r="X37" s="232"/>
      <c r="Y37" s="231"/>
      <c r="Z37" s="233"/>
      <c r="AA37" s="232"/>
      <c r="AB37" s="231"/>
      <c r="AC37" s="233"/>
      <c r="AD37" s="232"/>
      <c r="AE37" s="231"/>
      <c r="AF37" s="233"/>
      <c r="AG37" s="232"/>
      <c r="AH37" s="231"/>
      <c r="AI37" s="233"/>
      <c r="AJ37" s="232"/>
      <c r="AK37" s="231"/>
      <c r="AL37" s="233"/>
      <c r="AM37" s="232"/>
      <c r="AN37" s="231"/>
    </row>
    <row r="38" spans="2:53" ht="18" customHeight="1">
      <c r="B38" s="155"/>
      <c r="C38" s="154" t="s">
        <v>1087</v>
      </c>
      <c r="D38" s="154" t="s">
        <v>1086</v>
      </c>
      <c r="E38" s="154" t="s">
        <v>1085</v>
      </c>
      <c r="G38" s="135"/>
      <c r="H38" s="133"/>
      <c r="I38" s="133"/>
      <c r="J38" s="228" t="s">
        <v>1117</v>
      </c>
      <c r="K38" s="227"/>
      <c r="L38" s="221">
        <f t="shared" ref="L38:Q39" si="11">L8*L$37</f>
        <v>0</v>
      </c>
      <c r="M38" s="221">
        <f t="shared" si="11"/>
        <v>3.7500000000000006E-2</v>
      </c>
      <c r="N38" s="221">
        <f t="shared" si="11"/>
        <v>4.1250000000000002E-2</v>
      </c>
      <c r="O38" s="221">
        <f t="shared" si="11"/>
        <v>4.3749999999999997E-2</v>
      </c>
      <c r="P38" s="221">
        <f t="shared" si="11"/>
        <v>0.05</v>
      </c>
      <c r="Q38" s="221">
        <f t="shared" si="11"/>
        <v>0</v>
      </c>
      <c r="R38" s="220"/>
      <c r="S38" s="219"/>
      <c r="T38" s="218"/>
      <c r="U38" s="217"/>
      <c r="V38" s="216"/>
      <c r="W38" s="197"/>
      <c r="X38" s="186">
        <f>X28*L$37</f>
        <v>0</v>
      </c>
      <c r="Y38" s="188"/>
      <c r="Z38" s="187"/>
      <c r="AA38" s="186">
        <f>AA8*M$37</f>
        <v>3.7500000000000006E-2</v>
      </c>
      <c r="AB38" s="188"/>
      <c r="AC38" s="187"/>
      <c r="AD38" s="186">
        <f>AD8*N$37</f>
        <v>4.1250000000000002E-2</v>
      </c>
      <c r="AE38" s="188"/>
      <c r="AF38" s="187"/>
      <c r="AG38" s="186">
        <f>AG8*O$37</f>
        <v>4.3749999999999997E-2</v>
      </c>
      <c r="AH38" s="188"/>
      <c r="AI38" s="187"/>
      <c r="AJ38" s="186">
        <f>AJ8*P$37</f>
        <v>0.05</v>
      </c>
      <c r="AK38" s="188"/>
      <c r="AL38" s="187"/>
      <c r="AM38" s="186">
        <f>AM8*Q$37</f>
        <v>0</v>
      </c>
      <c r="AN38" s="188"/>
    </row>
    <row r="39" spans="2:53" ht="18" customHeight="1">
      <c r="B39" s="149" t="s">
        <v>1116</v>
      </c>
      <c r="C39" s="230">
        <v>6.5</v>
      </c>
      <c r="D39" s="230">
        <v>5.7</v>
      </c>
      <c r="E39" s="230">
        <v>4.5</v>
      </c>
      <c r="G39" s="135"/>
      <c r="H39" s="133"/>
      <c r="I39" s="133"/>
      <c r="J39" s="228" t="s">
        <v>1115</v>
      </c>
      <c r="K39" s="227"/>
      <c r="L39" s="227">
        <f t="shared" si="11"/>
        <v>0</v>
      </c>
      <c r="M39" s="227">
        <f t="shared" si="11"/>
        <v>2.5000000000000005E-3</v>
      </c>
      <c r="N39" s="227">
        <f t="shared" si="11"/>
        <v>7.4999999999999997E-3</v>
      </c>
      <c r="O39" s="227">
        <f t="shared" si="11"/>
        <v>1.2500000000000001E-2</v>
      </c>
      <c r="P39" s="227">
        <f t="shared" si="11"/>
        <v>1.0000000000000002E-2</v>
      </c>
      <c r="Q39" s="227">
        <f t="shared" si="11"/>
        <v>0</v>
      </c>
      <c r="R39" s="220"/>
      <c r="S39" s="219"/>
      <c r="T39" s="218"/>
      <c r="U39" s="217"/>
      <c r="V39" s="216"/>
      <c r="W39" s="226"/>
      <c r="X39" s="224">
        <f>X29*L$37</f>
        <v>0</v>
      </c>
      <c r="Y39" s="223"/>
      <c r="Z39" s="225"/>
      <c r="AA39" s="224">
        <f>AA9*M$37</f>
        <v>2.5000000000000005E-3</v>
      </c>
      <c r="AB39" s="223"/>
      <c r="AC39" s="225"/>
      <c r="AD39" s="224">
        <f>AD9*N$37</f>
        <v>7.4999999999999997E-3</v>
      </c>
      <c r="AE39" s="223"/>
      <c r="AF39" s="225"/>
      <c r="AG39" s="224">
        <f>AG9*O$37</f>
        <v>1.2500000000000001E-2</v>
      </c>
      <c r="AH39" s="223"/>
      <c r="AI39" s="225"/>
      <c r="AJ39" s="224">
        <f>AJ9*P$37</f>
        <v>1.0000000000000002E-2</v>
      </c>
      <c r="AK39" s="223"/>
      <c r="AL39" s="225"/>
      <c r="AM39" s="224">
        <f>AM9*Q$37</f>
        <v>0</v>
      </c>
      <c r="AN39" s="223"/>
    </row>
    <row r="40" spans="2:53" ht="18" customHeight="1">
      <c r="B40" s="147" t="s">
        <v>1082</v>
      </c>
      <c r="C40" s="229">
        <f>C39/$D7-1</f>
        <v>0.17753623188405809</v>
      </c>
      <c r="D40" s="229">
        <f>D39/$D7-1</f>
        <v>3.2608695652174058E-2</v>
      </c>
      <c r="E40" s="229">
        <f>E39/$D7-1</f>
        <v>-0.18478260869565211</v>
      </c>
      <c r="G40" s="135"/>
      <c r="H40" s="133"/>
      <c r="I40" s="133"/>
      <c r="J40" s="133"/>
      <c r="K40" s="222" t="s">
        <v>1109</v>
      </c>
      <c r="L40" s="221">
        <f t="shared" ref="L40:Q42" si="12">IF(L$39=0,0,L$39*(L10/L$9))</f>
        <v>0</v>
      </c>
      <c r="M40" s="221">
        <f t="shared" si="12"/>
        <v>2.5000000000000005E-3</v>
      </c>
      <c r="N40" s="221">
        <f t="shared" si="12"/>
        <v>7.4999999999999997E-3</v>
      </c>
      <c r="O40" s="221">
        <f t="shared" si="12"/>
        <v>1.2500000000000001E-2</v>
      </c>
      <c r="P40" s="221">
        <f t="shared" si="12"/>
        <v>1.0000000000000002E-2</v>
      </c>
      <c r="Q40" s="221">
        <f t="shared" si="12"/>
        <v>0</v>
      </c>
      <c r="R40" s="220"/>
      <c r="S40" s="219"/>
      <c r="T40" s="218"/>
      <c r="U40" s="217"/>
      <c r="V40" s="216"/>
      <c r="W40" s="197"/>
      <c r="X40" s="186">
        <f>IF(L$39=0,0,L40/L$39*X$39)</f>
        <v>0</v>
      </c>
      <c r="Y40" s="188"/>
      <c r="Z40" s="187"/>
      <c r="AA40" s="186">
        <f>IF(M$39=0,0,M40/M$39*AA$39)</f>
        <v>2.5000000000000005E-3</v>
      </c>
      <c r="AB40" s="188"/>
      <c r="AC40" s="187"/>
      <c r="AD40" s="186">
        <f>IF(N$39=0,0,N40/N$39*AD$39)</f>
        <v>7.4999999999999997E-3</v>
      </c>
      <c r="AE40" s="188"/>
      <c r="AF40" s="187"/>
      <c r="AG40" s="186">
        <f>IF(O$39=0,0,O40/O$39*AG$39)</f>
        <v>1.2500000000000001E-2</v>
      </c>
      <c r="AH40" s="188"/>
      <c r="AI40" s="187"/>
      <c r="AJ40" s="186">
        <f>IF(P$39=0,0,P40/P$39*AJ$39)</f>
        <v>1.0000000000000002E-2</v>
      </c>
      <c r="AK40" s="188"/>
      <c r="AL40" s="187"/>
      <c r="AM40" s="186">
        <f>IF(Q$39=0,0,Q40/Q$39*AM$39)</f>
        <v>0</v>
      </c>
      <c r="AN40" s="188"/>
    </row>
    <row r="41" spans="2:53" ht="18" customHeight="1">
      <c r="B41" s="135" t="s">
        <v>1114</v>
      </c>
      <c r="C41" s="145">
        <v>0.15</v>
      </c>
      <c r="D41" s="145">
        <v>0.14499999999999999</v>
      </c>
      <c r="E41" s="145">
        <v>0.13</v>
      </c>
      <c r="G41" s="135"/>
      <c r="H41" s="133"/>
      <c r="I41" s="133"/>
      <c r="J41" s="133"/>
      <c r="K41" s="222" t="s">
        <v>1107</v>
      </c>
      <c r="L41" s="221">
        <f t="shared" si="12"/>
        <v>0</v>
      </c>
      <c r="M41" s="221">
        <f t="shared" si="12"/>
        <v>0</v>
      </c>
      <c r="N41" s="221">
        <f t="shared" si="12"/>
        <v>0</v>
      </c>
      <c r="O41" s="221">
        <f t="shared" si="12"/>
        <v>0</v>
      </c>
      <c r="P41" s="221">
        <f t="shared" si="12"/>
        <v>0</v>
      </c>
      <c r="Q41" s="221">
        <f t="shared" si="12"/>
        <v>0</v>
      </c>
      <c r="R41" s="220"/>
      <c r="S41" s="219"/>
      <c r="T41" s="218"/>
      <c r="U41" s="217"/>
      <c r="V41" s="216"/>
      <c r="W41" s="197"/>
      <c r="X41" s="186">
        <f>IF(L$39=0,0,L41/L$39*X$39)</f>
        <v>0</v>
      </c>
      <c r="Y41" s="188"/>
      <c r="Z41" s="187"/>
      <c r="AA41" s="186">
        <f>IF(M$39=0,0,M41/M$39*AA$39)</f>
        <v>0</v>
      </c>
      <c r="AB41" s="188"/>
      <c r="AC41" s="187"/>
      <c r="AD41" s="186">
        <f>IF(N$39=0,0,N41/N$39*AD$39)</f>
        <v>0</v>
      </c>
      <c r="AE41" s="188"/>
      <c r="AF41" s="187"/>
      <c r="AG41" s="186">
        <f>IF(O$39=0,0,O41/O$39*AG$39)</f>
        <v>0</v>
      </c>
      <c r="AH41" s="188"/>
      <c r="AI41" s="187"/>
      <c r="AJ41" s="186">
        <f>IF(P$39=0,0,P41/P$39*AJ$39)</f>
        <v>0</v>
      </c>
      <c r="AK41" s="188"/>
      <c r="AL41" s="187"/>
      <c r="AM41" s="186">
        <f>IF(Q$39=0,0,Q41/Q$39*AM$39)</f>
        <v>0</v>
      </c>
      <c r="AN41" s="188"/>
    </row>
    <row r="42" spans="2:53" ht="18" customHeight="1">
      <c r="B42" s="135" t="s">
        <v>1113</v>
      </c>
      <c r="C42" s="145">
        <v>0.15</v>
      </c>
      <c r="D42" s="145">
        <v>0.14000000000000001</v>
      </c>
      <c r="E42" s="145">
        <v>0.12</v>
      </c>
      <c r="G42" s="135"/>
      <c r="H42" s="133"/>
      <c r="I42" s="133"/>
      <c r="J42" s="133"/>
      <c r="K42" s="222" t="s">
        <v>1105</v>
      </c>
      <c r="L42" s="221">
        <f t="shared" si="12"/>
        <v>0</v>
      </c>
      <c r="M42" s="221">
        <f t="shared" si="12"/>
        <v>0</v>
      </c>
      <c r="N42" s="221">
        <f t="shared" si="12"/>
        <v>0</v>
      </c>
      <c r="O42" s="221">
        <f t="shared" si="12"/>
        <v>0</v>
      </c>
      <c r="P42" s="221">
        <f t="shared" si="12"/>
        <v>0</v>
      </c>
      <c r="Q42" s="221">
        <f t="shared" si="12"/>
        <v>0</v>
      </c>
      <c r="R42" s="220"/>
      <c r="S42" s="219"/>
      <c r="T42" s="218"/>
      <c r="U42" s="217"/>
      <c r="V42" s="216"/>
      <c r="W42" s="197"/>
      <c r="X42" s="186">
        <f>IF(L$39=0,0,L42/L$39*X$39)</f>
        <v>0</v>
      </c>
      <c r="Y42" s="188"/>
      <c r="Z42" s="187"/>
      <c r="AA42" s="186">
        <f>IF(M$39=0,0,M42/M$39*AA$39)</f>
        <v>0</v>
      </c>
      <c r="AB42" s="188"/>
      <c r="AC42" s="187"/>
      <c r="AD42" s="186">
        <f>IF(N$39=0,0,N42/N$39*AD$39)</f>
        <v>0</v>
      </c>
      <c r="AE42" s="188"/>
      <c r="AF42" s="187"/>
      <c r="AG42" s="186">
        <f>IF(O$39=0,0,O42/O$39*AG$39)</f>
        <v>0</v>
      </c>
      <c r="AH42" s="188"/>
      <c r="AI42" s="187"/>
      <c r="AJ42" s="186">
        <f>IF(P$39=0,0,P42/P$39*AJ$39)</f>
        <v>0</v>
      </c>
      <c r="AK42" s="188"/>
      <c r="AL42" s="187"/>
      <c r="AM42" s="186">
        <f>IF(Q$39=0,0,Q42/Q$39*AM$39)</f>
        <v>0</v>
      </c>
      <c r="AN42" s="188"/>
    </row>
    <row r="43" spans="2:53" ht="18" customHeight="1">
      <c r="B43" s="135" t="s">
        <v>1112</v>
      </c>
      <c r="C43" s="145">
        <v>0.13500000000000001</v>
      </c>
      <c r="D43" s="145">
        <v>0.13</v>
      </c>
      <c r="E43" s="145">
        <v>0.11</v>
      </c>
      <c r="G43" s="135"/>
      <c r="H43" s="133"/>
      <c r="I43" s="133"/>
      <c r="J43" s="228" t="s">
        <v>1111</v>
      </c>
      <c r="K43" s="227"/>
      <c r="L43" s="227">
        <f t="shared" ref="L43:Q43" si="13">L13*L$37</f>
        <v>0</v>
      </c>
      <c r="M43" s="227">
        <f t="shared" si="13"/>
        <v>7.4999999999999997E-3</v>
      </c>
      <c r="N43" s="227">
        <f t="shared" si="13"/>
        <v>1.125E-2</v>
      </c>
      <c r="O43" s="227">
        <f t="shared" si="13"/>
        <v>1.8749999999999999E-2</v>
      </c>
      <c r="P43" s="227">
        <f t="shared" si="13"/>
        <v>2.0000000000000004E-2</v>
      </c>
      <c r="Q43" s="227">
        <f t="shared" si="13"/>
        <v>0</v>
      </c>
      <c r="R43" s="220"/>
      <c r="S43" s="219"/>
      <c r="T43" s="218"/>
      <c r="U43" s="217"/>
      <c r="V43" s="216"/>
      <c r="W43" s="226"/>
      <c r="X43" s="224">
        <f>X33*L$37</f>
        <v>0</v>
      </c>
      <c r="Y43" s="223"/>
      <c r="Z43" s="225"/>
      <c r="AA43" s="224">
        <f>AA13*M$37</f>
        <v>7.4999999999999997E-3</v>
      </c>
      <c r="AB43" s="223"/>
      <c r="AC43" s="225"/>
      <c r="AD43" s="224">
        <f>AD13*N$37</f>
        <v>1.125E-2</v>
      </c>
      <c r="AE43" s="223"/>
      <c r="AF43" s="225"/>
      <c r="AG43" s="224">
        <f>AG13*O$37</f>
        <v>1.8749999999999999E-2</v>
      </c>
      <c r="AH43" s="223"/>
      <c r="AI43" s="225"/>
      <c r="AJ43" s="224">
        <f>AJ13*P$37</f>
        <v>2.0000000000000004E-2</v>
      </c>
      <c r="AK43" s="223"/>
      <c r="AL43" s="225"/>
      <c r="AM43" s="224">
        <f>AM13*Q$37</f>
        <v>0</v>
      </c>
      <c r="AN43" s="223"/>
    </row>
    <row r="44" spans="2:53" ht="18" customHeight="1">
      <c r="B44" s="135" t="s">
        <v>1110</v>
      </c>
      <c r="C44" s="145">
        <v>0.125</v>
      </c>
      <c r="D44" s="145">
        <v>0.12</v>
      </c>
      <c r="E44" s="145">
        <v>0.1</v>
      </c>
      <c r="G44" s="135"/>
      <c r="H44" s="133"/>
      <c r="I44" s="133"/>
      <c r="J44" s="133"/>
      <c r="K44" s="222" t="s">
        <v>1109</v>
      </c>
      <c r="L44" s="221">
        <f t="shared" ref="L44:Q46" si="14">IF(L$43=0,0,L$43*(L14/L$13))</f>
        <v>0</v>
      </c>
      <c r="M44" s="221">
        <f t="shared" si="14"/>
        <v>7.4999999999999997E-3</v>
      </c>
      <c r="N44" s="221">
        <f t="shared" si="14"/>
        <v>1.125E-2</v>
      </c>
      <c r="O44" s="221">
        <f t="shared" si="14"/>
        <v>0</v>
      </c>
      <c r="P44" s="221">
        <f t="shared" si="14"/>
        <v>2.0000000000000004E-2</v>
      </c>
      <c r="Q44" s="221">
        <f t="shared" si="14"/>
        <v>0</v>
      </c>
      <c r="R44" s="220"/>
      <c r="S44" s="219"/>
      <c r="T44" s="218"/>
      <c r="U44" s="217"/>
      <c r="V44" s="216"/>
      <c r="W44" s="197"/>
      <c r="X44" s="186">
        <f>IF(L$43=0,0,L44/L$43*X$43)</f>
        <v>0</v>
      </c>
      <c r="Y44" s="188"/>
      <c r="Z44" s="187"/>
      <c r="AA44" s="186">
        <f>IF(M$43=0,0,M44/M$43*AA$43)</f>
        <v>7.4999999999999997E-3</v>
      </c>
      <c r="AB44" s="188"/>
      <c r="AC44" s="187"/>
      <c r="AD44" s="186">
        <f>IF(N$43=0,0,N44/N$43*AD$43)</f>
        <v>1.125E-2</v>
      </c>
      <c r="AE44" s="188"/>
      <c r="AF44" s="187"/>
      <c r="AG44" s="186">
        <f>IF(O$43=0,0,O44/O$43*AG$43)</f>
        <v>0</v>
      </c>
      <c r="AH44" s="188"/>
      <c r="AI44" s="187"/>
      <c r="AJ44" s="186">
        <f>IF(P$43=0,0,P44/P$43*AJ$43)</f>
        <v>2.0000000000000004E-2</v>
      </c>
      <c r="AK44" s="188"/>
      <c r="AL44" s="187"/>
      <c r="AM44" s="186">
        <f>IF(Q$43=0,0,Q44/Q$43*AM$43)</f>
        <v>0</v>
      </c>
      <c r="AN44" s="188"/>
    </row>
    <row r="45" spans="2:53" ht="18" customHeight="1">
      <c r="B45" s="135" t="s">
        <v>1108</v>
      </c>
      <c r="C45" s="145">
        <v>0.12</v>
      </c>
      <c r="D45" s="145">
        <v>0.115</v>
      </c>
      <c r="E45" s="145">
        <v>0.1</v>
      </c>
      <c r="G45" s="135"/>
      <c r="H45" s="133"/>
      <c r="I45" s="133"/>
      <c r="J45" s="133"/>
      <c r="K45" s="222" t="s">
        <v>1107</v>
      </c>
      <c r="L45" s="221">
        <f t="shared" si="14"/>
        <v>0</v>
      </c>
      <c r="M45" s="221">
        <f t="shared" si="14"/>
        <v>0</v>
      </c>
      <c r="N45" s="221">
        <f t="shared" si="14"/>
        <v>0</v>
      </c>
      <c r="O45" s="221">
        <f t="shared" si="14"/>
        <v>1.8749999999999999E-2</v>
      </c>
      <c r="P45" s="221">
        <f t="shared" si="14"/>
        <v>0</v>
      </c>
      <c r="Q45" s="221">
        <f t="shared" si="14"/>
        <v>0</v>
      </c>
      <c r="R45" s="220"/>
      <c r="S45" s="219"/>
      <c r="T45" s="218"/>
      <c r="U45" s="217"/>
      <c r="V45" s="216"/>
      <c r="W45" s="197"/>
      <c r="X45" s="186">
        <f>IF(L$43=0,0,L45/L$43*X$43)</f>
        <v>0</v>
      </c>
      <c r="Y45" s="188"/>
      <c r="Z45" s="187"/>
      <c r="AA45" s="186">
        <f>IF(M$43=0,0,M45/M$43*AA$43)</f>
        <v>0</v>
      </c>
      <c r="AB45" s="188"/>
      <c r="AC45" s="187"/>
      <c r="AD45" s="186">
        <f>IF(N$43=0,0,N45/N$43*AD$43)</f>
        <v>0</v>
      </c>
      <c r="AE45" s="188"/>
      <c r="AF45" s="187"/>
      <c r="AG45" s="186">
        <f>IF(O$43=0,0,O45/O$43*AG$43)</f>
        <v>1.8749999999999999E-2</v>
      </c>
      <c r="AH45" s="188"/>
      <c r="AI45" s="187"/>
      <c r="AJ45" s="186">
        <f>IF(P$43=0,0,P45/P$43*AJ$43)</f>
        <v>0</v>
      </c>
      <c r="AK45" s="188"/>
      <c r="AL45" s="187"/>
      <c r="AM45" s="186">
        <f>IF(Q$43=0,0,Q45/Q$43*AM$43)</f>
        <v>0</v>
      </c>
      <c r="AN45" s="188"/>
    </row>
    <row r="46" spans="2:53" ht="18" customHeight="1">
      <c r="B46" s="135" t="s">
        <v>1106</v>
      </c>
      <c r="C46" s="145">
        <v>0.05</v>
      </c>
      <c r="D46" s="145">
        <v>4.4999999999999998E-2</v>
      </c>
      <c r="E46" s="145">
        <v>0.04</v>
      </c>
      <c r="G46" s="215"/>
      <c r="H46" s="214"/>
      <c r="I46" s="214"/>
      <c r="J46" s="214"/>
      <c r="K46" s="213" t="s">
        <v>1105</v>
      </c>
      <c r="L46" s="212">
        <f t="shared" si="14"/>
        <v>0</v>
      </c>
      <c r="M46" s="212">
        <f t="shared" si="14"/>
        <v>0</v>
      </c>
      <c r="N46" s="212">
        <f t="shared" si="14"/>
        <v>0</v>
      </c>
      <c r="O46" s="212">
        <f t="shared" si="14"/>
        <v>0</v>
      </c>
      <c r="P46" s="212">
        <f t="shared" si="14"/>
        <v>0</v>
      </c>
      <c r="Q46" s="212">
        <f t="shared" si="14"/>
        <v>0</v>
      </c>
      <c r="R46" s="211"/>
      <c r="S46" s="210"/>
      <c r="T46" s="209"/>
      <c r="U46" s="208"/>
      <c r="V46" s="207"/>
      <c r="W46" s="197"/>
      <c r="X46" s="186">
        <f>IF(L$43=0,0,L46/L$43*X$43)</f>
        <v>0</v>
      </c>
      <c r="Y46" s="188"/>
      <c r="Z46" s="187"/>
      <c r="AA46" s="186">
        <f>IF(M$43=0,0,M46/M$43*AA$43)</f>
        <v>0</v>
      </c>
      <c r="AB46" s="188"/>
      <c r="AC46" s="187"/>
      <c r="AD46" s="186">
        <f>IF(N$43=0,0,N46/N$43*AD$43)</f>
        <v>0</v>
      </c>
      <c r="AE46" s="188"/>
      <c r="AF46" s="187"/>
      <c r="AG46" s="186">
        <f>IF(O$43=0,0,O46/O$43*AG$43)</f>
        <v>0</v>
      </c>
      <c r="AH46" s="188"/>
      <c r="AI46" s="187"/>
      <c r="AJ46" s="186">
        <f>IF(P$43=0,0,P46/P$43*AJ$43)</f>
        <v>0</v>
      </c>
      <c r="AK46" s="188"/>
      <c r="AL46" s="187"/>
      <c r="AM46" s="186">
        <f>IF(Q$43=0,0,Q46/Q$43*AM$43)</f>
        <v>0</v>
      </c>
      <c r="AN46" s="188"/>
    </row>
    <row r="47" spans="2:53" ht="18" customHeight="1">
      <c r="B47" s="135" t="s">
        <v>1104</v>
      </c>
      <c r="C47" s="145">
        <f>C42-C46</f>
        <v>9.9999999999999992E-2</v>
      </c>
      <c r="D47" s="145">
        <f>D42-D46</f>
        <v>9.5000000000000015E-2</v>
      </c>
      <c r="E47" s="145">
        <f>E42-E46</f>
        <v>7.9999999999999988E-2</v>
      </c>
      <c r="G47" s="200" t="s">
        <v>1103</v>
      </c>
      <c r="H47" s="136"/>
      <c r="I47" s="136"/>
      <c r="J47" s="136"/>
      <c r="K47" s="199"/>
      <c r="L47" s="206">
        <v>0</v>
      </c>
      <c r="M47" s="206">
        <v>0</v>
      </c>
      <c r="N47" s="206">
        <v>0.05</v>
      </c>
      <c r="O47" s="206">
        <v>0.05</v>
      </c>
      <c r="P47" s="205">
        <v>0.05</v>
      </c>
      <c r="Q47" s="205">
        <v>0</v>
      </c>
      <c r="R47" s="190"/>
      <c r="S47" s="190"/>
      <c r="T47" s="190" t="s">
        <v>1095</v>
      </c>
      <c r="U47" s="190"/>
      <c r="V47" s="190"/>
      <c r="W47" s="204"/>
      <c r="X47" s="202">
        <f t="shared" ref="X47:X52" si="15">L47*$AU47</f>
        <v>0</v>
      </c>
      <c r="Y47" s="201"/>
      <c r="Z47" s="203"/>
      <c r="AA47" s="202">
        <f t="shared" ref="AA47:AA52" si="16">M47*$AU47</f>
        <v>0</v>
      </c>
      <c r="AB47" s="201"/>
      <c r="AC47" s="203"/>
      <c r="AD47" s="202">
        <f t="shared" ref="AD47:AD52" si="17">N47*$AU47</f>
        <v>0.05</v>
      </c>
      <c r="AE47" s="201"/>
      <c r="AF47" s="203"/>
      <c r="AG47" s="202">
        <f t="shared" ref="AG47:AG52" si="18">O47*$AU47</f>
        <v>0.05</v>
      </c>
      <c r="AH47" s="201"/>
      <c r="AI47" s="203"/>
      <c r="AJ47" s="202">
        <f t="shared" ref="AJ47:AJ52" si="19">P47*$AU47</f>
        <v>0.05</v>
      </c>
      <c r="AK47" s="201"/>
      <c r="AL47" s="203"/>
      <c r="AM47" s="202">
        <f t="shared" ref="AM47:AM52" si="20">Q47*$AU47</f>
        <v>0</v>
      </c>
      <c r="AN47" s="201"/>
      <c r="AP47" s="184">
        <f t="shared" ref="AP47:AT52" si="21">IF(R47="",0,(1+AP$5))</f>
        <v>0</v>
      </c>
      <c r="AQ47" s="184">
        <f t="shared" si="21"/>
        <v>0</v>
      </c>
      <c r="AR47" s="184">
        <f t="shared" si="21"/>
        <v>1</v>
      </c>
      <c r="AS47" s="184">
        <f t="shared" si="21"/>
        <v>0</v>
      </c>
      <c r="AT47" s="184">
        <f t="shared" si="21"/>
        <v>0</v>
      </c>
      <c r="AU47" s="183">
        <f t="shared" ref="AU47:AU52" si="22">SUM(AP47:AT47)</f>
        <v>1</v>
      </c>
      <c r="AV47" s="173">
        <f t="shared" ref="AV47:AV52" si="23">L47-X47</f>
        <v>0</v>
      </c>
      <c r="AW47" s="173">
        <f t="shared" ref="AW47:AW52" si="24">M47-AA47</f>
        <v>0</v>
      </c>
      <c r="AX47" s="173">
        <f t="shared" ref="AX47:AX52" si="25">N47-AD47</f>
        <v>0</v>
      </c>
      <c r="AY47" s="173">
        <f t="shared" ref="AY47:AY52" si="26">O47-AG47</f>
        <v>0</v>
      </c>
      <c r="AZ47" s="173">
        <f t="shared" ref="AZ47:AZ52" si="27">P47-AJ47</f>
        <v>0</v>
      </c>
      <c r="BA47" s="173">
        <f t="shared" ref="BA47:BA52" si="28">Q47-AM47</f>
        <v>0</v>
      </c>
    </row>
    <row r="48" spans="2:53" ht="18" customHeight="1">
      <c r="B48" s="135" t="s">
        <v>1102</v>
      </c>
      <c r="C48" s="145">
        <v>9.5000000000000001E-2</v>
      </c>
      <c r="D48" s="145">
        <v>0.09</v>
      </c>
      <c r="E48" s="145">
        <v>0.08</v>
      </c>
      <c r="G48" s="200" t="s">
        <v>1101</v>
      </c>
      <c r="H48" s="136"/>
      <c r="I48" s="136"/>
      <c r="J48" s="136"/>
      <c r="K48" s="199"/>
      <c r="L48" s="192">
        <v>0</v>
      </c>
      <c r="M48" s="192">
        <v>0.05</v>
      </c>
      <c r="N48" s="192">
        <v>0.05</v>
      </c>
      <c r="O48" s="192">
        <v>0</v>
      </c>
      <c r="P48" s="191">
        <v>0</v>
      </c>
      <c r="Q48" s="191">
        <v>0</v>
      </c>
      <c r="R48" s="190"/>
      <c r="S48" s="190"/>
      <c r="T48" s="190" t="s">
        <v>1095</v>
      </c>
      <c r="U48" s="190"/>
      <c r="V48" s="190"/>
      <c r="W48" s="197"/>
      <c r="X48" s="186">
        <f t="shared" si="15"/>
        <v>0</v>
      </c>
      <c r="Y48" s="188"/>
      <c r="Z48" s="187"/>
      <c r="AA48" s="186">
        <f t="shared" si="16"/>
        <v>0.05</v>
      </c>
      <c r="AB48" s="188"/>
      <c r="AC48" s="187"/>
      <c r="AD48" s="186">
        <f t="shared" si="17"/>
        <v>0.05</v>
      </c>
      <c r="AE48" s="196"/>
      <c r="AF48" s="187"/>
      <c r="AG48" s="186">
        <f t="shared" si="18"/>
        <v>0</v>
      </c>
      <c r="AH48" s="196"/>
      <c r="AI48" s="187"/>
      <c r="AJ48" s="186">
        <f t="shared" si="19"/>
        <v>0</v>
      </c>
      <c r="AK48" s="196"/>
      <c r="AL48" s="187"/>
      <c r="AM48" s="186">
        <f t="shared" si="20"/>
        <v>0</v>
      </c>
      <c r="AN48" s="196"/>
      <c r="AP48" s="184">
        <f t="shared" si="21"/>
        <v>0</v>
      </c>
      <c r="AQ48" s="184">
        <f t="shared" si="21"/>
        <v>0</v>
      </c>
      <c r="AR48" s="184">
        <f t="shared" si="21"/>
        <v>1</v>
      </c>
      <c r="AS48" s="184">
        <f t="shared" si="21"/>
        <v>0</v>
      </c>
      <c r="AT48" s="184">
        <f t="shared" si="21"/>
        <v>0</v>
      </c>
      <c r="AU48" s="183">
        <f t="shared" si="22"/>
        <v>1</v>
      </c>
      <c r="AV48" s="173">
        <f t="shared" si="23"/>
        <v>0</v>
      </c>
      <c r="AW48" s="173">
        <f t="shared" si="24"/>
        <v>0</v>
      </c>
      <c r="AX48" s="173">
        <f t="shared" si="25"/>
        <v>0</v>
      </c>
      <c r="AY48" s="173">
        <f t="shared" si="26"/>
        <v>0</v>
      </c>
      <c r="AZ48" s="173">
        <f t="shared" si="27"/>
        <v>0</v>
      </c>
      <c r="BA48" s="173">
        <f t="shared" si="28"/>
        <v>0</v>
      </c>
    </row>
    <row r="49" spans="2:53" ht="18" customHeight="1">
      <c r="B49" s="135" t="s">
        <v>1100</v>
      </c>
      <c r="C49" s="145">
        <v>0.08</v>
      </c>
      <c r="D49" s="145">
        <v>0.08</v>
      </c>
      <c r="E49" s="145">
        <v>0.08</v>
      </c>
      <c r="G49" s="200" t="s">
        <v>1062</v>
      </c>
      <c r="H49" s="136"/>
      <c r="I49" s="136"/>
      <c r="J49" s="136"/>
      <c r="K49" s="199"/>
      <c r="L49" s="192">
        <v>0</v>
      </c>
      <c r="M49" s="192">
        <v>0</v>
      </c>
      <c r="N49" s="192">
        <v>0.05</v>
      </c>
      <c r="O49" s="192">
        <v>0.1</v>
      </c>
      <c r="P49" s="191">
        <v>0.15</v>
      </c>
      <c r="Q49" s="191">
        <v>1</v>
      </c>
      <c r="R49" s="190"/>
      <c r="S49" s="190"/>
      <c r="T49" s="190" t="s">
        <v>1095</v>
      </c>
      <c r="U49" s="190"/>
      <c r="V49" s="190"/>
      <c r="W49" s="197"/>
      <c r="X49" s="186">
        <f t="shared" si="15"/>
        <v>0</v>
      </c>
      <c r="Y49" s="188"/>
      <c r="Z49" s="187"/>
      <c r="AA49" s="186">
        <f t="shared" si="16"/>
        <v>0</v>
      </c>
      <c r="AB49" s="188"/>
      <c r="AC49" s="187"/>
      <c r="AD49" s="186">
        <f t="shared" si="17"/>
        <v>0.05</v>
      </c>
      <c r="AE49" s="196"/>
      <c r="AF49" s="187"/>
      <c r="AG49" s="186">
        <f t="shared" si="18"/>
        <v>0.1</v>
      </c>
      <c r="AH49" s="196"/>
      <c r="AI49" s="187"/>
      <c r="AJ49" s="186">
        <f t="shared" si="19"/>
        <v>0.15</v>
      </c>
      <c r="AK49" s="196"/>
      <c r="AL49" s="187"/>
      <c r="AM49" s="186">
        <f t="shared" si="20"/>
        <v>1</v>
      </c>
      <c r="AN49" s="196"/>
      <c r="AP49" s="184">
        <f t="shared" si="21"/>
        <v>0</v>
      </c>
      <c r="AQ49" s="184">
        <f t="shared" si="21"/>
        <v>0</v>
      </c>
      <c r="AR49" s="184">
        <f t="shared" si="21"/>
        <v>1</v>
      </c>
      <c r="AS49" s="184">
        <f t="shared" si="21"/>
        <v>0</v>
      </c>
      <c r="AT49" s="184">
        <f t="shared" si="21"/>
        <v>0</v>
      </c>
      <c r="AU49" s="183">
        <f t="shared" si="22"/>
        <v>1</v>
      </c>
      <c r="AV49" s="173">
        <f t="shared" si="23"/>
        <v>0</v>
      </c>
      <c r="AW49" s="173">
        <f t="shared" si="24"/>
        <v>0</v>
      </c>
      <c r="AX49" s="173">
        <f t="shared" si="25"/>
        <v>0</v>
      </c>
      <c r="AY49" s="173">
        <f t="shared" si="26"/>
        <v>0</v>
      </c>
      <c r="AZ49" s="173">
        <f t="shared" si="27"/>
        <v>0</v>
      </c>
      <c r="BA49" s="173">
        <f t="shared" si="28"/>
        <v>0</v>
      </c>
    </row>
    <row r="50" spans="2:53" ht="18" customHeight="1">
      <c r="B50" s="198" t="s">
        <v>1099</v>
      </c>
      <c r="C50" s="145">
        <v>0.02</v>
      </c>
      <c r="D50" s="145">
        <v>1.4999999999999999E-2</v>
      </c>
      <c r="E50" s="145">
        <v>0.01</v>
      </c>
      <c r="G50" s="146" t="s">
        <v>1061</v>
      </c>
      <c r="H50" s="194"/>
      <c r="I50" s="194"/>
      <c r="J50" s="194"/>
      <c r="K50" s="193"/>
      <c r="L50" s="192">
        <v>0</v>
      </c>
      <c r="M50" s="192">
        <v>0</v>
      </c>
      <c r="N50" s="192">
        <v>0</v>
      </c>
      <c r="O50" s="192">
        <v>0.1</v>
      </c>
      <c r="P50" s="191">
        <v>0.2</v>
      </c>
      <c r="Q50" s="191">
        <v>0</v>
      </c>
      <c r="R50" s="190"/>
      <c r="S50" s="190"/>
      <c r="T50" s="190" t="s">
        <v>1095</v>
      </c>
      <c r="U50" s="190"/>
      <c r="V50" s="190"/>
      <c r="W50" s="197"/>
      <c r="X50" s="186">
        <f t="shared" si="15"/>
        <v>0</v>
      </c>
      <c r="Y50" s="188"/>
      <c r="Z50" s="187"/>
      <c r="AA50" s="186">
        <f t="shared" si="16"/>
        <v>0</v>
      </c>
      <c r="AB50" s="188"/>
      <c r="AC50" s="187"/>
      <c r="AD50" s="186">
        <f t="shared" si="17"/>
        <v>0</v>
      </c>
      <c r="AE50" s="196"/>
      <c r="AF50" s="187"/>
      <c r="AG50" s="186">
        <f t="shared" si="18"/>
        <v>0.1</v>
      </c>
      <c r="AH50" s="196"/>
      <c r="AI50" s="187"/>
      <c r="AJ50" s="186">
        <f t="shared" si="19"/>
        <v>0.2</v>
      </c>
      <c r="AK50" s="196"/>
      <c r="AL50" s="187"/>
      <c r="AM50" s="186">
        <f t="shared" si="20"/>
        <v>0</v>
      </c>
      <c r="AN50" s="196"/>
      <c r="AP50" s="184">
        <f t="shared" si="21"/>
        <v>0</v>
      </c>
      <c r="AQ50" s="184">
        <f t="shared" si="21"/>
        <v>0</v>
      </c>
      <c r="AR50" s="184">
        <f t="shared" si="21"/>
        <v>1</v>
      </c>
      <c r="AS50" s="184">
        <f t="shared" si="21"/>
        <v>0</v>
      </c>
      <c r="AT50" s="184">
        <f t="shared" si="21"/>
        <v>0</v>
      </c>
      <c r="AU50" s="183">
        <f t="shared" si="22"/>
        <v>1</v>
      </c>
      <c r="AV50" s="173">
        <f t="shared" si="23"/>
        <v>0</v>
      </c>
      <c r="AW50" s="173">
        <f t="shared" si="24"/>
        <v>0</v>
      </c>
      <c r="AX50" s="173">
        <f t="shared" si="25"/>
        <v>0</v>
      </c>
      <c r="AY50" s="173">
        <f t="shared" si="26"/>
        <v>0</v>
      </c>
      <c r="AZ50" s="173">
        <f t="shared" si="27"/>
        <v>0</v>
      </c>
      <c r="BA50" s="173">
        <f t="shared" si="28"/>
        <v>0</v>
      </c>
    </row>
    <row r="51" spans="2:53" ht="18" customHeight="1">
      <c r="B51" s="121" t="s">
        <v>1098</v>
      </c>
      <c r="C51" s="195">
        <v>0.03</v>
      </c>
      <c r="D51" s="195">
        <v>0.02</v>
      </c>
      <c r="E51" s="195">
        <v>1.4999999999999999E-2</v>
      </c>
      <c r="G51" s="146" t="s">
        <v>1060</v>
      </c>
      <c r="H51" s="194"/>
      <c r="I51" s="194"/>
      <c r="J51" s="194"/>
      <c r="K51" s="193"/>
      <c r="L51" s="192">
        <v>0</v>
      </c>
      <c r="M51" s="192">
        <v>0</v>
      </c>
      <c r="N51" s="192">
        <v>0.05</v>
      </c>
      <c r="O51" s="192">
        <v>0.1</v>
      </c>
      <c r="P51" s="191">
        <v>0.125</v>
      </c>
      <c r="Q51" s="191">
        <v>0</v>
      </c>
      <c r="R51" s="190"/>
      <c r="S51" s="190"/>
      <c r="T51" s="190" t="s">
        <v>1095</v>
      </c>
      <c r="U51" s="190"/>
      <c r="V51" s="190"/>
      <c r="W51" s="189"/>
      <c r="X51" s="186">
        <f t="shared" si="15"/>
        <v>0</v>
      </c>
      <c r="Y51" s="188"/>
      <c r="Z51" s="187"/>
      <c r="AA51" s="186">
        <f t="shared" si="16"/>
        <v>0</v>
      </c>
      <c r="AB51" s="188"/>
      <c r="AC51" s="187"/>
      <c r="AD51" s="186">
        <f t="shared" si="17"/>
        <v>0.05</v>
      </c>
      <c r="AE51" s="185"/>
      <c r="AF51" s="187"/>
      <c r="AG51" s="186">
        <f t="shared" si="18"/>
        <v>0.1</v>
      </c>
      <c r="AH51" s="185"/>
      <c r="AI51" s="187"/>
      <c r="AJ51" s="186">
        <f t="shared" si="19"/>
        <v>0.125</v>
      </c>
      <c r="AK51" s="185"/>
      <c r="AL51" s="187"/>
      <c r="AM51" s="186">
        <f t="shared" si="20"/>
        <v>0</v>
      </c>
      <c r="AN51" s="185"/>
      <c r="AP51" s="184">
        <f t="shared" si="21"/>
        <v>0</v>
      </c>
      <c r="AQ51" s="184">
        <f t="shared" si="21"/>
        <v>0</v>
      </c>
      <c r="AR51" s="184">
        <f t="shared" si="21"/>
        <v>1</v>
      </c>
      <c r="AS51" s="184">
        <f t="shared" si="21"/>
        <v>0</v>
      </c>
      <c r="AT51" s="184">
        <f t="shared" si="21"/>
        <v>0</v>
      </c>
      <c r="AU51" s="183">
        <f t="shared" si="22"/>
        <v>1</v>
      </c>
      <c r="AV51" s="173">
        <f t="shared" si="23"/>
        <v>0</v>
      </c>
      <c r="AW51" s="173">
        <f t="shared" si="24"/>
        <v>0</v>
      </c>
      <c r="AX51" s="173">
        <f t="shared" si="25"/>
        <v>0</v>
      </c>
      <c r="AY51" s="173">
        <f t="shared" si="26"/>
        <v>0</v>
      </c>
      <c r="AZ51" s="173">
        <f t="shared" si="27"/>
        <v>0</v>
      </c>
      <c r="BA51" s="173">
        <f t="shared" si="28"/>
        <v>0</v>
      </c>
    </row>
    <row r="52" spans="2:53" ht="18" customHeight="1">
      <c r="B52" s="144" t="s">
        <v>1097</v>
      </c>
      <c r="C52" s="143">
        <v>0</v>
      </c>
      <c r="D52" s="143">
        <v>0.05</v>
      </c>
      <c r="E52" s="143">
        <v>0.1</v>
      </c>
      <c r="G52" s="146" t="s">
        <v>1096</v>
      </c>
      <c r="H52" s="194"/>
      <c r="I52" s="194"/>
      <c r="J52" s="194"/>
      <c r="K52" s="193"/>
      <c r="L52" s="192">
        <v>0</v>
      </c>
      <c r="M52" s="192">
        <v>0</v>
      </c>
      <c r="N52" s="192">
        <v>0</v>
      </c>
      <c r="O52" s="192">
        <v>0.05</v>
      </c>
      <c r="P52" s="191">
        <v>7.4999999999999997E-2</v>
      </c>
      <c r="Q52" s="191">
        <v>0</v>
      </c>
      <c r="R52" s="190"/>
      <c r="S52" s="190"/>
      <c r="T52" s="190" t="s">
        <v>1095</v>
      </c>
      <c r="U52" s="190"/>
      <c r="V52" s="190"/>
      <c r="W52" s="189"/>
      <c r="X52" s="186">
        <f t="shared" si="15"/>
        <v>0</v>
      </c>
      <c r="Y52" s="188"/>
      <c r="Z52" s="187"/>
      <c r="AA52" s="186">
        <f t="shared" si="16"/>
        <v>0</v>
      </c>
      <c r="AB52" s="188"/>
      <c r="AC52" s="187"/>
      <c r="AD52" s="186">
        <f t="shared" si="17"/>
        <v>0</v>
      </c>
      <c r="AE52" s="185"/>
      <c r="AF52" s="187"/>
      <c r="AG52" s="186">
        <f t="shared" si="18"/>
        <v>0.05</v>
      </c>
      <c r="AH52" s="185"/>
      <c r="AI52" s="187"/>
      <c r="AJ52" s="186">
        <f t="shared" si="19"/>
        <v>7.4999999999999997E-2</v>
      </c>
      <c r="AK52" s="185"/>
      <c r="AL52" s="187"/>
      <c r="AM52" s="186">
        <f t="shared" si="20"/>
        <v>0</v>
      </c>
      <c r="AN52" s="185"/>
      <c r="AP52" s="184">
        <f t="shared" si="21"/>
        <v>0</v>
      </c>
      <c r="AQ52" s="184">
        <f t="shared" si="21"/>
        <v>0</v>
      </c>
      <c r="AR52" s="184">
        <f t="shared" si="21"/>
        <v>1</v>
      </c>
      <c r="AS52" s="184">
        <f t="shared" si="21"/>
        <v>0</v>
      </c>
      <c r="AT52" s="184">
        <f t="shared" si="21"/>
        <v>0</v>
      </c>
      <c r="AU52" s="183">
        <f t="shared" si="22"/>
        <v>1</v>
      </c>
      <c r="AV52" s="173">
        <f t="shared" si="23"/>
        <v>0</v>
      </c>
      <c r="AW52" s="173">
        <f t="shared" si="24"/>
        <v>0</v>
      </c>
      <c r="AX52" s="173">
        <f t="shared" si="25"/>
        <v>0</v>
      </c>
      <c r="AY52" s="173">
        <f t="shared" si="26"/>
        <v>0</v>
      </c>
      <c r="AZ52" s="173">
        <f t="shared" si="27"/>
        <v>0</v>
      </c>
      <c r="BA52" s="173">
        <f t="shared" si="28"/>
        <v>0</v>
      </c>
    </row>
    <row r="53" spans="2:53" ht="18" customHeight="1">
      <c r="B53" s="182" t="s">
        <v>1094</v>
      </c>
      <c r="C53" s="142">
        <v>120000</v>
      </c>
      <c r="D53" s="142">
        <v>145000</v>
      </c>
      <c r="E53" s="142">
        <v>160000</v>
      </c>
      <c r="G53" s="179" t="s">
        <v>1093</v>
      </c>
      <c r="H53" s="180"/>
      <c r="I53" s="180"/>
      <c r="J53" s="180"/>
      <c r="K53" s="174"/>
      <c r="L53" s="181">
        <f t="shared" ref="L53:Q53" si="29">L7+SUM(L47:L52)</f>
        <v>1</v>
      </c>
      <c r="M53" s="181">
        <f t="shared" si="29"/>
        <v>1</v>
      </c>
      <c r="N53" s="181">
        <f t="shared" si="29"/>
        <v>1</v>
      </c>
      <c r="O53" s="181">
        <f t="shared" si="29"/>
        <v>1</v>
      </c>
      <c r="P53" s="181">
        <f t="shared" si="29"/>
        <v>1</v>
      </c>
      <c r="Q53" s="181">
        <f t="shared" si="29"/>
        <v>1</v>
      </c>
      <c r="R53" s="179"/>
      <c r="S53" s="180"/>
      <c r="T53" s="180"/>
      <c r="U53" s="180"/>
      <c r="V53" s="180"/>
      <c r="W53" s="179"/>
      <c r="X53" s="175">
        <f>X7+SUM(X47:X52)</f>
        <v>1</v>
      </c>
      <c r="Y53" s="178"/>
      <c r="Z53" s="176"/>
      <c r="AA53" s="175">
        <f>AA7+SUM(AA47:AA52)</f>
        <v>1</v>
      </c>
      <c r="AB53" s="178"/>
      <c r="AC53" s="176"/>
      <c r="AD53" s="175">
        <f>AD7+SUM(AD47:AD52)</f>
        <v>1</v>
      </c>
      <c r="AE53" s="177"/>
      <c r="AF53" s="176"/>
      <c r="AG53" s="175">
        <f>AG7+SUM(AG47:AG52)</f>
        <v>1</v>
      </c>
      <c r="AH53" s="177"/>
      <c r="AI53" s="176"/>
      <c r="AJ53" s="175">
        <f>AJ7+SUM(AJ47:AJ52)</f>
        <v>1</v>
      </c>
      <c r="AK53" s="177"/>
      <c r="AL53" s="176"/>
      <c r="AM53" s="175">
        <f>AM7+SUM(AM47:AM52)</f>
        <v>1</v>
      </c>
      <c r="AN53" s="174"/>
      <c r="AV53" s="173">
        <f t="shared" ref="AV53:BA53" si="30">SUM(AV47:AV52)</f>
        <v>0</v>
      </c>
      <c r="AW53" s="173">
        <f t="shared" si="30"/>
        <v>0</v>
      </c>
      <c r="AX53" s="173">
        <f t="shared" si="30"/>
        <v>0</v>
      </c>
      <c r="AY53" s="173">
        <f t="shared" si="30"/>
        <v>0</v>
      </c>
      <c r="AZ53" s="173">
        <f t="shared" si="30"/>
        <v>0</v>
      </c>
      <c r="BA53" s="173">
        <f t="shared" si="30"/>
        <v>0</v>
      </c>
    </row>
    <row r="54" spans="2:53" ht="18" customHeight="1">
      <c r="B54" s="141" t="s">
        <v>1082</v>
      </c>
      <c r="C54" s="140">
        <f>C53/$D18-1</f>
        <v>-0.12578376217646625</v>
      </c>
      <c r="D54" s="140">
        <f>D53/$D18-1</f>
        <v>5.6344620703436599E-2</v>
      </c>
      <c r="E54" s="140">
        <f>E53/$D18-1</f>
        <v>0.16562165043137833</v>
      </c>
      <c r="G54" s="172" t="s">
        <v>1092</v>
      </c>
      <c r="H54" s="171"/>
      <c r="I54" s="171"/>
      <c r="J54" s="171"/>
      <c r="K54" s="170"/>
      <c r="L54" s="169"/>
      <c r="M54" s="168"/>
      <c r="N54" s="168"/>
      <c r="O54" s="168"/>
      <c r="P54" s="168"/>
      <c r="Q54" s="168"/>
      <c r="R54" s="167"/>
      <c r="S54" s="167"/>
      <c r="T54" s="167"/>
      <c r="U54" s="167"/>
      <c r="V54" s="166"/>
      <c r="W54" s="165">
        <f t="shared" ref="W54:AN54" si="31">SUM(W59:W85)</f>
        <v>0.15425</v>
      </c>
      <c r="X54" s="165">
        <f t="shared" si="31"/>
        <v>0.14924999999999999</v>
      </c>
      <c r="Y54" s="165">
        <f t="shared" si="31"/>
        <v>0.13425000000000001</v>
      </c>
      <c r="Z54" s="165">
        <f t="shared" si="31"/>
        <v>0.15551125000000002</v>
      </c>
      <c r="AA54" s="165">
        <f t="shared" si="31"/>
        <v>0.15288625000000003</v>
      </c>
      <c r="AB54" s="165">
        <f t="shared" si="31"/>
        <v>0.14244875000000004</v>
      </c>
      <c r="AC54" s="165">
        <f t="shared" si="31"/>
        <v>0.14294824848537963</v>
      </c>
      <c r="AD54" s="165">
        <f t="shared" si="31"/>
        <v>0.14802079081778058</v>
      </c>
      <c r="AE54" s="165">
        <f t="shared" si="31"/>
        <v>0.13715882708678631</v>
      </c>
      <c r="AF54" s="165">
        <f t="shared" si="31"/>
        <v>9.0446865541515598E-2</v>
      </c>
      <c r="AG54" s="165">
        <f t="shared" si="31"/>
        <v>0.13178536475396252</v>
      </c>
      <c r="AH54" s="165">
        <f t="shared" si="31"/>
        <v>0.11098368733118222</v>
      </c>
      <c r="AI54" s="165">
        <f t="shared" si="31"/>
        <v>8.8700107597651637E-2</v>
      </c>
      <c r="AJ54" s="165">
        <f t="shared" si="31"/>
        <v>0.13499206369014455</v>
      </c>
      <c r="AK54" s="165">
        <f t="shared" si="31"/>
        <v>0.11730692257557811</v>
      </c>
      <c r="AL54" s="165">
        <f t="shared" si="31"/>
        <v>-0.12578376217646625</v>
      </c>
      <c r="AM54" s="165">
        <f t="shared" si="31"/>
        <v>5.6344620703436599E-2</v>
      </c>
      <c r="AN54" s="165">
        <f t="shared" si="31"/>
        <v>0.16562165043137833</v>
      </c>
    </row>
    <row r="55" spans="2:53" ht="18" customHeight="1">
      <c r="B55" s="144" t="s">
        <v>1091</v>
      </c>
      <c r="C55" s="143">
        <v>-0.05</v>
      </c>
      <c r="D55" s="143">
        <v>0.05</v>
      </c>
      <c r="E55" s="143">
        <v>0.1</v>
      </c>
      <c r="G55" s="121" t="s">
        <v>1090</v>
      </c>
      <c r="H55" s="119"/>
      <c r="I55" s="119"/>
      <c r="J55" s="119"/>
      <c r="K55" s="163"/>
      <c r="L55" s="164"/>
      <c r="M55" s="120"/>
      <c r="N55" s="120"/>
      <c r="O55" s="120"/>
      <c r="P55" s="120"/>
      <c r="Q55" s="120"/>
      <c r="R55" s="119"/>
      <c r="S55" s="119"/>
      <c r="T55" s="119"/>
      <c r="U55" s="119"/>
      <c r="V55" s="163"/>
      <c r="W55" s="162">
        <f>W54/$C41</f>
        <v>1.0283333333333333</v>
      </c>
      <c r="X55" s="162">
        <f>X54/$D41</f>
        <v>1.0293103448275862</v>
      </c>
      <c r="Y55" s="162">
        <f>Y54/$E41</f>
        <v>1.0326923076923078</v>
      </c>
      <c r="Z55" s="162">
        <f>Z54/$C41</f>
        <v>1.0367416666666669</v>
      </c>
      <c r="AA55" s="162">
        <f>AA54/$D41</f>
        <v>1.054387931034483</v>
      </c>
      <c r="AB55" s="162">
        <f>AB54/$E41</f>
        <v>1.0957596153846156</v>
      </c>
      <c r="AC55" s="162">
        <f>AC54/$C41</f>
        <v>0.95298832323586424</v>
      </c>
      <c r="AD55" s="162">
        <f>AD54/$D41</f>
        <v>1.0208330401226247</v>
      </c>
      <c r="AE55" s="162">
        <f>AE54/$E41</f>
        <v>1.0550679006675869</v>
      </c>
      <c r="AF55" s="162">
        <f>AF54/$C41</f>
        <v>0.60297910361010398</v>
      </c>
      <c r="AG55" s="162">
        <f>AG54/$D41</f>
        <v>0.90886458451008645</v>
      </c>
      <c r="AH55" s="162">
        <f>AH54/$E41</f>
        <v>0.85372067177832478</v>
      </c>
      <c r="AI55" s="162">
        <f>AI54/$C41</f>
        <v>0.59133405065101097</v>
      </c>
      <c r="AJ55" s="162">
        <f>AJ54/$D41</f>
        <v>0.93097974958720386</v>
      </c>
      <c r="AK55" s="162">
        <f>AK54/$E41</f>
        <v>0.90236094288906232</v>
      </c>
      <c r="AL55" s="162">
        <f>AL54/$C41</f>
        <v>-0.83855841450977509</v>
      </c>
      <c r="AM55" s="162">
        <f>AM54/$D41</f>
        <v>0.38858359105818346</v>
      </c>
      <c r="AN55" s="162">
        <f>AN54/$E41</f>
        <v>1.2740126956259872</v>
      </c>
    </row>
    <row r="56" spans="2:53" ht="18" customHeight="1">
      <c r="B56" s="139" t="s">
        <v>1089</v>
      </c>
      <c r="C56" s="138">
        <v>-0.15</v>
      </c>
      <c r="D56" s="138">
        <v>0.15</v>
      </c>
      <c r="E56" s="138">
        <v>0.2</v>
      </c>
      <c r="G56" s="161"/>
      <c r="H56" s="161"/>
      <c r="I56" s="161"/>
      <c r="J56" s="161"/>
      <c r="K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</row>
    <row r="57" spans="2:53" ht="18" customHeight="1">
      <c r="G57" s="160" t="s">
        <v>1088</v>
      </c>
      <c r="H57" s="158"/>
      <c r="I57" s="158"/>
      <c r="J57" s="158"/>
      <c r="K57" s="158"/>
      <c r="L57" s="159"/>
      <c r="M57" s="159"/>
      <c r="N57" s="159"/>
      <c r="O57" s="159"/>
      <c r="P57" s="159"/>
      <c r="Q57" s="159"/>
      <c r="R57" s="158"/>
      <c r="S57" s="158"/>
      <c r="T57" s="158"/>
      <c r="U57" s="158"/>
      <c r="V57" s="158"/>
      <c r="W57" s="157"/>
      <c r="X57" s="157"/>
      <c r="Y57" s="157"/>
      <c r="Z57" s="157"/>
      <c r="AA57" s="157"/>
      <c r="AB57" s="157"/>
      <c r="AC57" s="157"/>
      <c r="AD57" s="157"/>
      <c r="AE57" s="156"/>
      <c r="AF57" s="157"/>
      <c r="AG57" s="157"/>
      <c r="AH57" s="156"/>
      <c r="AI57" s="157"/>
      <c r="AJ57" s="157"/>
      <c r="AK57" s="156"/>
      <c r="AL57" s="157"/>
      <c r="AM57" s="157"/>
      <c r="AN57" s="156"/>
    </row>
    <row r="58" spans="2:53" ht="18" customHeight="1">
      <c r="B58" s="155"/>
      <c r="C58" s="154" t="s">
        <v>1087</v>
      </c>
      <c r="D58" s="154" t="s">
        <v>1086</v>
      </c>
      <c r="E58" s="154" t="s">
        <v>1085</v>
      </c>
      <c r="G58" s="153" t="s">
        <v>1084</v>
      </c>
      <c r="H58" s="151"/>
      <c r="I58" s="151"/>
      <c r="J58" s="151"/>
      <c r="K58" s="151"/>
      <c r="L58" s="152"/>
      <c r="M58" s="152"/>
      <c r="N58" s="152"/>
      <c r="O58" s="152"/>
      <c r="P58" s="152"/>
      <c r="Q58" s="152"/>
      <c r="R58" s="151"/>
      <c r="S58" s="151"/>
      <c r="T58" s="151"/>
      <c r="U58" s="151"/>
      <c r="V58" s="151"/>
      <c r="W58" s="385" t="str">
        <f>W6</f>
        <v>Avin I</v>
      </c>
      <c r="X58" s="386"/>
      <c r="Y58" s="387"/>
      <c r="Z58" s="386" t="str">
        <f>Z6</f>
        <v>Avin II</v>
      </c>
      <c r="AA58" s="386"/>
      <c r="AB58" s="386"/>
      <c r="AC58" s="385" t="str">
        <f>AC6</f>
        <v>Avin III</v>
      </c>
      <c r="AD58" s="386"/>
      <c r="AE58" s="387"/>
      <c r="AF58" s="385" t="str">
        <f>AF6</f>
        <v>Avin IV</v>
      </c>
      <c r="AG58" s="386"/>
      <c r="AH58" s="387"/>
      <c r="AI58" s="385" t="str">
        <f>AI6</f>
        <v>Avin V</v>
      </c>
      <c r="AJ58" s="386"/>
      <c r="AK58" s="387"/>
      <c r="AL58" s="385" t="str">
        <f>AL6</f>
        <v>Avin VI</v>
      </c>
      <c r="AM58" s="386"/>
      <c r="AN58" s="387"/>
    </row>
    <row r="59" spans="2:53" ht="18" customHeight="1">
      <c r="B59" s="149" t="s">
        <v>1083</v>
      </c>
      <c r="C59" s="148">
        <v>90</v>
      </c>
      <c r="D59" s="148">
        <v>100</v>
      </c>
      <c r="E59" s="148">
        <v>110</v>
      </c>
      <c r="G59" s="135"/>
      <c r="H59" s="133"/>
      <c r="I59" s="133"/>
      <c r="J59" s="133" t="s">
        <v>1080</v>
      </c>
      <c r="K59" s="133"/>
      <c r="L59" s="134" t="s">
        <v>1075</v>
      </c>
      <c r="M59" s="134"/>
      <c r="N59" s="134"/>
      <c r="O59" s="134"/>
      <c r="P59" s="134"/>
      <c r="Q59" s="134"/>
      <c r="R59" s="136"/>
      <c r="S59" s="136"/>
      <c r="T59" s="136"/>
      <c r="U59" s="136"/>
      <c r="V59" s="136"/>
      <c r="W59" s="131">
        <f>$X$18*C41</f>
        <v>7.4999999999999997E-2</v>
      </c>
      <c r="X59" s="130">
        <f>$X$18*D41</f>
        <v>7.2499999999999995E-2</v>
      </c>
      <c r="Y59" s="129">
        <f>$X$18*E41</f>
        <v>6.5000000000000002E-2</v>
      </c>
      <c r="Z59" s="130">
        <f>$AA$18*C41</f>
        <v>4.5000000000000005E-2</v>
      </c>
      <c r="AA59" s="130">
        <f>$AA$18*D41</f>
        <v>4.3500000000000004E-2</v>
      </c>
      <c r="AB59" s="130">
        <f>$AA$18*E41</f>
        <v>3.9000000000000007E-2</v>
      </c>
      <c r="AC59" s="131">
        <f>$AD$18*C41</f>
        <v>2.4750000000000001E-2</v>
      </c>
      <c r="AD59" s="130">
        <f>$AD$18*D41</f>
        <v>2.3924999999999998E-2</v>
      </c>
      <c r="AE59" s="129">
        <f>$AD$18*E41</f>
        <v>2.145E-2</v>
      </c>
      <c r="AF59" s="131">
        <f>$AG$18*C41</f>
        <v>1.0499999999999999E-2</v>
      </c>
      <c r="AG59" s="130">
        <f>$AG$18*D41</f>
        <v>1.0149999999999998E-2</v>
      </c>
      <c r="AH59" s="129">
        <f>$AG$18*E41</f>
        <v>9.0999999999999987E-3</v>
      </c>
      <c r="AI59" s="131">
        <f>$AJ$18*C41</f>
        <v>3.7499999999999999E-3</v>
      </c>
      <c r="AJ59" s="130">
        <f>$AJ$18*D41</f>
        <v>3.6249999999999998E-3</v>
      </c>
      <c r="AK59" s="129">
        <f>$AJ$18*E41</f>
        <v>3.2500000000000003E-3</v>
      </c>
      <c r="AL59" s="131">
        <f>$AM$18*C41</f>
        <v>0</v>
      </c>
      <c r="AM59" s="130">
        <f>$AM$18*D41</f>
        <v>0</v>
      </c>
      <c r="AN59" s="129">
        <f>$AM$18*E41</f>
        <v>0</v>
      </c>
    </row>
    <row r="60" spans="2:53" ht="18" customHeight="1">
      <c r="B60" s="147" t="s">
        <v>1082</v>
      </c>
      <c r="C60" s="140">
        <f>C59/$D20-1</f>
        <v>-8.0600674226172231E-2</v>
      </c>
      <c r="D60" s="140">
        <f>D59/$D20-1</f>
        <v>2.1554806415364114E-2</v>
      </c>
      <c r="E60" s="140">
        <f>E59/$D20-1</f>
        <v>0.12371028705690068</v>
      </c>
      <c r="G60" s="135"/>
      <c r="H60" s="133"/>
      <c r="I60" s="133"/>
      <c r="J60" s="133" t="s">
        <v>1080</v>
      </c>
      <c r="K60" s="133"/>
      <c r="L60" s="134" t="s">
        <v>1072</v>
      </c>
      <c r="M60" s="137"/>
      <c r="N60" s="137" t="s">
        <v>1070</v>
      </c>
      <c r="O60" s="134"/>
      <c r="P60" s="134"/>
      <c r="Q60" s="134"/>
      <c r="R60" s="136"/>
      <c r="S60" s="136"/>
      <c r="T60" s="136"/>
      <c r="U60" s="136"/>
      <c r="V60" s="136"/>
      <c r="W60" s="131">
        <f>$X20*$D9</f>
        <v>0</v>
      </c>
      <c r="X60" s="130">
        <f>$X20*$D9</f>
        <v>0</v>
      </c>
      <c r="Y60" s="129">
        <f>$X20*$D9</f>
        <v>0</v>
      </c>
      <c r="Z60" s="131">
        <f>$AA20*$D9</f>
        <v>2.9460000000000003E-3</v>
      </c>
      <c r="AA60" s="130">
        <f>$AA20*$D9</f>
        <v>2.9460000000000003E-3</v>
      </c>
      <c r="AB60" s="129">
        <f>$AA20*$D9</f>
        <v>2.9460000000000003E-3</v>
      </c>
      <c r="AC60" s="131">
        <f>$AD20*$D9</f>
        <v>4.4189999999999993E-3</v>
      </c>
      <c r="AD60" s="130">
        <f>$AD20*$D9</f>
        <v>4.4189999999999993E-3</v>
      </c>
      <c r="AE60" s="129">
        <f>$AD20*$D9</f>
        <v>4.4189999999999993E-3</v>
      </c>
      <c r="AF60" s="131">
        <f>$AG20*$D9</f>
        <v>2.9460000000000003E-3</v>
      </c>
      <c r="AG60" s="130">
        <f>$AG20*$D9</f>
        <v>2.9460000000000003E-3</v>
      </c>
      <c r="AH60" s="130">
        <f>$AG20*$D9</f>
        <v>2.9460000000000003E-3</v>
      </c>
      <c r="AI60" s="131">
        <f>$AJ20*$D9</f>
        <v>7.3650000000000007E-4</v>
      </c>
      <c r="AJ60" s="130">
        <f>$AJ20*$D9</f>
        <v>7.3650000000000007E-4</v>
      </c>
      <c r="AK60" s="130">
        <f>$AJ20*$D9</f>
        <v>7.3650000000000007E-4</v>
      </c>
      <c r="AL60" s="131">
        <f>$AM20*$D9</f>
        <v>0</v>
      </c>
      <c r="AM60" s="130">
        <f>$AM20*$D9</f>
        <v>0</v>
      </c>
      <c r="AN60" s="129">
        <f>$AM20*$D9</f>
        <v>0</v>
      </c>
    </row>
    <row r="61" spans="2:53" ht="18" customHeight="1">
      <c r="B61" s="146" t="str">
        <f>B21</f>
        <v>Fed Funds</v>
      </c>
      <c r="C61" s="145">
        <v>4.2500000000000003E-2</v>
      </c>
      <c r="D61" s="145">
        <v>0.04</v>
      </c>
      <c r="E61" s="145">
        <v>3.5000000000000003E-2</v>
      </c>
      <c r="G61" s="135"/>
      <c r="H61" s="133"/>
      <c r="I61" s="133"/>
      <c r="J61" s="133" t="s">
        <v>1080</v>
      </c>
      <c r="K61" s="133"/>
      <c r="L61" s="134" t="s">
        <v>1072</v>
      </c>
      <c r="M61" s="137"/>
      <c r="N61" s="137" t="s">
        <v>1069</v>
      </c>
      <c r="O61" s="134"/>
      <c r="P61" s="134"/>
      <c r="Q61" s="134"/>
      <c r="R61" s="136"/>
      <c r="S61" s="136"/>
      <c r="T61" s="136"/>
      <c r="U61" s="136"/>
      <c r="V61" s="136"/>
      <c r="W61" s="131">
        <f>$X21*($C41+(($D44-$C44)*$D34))</f>
        <v>0</v>
      </c>
      <c r="X61" s="130">
        <f>$X21*($D41+(($D44-$D44)*$D34))</f>
        <v>0</v>
      </c>
      <c r="Y61" s="129">
        <f>$X21*($E41+(($D44-$E44)*$D34))</f>
        <v>0</v>
      </c>
      <c r="Z61" s="131">
        <f>$AA21*($C41+(($D44-$C44)*$D34))</f>
        <v>0</v>
      </c>
      <c r="AA61" s="130">
        <f>$AA21*($D41+(($D44-$D44)*$D34))</f>
        <v>0</v>
      </c>
      <c r="AB61" s="129">
        <f>$AA21*($E41+(($D44-$E44)*$D34))</f>
        <v>0</v>
      </c>
      <c r="AC61" s="131">
        <f>$AD21*($C41+(($D44-$C44)*$D34))</f>
        <v>0</v>
      </c>
      <c r="AD61" s="130">
        <f>$AD21*($D41+(($D44-$D44)*$D34))</f>
        <v>0</v>
      </c>
      <c r="AE61" s="129">
        <f>$AD21*($E41+(($D44-$E44)*$D34))</f>
        <v>0</v>
      </c>
      <c r="AF61" s="131">
        <f>$AG21*($C41+(($D44-$C44)*$D34))</f>
        <v>0</v>
      </c>
      <c r="AG61" s="130">
        <f>$AG21*($D41+(($D44-$D44)*$D34))</f>
        <v>0</v>
      </c>
      <c r="AH61" s="129">
        <f>$AG21*($E41+(($D44-$E44)*$D34))</f>
        <v>0</v>
      </c>
      <c r="AI61" s="131">
        <f>$AJ21*($C41+(($D44-$C44)*$D34))</f>
        <v>0</v>
      </c>
      <c r="AJ61" s="130">
        <f>$AJ21*($D41+(($D44-$D44)*$D34))</f>
        <v>0</v>
      </c>
      <c r="AK61" s="129">
        <f>$AJ21*($E41+(($D44-$E44)*$D34))</f>
        <v>0</v>
      </c>
      <c r="AL61" s="131">
        <f>$AM21*($C41+(($D44-$C44)*$D34))</f>
        <v>0</v>
      </c>
      <c r="AM61" s="130">
        <f>$AM21*($D41+(($D44-$D44)*$D34))</f>
        <v>0</v>
      </c>
      <c r="AN61" s="129">
        <f>$AM21*($E41+(($D44-$E44)*$D34))</f>
        <v>0</v>
      </c>
    </row>
    <row r="62" spans="2:53" ht="18" customHeight="1">
      <c r="B62" s="146" t="s">
        <v>1081</v>
      </c>
      <c r="C62" s="145">
        <v>4.3499999999999997E-2</v>
      </c>
      <c r="D62" s="145">
        <v>4.2500000000000003E-2</v>
      </c>
      <c r="E62" s="145">
        <v>0.04</v>
      </c>
      <c r="G62" s="135"/>
      <c r="H62" s="133"/>
      <c r="I62" s="133"/>
      <c r="J62" s="133" t="s">
        <v>1080</v>
      </c>
      <c r="K62" s="133"/>
      <c r="L62" s="134" t="s">
        <v>1072</v>
      </c>
      <c r="M62" s="137"/>
      <c r="N62" s="137" t="s">
        <v>1067</v>
      </c>
      <c r="O62" s="134"/>
      <c r="P62" s="134"/>
      <c r="Q62" s="134"/>
      <c r="R62" s="136"/>
      <c r="S62" s="136"/>
      <c r="T62" s="136"/>
      <c r="U62" s="136"/>
      <c r="V62" s="136"/>
      <c r="W62" s="131">
        <f>$X22*($C41+(($D45-$C45)*$D35))</f>
        <v>0</v>
      </c>
      <c r="X62" s="130">
        <f>$X22*($D41+(($D45-$D45)*$D35))</f>
        <v>0</v>
      </c>
      <c r="Y62" s="129">
        <f>$X22*($E41+(($D45-$E45)*$D35))</f>
        <v>0</v>
      </c>
      <c r="Z62" s="131">
        <f>$AA22*($C41+(($D45-$C45)*$D35))</f>
        <v>0</v>
      </c>
      <c r="AA62" s="130">
        <f>$AA22*($D41+(($D45-$D45)*$D35))</f>
        <v>0</v>
      </c>
      <c r="AB62" s="129">
        <f>$AA22*($E41+(($D45-$E45)*$D35))</f>
        <v>0</v>
      </c>
      <c r="AC62" s="131">
        <f>$AD22*($C41+(($D45-$C45)*$D35))</f>
        <v>0</v>
      </c>
      <c r="AD62" s="130">
        <f>$AD22*($D41+(($D45-$D45)*$D35))</f>
        <v>0</v>
      </c>
      <c r="AE62" s="129">
        <f>$AD22*($E41+(($D45-$E45)*$D35))</f>
        <v>0</v>
      </c>
      <c r="AF62" s="131">
        <f>$AG22*($C41+(($D45-$C45)*$D35))</f>
        <v>0</v>
      </c>
      <c r="AG62" s="130">
        <f>$AG22*($D41+(($D45-$D45)*$D35))</f>
        <v>0</v>
      </c>
      <c r="AH62" s="129">
        <f>$AG22*($E41+(($D45-$E45)*$D35))</f>
        <v>0</v>
      </c>
      <c r="AI62" s="131">
        <f>$AJ22*($C41+(($D45-$C45)*$D35))</f>
        <v>0</v>
      </c>
      <c r="AJ62" s="130">
        <f>$AJ22*($D41+(($D45-$D45)*$D35))</f>
        <v>0</v>
      </c>
      <c r="AK62" s="129">
        <f>$AJ22*($E41+(($D45-$E45)*$D35))</f>
        <v>0</v>
      </c>
      <c r="AL62" s="131">
        <f>$AM22*($C41+(($D45-$C45)*$D35))</f>
        <v>0</v>
      </c>
      <c r="AM62" s="130">
        <f>$AM22*($D41+(($D45-$D45)*$D35))</f>
        <v>0</v>
      </c>
      <c r="AN62" s="129">
        <f>$AM22*($E41+(($D45-$E45)*$D35))</f>
        <v>0</v>
      </c>
    </row>
    <row r="63" spans="2:53" ht="18" customHeight="1">
      <c r="B63" s="146" t="str">
        <f t="shared" ref="B63:B69" si="32">B22</f>
        <v>US Treasury 2Y</v>
      </c>
      <c r="C63" s="145">
        <v>0.04</v>
      </c>
      <c r="D63" s="145">
        <v>3.8100000000000002E-2</v>
      </c>
      <c r="E63" s="145">
        <v>3.6999999999999998E-2</v>
      </c>
      <c r="G63" s="135"/>
      <c r="H63" s="133"/>
      <c r="I63" s="133"/>
      <c r="J63" s="133" t="s">
        <v>1080</v>
      </c>
      <c r="K63" s="133"/>
      <c r="L63" s="137" t="s">
        <v>121</v>
      </c>
      <c r="M63" s="134"/>
      <c r="N63" s="137" t="s">
        <v>1070</v>
      </c>
      <c r="O63" s="134"/>
      <c r="P63" s="134"/>
      <c r="Q63" s="134"/>
      <c r="R63" s="136"/>
      <c r="S63" s="136"/>
      <c r="T63" s="136"/>
      <c r="U63" s="136"/>
      <c r="V63" s="136"/>
      <c r="W63" s="131">
        <f>$X24*($C46+$D13)</f>
        <v>0</v>
      </c>
      <c r="X63" s="130">
        <f>$X24*($D46+$D13)</f>
        <v>0</v>
      </c>
      <c r="Y63" s="129">
        <f>$X24*($E46+$D13)</f>
        <v>0</v>
      </c>
      <c r="Z63" s="131">
        <f>$AA24*($C46+$D13)</f>
        <v>8.9460000000000008E-3</v>
      </c>
      <c r="AA63" s="130">
        <f>$AA24*($D46+$D13)</f>
        <v>8.6459999999999992E-3</v>
      </c>
      <c r="AB63" s="129">
        <f>$AA24*($E46+$D13)</f>
        <v>8.3459999999999993E-3</v>
      </c>
      <c r="AC63" s="131">
        <f>$AD24*($C46+$D13)</f>
        <v>6.7095000000000002E-3</v>
      </c>
      <c r="AD63" s="130">
        <f>$AD24*($D46+$D13)</f>
        <v>6.4844999999999998E-3</v>
      </c>
      <c r="AE63" s="129">
        <f>$AD24*($E46+$D13)</f>
        <v>6.2594999999999994E-3</v>
      </c>
      <c r="AF63" s="131">
        <f>$AG24*($C46+$D13)</f>
        <v>0</v>
      </c>
      <c r="AG63" s="130">
        <f>$AG24*($D46+$D13)</f>
        <v>0</v>
      </c>
      <c r="AH63" s="129">
        <f>$AG24*($E46+$D13)</f>
        <v>0</v>
      </c>
      <c r="AI63" s="131">
        <f>$AJ24*($C46+$D13)</f>
        <v>1.4910000000000004E-3</v>
      </c>
      <c r="AJ63" s="130">
        <f>$AJ24*($D46+$D13)</f>
        <v>1.4410000000000004E-3</v>
      </c>
      <c r="AK63" s="129">
        <f>$AJ24*($E46+$D13)</f>
        <v>1.3910000000000003E-3</v>
      </c>
      <c r="AL63" s="131">
        <f>$AM24*($C46+$D13)</f>
        <v>0</v>
      </c>
      <c r="AM63" s="130">
        <f>$AM24*($D46+$D13)</f>
        <v>0</v>
      </c>
      <c r="AN63" s="129">
        <f>$AM24*($E46+$D13)</f>
        <v>0</v>
      </c>
    </row>
    <row r="64" spans="2:53" ht="18" customHeight="1">
      <c r="B64" s="146" t="str">
        <f t="shared" si="32"/>
        <v>US Treasury 5Y</v>
      </c>
      <c r="C64" s="145">
        <v>3.9E-2</v>
      </c>
      <c r="D64" s="145">
        <v>3.8600000000000002E-2</v>
      </c>
      <c r="E64" s="145">
        <v>3.5000000000000003E-2</v>
      </c>
      <c r="G64" s="135"/>
      <c r="H64" s="133"/>
      <c r="I64" s="133"/>
      <c r="J64" s="133" t="s">
        <v>1080</v>
      </c>
      <c r="K64" s="133"/>
      <c r="L64" s="137" t="s">
        <v>121</v>
      </c>
      <c r="M64" s="134"/>
      <c r="N64" s="137" t="s">
        <v>1069</v>
      </c>
      <c r="O64" s="134"/>
      <c r="P64" s="134"/>
      <c r="Q64" s="134"/>
      <c r="R64" s="136"/>
      <c r="S64" s="136"/>
      <c r="T64" s="136"/>
      <c r="U64" s="136"/>
      <c r="V64" s="136"/>
      <c r="W64" s="131">
        <f>$X25*(($D$12+$D$14)+(($D$48-$C$48)*$D$34))</f>
        <v>0</v>
      </c>
      <c r="X64" s="130">
        <f>$X25*(($D$12+$D$14)+(($D$48-$D$48)*$D$34))</f>
        <v>0</v>
      </c>
      <c r="Y64" s="129">
        <f>$X25*(($D$12+$D$14)+(($D$48-$E$48)*$D$34))</f>
        <v>0</v>
      </c>
      <c r="Z64" s="131">
        <f>$AA25*(($D$12+$D$14)+(($D$48-$C$48)*$D$34))</f>
        <v>0</v>
      </c>
      <c r="AA64" s="130">
        <f>$AA25*(($D$12+$D$14)+(($D$48-$D$48)*$D$34))</f>
        <v>0</v>
      </c>
      <c r="AB64" s="129">
        <f>$AA25*(($D$12+$D$14)+(($D$48-$E$48)*$D$34))</f>
        <v>0</v>
      </c>
      <c r="AC64" s="131">
        <f>$AD25*(($D$12+$D$14)+(($D$48-$C$48)*$D$34))</f>
        <v>0</v>
      </c>
      <c r="AD64" s="130">
        <f>$AD25*(($D$12+$D$14)+(($D$48-$D$48)*$D$34))</f>
        <v>0</v>
      </c>
      <c r="AE64" s="129">
        <f>$AD25*(($D$12+$D$14)+(($D$48-$E$48)*$D$34))</f>
        <v>0</v>
      </c>
      <c r="AF64" s="131">
        <f>$AG25*(($D$12+$D$14)+(($D$48-$C$48)*$D$34))</f>
        <v>3.4259999999999989E-3</v>
      </c>
      <c r="AG64" s="130">
        <f>$AG25*(($D$12+$D$14)+(($D$48-$D$48)*$D$34))</f>
        <v>3.8759999999999992E-3</v>
      </c>
      <c r="AH64" s="129">
        <f>$AG25*(($D$12+$D$14)+(($D$48-$E$48)*$D$34))</f>
        <v>4.7759999999999981E-3</v>
      </c>
      <c r="AI64" s="131">
        <f>$AJ25*(($D$12+$D$14)+(($D$48-$C$48)*$D$34))</f>
        <v>0</v>
      </c>
      <c r="AJ64" s="130">
        <f>$AJ25*(($D$12+$D$14)+(($D$48-$D$48)*$D$34))</f>
        <v>0</v>
      </c>
      <c r="AK64" s="129">
        <f>$AJ25*(($D$12+$D$14)+(($D$48-$E$48)*$D$34))</f>
        <v>0</v>
      </c>
      <c r="AL64" s="131">
        <f>$AM25*(($D$12+$D$14)+(($D$48-$C$48)*$D$34))</f>
        <v>0</v>
      </c>
      <c r="AM64" s="130">
        <f>$AM25*(($D$12+$D$14)+(($D$48-$D$48)*$D$34))</f>
        <v>0</v>
      </c>
      <c r="AN64" s="129">
        <f>$AM25*(($D$12+$D$14)+(($D$48-$E$48)*$D$36))</f>
        <v>0</v>
      </c>
    </row>
    <row r="65" spans="2:40" ht="18" customHeight="1">
      <c r="B65" s="146" t="str">
        <f t="shared" si="32"/>
        <v>US Treasury 10Y</v>
      </c>
      <c r="C65" s="145">
        <v>4.4999999999999998E-2</v>
      </c>
      <c r="D65" s="145">
        <v>4.2900000000000001E-2</v>
      </c>
      <c r="E65" s="145">
        <v>0.04</v>
      </c>
      <c r="G65" s="135"/>
      <c r="H65" s="133"/>
      <c r="I65" s="133"/>
      <c r="J65" s="133" t="s">
        <v>1080</v>
      </c>
      <c r="K65" s="133"/>
      <c r="L65" s="137" t="s">
        <v>121</v>
      </c>
      <c r="M65" s="134"/>
      <c r="N65" s="137" t="s">
        <v>1067</v>
      </c>
      <c r="O65" s="134"/>
      <c r="P65" s="134"/>
      <c r="Q65" s="134"/>
      <c r="R65" s="136"/>
      <c r="S65" s="136"/>
      <c r="T65" s="136"/>
      <c r="U65" s="136"/>
      <c r="V65" s="136"/>
      <c r="W65" s="131">
        <f>$X26*(($D$12+$D$15)+(($D$49-$C$49)*$D$35))</f>
        <v>0</v>
      </c>
      <c r="X65" s="130">
        <f>$X26*(($D$12+$D$15)+(($D$49-$D$49)*$D$35))</f>
        <v>0</v>
      </c>
      <c r="Y65" s="129">
        <f>$X26*(($D$12+$D$15)+(($D$49-$E$49)*$D$35))</f>
        <v>0</v>
      </c>
      <c r="Z65" s="131">
        <f>$AA26*(($D$12+$D$15)+(($D$49-$C$49)*$D$35))</f>
        <v>0</v>
      </c>
      <c r="AA65" s="130">
        <f>$AA26*(($D$12+$D$15)+(($D$49-$D$49)*$D$35))</f>
        <v>0</v>
      </c>
      <c r="AB65" s="129">
        <f>$AA26*(($D$12+$D$15)+(($D$49-$E$49)*$D$35))</f>
        <v>0</v>
      </c>
      <c r="AC65" s="131">
        <f>$AD26*(($D$12+$D$15)+(($D$49-$C$49)*$D$35))</f>
        <v>0</v>
      </c>
      <c r="AD65" s="130">
        <f>$AD26*(($D$12+$D$15)+(($D$49-$D$49)*$D$35))</f>
        <v>0</v>
      </c>
      <c r="AE65" s="129">
        <f>$AD26*(($D$12+$D$15)+(($D$49-$E$49)*$D$35))</f>
        <v>0</v>
      </c>
      <c r="AF65" s="131">
        <f>$AG26*(($D$12+$D$15)+(($D$49-$C$49)*$D$35))</f>
        <v>0</v>
      </c>
      <c r="AG65" s="130">
        <f>$AG26*(($D$12+$D$15)+(($D$49-$D$49)*$D$35))</f>
        <v>0</v>
      </c>
      <c r="AH65" s="129">
        <f>$AG26*(($D$12+$D$15)+(($D$49-$E$49)*$D$35))</f>
        <v>0</v>
      </c>
      <c r="AI65" s="131">
        <f>$AJ26*(($D$12+$D$15)+(($D$49-$C$49)*$D$35))</f>
        <v>0</v>
      </c>
      <c r="AJ65" s="130">
        <f>$AJ26*(($D$12+$D$15)+(($D$49-$D$49)*$D$35))</f>
        <v>0</v>
      </c>
      <c r="AK65" s="129">
        <f>$AJ26*(($D$12+$D$15)+(($D$49-$E$49)*$D$35))</f>
        <v>0</v>
      </c>
      <c r="AL65" s="131">
        <f>$AM26*(($D$12+$D$15)+(($D$49-$C$49)*$D$35))</f>
        <v>0</v>
      </c>
      <c r="AM65" s="130">
        <f>$AM26*(($D$12+$D$15)+(($D$49-$D$49)*$D$35))</f>
        <v>0</v>
      </c>
      <c r="AN65" s="129">
        <f>$AM26*(($D$12+$D$15)+(($D$49-$E$49)*$D$35))</f>
        <v>0</v>
      </c>
    </row>
    <row r="66" spans="2:40" ht="18" customHeight="1">
      <c r="B66" s="146" t="str">
        <f t="shared" si="32"/>
        <v>CPI</v>
      </c>
      <c r="C66" s="145">
        <v>0.03</v>
      </c>
      <c r="D66" s="145">
        <v>2.75E-2</v>
      </c>
      <c r="E66" s="145">
        <v>2.5000000000000001E-2</v>
      </c>
      <c r="G66" s="135"/>
      <c r="H66" s="133"/>
      <c r="I66" s="133"/>
      <c r="J66" s="133" t="s">
        <v>1077</v>
      </c>
      <c r="K66" s="133"/>
      <c r="L66" s="134" t="s">
        <v>1075</v>
      </c>
      <c r="M66" s="134"/>
      <c r="N66" s="134"/>
      <c r="O66" s="134"/>
      <c r="P66" s="134"/>
      <c r="Q66" s="134"/>
      <c r="R66" s="136"/>
      <c r="S66" s="136"/>
      <c r="T66" s="136"/>
      <c r="U66" s="136"/>
      <c r="V66" s="136"/>
      <c r="W66" s="131">
        <f>$X$28*(C$41+D16)</f>
        <v>7.9250000000000001E-2</v>
      </c>
      <c r="X66" s="130">
        <f>$X$28*(D$41+D16)</f>
        <v>7.6749999999999999E-2</v>
      </c>
      <c r="Y66" s="129">
        <f>$X$28*(E$41+D16)</f>
        <v>6.9250000000000006E-2</v>
      </c>
      <c r="Z66" s="131">
        <f>$AA$28*(C$41+D16)</f>
        <v>6.5381250000000002E-2</v>
      </c>
      <c r="AA66" s="130">
        <f>$AA$28*(D$41+D16)</f>
        <v>6.3318750000000007E-2</v>
      </c>
      <c r="AB66" s="129">
        <f>$AA$28*(E$41+D16)</f>
        <v>5.7131250000000008E-2</v>
      </c>
      <c r="AC66" s="131">
        <f>$AD$28*(C$41+D16)</f>
        <v>5.4484375000000002E-2</v>
      </c>
      <c r="AD66" s="130">
        <f>$AD$28*(D$41+D16)</f>
        <v>5.2765624999999997E-2</v>
      </c>
      <c r="AE66" s="129">
        <f>$AD$28*(E$41+D16)</f>
        <v>4.7609375000000002E-2</v>
      </c>
      <c r="AF66" s="131">
        <f>$AG$28*(C$41+D16)</f>
        <v>3.7445624999999996E-2</v>
      </c>
      <c r="AG66" s="130">
        <f>$AG$28*(D$41+D16)</f>
        <v>3.6264374999999995E-2</v>
      </c>
      <c r="AH66" s="129">
        <f>$AG$28*(E$41+D16)</f>
        <v>3.2720625000000003E-2</v>
      </c>
      <c r="AI66" s="131">
        <f>$AJ$28*(C$41+D16)</f>
        <v>2.7737499999999998E-2</v>
      </c>
      <c r="AJ66" s="130">
        <f>$AJ$28*(D$41+D16)</f>
        <v>2.6862499999999997E-2</v>
      </c>
      <c r="AK66" s="129">
        <f>$AJ$28*(E$41+D16)</f>
        <v>2.4237500000000002E-2</v>
      </c>
      <c r="AL66" s="131">
        <f>$AM$28*(C$41+D16)</f>
        <v>0</v>
      </c>
      <c r="AM66" s="130">
        <f>$AM$28*(D$41+D16)</f>
        <v>0</v>
      </c>
      <c r="AN66" s="129">
        <f>$AM$28*(E$41+D16)</f>
        <v>0</v>
      </c>
    </row>
    <row r="67" spans="2:40" ht="18" customHeight="1">
      <c r="B67" s="146" t="str">
        <f t="shared" si="32"/>
        <v>TIPS</v>
      </c>
      <c r="C67" s="145">
        <v>1.2500000000000001E-2</v>
      </c>
      <c r="D67" s="145">
        <v>1.4500000000000001E-2</v>
      </c>
      <c r="E67" s="145">
        <v>1.6500000000000001E-2</v>
      </c>
      <c r="G67" s="135"/>
      <c r="H67" s="133"/>
      <c r="I67" s="133"/>
      <c r="J67" s="133" t="s">
        <v>1077</v>
      </c>
      <c r="K67" s="133"/>
      <c r="L67" s="134" t="s">
        <v>1072</v>
      </c>
      <c r="M67" s="137"/>
      <c r="N67" s="137" t="s">
        <v>1070</v>
      </c>
      <c r="O67" s="134"/>
      <c r="P67" s="134"/>
      <c r="Q67" s="134"/>
      <c r="R67" s="136"/>
      <c r="S67" s="136"/>
      <c r="T67" s="136"/>
      <c r="U67" s="136"/>
      <c r="V67" s="136"/>
      <c r="W67" s="131">
        <f>$X30*($D9+$D16)</f>
        <v>0</v>
      </c>
      <c r="X67" s="130">
        <f>$X30*($D9+$D16)</f>
        <v>0</v>
      </c>
      <c r="Y67" s="129">
        <f>$X30*($D9+$D16)</f>
        <v>0</v>
      </c>
      <c r="Z67" s="131">
        <f>$AA30*($D9+$D16)</f>
        <v>4.2845000000000001E-3</v>
      </c>
      <c r="AA67" s="130">
        <f>$AA30*($D9+$D16)</f>
        <v>4.2845000000000001E-3</v>
      </c>
      <c r="AB67" s="129">
        <f>$AA30*($D9+$D16)</f>
        <v>4.2845000000000001E-3</v>
      </c>
      <c r="AC67" s="131">
        <f>$AD30*($D9+$D16)</f>
        <v>9.7374999999999996E-3</v>
      </c>
      <c r="AD67" s="130">
        <f>$AD30*($D9+$D16)</f>
        <v>9.7374999999999996E-3</v>
      </c>
      <c r="AE67" s="129">
        <f>$AD30*($D9+$D16)</f>
        <v>9.7374999999999996E-3</v>
      </c>
      <c r="AF67" s="131">
        <f t="shared" ref="AF67:AK67" si="33">$AG30*($D9+$D16)</f>
        <v>1.05165E-2</v>
      </c>
      <c r="AG67" s="130">
        <f t="shared" si="33"/>
        <v>1.05165E-2</v>
      </c>
      <c r="AH67" s="129">
        <f t="shared" si="33"/>
        <v>1.05165E-2</v>
      </c>
      <c r="AI67" s="131">
        <f t="shared" si="33"/>
        <v>1.05165E-2</v>
      </c>
      <c r="AJ67" s="130">
        <f t="shared" si="33"/>
        <v>1.05165E-2</v>
      </c>
      <c r="AK67" s="129">
        <f t="shared" si="33"/>
        <v>1.05165E-2</v>
      </c>
      <c r="AL67" s="131">
        <f>$AM30*($D9+$D16)</f>
        <v>0</v>
      </c>
      <c r="AM67" s="130">
        <f>$AM30*($D9+$D16)</f>
        <v>0</v>
      </c>
      <c r="AN67" s="129">
        <f>$AM30*($D9+$D16)</f>
        <v>0</v>
      </c>
    </row>
    <row r="68" spans="2:40" ht="18" customHeight="1">
      <c r="B68" s="146" t="str">
        <f t="shared" si="32"/>
        <v>Premium Investment Grade</v>
      </c>
      <c r="C68" s="145">
        <v>1.4999999999999999E-2</v>
      </c>
      <c r="D68" s="145">
        <v>0.01</v>
      </c>
      <c r="E68" s="145">
        <v>5.0000000000000001E-3</v>
      </c>
      <c r="G68" s="135"/>
      <c r="H68" s="133"/>
      <c r="I68" s="133"/>
      <c r="J68" s="133" t="s">
        <v>1077</v>
      </c>
      <c r="K68" s="133"/>
      <c r="L68" s="134" t="s">
        <v>1072</v>
      </c>
      <c r="M68" s="137"/>
      <c r="N68" s="137" t="s">
        <v>1069</v>
      </c>
      <c r="O68" s="134"/>
      <c r="P68" s="134"/>
      <c r="Q68" s="134"/>
      <c r="R68" s="136"/>
      <c r="S68" s="136"/>
      <c r="T68" s="136"/>
      <c r="U68" s="136"/>
      <c r="V68" s="136"/>
      <c r="W68" s="131">
        <f>$X31*(($C41+$D16)+(($D44-$C44)*$D34)+(($D16-$C50)*$D34))</f>
        <v>0</v>
      </c>
      <c r="X68" s="130">
        <f>$X31*(($D41+$D16)+(($D44-$D44)*$D34)+(($D16-$D50)*$D34))</f>
        <v>0</v>
      </c>
      <c r="Y68" s="129">
        <f>$X31*(($E41+$D16)+(($D44-$E44)*$D34)+(($D16-$E50)*$D34))</f>
        <v>0</v>
      </c>
      <c r="Z68" s="131">
        <f>$AA31*(($C41+$D16)+(($D44-$C44)*$D34)+(($D16-$C50)*$D34))</f>
        <v>0</v>
      </c>
      <c r="AA68" s="130">
        <f>$AA31*(($D41+$D16)+(($D44-$D44)*$D34)+(($D16-$D50)*$D34))</f>
        <v>0</v>
      </c>
      <c r="AB68" s="129">
        <f>$AA31*(($E41+$D16)+(($D44-$E44)*$D34)+(($D16-$E50)*$D34))</f>
        <v>0</v>
      </c>
      <c r="AC68" s="131">
        <f>$AD31*(($C41+$D16)+(($D44-$C44)*$D34)+(($D16-$C50)*$D34))</f>
        <v>0</v>
      </c>
      <c r="AD68" s="130">
        <f>$AD31*(($D41+$D16)+(($D44-$D44)*$D34)+(($D16-$D50)*$D34))</f>
        <v>0</v>
      </c>
      <c r="AE68" s="129">
        <f>$AD31*(($E41+$D16)+(($D44-$E44)*$D34)+(($D16-$E50)*$D34))</f>
        <v>0</v>
      </c>
      <c r="AF68" s="131">
        <f>$AG31*(($C41+$D16)+(($D44-$C44)*$D34)+(($D16-$C50)*$D34))</f>
        <v>0</v>
      </c>
      <c r="AG68" s="130">
        <f>$AG31*(($D41+$D16)+(($D44-$D44)*$D34)+(($D16-$D50)*$D34))</f>
        <v>0</v>
      </c>
      <c r="AH68" s="129">
        <f>$AG31*(($E41+$D16)+(($D44-$E44)*$D34)+(($D16-$E50)*$D34))</f>
        <v>0</v>
      </c>
      <c r="AI68" s="131">
        <f>$AJ31*(($C41+$D16)+(($D44-$C44)*$D34)+(($D16-$C50)*$D34))</f>
        <v>0</v>
      </c>
      <c r="AJ68" s="130">
        <f>$AJ31*(($D41+$D16)+(($D44-$D44)*$D34)+(($D16-$D50)*$D34))</f>
        <v>0</v>
      </c>
      <c r="AK68" s="129">
        <f>$AJ31*(($E41+$D16)+(($D44-$E44)*$D34)+(($D16-$E50)*$D34))</f>
        <v>0</v>
      </c>
      <c r="AL68" s="131">
        <f>$AM31*(($C41+$D16)+(($D44-$C44)*$D34)+(($D16-$C50)*$D34))</f>
        <v>0</v>
      </c>
      <c r="AM68" s="130">
        <f>$AM31*(($D41+$D16)+(($D44-$D44)*$D34)+(($D16-$D50)*$D34))</f>
        <v>0</v>
      </c>
      <c r="AN68" s="129">
        <f>$AM31*(($E41+$D16)+(($D44-$E44)*$D34)+(($D16-$E50)*$D34))</f>
        <v>0</v>
      </c>
    </row>
    <row r="69" spans="2:40" ht="18" customHeight="1">
      <c r="B69" s="146" t="str">
        <f t="shared" si="32"/>
        <v>Premium High Yield / EM</v>
      </c>
      <c r="C69" s="145">
        <v>0.03</v>
      </c>
      <c r="D69" s="145">
        <v>0.02</v>
      </c>
      <c r="E69" s="145">
        <v>0.01</v>
      </c>
      <c r="G69" s="135"/>
      <c r="H69" s="133"/>
      <c r="I69" s="133"/>
      <c r="J69" s="133" t="s">
        <v>1077</v>
      </c>
      <c r="K69" s="133"/>
      <c r="L69" s="134" t="s">
        <v>1072</v>
      </c>
      <c r="M69" s="137"/>
      <c r="N69" s="137" t="s">
        <v>1067</v>
      </c>
      <c r="O69" s="134"/>
      <c r="P69" s="134"/>
      <c r="Q69" s="134"/>
      <c r="R69" s="136"/>
      <c r="S69" s="136"/>
      <c r="T69" s="136"/>
      <c r="U69" s="136"/>
      <c r="V69" s="136"/>
      <c r="W69" s="131">
        <f>$X32*(($C41+$D16)+(($D45-$C45)*$D35)+(($D16-$C50)*$D35))</f>
        <v>0</v>
      </c>
      <c r="X69" s="130">
        <f>$X32*(($D41+$D16)+(($D45-$D45)*$D35)+(($D16-$D50)*$D35))</f>
        <v>0</v>
      </c>
      <c r="Y69" s="129">
        <f>$X32*(($E41+$D16)+(($D45-$E45)*$D35)+(($D16-$E50)*$D35))</f>
        <v>0</v>
      </c>
      <c r="Z69" s="131">
        <f>$AA32*(($C41+$D16)+(($D45-$C45)*$D35)+(($D16-$C50)*$D35))</f>
        <v>0</v>
      </c>
      <c r="AA69" s="130">
        <f>$AA32*(($D41+$D16)+(($D45-$D45)*$D35)+(($D16-$D50)*$D35))</f>
        <v>0</v>
      </c>
      <c r="AB69" s="129">
        <f>$AA32*(($E41+$D16)+(($D45-$E45)*$D35)+(($D16-$E50)*$D35))</f>
        <v>0</v>
      </c>
      <c r="AC69" s="131">
        <f>$AD32*(($C41+$D16)+(($D45-$C45)*$D35)+(($D16-$C50)*$D35))</f>
        <v>0</v>
      </c>
      <c r="AD69" s="130">
        <f>$AD32*(($D41+$D16)+(($D45-$D45)*$D35)+(($D16-$D50)*$D35))</f>
        <v>0</v>
      </c>
      <c r="AE69" s="129">
        <f>$AD32*(($E41+$D16)+(($D45-$E45)*$D35)+(($D16-$E50)*$D35))</f>
        <v>0</v>
      </c>
      <c r="AF69" s="131">
        <f>$AG32*(($C41+$D16)+(($D45-$C45)*$D35)+(($D16-$C50)*$D35))</f>
        <v>0</v>
      </c>
      <c r="AG69" s="130">
        <f>$AG32*(($D41+$D16)+(($D45-$D45)*$D35)+(($D16-$D50)*$D35))</f>
        <v>0</v>
      </c>
      <c r="AH69" s="129">
        <f>$AG32*(($E41+$D16)+(($D45-$E45)*$D35)+(($D16-$E50)*$D35))</f>
        <v>0</v>
      </c>
      <c r="AI69" s="131">
        <f>$AJ32*(($C42+$D17)+(($D45-$C45)*$D35)+(($D16-$C50)*$D35))</f>
        <v>0</v>
      </c>
      <c r="AJ69" s="130">
        <f>$AJ32*(($D42+$D17)+(($D45-$D45)*$D35)+(($D16-$D50)*$D35))</f>
        <v>0</v>
      </c>
      <c r="AK69" s="129">
        <f>$AJ32*(($E42+$D17)+(($D45-$E45)*$D35)+(($D16-$E50)*$D35))</f>
        <v>0</v>
      </c>
      <c r="AL69" s="131">
        <f>$AM32*(($C42+$D17)+(($D45-$C45)*$D35)+(($D16-$C50)*$D35))</f>
        <v>0</v>
      </c>
      <c r="AM69" s="130">
        <f>$AM32*(($D42+$D17)+(($D45-$D45)*$D35)+(($D16-$D50)*$D35))</f>
        <v>0</v>
      </c>
      <c r="AN69" s="129">
        <f>$AM32*(($E42+$D17)+(($D45-$E45)*$D35)+(($D16-$E50)*$D35))</f>
        <v>0</v>
      </c>
    </row>
    <row r="70" spans="2:40" ht="18" customHeight="1">
      <c r="B70" s="144" t="s">
        <v>1079</v>
      </c>
      <c r="C70" s="143">
        <v>-0.05</v>
      </c>
      <c r="D70" s="143">
        <v>0.15</v>
      </c>
      <c r="E70" s="143">
        <v>0.2</v>
      </c>
      <c r="G70" s="135"/>
      <c r="H70" s="133"/>
      <c r="I70" s="133"/>
      <c r="J70" s="133" t="s">
        <v>1077</v>
      </c>
      <c r="K70" s="133"/>
      <c r="L70" s="137" t="s">
        <v>121</v>
      </c>
      <c r="M70" s="134"/>
      <c r="N70" s="137" t="s">
        <v>1070</v>
      </c>
      <c r="O70" s="134"/>
      <c r="P70" s="134"/>
      <c r="Q70" s="134"/>
      <c r="R70" s="136"/>
      <c r="S70" s="136"/>
      <c r="T70" s="136"/>
      <c r="U70" s="136"/>
      <c r="V70" s="136"/>
      <c r="W70" s="131">
        <f>$X34*($C46+$D13+D16)</f>
        <v>0</v>
      </c>
      <c r="X70" s="130">
        <f>$X34*($D46+$D13+D16)</f>
        <v>0</v>
      </c>
      <c r="Y70" s="129">
        <f>$X34*($E46+$D13+D16)</f>
        <v>0</v>
      </c>
      <c r="Z70" s="131">
        <f>$AA34*($C46+$D13+D16)</f>
        <v>1.3002000000000001E-2</v>
      </c>
      <c r="AA70" s="130">
        <f>$AA34*($D46+$D13+D16)</f>
        <v>1.2589500000000002E-2</v>
      </c>
      <c r="AB70" s="129">
        <f>$AA34*($E46+$D13+D16)</f>
        <v>1.2177000000000002E-2</v>
      </c>
      <c r="AC70" s="131">
        <f>$AD34*($C46+$D13+D16)</f>
        <v>1.4775000000000002E-2</v>
      </c>
      <c r="AD70" s="130">
        <f>$AD34*($D46+$D13+D16)</f>
        <v>1.4306250000000001E-2</v>
      </c>
      <c r="AE70" s="129">
        <f>$AD34*($E46+$D13+D16)</f>
        <v>1.3837500000000001E-2</v>
      </c>
      <c r="AF70" s="131">
        <f>$AG34*($C46+$D13+D16)</f>
        <v>0</v>
      </c>
      <c r="AG70" s="130">
        <f>$AG34*($D46+$D13+D16)</f>
        <v>0</v>
      </c>
      <c r="AH70" s="129">
        <f>$AG34*($E46+$D13+D16)</f>
        <v>0</v>
      </c>
      <c r="AI70" s="131">
        <f>$AJ34*($C46+$D13+D16)</f>
        <v>1.1032E-2</v>
      </c>
      <c r="AJ70" s="130">
        <f>$AJ34*($D46+$D13+D16)</f>
        <v>1.0682000000000001E-2</v>
      </c>
      <c r="AK70" s="129">
        <f>$AJ34*($E46+$D13+D16)</f>
        <v>1.0331999999999999E-2</v>
      </c>
      <c r="AL70" s="131">
        <f>$AM34*($C46+$D13+D16)</f>
        <v>0</v>
      </c>
      <c r="AM70" s="130">
        <f>$AM34*($D46+$D13+D16)</f>
        <v>0</v>
      </c>
      <c r="AN70" s="129">
        <f>$AM34*($E46+$D13+D16)</f>
        <v>0</v>
      </c>
    </row>
    <row r="71" spans="2:40" ht="18" customHeight="1">
      <c r="B71" s="135" t="s">
        <v>1078</v>
      </c>
      <c r="C71" s="142">
        <v>5800</v>
      </c>
      <c r="D71" s="142">
        <v>6500</v>
      </c>
      <c r="E71" s="142">
        <v>7000</v>
      </c>
      <c r="G71" s="135"/>
      <c r="H71" s="133"/>
      <c r="I71" s="133"/>
      <c r="J71" s="133" t="s">
        <v>1077</v>
      </c>
      <c r="K71" s="133"/>
      <c r="L71" s="137" t="s">
        <v>121</v>
      </c>
      <c r="M71" s="134"/>
      <c r="N71" s="137" t="s">
        <v>1069</v>
      </c>
      <c r="O71" s="134"/>
      <c r="P71" s="134"/>
      <c r="Q71" s="134"/>
      <c r="R71" s="136"/>
      <c r="S71" s="136"/>
      <c r="T71" s="136"/>
      <c r="U71" s="136"/>
      <c r="V71" s="136"/>
      <c r="W71" s="131">
        <f>$X31*(($C46+$D14)+(($D48-$C48)*$D34)+(($D16-$C50)*$D34))</f>
        <v>0</v>
      </c>
      <c r="X71" s="130">
        <f>$X31*(($D46+$D14)+(($D48-$D48)*$D34)+(($D16-$D50)*$D34))</f>
        <v>0</v>
      </c>
      <c r="Y71" s="129">
        <f>$X31*(($E46+$D14)+(($D48-$E48)*$D34)+(($D16-$E50)*$D34))</f>
        <v>0</v>
      </c>
      <c r="Z71" s="131">
        <f>$AA31*(($C46+$D14)+(($D48-$C48)*$D34)+(($D16-$C50)*$D34))</f>
        <v>0</v>
      </c>
      <c r="AA71" s="130">
        <f>$AA31*(($D46+$D14)+(($D48-$D48)*$D34)+(($D16-$D50)*$D34))</f>
        <v>0</v>
      </c>
      <c r="AB71" s="129">
        <f>$AA31*(($E46+$D14)+(($D48-$E48)*$D34)+(($D16-$E50)*$D34))</f>
        <v>0</v>
      </c>
      <c r="AC71" s="131">
        <f>$AA31*(($C46+$D14)+(($D48-$C48)*$D34)+(($D16-$C50)*$D34))</f>
        <v>0</v>
      </c>
      <c r="AD71" s="130">
        <f>$AA31*(($D46+$D14)+(($D48-$D48)*$D34)+(($D16-$D50)*$D34))</f>
        <v>0</v>
      </c>
      <c r="AE71" s="129">
        <f>$AA31*(($E46+$D14)+(($D48-$E48)*$D34)+(($D16-$E50)*$D34))</f>
        <v>0</v>
      </c>
      <c r="AF71" s="131">
        <f>$AG31*(($C46+$D14)+(($D48-$C48)*$D34)+(($D16-$C50)*$D34))</f>
        <v>0</v>
      </c>
      <c r="AG71" s="130">
        <f>$AG31*(($D46+$D14)+(($D48-$D48)*$D34)+(($D16-$D50)*$D34))</f>
        <v>0</v>
      </c>
      <c r="AH71" s="129">
        <f>$AG31*(($E46+$D14)+(($D48-$E48)*$D34)+(($D16-$E50)*$D34))</f>
        <v>0</v>
      </c>
      <c r="AI71" s="131">
        <f>$AJ31*(($C46+$D14)+(($D48-$C48)*$D34)+(($D16-$C50)*$D34))</f>
        <v>0</v>
      </c>
      <c r="AJ71" s="130">
        <f>$AJ31*(($D46+$D14)+(($D48-$D48)*$D34)+(($D16-$D50)*$D34))</f>
        <v>0</v>
      </c>
      <c r="AK71" s="129">
        <f>$AJ31*(($E46+$D14)+(($D48-$E48)*$D34)+(($D16-$E50)*$D34))</f>
        <v>0</v>
      </c>
      <c r="AL71" s="131">
        <f>$AM31*(($C46+$D14)+(($D48-$C48)*$D34)+(($D16-$C50)*$D34))</f>
        <v>0</v>
      </c>
      <c r="AM71" s="130">
        <f>$AM31*(($D46+$D14)+(($D48-$D48)*$D34)+(($D16-$D50)*$D34))</f>
        <v>0</v>
      </c>
      <c r="AN71" s="129">
        <f>$AM31*(($E46+$D14)+(($D48-$E48)*$D34)+(($D16-$E50)*$D34))</f>
        <v>0</v>
      </c>
    </row>
    <row r="72" spans="2:40" ht="18" customHeight="1">
      <c r="B72" s="141" t="s">
        <v>1073</v>
      </c>
      <c r="C72" s="140">
        <f>C71/$D29-1</f>
        <v>-4.9024430234464678E-2</v>
      </c>
      <c r="D72" s="140">
        <f>D71/$D29-1</f>
        <v>6.5748483357927601E-2</v>
      </c>
      <c r="E72" s="140">
        <f>E71/$D29-1</f>
        <v>0.14772913592392189</v>
      </c>
      <c r="G72" s="135"/>
      <c r="H72" s="133"/>
      <c r="I72" s="133"/>
      <c r="J72" s="133" t="s">
        <v>1077</v>
      </c>
      <c r="K72" s="133"/>
      <c r="L72" s="137" t="s">
        <v>121</v>
      </c>
      <c r="M72" s="134"/>
      <c r="N72" s="137" t="s">
        <v>1067</v>
      </c>
      <c r="O72" s="134"/>
      <c r="P72" s="134"/>
      <c r="Q72" s="134"/>
      <c r="R72" s="136"/>
      <c r="S72" s="136"/>
      <c r="T72" s="136"/>
      <c r="U72" s="136"/>
      <c r="V72" s="136"/>
      <c r="W72" s="131">
        <f>$X32*(($C46+$D15)+(($D49-$C49)*$D35)+(($D16-$C50)*$D35))</f>
        <v>0</v>
      </c>
      <c r="X72" s="130">
        <f>$X32*(($D46+$D15)+(($D49-$D49)*$D35)+(($D16-$D50)*$D35))</f>
        <v>0</v>
      </c>
      <c r="Y72" s="129">
        <f>$X32*(($E46+$D15)+(($D49-$E49)*$D35)+(($D16-$E50)*$D35))</f>
        <v>0</v>
      </c>
      <c r="Z72" s="131">
        <f>$AA32*(($C46+$D15)+(($D49-$C49)*$D35)+(($D16-$C50)*$D35))</f>
        <v>0</v>
      </c>
      <c r="AA72" s="130">
        <f>$AA32*(($D46+$D15)+(($D49-$D49)*$D35)+(($D16-$D50)*$D35))</f>
        <v>0</v>
      </c>
      <c r="AB72" s="129">
        <f>$AA32*(($E46+$D15)+(($D49-$E49)*$D35)+(($D16-$E50)*$D35))</f>
        <v>0</v>
      </c>
      <c r="AC72" s="131">
        <f>$AD32*(($C46+$D15)+(($D49-$C49)*$D35)+(($D16-$C50)*$D35))</f>
        <v>0</v>
      </c>
      <c r="AD72" s="130">
        <f>$AD32*(($D46+$D15)+(($D49-$D49)*$D35)+(($D16-$D50)*$D35))</f>
        <v>0</v>
      </c>
      <c r="AE72" s="129">
        <f>$AD32*(($E46+$D15)+(($D49-$E49)*$D35)+(($D16-$E50)*$D35))</f>
        <v>0</v>
      </c>
      <c r="AF72" s="131">
        <f>$AG32*(($C46+$D15)+(($D49-$C49)*$D35)+(($D16-$C50)*$D35))</f>
        <v>0</v>
      </c>
      <c r="AG72" s="130">
        <f>$AG32*(($D46+$D15)+(($D49-$D49)*$D35)+(($D16-$D50)*$D35))</f>
        <v>0</v>
      </c>
      <c r="AH72" s="129">
        <f>$AG32*(($E46+$D15)+(($D49-$E49)*$D35)+(($D16-$E50)*$D35))</f>
        <v>0</v>
      </c>
      <c r="AI72" s="131">
        <f>$AJ32*(($C46+$D15)+(($D49-$C49)*$D35)+(($D16-$C50)*$D35))</f>
        <v>0</v>
      </c>
      <c r="AJ72" s="130">
        <f>$AJ32*(($D46+$D15)+(($D49-$D49)*$D35)+(($D16-$D50)*$D35))</f>
        <v>0</v>
      </c>
      <c r="AK72" s="129">
        <f>$AJ32*(($E46+$D15)+(($D49-$E49)*$D35)+(($D16-$E50)*$D35))</f>
        <v>0</v>
      </c>
      <c r="AL72" s="131">
        <f>$AM32*(($C46+$D15)+(($D49-$C49)*$D35)+(($D16-$C50)*$D35))</f>
        <v>0</v>
      </c>
      <c r="AM72" s="130">
        <f>$AM32*(($D46+$D15)+(($D49-$D49)*$D35)+(($D16-$D50)*$D35))</f>
        <v>0</v>
      </c>
      <c r="AN72" s="129">
        <f>$AM32*(($E46+$D15)+(($D49-$E49)*$D35)+(($D16-$E50)*$D35))</f>
        <v>0</v>
      </c>
    </row>
    <row r="73" spans="2:40" ht="18" customHeight="1">
      <c r="B73" s="135" t="s">
        <v>1076</v>
      </c>
      <c r="C73" s="142">
        <v>20000</v>
      </c>
      <c r="D73" s="142">
        <v>22000</v>
      </c>
      <c r="E73" s="142">
        <v>23000</v>
      </c>
      <c r="G73" s="135"/>
      <c r="H73" s="133"/>
      <c r="I73" s="133"/>
      <c r="J73" s="133" t="s">
        <v>1068</v>
      </c>
      <c r="K73" s="133"/>
      <c r="L73" s="134" t="s">
        <v>1075</v>
      </c>
      <c r="M73" s="134"/>
      <c r="N73" s="134"/>
      <c r="O73" s="134"/>
      <c r="P73" s="134"/>
      <c r="Q73" s="134"/>
      <c r="R73" s="136"/>
      <c r="S73" s="136"/>
      <c r="T73" s="136"/>
      <c r="U73" s="136"/>
      <c r="V73" s="136"/>
      <c r="W73" s="131">
        <f>$X$38*(C$41+C$51)</f>
        <v>0</v>
      </c>
      <c r="X73" s="130">
        <f>$X$38*(D$41+D$51)</f>
        <v>0</v>
      </c>
      <c r="Y73" s="129">
        <f>$X$38*(E$41+E$51)</f>
        <v>0</v>
      </c>
      <c r="Z73" s="131">
        <f>$AA$38*(C$41+C$51)</f>
        <v>6.7500000000000008E-3</v>
      </c>
      <c r="AA73" s="130">
        <f>$AA$38*(D$41+D$51)</f>
        <v>6.1875000000000003E-3</v>
      </c>
      <c r="AB73" s="129">
        <f>$AA$38*(E$41+E$51)</f>
        <v>5.4375000000000014E-3</v>
      </c>
      <c r="AC73" s="131">
        <f>$AD$38*(C$41+C$51)</f>
        <v>7.4250000000000002E-3</v>
      </c>
      <c r="AD73" s="130">
        <f>$AD$38*(D$41+D$51)</f>
        <v>6.8062499999999998E-3</v>
      </c>
      <c r="AE73" s="129">
        <f>$AD$38*(E$41+E$51)</f>
        <v>5.9812500000000013E-3</v>
      </c>
      <c r="AF73" s="131">
        <f>$AG$38*(C$41+C$51)</f>
        <v>7.8750000000000001E-3</v>
      </c>
      <c r="AG73" s="130">
        <f>$AG$38*(D$41+D$51)</f>
        <v>7.2187499999999986E-3</v>
      </c>
      <c r="AH73" s="129">
        <f>$AG$38*(E$41+E$51)</f>
        <v>6.3437500000000004E-3</v>
      </c>
      <c r="AI73" s="131">
        <f>$AJ$38*(C$41+C$51)</f>
        <v>8.9999999999999993E-3</v>
      </c>
      <c r="AJ73" s="130">
        <f>$AJ$38*(D$41+D$51)</f>
        <v>8.2499999999999987E-3</v>
      </c>
      <c r="AK73" s="129">
        <f>$AJ$38*(E$41+E$51)</f>
        <v>7.2500000000000012E-3</v>
      </c>
      <c r="AL73" s="131">
        <f>$AM$38*(C$41+C$51)</f>
        <v>0</v>
      </c>
      <c r="AM73" s="130">
        <f>$AM$38*(D$41+D$51)</f>
        <v>0</v>
      </c>
      <c r="AN73" s="129">
        <f>$AM$38*(E$41+E$51)</f>
        <v>0</v>
      </c>
    </row>
    <row r="74" spans="2:40" ht="18" customHeight="1">
      <c r="B74" s="141" t="s">
        <v>1073</v>
      </c>
      <c r="C74" s="140">
        <f>C73/$D30-1</f>
        <v>3.195679838124299E-3</v>
      </c>
      <c r="D74" s="140">
        <f>D73/$D30-1</f>
        <v>0.10351524782193677</v>
      </c>
      <c r="E74" s="140">
        <f>E73/$D30-1</f>
        <v>0.1536750318138429</v>
      </c>
      <c r="G74" s="135"/>
      <c r="H74" s="133"/>
      <c r="I74" s="133"/>
      <c r="J74" s="133" t="s">
        <v>1068</v>
      </c>
      <c r="K74" s="133"/>
      <c r="L74" s="134" t="s">
        <v>1072</v>
      </c>
      <c r="M74" s="137"/>
      <c r="N74" s="137" t="s">
        <v>1070</v>
      </c>
      <c r="O74" s="134"/>
      <c r="P74" s="134"/>
      <c r="Q74" s="134"/>
      <c r="R74" s="136"/>
      <c r="S74" s="136"/>
      <c r="T74" s="136"/>
      <c r="U74" s="136"/>
      <c r="V74" s="136"/>
      <c r="W74" s="131">
        <f>$X40*($D9+$D17)</f>
        <v>0</v>
      </c>
      <c r="X74" s="130">
        <f>$X40*($D9+$D17)</f>
        <v>0</v>
      </c>
      <c r="Y74" s="129">
        <f>$X40*($D9+$D17)</f>
        <v>0</v>
      </c>
      <c r="Z74" s="131">
        <f>$AA40*($D9+$D17)</f>
        <v>4.2200000000000001E-4</v>
      </c>
      <c r="AA74" s="130">
        <f>$AA40*($D9+$D17)</f>
        <v>4.2200000000000001E-4</v>
      </c>
      <c r="AB74" s="129">
        <f>$AA40*($D9+$D17)</f>
        <v>4.2200000000000001E-4</v>
      </c>
      <c r="AC74" s="131">
        <f>$AD40*($D9+$D17)</f>
        <v>1.2659999999999998E-3</v>
      </c>
      <c r="AD74" s="130">
        <f>$AD40*($D9+$D17)</f>
        <v>1.2659999999999998E-3</v>
      </c>
      <c r="AE74" s="129">
        <f>$AD40*($D9+$D17)</f>
        <v>1.2659999999999998E-3</v>
      </c>
      <c r="AF74" s="131">
        <f>$AG40*($D9+$D17)</f>
        <v>2.1099999999999999E-3</v>
      </c>
      <c r="AG74" s="130">
        <f>$AG40*($D9+$D17)</f>
        <v>2.1099999999999999E-3</v>
      </c>
      <c r="AH74" s="129">
        <f>$AG40*($D9+$D17)</f>
        <v>2.1099999999999999E-3</v>
      </c>
      <c r="AI74" s="131">
        <f>$AJ40*($D9+$D17)</f>
        <v>1.688E-3</v>
      </c>
      <c r="AJ74" s="130">
        <f>$AJ40*($D9+$D17)</f>
        <v>1.688E-3</v>
      </c>
      <c r="AK74" s="129">
        <f>$AJ40*($D9+$D17)</f>
        <v>1.688E-3</v>
      </c>
      <c r="AL74" s="131">
        <f>$AM40*($D9+$D17)</f>
        <v>0</v>
      </c>
      <c r="AM74" s="130">
        <f>$AM40*($D9+$D17)</f>
        <v>0</v>
      </c>
      <c r="AN74" s="129">
        <f>$AM40*($D9+$D17)</f>
        <v>0</v>
      </c>
    </row>
    <row r="75" spans="2:40" ht="18" customHeight="1">
      <c r="B75" s="135" t="s">
        <v>1074</v>
      </c>
      <c r="C75" s="142">
        <v>2300</v>
      </c>
      <c r="D75" s="142">
        <v>2400</v>
      </c>
      <c r="E75" s="142">
        <v>2500</v>
      </c>
      <c r="G75" s="135"/>
      <c r="H75" s="133"/>
      <c r="I75" s="133"/>
      <c r="J75" s="133" t="s">
        <v>1068</v>
      </c>
      <c r="K75" s="133"/>
      <c r="L75" s="134" t="s">
        <v>1072</v>
      </c>
      <c r="M75" s="137"/>
      <c r="N75" s="137" t="s">
        <v>1069</v>
      </c>
      <c r="O75" s="134"/>
      <c r="P75" s="134"/>
      <c r="Q75" s="134"/>
      <c r="R75" s="136"/>
      <c r="S75" s="136"/>
      <c r="T75" s="136"/>
      <c r="U75" s="136"/>
      <c r="V75" s="136"/>
      <c r="W75" s="131">
        <f>$X41*(($C41+$D17)+(($D44-$C44)*$D34)+(($D17-$C51)*$D34))</f>
        <v>0</v>
      </c>
      <c r="X75" s="130">
        <f>$X41*(($D41+$D17)+(($D44-$D44)*$D34)+(($D17-$D51)*$D34))</f>
        <v>0</v>
      </c>
      <c r="Y75" s="129">
        <f>$X41*(($E41+$D17)+(($D44-$E44)*$D34)+(($D17-$E51)*$D34))</f>
        <v>0</v>
      </c>
      <c r="Z75" s="131">
        <f>$AA41*(($C41+$D17)+(($D44-$C44)*$D34)+(($D17-$C51)*$D34))</f>
        <v>0</v>
      </c>
      <c r="AA75" s="130">
        <f>$AA41*(($D41+$D17)+(($D44-$D44)*$D34)+(($D17-$D51)*$D34))</f>
        <v>0</v>
      </c>
      <c r="AB75" s="129">
        <f>$AA41*(($E41+$D17)+(($D44-$E44)*$D34)+(($D17-$E51)*$D34))</f>
        <v>0</v>
      </c>
      <c r="AC75" s="131">
        <f>$AD41*(($C41+$D17)+(($D44-$C44)*$D34)+(($D17-$C51)*$D34))</f>
        <v>0</v>
      </c>
      <c r="AD75" s="130">
        <f>$AD41*(($D41+$D17)+(($D44-$D44)*$D34)+(($D17-$D51)*$D34))</f>
        <v>0</v>
      </c>
      <c r="AE75" s="129">
        <f>$AD41*(($E41+$D17)+(($D44-$E44)*$D34)+(($D17-$E51)*$D34))</f>
        <v>0</v>
      </c>
      <c r="AF75" s="131">
        <f>$AG41*(($C41+$D17)+(($D44-$C44)*$D34)+(($D17-$C51)*$D34))</f>
        <v>0</v>
      </c>
      <c r="AG75" s="130">
        <f>$AG41*(($D41+$D17)+(($D44-$D44)*$D34)+(($D17-$D51)*$D34))</f>
        <v>0</v>
      </c>
      <c r="AH75" s="129">
        <f>$AG41*(($E41+$D17)+(($D44-$E44)*$D34)+(($D17-$E51)*$D34))</f>
        <v>0</v>
      </c>
      <c r="AI75" s="131">
        <f>$AJ41*(($C41+$D17)+(($D44-$C44)*$D34)+(($D17-$C51)*$D34))</f>
        <v>0</v>
      </c>
      <c r="AJ75" s="130">
        <f>$AJ41*(($D41+$D17)+(($D44-$D44)*$D34)+(($D17-$D51)*$D34))</f>
        <v>0</v>
      </c>
      <c r="AK75" s="129">
        <f>$AJ41*(($E41+$D17)+(($D44-$E44)*$D34)+(($D17-$E51)*$D34))</f>
        <v>0</v>
      </c>
      <c r="AL75" s="131">
        <f>$AM41*(($C41+$D17)+(($D44-$C44)*$D34)+(($D17-$C51)*$D34))</f>
        <v>0</v>
      </c>
      <c r="AM75" s="130">
        <f>$AM41*(($D41+$D17)+(($D44-$D44)*$D34)+(($D17-$D51)*$D34))</f>
        <v>0</v>
      </c>
      <c r="AN75" s="129">
        <f>$AM41*(($E41+$D17)+(($D44-$E44)*$D34)+(($D17-$E51)*$D34))</f>
        <v>0</v>
      </c>
    </row>
    <row r="76" spans="2:40" ht="18" customHeight="1">
      <c r="B76" s="141" t="s">
        <v>1073</v>
      </c>
      <c r="C76" s="140">
        <f>C75/$D31-1</f>
        <v>6.3436286295542654E-2</v>
      </c>
      <c r="D76" s="140">
        <f>D75/$D31-1</f>
        <v>0.1096726465692619</v>
      </c>
      <c r="E76" s="140">
        <f>E75/$D31-1</f>
        <v>0.15590900684298115</v>
      </c>
      <c r="G76" s="135"/>
      <c r="H76" s="133"/>
      <c r="I76" s="133"/>
      <c r="J76" s="133" t="s">
        <v>1068</v>
      </c>
      <c r="K76" s="133"/>
      <c r="L76" s="134" t="s">
        <v>1072</v>
      </c>
      <c r="M76" s="137"/>
      <c r="N76" s="137" t="s">
        <v>1067</v>
      </c>
      <c r="O76" s="134"/>
      <c r="P76" s="134"/>
      <c r="Q76" s="134"/>
      <c r="R76" s="136"/>
      <c r="S76" s="136"/>
      <c r="T76" s="136"/>
      <c r="U76" s="136"/>
      <c r="V76" s="136"/>
      <c r="W76" s="131">
        <f>$X42*(($C41+$D17)+(($D45-$C45)*$D35)+(($D17-$C51)*$D35))</f>
        <v>0</v>
      </c>
      <c r="X76" s="130">
        <f>$X42*(($D41+$D17)+(($D45-$D45)*$D35)+(($D17-$D51)*$D35))</f>
        <v>0</v>
      </c>
      <c r="Y76" s="129">
        <f>$X42*(($E41+$D17)+(($D45-$E45)*$D35)+(($D17-$E51)*$D35))</f>
        <v>0</v>
      </c>
      <c r="Z76" s="131">
        <f>$AA42*(($C41+$D17)+(($D45-$C45)*$D35)+(($D17-$C51)*$D35))</f>
        <v>0</v>
      </c>
      <c r="AA76" s="130">
        <f>$AA42*(($D41+$D17)+(($D45-$D45)*$D35)+(($D17-$D51)*$D35))</f>
        <v>0</v>
      </c>
      <c r="AB76" s="129">
        <f>$AA42*(($E41+$D17)+(($D45-$E45)*$D35)+(($D17-$E51)*$D35))</f>
        <v>0</v>
      </c>
      <c r="AC76" s="131">
        <f>$AD42*(($C41+$D17)+(($D45-$C45)*$D35)+(($D17-$C51)*$D35))</f>
        <v>0</v>
      </c>
      <c r="AD76" s="130">
        <f>$AD42*(($D41+$D17)+(($D45-$D45)*$D35)+(($D17-$D51)*$D35))</f>
        <v>0</v>
      </c>
      <c r="AE76" s="129">
        <f>$AD42*(($E41+$D17)+(($D45-$E45)*$D35)+(($D17-$E51)*$D35))</f>
        <v>0</v>
      </c>
      <c r="AF76" s="131">
        <f>$AG42*(($C41+$D17)+(($D45-$C45)*$D35)+(($D17-$C51)*$D35))</f>
        <v>0</v>
      </c>
      <c r="AG76" s="130">
        <f>$AG42*(($D41+$D17)+(($D45-$D45)*$D35)+(($D17-$D51)*$D35))</f>
        <v>0</v>
      </c>
      <c r="AH76" s="129">
        <f>$AG42*(($E41+$D17)+(($D45-$E45)*$D35)+(($D17-$E51)*$D35))</f>
        <v>0</v>
      </c>
      <c r="AI76" s="131">
        <f>$AI42*(($C41+$D17)+(($D45-$C45)*$D35)+(($D17-$C51)*$D35))</f>
        <v>0</v>
      </c>
      <c r="AJ76" s="130">
        <f>$AJ42*(($D41+$D17)+(($D45-$D45)*$D35)+(($D17-$D51)*$D35))</f>
        <v>0</v>
      </c>
      <c r="AK76" s="129">
        <f>$AK42*(($E41+$D17)+(($D45-$E45)*$D35)+(($D17-$E51)*$D35))</f>
        <v>0</v>
      </c>
      <c r="AL76" s="131">
        <f>$AM42*(($C41+$D17)+(($D45-$C45)*$D35)+(($D17-$C51)*$D35))</f>
        <v>0</v>
      </c>
      <c r="AM76" s="130">
        <f>$AM42*(($D41+$D17)+(($D45-$D45)*$D35)+(($D17-$D51)*$D35))</f>
        <v>0</v>
      </c>
      <c r="AN76" s="129">
        <f>$AM42*(($E41+$D17)+(($D45-$E45)*$D35)+(($D17-$E51)*$D35))</f>
        <v>0</v>
      </c>
    </row>
    <row r="77" spans="2:40" ht="18" customHeight="1">
      <c r="B77" s="139" t="s">
        <v>1071</v>
      </c>
      <c r="C77" s="138">
        <v>-0.15</v>
      </c>
      <c r="D77" s="138">
        <v>0.15</v>
      </c>
      <c r="E77" s="138">
        <v>0.2</v>
      </c>
      <c r="G77" s="135"/>
      <c r="H77" s="133"/>
      <c r="I77" s="133"/>
      <c r="J77" s="133" t="s">
        <v>1068</v>
      </c>
      <c r="K77" s="133"/>
      <c r="L77" s="137" t="s">
        <v>121</v>
      </c>
      <c r="M77" s="134"/>
      <c r="N77" s="137" t="s">
        <v>1070</v>
      </c>
      <c r="O77" s="134"/>
      <c r="P77" s="134"/>
      <c r="Q77" s="134"/>
      <c r="R77" s="136"/>
      <c r="S77" s="136"/>
      <c r="T77" s="136"/>
      <c r="U77" s="136"/>
      <c r="V77" s="136"/>
      <c r="W77" s="131">
        <f>$X44*($C46+$D13+$D17)</f>
        <v>0</v>
      </c>
      <c r="X77" s="130">
        <f>$X44*($D46+$D13+$D17)</f>
        <v>0</v>
      </c>
      <c r="Y77" s="129">
        <f>$X44*($E46+$D13+$D17)</f>
        <v>0</v>
      </c>
      <c r="Z77" s="131">
        <f>$AA44*($C46+$D13+$D17)</f>
        <v>1.2795E-3</v>
      </c>
      <c r="AA77" s="130">
        <f>$AA44*($D46+$D13+$D17)</f>
        <v>1.2419999999999998E-3</v>
      </c>
      <c r="AB77" s="129">
        <f>$AA44*($E46+$D13+$D17)</f>
        <v>1.2044999999999998E-3</v>
      </c>
      <c r="AC77" s="131">
        <f>$AD44*($C46+$D13+$D17)</f>
        <v>1.9192499999999999E-3</v>
      </c>
      <c r="AD77" s="130">
        <f>$AD44*($D46+$D13+$D17)</f>
        <v>1.8629999999999999E-3</v>
      </c>
      <c r="AE77" s="129">
        <f>$AD44*($E46+$D13+$D17)</f>
        <v>1.8067499999999998E-3</v>
      </c>
      <c r="AF77" s="131">
        <f>$AG44*($C46+$D13+$D17)</f>
        <v>0</v>
      </c>
      <c r="AG77" s="130">
        <f>$AG44*($D46+$D13+$D17)</f>
        <v>0</v>
      </c>
      <c r="AH77" s="129">
        <f>$AG44*($E46+$D13+$D17)</f>
        <v>0</v>
      </c>
      <c r="AI77" s="131">
        <f>$AJ44*($C46+$D13+$D17)</f>
        <v>3.4120000000000005E-3</v>
      </c>
      <c r="AJ77" s="130">
        <f>$AJ44*($D46+$D13+$D17)</f>
        <v>3.3120000000000007E-3</v>
      </c>
      <c r="AK77" s="129">
        <f>$AJ44*($E46+$D13+$D17)</f>
        <v>3.2120000000000004E-3</v>
      </c>
      <c r="AL77" s="131">
        <f>$AM44*($C46+$D13+$D17)</f>
        <v>0</v>
      </c>
      <c r="AM77" s="130">
        <f>$AM44*($D46+$D13+$D17)</f>
        <v>0</v>
      </c>
      <c r="AN77" s="129">
        <f>$AM44*($E46+$D13+$D17)</f>
        <v>0</v>
      </c>
    </row>
    <row r="78" spans="2:40" ht="18" customHeight="1">
      <c r="G78" s="135"/>
      <c r="H78" s="133"/>
      <c r="I78" s="133"/>
      <c r="J78" s="133" t="s">
        <v>1068</v>
      </c>
      <c r="K78" s="133"/>
      <c r="L78" s="137" t="s">
        <v>121</v>
      </c>
      <c r="M78" s="134"/>
      <c r="N78" s="137" t="s">
        <v>1069</v>
      </c>
      <c r="O78" s="134"/>
      <c r="P78" s="134"/>
      <c r="Q78" s="134"/>
      <c r="R78" s="136"/>
      <c r="S78" s="136"/>
      <c r="T78" s="136"/>
      <c r="U78" s="136"/>
      <c r="V78" s="136"/>
      <c r="W78" s="131">
        <f>$X45*(($C46+$D14)+(($D48-$C48)*$D34)+(($D17-$C51)*$D34))</f>
        <v>0</v>
      </c>
      <c r="X78" s="130">
        <f>$X45*(($D46+$D14)+(($D48-$D48)*$D34)+(($D17-$D51)*$D34))</f>
        <v>0</v>
      </c>
      <c r="Y78" s="129">
        <f>$X45*(($E46+$D14)+(($D48-$E48)*$D34)+(($D17-$E51)*$D34))</f>
        <v>0</v>
      </c>
      <c r="Z78" s="131">
        <f>$AA45*(($C46+$D14)+(($D48-$C48)*$D34)+(($D17-$C51)*$D34))</f>
        <v>0</v>
      </c>
      <c r="AA78" s="130">
        <f>$AA45*(($D46+$D14)+(($D48-$D48)*$D34)+(($D17-$D51)*$D34))</f>
        <v>0</v>
      </c>
      <c r="AB78" s="129">
        <f>$AA45*(($E46+$D14)+(($D48-$E48)*$D34)+(($D17-$E51)*$D34))</f>
        <v>0</v>
      </c>
      <c r="AC78" s="131">
        <f>$AD45*(($C46+$D14)+(($D48-$C48)*$D34)+(($D17-$C51)*$D34))</f>
        <v>0</v>
      </c>
      <c r="AD78" s="130">
        <f>$AD45*(($D46+$D14)+(($D48-$D48)*$D34)+(($D17-$D51)*$D34))</f>
        <v>0</v>
      </c>
      <c r="AE78" s="129">
        <f>$AD45*(($E46+$D14)+(($D48-$E48)*$D34)+(($D17-$E51)*$D34))</f>
        <v>0</v>
      </c>
      <c r="AF78" s="131">
        <f>$AG45*(($C46+$D14)+(($D48-$C48)*$D34)+(($D17-$C51)*$D34))</f>
        <v>1.6031249999999997E-3</v>
      </c>
      <c r="AG78" s="130">
        <f>$AG45*(($D46+$D14)+(($D48-$D48)*$D34)+(($D17-$D51)*$D34))</f>
        <v>2.3531249999999997E-3</v>
      </c>
      <c r="AH78" s="129">
        <f>$AG45*(($E46+$D14)+(($D48-$E48)*$D34)+(($D17-$E51)*$D34))</f>
        <v>3.1031249999999991E-3</v>
      </c>
      <c r="AI78" s="131">
        <f>$AJ45*(($C46+$D14)+(($D48-$C48)*$D34)+(($D17-$C51)*$D34))</f>
        <v>0</v>
      </c>
      <c r="AJ78" s="130">
        <f>$AJ45*(($D46+$D14)+(($D48-$D48)*$D34)+(($D17-$D51)*$D34))</f>
        <v>0</v>
      </c>
      <c r="AK78" s="129">
        <f>$AJ45*(($E46+$D14)+(($D48-$E48)*$D34)+(($D17-$E51)*$D34))</f>
        <v>0</v>
      </c>
      <c r="AL78" s="131">
        <f>$AM45*(($C46+$D14)+(($D48-$C48)*$D34)+(($D17-$C51)*$D34))</f>
        <v>0</v>
      </c>
      <c r="AM78" s="130">
        <f>$AM45*(($D46+$D14)+(($D48-$D48)*$D34)+(($D17-$D51)*$D34))</f>
        <v>0</v>
      </c>
      <c r="AN78" s="129">
        <f>$AM45*(($E46+$D14)+(($D48-$E48)*$D34)+(($D17-$E51)*$D34))</f>
        <v>0</v>
      </c>
    </row>
    <row r="79" spans="2:40" ht="18" customHeight="1">
      <c r="G79" s="135"/>
      <c r="H79" s="133"/>
      <c r="I79" s="133"/>
      <c r="J79" s="133" t="s">
        <v>1068</v>
      </c>
      <c r="K79" s="133"/>
      <c r="L79" s="137" t="s">
        <v>121</v>
      </c>
      <c r="M79" s="134"/>
      <c r="N79" s="137" t="s">
        <v>1067</v>
      </c>
      <c r="O79" s="134"/>
      <c r="P79" s="134"/>
      <c r="Q79" s="134"/>
      <c r="R79" s="136"/>
      <c r="S79" s="136"/>
      <c r="T79" s="136"/>
      <c r="U79" s="136"/>
      <c r="V79" s="136"/>
      <c r="W79" s="131">
        <f>$X46*(($C46+$D15)+(($D49-$C49)*$D35)+(($D17-$C51)*$D35))</f>
        <v>0</v>
      </c>
      <c r="X79" s="130">
        <f>$X46*(($D46+$D15)+(($D49-$D49)*$D35)+(($D17-$D51)*$D35))</f>
        <v>0</v>
      </c>
      <c r="Y79" s="129">
        <f>$X46*(($E46+$D15)+(($D49-$E49)*$D35)+(($D17-$E51)*$D35))</f>
        <v>0</v>
      </c>
      <c r="Z79" s="131">
        <f>$AA46*(($C46+$D15)+(($D49-$C49)*$D35)+(($D17-$C51)*$D35))</f>
        <v>0</v>
      </c>
      <c r="AA79" s="130">
        <f>$AA46*(($D46+$D15)+(($D49-$D49)*$D35)+(($D17-$D51)*$D35))</f>
        <v>0</v>
      </c>
      <c r="AB79" s="129">
        <f>$AA46*(($E46+$D15)+(($D49-$E49)*$D35)+(($D17-$E51)*$D35))</f>
        <v>0</v>
      </c>
      <c r="AC79" s="131">
        <f>$AD46*(($C46+$D15)+(($D49-$C49)*$D35)+(($D17-$C51)*$D35))</f>
        <v>0</v>
      </c>
      <c r="AD79" s="130">
        <f>$AD46*(($D46+$D15)+(($D49-$D49)*$D35)+(($D17-$D51)*$D35))</f>
        <v>0</v>
      </c>
      <c r="AE79" s="129">
        <f>$AD46*(($E46+$D15)+(($D49-$E49)*$D35)+(($D17-$E51)*$D35))</f>
        <v>0</v>
      </c>
      <c r="AF79" s="131">
        <f>$AF46*(($C46+$D15)+(($D49-$C49)*$D35)+(($D17-$C51)*$D35))</f>
        <v>0</v>
      </c>
      <c r="AG79" s="130">
        <f>$AF46*(($D46+$D15)+(($D49-$D49)*$D35)+(($D17-$D51)*$D35))</f>
        <v>0</v>
      </c>
      <c r="AH79" s="129">
        <f>$AF46*(($E46+$D15)+(($D49-$E49)*$D35)+(($D17-$E51)*$D35))</f>
        <v>0</v>
      </c>
      <c r="AI79" s="131">
        <f>$AJ46*(($C46+$D15)+(($D49-$C49)*$D35)+(($D17-$C51)*$D35))</f>
        <v>0</v>
      </c>
      <c r="AJ79" s="130">
        <f>$AJ46*(($D46+$D15)+(($D49-$D49)*$D35)+(($D17-$D51)*$D35))</f>
        <v>0</v>
      </c>
      <c r="AK79" s="129">
        <f>$AJ46*(($E46+$D15)+(($D49-$E49)*$D35)+(($D17-$E51)*$D35))</f>
        <v>0</v>
      </c>
      <c r="AL79" s="131">
        <f>$AM46*(($C46+$D15)+(($D49-$C49)*$D35)+(($D17-$C51)*$D35))</f>
        <v>0</v>
      </c>
      <c r="AM79" s="130">
        <f>$AM46*(($D46+$D15)+(($D49-$D49)*$D35)+(($D17-$D51)*$D35))</f>
        <v>0</v>
      </c>
      <c r="AN79" s="129">
        <f>$AM46*(($E46+$D15)+(($D49-$E49)*$D35)+(($D17-$E51)*$D35))</f>
        <v>0</v>
      </c>
    </row>
    <row r="80" spans="2:40" ht="18" customHeight="1">
      <c r="G80" s="135" t="s">
        <v>1064</v>
      </c>
      <c r="H80" s="133"/>
      <c r="I80" s="133"/>
      <c r="J80" s="133"/>
      <c r="K80" s="133"/>
      <c r="L80" s="134"/>
      <c r="M80" s="134"/>
      <c r="N80" s="134"/>
      <c r="O80" s="134"/>
      <c r="P80" s="134"/>
      <c r="Q80" s="134"/>
      <c r="R80" s="136"/>
      <c r="S80" s="136"/>
      <c r="T80" s="136"/>
      <c r="U80" s="136"/>
      <c r="V80" s="136"/>
      <c r="W80" s="131">
        <f>(($D21+$C40)+(($D21-$C61)*$D33))*$X47</f>
        <v>0</v>
      </c>
      <c r="X80" s="130">
        <f>(($D21+$D40)+(($D21-$D61)*$D33))*$X47</f>
        <v>0</v>
      </c>
      <c r="Y80" s="129">
        <f>(($D21+$E40)+(($D21-$E61)*$D33))*$X47</f>
        <v>0</v>
      </c>
      <c r="Z80" s="130">
        <f>(($D21+$C40)+(($D21-$C61)*$D33))*$AA47</f>
        <v>0</v>
      </c>
      <c r="AA80" s="130">
        <f>(($D21+$D40)+(($D21-$D61)*$D33))*$AA47</f>
        <v>0</v>
      </c>
      <c r="AB80" s="130">
        <f>(($D21+$E40)+(($D21-$E61)*$D33))*$AA47</f>
        <v>0</v>
      </c>
      <c r="AC80" s="131">
        <f>(($D21+$C40)+(($D21-$C61)*$D33))*$AD47</f>
        <v>1.1251811594202904E-2</v>
      </c>
      <c r="AD80" s="130">
        <f>(($D21+$D40)+(($D21-$D61)*$D33))*$AD47</f>
        <v>4.1304347826087023E-3</v>
      </c>
      <c r="AE80" s="129">
        <f>(($D21+$E40)+(($D21-$E61)*$D33))*$AD47</f>
        <v>-6.4891304347826058E-3</v>
      </c>
      <c r="AF80" s="131">
        <f>(($D21+$C40)+(($D21-$C61)*$D33))*$AG47</f>
        <v>1.1251811594202904E-2</v>
      </c>
      <c r="AG80" s="130">
        <f>(($D21+$D40)+(($D21-$D61)*$D33))*$AG47</f>
        <v>4.1304347826087023E-3</v>
      </c>
      <c r="AH80" s="129">
        <f>(($D21+$E40)+(($D21-$E61)*$D33))*$AG47</f>
        <v>-6.4891304347826058E-3</v>
      </c>
      <c r="AI80" s="131">
        <f>(($D21+$C40)+(($D21-$C61)*$D33))*$AJ47</f>
        <v>1.1251811594202904E-2</v>
      </c>
      <c r="AJ80" s="130">
        <f>(($D21+$D40)+(($D21-$D61)*$D33))*$AJ47</f>
        <v>4.1304347826087023E-3</v>
      </c>
      <c r="AK80" s="129">
        <f>(($D21+$E40)+(($D21-$E61)*$D33))*$AJ47</f>
        <v>-6.4891304347826058E-3</v>
      </c>
      <c r="AL80" s="131">
        <f>(($D21+$C40)+(($D21-$C61)*$D33))*$AM47</f>
        <v>0</v>
      </c>
      <c r="AM80" s="130">
        <f>(($D21+$D40)+(($D21-$D61)*$D33))*$AM47</f>
        <v>0</v>
      </c>
      <c r="AN80" s="129">
        <f>(($D21+$E40)+(($D21-$E61)*$D33))*$AM47</f>
        <v>0</v>
      </c>
    </row>
    <row r="81" spans="7:40" ht="18" customHeight="1">
      <c r="G81" s="135" t="str">
        <f>G48</f>
        <v>Fundos Multimercado</v>
      </c>
      <c r="H81" s="133"/>
      <c r="I81" s="133"/>
      <c r="J81" s="133"/>
      <c r="K81" s="133"/>
      <c r="L81" s="134"/>
      <c r="M81" s="134"/>
      <c r="N81" s="134"/>
      <c r="O81" s="134"/>
      <c r="P81" s="134"/>
      <c r="Q81" s="134"/>
      <c r="R81" s="133"/>
      <c r="S81" s="133"/>
      <c r="T81" s="133"/>
      <c r="U81" s="133"/>
      <c r="V81" s="133"/>
      <c r="W81" s="131">
        <f>$X$48*(C52+C41)</f>
        <v>0</v>
      </c>
      <c r="X81" s="130">
        <f>$X$48*(D52+D41)</f>
        <v>0</v>
      </c>
      <c r="Y81" s="129">
        <f>$X$48*(E52+E41)</f>
        <v>0</v>
      </c>
      <c r="Z81" s="130">
        <f>$AA$48*(C52+C41)</f>
        <v>7.4999999999999997E-3</v>
      </c>
      <c r="AA81" s="130">
        <f>$AA$48*(D52+D41)</f>
        <v>9.7500000000000017E-3</v>
      </c>
      <c r="AB81" s="130">
        <f>$AA$48*(E52+E41)</f>
        <v>1.1500000000000002E-2</v>
      </c>
      <c r="AC81" s="131">
        <f>$AD$48*(C52+C41)</f>
        <v>7.4999999999999997E-3</v>
      </c>
      <c r="AD81" s="130">
        <f>$AD$48*(D52+D41)</f>
        <v>9.7500000000000017E-3</v>
      </c>
      <c r="AE81" s="129">
        <f>$AD$48*(E52+E41)</f>
        <v>1.1500000000000002E-2</v>
      </c>
      <c r="AF81" s="131">
        <f>$AG$48*(C52+C$41)</f>
        <v>0</v>
      </c>
      <c r="AG81" s="130">
        <f>$AD$48*(D52+D41)</f>
        <v>9.7500000000000017E-3</v>
      </c>
      <c r="AH81" s="129">
        <f>$AG$48*(E52+E41)</f>
        <v>0</v>
      </c>
      <c r="AI81" s="131">
        <f>$AJ$48*(C52+C$41)</f>
        <v>0</v>
      </c>
      <c r="AJ81" s="130">
        <f>$AJ$48*(D52+D41)</f>
        <v>0</v>
      </c>
      <c r="AK81" s="129">
        <f>$AJ$48*(E52+E41)</f>
        <v>0</v>
      </c>
      <c r="AL81" s="131">
        <f>$AM$48*(C52+C$41)</f>
        <v>0</v>
      </c>
      <c r="AM81" s="130">
        <f>$AM$48*(D52+D41)</f>
        <v>0</v>
      </c>
      <c r="AN81" s="129">
        <f>$AM$48*(E52+E41)</f>
        <v>0</v>
      </c>
    </row>
    <row r="82" spans="7:40" ht="18" customHeight="1">
      <c r="G82" s="135" t="str">
        <f>G49</f>
        <v>Ações Brasil</v>
      </c>
      <c r="H82" s="133"/>
      <c r="I82" s="133"/>
      <c r="J82" s="133"/>
      <c r="K82" s="133"/>
      <c r="L82" s="134"/>
      <c r="M82" s="134"/>
      <c r="N82" s="134"/>
      <c r="O82" s="134"/>
      <c r="P82" s="134"/>
      <c r="Q82" s="134"/>
      <c r="R82" s="133"/>
      <c r="S82" s="133"/>
      <c r="T82" s="133"/>
      <c r="U82" s="133"/>
      <c r="V82" s="133"/>
      <c r="W82" s="131">
        <f>$X$49*C54</f>
        <v>0</v>
      </c>
      <c r="X82" s="130">
        <f>$X$49*D54</f>
        <v>0</v>
      </c>
      <c r="Y82" s="129">
        <f>$X$49*E54</f>
        <v>0</v>
      </c>
      <c r="Z82" s="130">
        <f>$AA$49*C54</f>
        <v>0</v>
      </c>
      <c r="AA82" s="130">
        <f>$AA$49*D54</f>
        <v>0</v>
      </c>
      <c r="AB82" s="130">
        <f>$AA$49*E54</f>
        <v>0</v>
      </c>
      <c r="AC82" s="131">
        <f>$AD$49*C54</f>
        <v>-6.2891881088233126E-3</v>
      </c>
      <c r="AD82" s="130">
        <f>$AD$49*D54</f>
        <v>2.8172310351718302E-3</v>
      </c>
      <c r="AE82" s="129">
        <f>$AD$49*E54</f>
        <v>8.2810825215689169E-3</v>
      </c>
      <c r="AF82" s="131">
        <f>$AG$49*$C$54</f>
        <v>-1.2578376217646625E-2</v>
      </c>
      <c r="AG82" s="130">
        <f>$AG$49*D54</f>
        <v>5.6344620703436604E-3</v>
      </c>
      <c r="AH82" s="129">
        <f>$AG$49*E54</f>
        <v>1.6562165043137834E-2</v>
      </c>
      <c r="AI82" s="131">
        <f>$AJ$49*$C$54</f>
        <v>-1.8867564326469938E-2</v>
      </c>
      <c r="AJ82" s="132">
        <f>$AJ$49*D54</f>
        <v>8.4516931055154901E-3</v>
      </c>
      <c r="AK82" s="129">
        <f>$AJ$49*E54</f>
        <v>2.4843247564706749E-2</v>
      </c>
      <c r="AL82" s="131">
        <f>$AM$49*$C$54</f>
        <v>-0.12578376217646625</v>
      </c>
      <c r="AM82" s="130">
        <f>$AM$49*D54</f>
        <v>5.6344620703436599E-2</v>
      </c>
      <c r="AN82" s="129">
        <f>$AM$49*E54</f>
        <v>0.16562165043137833</v>
      </c>
    </row>
    <row r="83" spans="7:40" ht="18" customHeight="1">
      <c r="G83" s="135" t="str">
        <f>G50</f>
        <v>Ações Globais sem hedge</v>
      </c>
      <c r="H83" s="133"/>
      <c r="I83" s="133"/>
      <c r="J83" s="133"/>
      <c r="K83" s="133"/>
      <c r="L83" s="134"/>
      <c r="M83" s="134"/>
      <c r="N83" s="134"/>
      <c r="O83" s="134"/>
      <c r="P83" s="134"/>
      <c r="Q83" s="134"/>
      <c r="R83" s="133"/>
      <c r="S83" s="133"/>
      <c r="T83" s="133"/>
      <c r="U83" s="133"/>
      <c r="V83" s="133"/>
      <c r="W83" s="131">
        <f>$X$50*(C72+C40)</f>
        <v>0</v>
      </c>
      <c r="X83" s="130">
        <f>$X$50*(D72+D40)</f>
        <v>0</v>
      </c>
      <c r="Y83" s="129">
        <f>$X$50*(E72+E40)</f>
        <v>0</v>
      </c>
      <c r="Z83" s="130">
        <f>$AA$50*(C72+C40)</f>
        <v>0</v>
      </c>
      <c r="AA83" s="130">
        <f>$AA$50*(D72+D40)</f>
        <v>0</v>
      </c>
      <c r="AB83" s="130">
        <f>$AA$50*(E72+E40)</f>
        <v>0</v>
      </c>
      <c r="AC83" s="131">
        <f>$AD$50*(C72+C40)</f>
        <v>0</v>
      </c>
      <c r="AD83" s="130">
        <f>$AD$50*(D72+D40)</f>
        <v>0</v>
      </c>
      <c r="AE83" s="129">
        <f>$AD$50*(E72+E40)</f>
        <v>0</v>
      </c>
      <c r="AF83" s="131">
        <f>$AG$50*($C$72+$C$40)</f>
        <v>1.2851180164959342E-2</v>
      </c>
      <c r="AG83" s="130">
        <f>$AG$50*(D72+D40)</f>
        <v>9.8357179010101665E-3</v>
      </c>
      <c r="AH83" s="129">
        <f>$AG$50*(E72+E40)</f>
        <v>-3.7053472771730214E-3</v>
      </c>
      <c r="AI83" s="131">
        <f>$AJ$50*($C$72+$C$40)</f>
        <v>2.5702360329918683E-2</v>
      </c>
      <c r="AJ83" s="130">
        <f>$AJ$50*(D72+D40)</f>
        <v>1.9671435802020333E-2</v>
      </c>
      <c r="AK83" s="129">
        <f>$AJ$50*(E72+E40)</f>
        <v>-7.4106945543460428E-3</v>
      </c>
      <c r="AL83" s="131">
        <f>$AM$50*($C$72+$C$40)</f>
        <v>0</v>
      </c>
      <c r="AM83" s="130">
        <f>$AM$50*(D72+D40)</f>
        <v>0</v>
      </c>
      <c r="AN83" s="129">
        <f>$AM$50*(E72+E40)</f>
        <v>0</v>
      </c>
    </row>
    <row r="84" spans="7:40" ht="18" customHeight="1">
      <c r="G84" s="135" t="str">
        <f>G51</f>
        <v>Fundos Imobiliários</v>
      </c>
      <c r="H84" s="133"/>
      <c r="I84" s="133"/>
      <c r="J84" s="133"/>
      <c r="K84" s="133"/>
      <c r="L84" s="134"/>
      <c r="M84" s="134"/>
      <c r="N84" s="134"/>
      <c r="O84" s="134"/>
      <c r="P84" s="134"/>
      <c r="Q84" s="134"/>
      <c r="R84" s="133"/>
      <c r="S84" s="133"/>
      <c r="T84" s="133"/>
      <c r="U84" s="133"/>
      <c r="V84" s="133"/>
      <c r="W84" s="131">
        <f>$X$51*(C55+C41)</f>
        <v>0</v>
      </c>
      <c r="X84" s="130">
        <f>$X$51*(D55+D41)</f>
        <v>0</v>
      </c>
      <c r="Y84" s="129">
        <f>$X$51*(E55+E41)</f>
        <v>0</v>
      </c>
      <c r="Z84" s="130">
        <f>$AA$51*(C55+C41)</f>
        <v>0</v>
      </c>
      <c r="AA84" s="130">
        <f>$AA$51*(D55+D41)</f>
        <v>0</v>
      </c>
      <c r="AB84" s="130">
        <f>$AA$51*(E55+E41)</f>
        <v>0</v>
      </c>
      <c r="AC84" s="131">
        <f>$AD$51*(C55+C41)</f>
        <v>5.0000000000000001E-3</v>
      </c>
      <c r="AD84" s="130">
        <f>$AD$51*(D55+D41)</f>
        <v>9.7500000000000017E-3</v>
      </c>
      <c r="AE84" s="129">
        <f>$AD$51*(E55+E41)</f>
        <v>1.1500000000000002E-2</v>
      </c>
      <c r="AF84" s="131">
        <f>$AG$51*($C$55+$C$41)</f>
        <v>0.01</v>
      </c>
      <c r="AG84" s="130">
        <f>$AG$51*(D55+D41)</f>
        <v>1.9500000000000003E-2</v>
      </c>
      <c r="AH84" s="129">
        <f>$AG$51*(E55+E41)</f>
        <v>2.3000000000000003E-2</v>
      </c>
      <c r="AI84" s="131">
        <f>$AJ$51*($C$55+$C$41)</f>
        <v>1.2499999999999999E-2</v>
      </c>
      <c r="AJ84" s="132">
        <f>$AJ$51*(D55+D41)</f>
        <v>2.4375000000000001E-2</v>
      </c>
      <c r="AK84" s="129">
        <f>$AJ$51*(E55+E41)</f>
        <v>2.8750000000000001E-2</v>
      </c>
      <c r="AL84" s="131">
        <f>$AM$51*($C$55+$C$41)</f>
        <v>0</v>
      </c>
      <c r="AM84" s="130">
        <f>$AM$51*(D55+D41)</f>
        <v>0</v>
      </c>
      <c r="AN84" s="129">
        <f>$AM$51*(E55+E41)</f>
        <v>0</v>
      </c>
    </row>
    <row r="85" spans="7:40" ht="18" customHeight="1">
      <c r="G85" s="121" t="str">
        <f>G52</f>
        <v xml:space="preserve">Alternativos </v>
      </c>
      <c r="H85" s="119"/>
      <c r="I85" s="119"/>
      <c r="J85" s="119"/>
      <c r="K85" s="119"/>
      <c r="L85" s="120"/>
      <c r="M85" s="120"/>
      <c r="N85" s="120"/>
      <c r="O85" s="120"/>
      <c r="P85" s="120"/>
      <c r="Q85" s="120"/>
      <c r="R85" s="119"/>
      <c r="S85" s="119"/>
      <c r="T85" s="119"/>
      <c r="U85" s="119"/>
      <c r="V85" s="119"/>
      <c r="W85" s="118">
        <f>$X$52*C56</f>
        <v>0</v>
      </c>
      <c r="X85" s="117">
        <f>$X$52*D56</f>
        <v>0</v>
      </c>
      <c r="Y85" s="116">
        <f>$X$52*E56</f>
        <v>0</v>
      </c>
      <c r="Z85" s="117">
        <f>$AA$52*C56</f>
        <v>0</v>
      </c>
      <c r="AA85" s="117">
        <f>$AA$52*D56</f>
        <v>0</v>
      </c>
      <c r="AB85" s="117">
        <f>$AA$52*E56</f>
        <v>0</v>
      </c>
      <c r="AC85" s="118">
        <f>$AD$52*C56</f>
        <v>0</v>
      </c>
      <c r="AD85" s="117">
        <f>$AD$52*D56</f>
        <v>0</v>
      </c>
      <c r="AE85" s="116">
        <f>$AD$52*E56</f>
        <v>0</v>
      </c>
      <c r="AF85" s="118">
        <f>$AG$52*$C$56</f>
        <v>-7.4999999999999997E-3</v>
      </c>
      <c r="AG85" s="117">
        <f>$AG$52*D56</f>
        <v>7.4999999999999997E-3</v>
      </c>
      <c r="AH85" s="116">
        <f>$AG$52*E56</f>
        <v>1.0000000000000002E-2</v>
      </c>
      <c r="AI85" s="118">
        <f>$AJ$52*$C$56</f>
        <v>-1.125E-2</v>
      </c>
      <c r="AJ85" s="117">
        <f>$AJ$52*D56</f>
        <v>1.125E-2</v>
      </c>
      <c r="AK85" s="116">
        <f>$AJ$52*E56</f>
        <v>1.4999999999999999E-2</v>
      </c>
      <c r="AL85" s="118">
        <f>$AM$52*$C$56</f>
        <v>0</v>
      </c>
      <c r="AM85" s="117">
        <f>$AM$52*D56</f>
        <v>0</v>
      </c>
      <c r="AN85" s="116">
        <f>$AM$52*E56</f>
        <v>0</v>
      </c>
    </row>
    <row r="86" spans="7:40" ht="18" customHeight="1"/>
    <row r="88" spans="7:40">
      <c r="G88" s="128"/>
      <c r="H88" s="127"/>
      <c r="I88" s="127"/>
      <c r="J88" s="127"/>
      <c r="K88" s="127" t="s">
        <v>1066</v>
      </c>
      <c r="L88" s="126"/>
      <c r="M88" s="126"/>
      <c r="N88" s="126"/>
      <c r="O88" s="126"/>
      <c r="P88" s="126"/>
      <c r="Q88" s="126"/>
      <c r="R88" s="125"/>
      <c r="S88" s="125"/>
      <c r="T88" s="125"/>
      <c r="U88" s="125"/>
      <c r="V88" s="125"/>
      <c r="W88" s="124">
        <f t="shared" ref="W88:AN88" si="34">W59+W66+W73</f>
        <v>0.15425</v>
      </c>
      <c r="X88" s="123">
        <f t="shared" si="34"/>
        <v>0.14924999999999999</v>
      </c>
      <c r="Y88" s="122">
        <f t="shared" si="34"/>
        <v>0.13425000000000001</v>
      </c>
      <c r="Z88" s="123">
        <f t="shared" si="34"/>
        <v>0.11713125000000002</v>
      </c>
      <c r="AA88" s="123">
        <f t="shared" si="34"/>
        <v>0.11300625000000002</v>
      </c>
      <c r="AB88" s="123">
        <f t="shared" si="34"/>
        <v>0.10156875000000001</v>
      </c>
      <c r="AC88" s="124">
        <f t="shared" si="34"/>
        <v>8.6659374999999997E-2</v>
      </c>
      <c r="AD88" s="123">
        <f t="shared" si="34"/>
        <v>8.3496874999999998E-2</v>
      </c>
      <c r="AE88" s="122">
        <f t="shared" si="34"/>
        <v>7.5040625000000014E-2</v>
      </c>
      <c r="AF88" s="124">
        <f t="shared" si="34"/>
        <v>5.5820624999999992E-2</v>
      </c>
      <c r="AG88" s="123">
        <f t="shared" si="34"/>
        <v>5.363312499999999E-2</v>
      </c>
      <c r="AH88" s="122">
        <f t="shared" si="34"/>
        <v>4.8164375000000002E-2</v>
      </c>
      <c r="AI88" s="124">
        <f t="shared" si="34"/>
        <v>4.0487500000000003E-2</v>
      </c>
      <c r="AJ88" s="123">
        <f t="shared" si="34"/>
        <v>3.8737499999999994E-2</v>
      </c>
      <c r="AK88" s="122">
        <f t="shared" si="34"/>
        <v>3.4737500000000004E-2</v>
      </c>
      <c r="AL88" s="124">
        <f t="shared" si="34"/>
        <v>0</v>
      </c>
      <c r="AM88" s="123">
        <f t="shared" si="34"/>
        <v>0</v>
      </c>
      <c r="AN88" s="122">
        <f t="shared" si="34"/>
        <v>0</v>
      </c>
    </row>
    <row r="89" spans="7:40">
      <c r="G89" s="135"/>
      <c r="H89" s="133"/>
      <c r="I89" s="133"/>
      <c r="J89" s="133"/>
      <c r="K89" s="133" t="s">
        <v>1065</v>
      </c>
      <c r="L89" s="134"/>
      <c r="M89" s="134"/>
      <c r="N89" s="134"/>
      <c r="O89" s="134"/>
      <c r="P89" s="134"/>
      <c r="Q89" s="134"/>
      <c r="R89" s="133"/>
      <c r="S89" s="133"/>
      <c r="T89" s="133"/>
      <c r="U89" s="133"/>
      <c r="V89" s="133"/>
      <c r="W89" s="131">
        <f t="shared" ref="W89:AN89" si="35">W60+W61+W62+W67+W68+W69++W74+W75+W76</f>
        <v>0</v>
      </c>
      <c r="X89" s="130">
        <f t="shared" si="35"/>
        <v>0</v>
      </c>
      <c r="Y89" s="129">
        <f t="shared" si="35"/>
        <v>0</v>
      </c>
      <c r="Z89" s="130">
        <f t="shared" si="35"/>
        <v>7.6525000000000004E-3</v>
      </c>
      <c r="AA89" s="130">
        <f t="shared" si="35"/>
        <v>7.6525000000000004E-3</v>
      </c>
      <c r="AB89" s="130">
        <f t="shared" si="35"/>
        <v>7.6525000000000004E-3</v>
      </c>
      <c r="AC89" s="131">
        <f t="shared" si="35"/>
        <v>1.5422499999999999E-2</v>
      </c>
      <c r="AD89" s="130">
        <f t="shared" si="35"/>
        <v>1.5422499999999999E-2</v>
      </c>
      <c r="AE89" s="129">
        <f t="shared" si="35"/>
        <v>1.5422499999999999E-2</v>
      </c>
      <c r="AF89" s="131">
        <f t="shared" si="35"/>
        <v>1.55725E-2</v>
      </c>
      <c r="AG89" s="130">
        <f t="shared" si="35"/>
        <v>1.55725E-2</v>
      </c>
      <c r="AH89" s="129">
        <f t="shared" si="35"/>
        <v>1.55725E-2</v>
      </c>
      <c r="AI89" s="131">
        <f t="shared" si="35"/>
        <v>1.2940999999999999E-2</v>
      </c>
      <c r="AJ89" s="130">
        <f t="shared" si="35"/>
        <v>1.2940999999999999E-2</v>
      </c>
      <c r="AK89" s="129">
        <f t="shared" si="35"/>
        <v>1.2940999999999999E-2</v>
      </c>
      <c r="AL89" s="131">
        <f t="shared" si="35"/>
        <v>0</v>
      </c>
      <c r="AM89" s="130">
        <f t="shared" si="35"/>
        <v>0</v>
      </c>
      <c r="AN89" s="129">
        <f t="shared" si="35"/>
        <v>0</v>
      </c>
    </row>
    <row r="90" spans="7:40">
      <c r="G90" s="135"/>
      <c r="H90" s="133"/>
      <c r="I90" s="133"/>
      <c r="J90" s="133"/>
      <c r="K90" s="133" t="s">
        <v>121</v>
      </c>
      <c r="L90" s="134"/>
      <c r="M90" s="134"/>
      <c r="N90" s="134"/>
      <c r="O90" s="134"/>
      <c r="P90" s="134"/>
      <c r="Q90" s="134"/>
      <c r="R90" s="133"/>
      <c r="S90" s="133"/>
      <c r="T90" s="133"/>
      <c r="U90" s="133"/>
      <c r="V90" s="133"/>
      <c r="W90" s="131">
        <f t="shared" ref="W90:AN90" si="36">W63+W64+W65+W70+W71+W72+W77+W78+W79</f>
        <v>0</v>
      </c>
      <c r="X90" s="130">
        <f t="shared" si="36"/>
        <v>0</v>
      </c>
      <c r="Y90" s="129">
        <f t="shared" si="36"/>
        <v>0</v>
      </c>
      <c r="Z90" s="130">
        <f t="shared" si="36"/>
        <v>2.3227500000000002E-2</v>
      </c>
      <c r="AA90" s="130">
        <f t="shared" si="36"/>
        <v>2.2477500000000001E-2</v>
      </c>
      <c r="AB90" s="130">
        <f t="shared" si="36"/>
        <v>2.17275E-2</v>
      </c>
      <c r="AC90" s="131">
        <f t="shared" si="36"/>
        <v>2.3403750000000004E-2</v>
      </c>
      <c r="AD90" s="130">
        <f t="shared" si="36"/>
        <v>2.265375E-2</v>
      </c>
      <c r="AE90" s="129">
        <f t="shared" si="36"/>
        <v>2.190375E-2</v>
      </c>
      <c r="AF90" s="131">
        <f t="shared" si="36"/>
        <v>5.0291249999999989E-3</v>
      </c>
      <c r="AG90" s="130">
        <f t="shared" si="36"/>
        <v>6.2291249999999986E-3</v>
      </c>
      <c r="AH90" s="129">
        <f t="shared" si="36"/>
        <v>7.8791249999999972E-3</v>
      </c>
      <c r="AI90" s="131">
        <f t="shared" si="36"/>
        <v>1.5935000000000001E-2</v>
      </c>
      <c r="AJ90" s="132">
        <f t="shared" si="36"/>
        <v>1.5435000000000003E-2</v>
      </c>
      <c r="AK90" s="129">
        <f t="shared" si="36"/>
        <v>1.4935E-2</v>
      </c>
      <c r="AL90" s="131">
        <f t="shared" si="36"/>
        <v>0</v>
      </c>
      <c r="AM90" s="130">
        <f t="shared" si="36"/>
        <v>0</v>
      </c>
      <c r="AN90" s="129">
        <f t="shared" si="36"/>
        <v>0</v>
      </c>
    </row>
    <row r="91" spans="7:40">
      <c r="G91" s="135"/>
      <c r="H91" s="133"/>
      <c r="I91" s="133"/>
      <c r="J91" s="133"/>
      <c r="K91" s="133" t="s">
        <v>1064</v>
      </c>
      <c r="L91" s="134"/>
      <c r="M91" s="134"/>
      <c r="N91" s="134"/>
      <c r="O91" s="134"/>
      <c r="P91" s="134"/>
      <c r="Q91" s="134"/>
      <c r="R91" s="133"/>
      <c r="S91" s="133"/>
      <c r="T91" s="133"/>
      <c r="U91" s="133"/>
      <c r="V91" s="133"/>
      <c r="W91" s="131">
        <f t="shared" ref="W91:AN91" si="37">W80</f>
        <v>0</v>
      </c>
      <c r="X91" s="130">
        <f t="shared" si="37"/>
        <v>0</v>
      </c>
      <c r="Y91" s="129">
        <f t="shared" si="37"/>
        <v>0</v>
      </c>
      <c r="Z91" s="130">
        <f t="shared" si="37"/>
        <v>0</v>
      </c>
      <c r="AA91" s="130">
        <f t="shared" si="37"/>
        <v>0</v>
      </c>
      <c r="AB91" s="130">
        <f t="shared" si="37"/>
        <v>0</v>
      </c>
      <c r="AC91" s="131">
        <f t="shared" si="37"/>
        <v>1.1251811594202904E-2</v>
      </c>
      <c r="AD91" s="130">
        <f t="shared" si="37"/>
        <v>4.1304347826087023E-3</v>
      </c>
      <c r="AE91" s="129">
        <f t="shared" si="37"/>
        <v>-6.4891304347826058E-3</v>
      </c>
      <c r="AF91" s="131">
        <f t="shared" si="37"/>
        <v>1.1251811594202904E-2</v>
      </c>
      <c r="AG91" s="130">
        <f t="shared" si="37"/>
        <v>4.1304347826087023E-3</v>
      </c>
      <c r="AH91" s="129">
        <f t="shared" si="37"/>
        <v>-6.4891304347826058E-3</v>
      </c>
      <c r="AI91" s="131">
        <f t="shared" si="37"/>
        <v>1.1251811594202904E-2</v>
      </c>
      <c r="AJ91" s="130">
        <f t="shared" si="37"/>
        <v>4.1304347826087023E-3</v>
      </c>
      <c r="AK91" s="129">
        <f t="shared" si="37"/>
        <v>-6.4891304347826058E-3</v>
      </c>
      <c r="AL91" s="131">
        <f t="shared" si="37"/>
        <v>0</v>
      </c>
      <c r="AM91" s="130">
        <f t="shared" si="37"/>
        <v>0</v>
      </c>
      <c r="AN91" s="129">
        <f t="shared" si="37"/>
        <v>0</v>
      </c>
    </row>
    <row r="92" spans="7:40">
      <c r="G92" s="135"/>
      <c r="H92" s="133"/>
      <c r="I92" s="133"/>
      <c r="J92" s="133"/>
      <c r="K92" s="133" t="s">
        <v>1063</v>
      </c>
      <c r="L92" s="134"/>
      <c r="M92" s="134"/>
      <c r="N92" s="134"/>
      <c r="O92" s="134"/>
      <c r="P92" s="134"/>
      <c r="Q92" s="134"/>
      <c r="R92" s="133"/>
      <c r="S92" s="133"/>
      <c r="T92" s="133"/>
      <c r="U92" s="133"/>
      <c r="V92" s="133"/>
      <c r="W92" s="131">
        <f t="shared" ref="W92:AN92" si="38">W81</f>
        <v>0</v>
      </c>
      <c r="X92" s="130">
        <f t="shared" si="38"/>
        <v>0</v>
      </c>
      <c r="Y92" s="129">
        <f t="shared" si="38"/>
        <v>0</v>
      </c>
      <c r="Z92" s="130">
        <f t="shared" si="38"/>
        <v>7.4999999999999997E-3</v>
      </c>
      <c r="AA92" s="130">
        <f t="shared" si="38"/>
        <v>9.7500000000000017E-3</v>
      </c>
      <c r="AB92" s="130">
        <f t="shared" si="38"/>
        <v>1.1500000000000002E-2</v>
      </c>
      <c r="AC92" s="131">
        <f t="shared" si="38"/>
        <v>7.4999999999999997E-3</v>
      </c>
      <c r="AD92" s="130">
        <f t="shared" si="38"/>
        <v>9.7500000000000017E-3</v>
      </c>
      <c r="AE92" s="129">
        <f t="shared" si="38"/>
        <v>1.1500000000000002E-2</v>
      </c>
      <c r="AF92" s="131">
        <f t="shared" si="38"/>
        <v>0</v>
      </c>
      <c r="AG92" s="130">
        <f t="shared" si="38"/>
        <v>9.7500000000000017E-3</v>
      </c>
      <c r="AH92" s="129">
        <f t="shared" si="38"/>
        <v>0</v>
      </c>
      <c r="AI92" s="131">
        <f t="shared" si="38"/>
        <v>0</v>
      </c>
      <c r="AJ92" s="132">
        <f t="shared" si="38"/>
        <v>0</v>
      </c>
      <c r="AK92" s="129">
        <f t="shared" si="38"/>
        <v>0</v>
      </c>
      <c r="AL92" s="131">
        <f t="shared" si="38"/>
        <v>0</v>
      </c>
      <c r="AM92" s="130">
        <f t="shared" si="38"/>
        <v>0</v>
      </c>
      <c r="AN92" s="129">
        <f t="shared" si="38"/>
        <v>0</v>
      </c>
    </row>
    <row r="93" spans="7:40">
      <c r="G93" s="135"/>
      <c r="H93" s="133"/>
      <c r="I93" s="133"/>
      <c r="J93" s="133"/>
      <c r="K93" s="133" t="s">
        <v>1062</v>
      </c>
      <c r="L93" s="134"/>
      <c r="M93" s="134"/>
      <c r="N93" s="134"/>
      <c r="O93" s="134"/>
      <c r="P93" s="134"/>
      <c r="Q93" s="134"/>
      <c r="R93" s="133"/>
      <c r="S93" s="133"/>
      <c r="T93" s="133"/>
      <c r="U93" s="133"/>
      <c r="V93" s="133"/>
      <c r="W93" s="131">
        <f t="shared" ref="W93:AN93" si="39">W82</f>
        <v>0</v>
      </c>
      <c r="X93" s="130">
        <f t="shared" si="39"/>
        <v>0</v>
      </c>
      <c r="Y93" s="129">
        <f t="shared" si="39"/>
        <v>0</v>
      </c>
      <c r="Z93" s="130">
        <f t="shared" si="39"/>
        <v>0</v>
      </c>
      <c r="AA93" s="130">
        <f t="shared" si="39"/>
        <v>0</v>
      </c>
      <c r="AB93" s="130">
        <f t="shared" si="39"/>
        <v>0</v>
      </c>
      <c r="AC93" s="131">
        <f t="shared" si="39"/>
        <v>-6.2891881088233126E-3</v>
      </c>
      <c r="AD93" s="130">
        <f t="shared" si="39"/>
        <v>2.8172310351718302E-3</v>
      </c>
      <c r="AE93" s="129">
        <f t="shared" si="39"/>
        <v>8.2810825215689169E-3</v>
      </c>
      <c r="AF93" s="131">
        <f t="shared" si="39"/>
        <v>-1.2578376217646625E-2</v>
      </c>
      <c r="AG93" s="130">
        <f t="shared" si="39"/>
        <v>5.6344620703436604E-3</v>
      </c>
      <c r="AH93" s="129">
        <f t="shared" si="39"/>
        <v>1.6562165043137834E-2</v>
      </c>
      <c r="AI93" s="131">
        <f t="shared" si="39"/>
        <v>-1.8867564326469938E-2</v>
      </c>
      <c r="AJ93" s="130">
        <f t="shared" si="39"/>
        <v>8.4516931055154901E-3</v>
      </c>
      <c r="AK93" s="129">
        <f t="shared" si="39"/>
        <v>2.4843247564706749E-2</v>
      </c>
      <c r="AL93" s="131">
        <f t="shared" si="39"/>
        <v>-0.12578376217646625</v>
      </c>
      <c r="AM93" s="130">
        <f t="shared" si="39"/>
        <v>5.6344620703436599E-2</v>
      </c>
      <c r="AN93" s="129">
        <f t="shared" si="39"/>
        <v>0.16562165043137833</v>
      </c>
    </row>
    <row r="94" spans="7:40">
      <c r="G94" s="135"/>
      <c r="H94" s="133"/>
      <c r="I94" s="133"/>
      <c r="J94" s="133"/>
      <c r="K94" s="133" t="s">
        <v>1061</v>
      </c>
      <c r="L94" s="134"/>
      <c r="M94" s="134"/>
      <c r="N94" s="134"/>
      <c r="O94" s="134"/>
      <c r="P94" s="134"/>
      <c r="Q94" s="134"/>
      <c r="R94" s="133"/>
      <c r="S94" s="133"/>
      <c r="T94" s="133"/>
      <c r="U94" s="133"/>
      <c r="V94" s="133"/>
      <c r="W94" s="131">
        <f t="shared" ref="W94:AN94" si="40">W83</f>
        <v>0</v>
      </c>
      <c r="X94" s="130">
        <f t="shared" si="40"/>
        <v>0</v>
      </c>
      <c r="Y94" s="129">
        <f t="shared" si="40"/>
        <v>0</v>
      </c>
      <c r="Z94" s="130">
        <f t="shared" si="40"/>
        <v>0</v>
      </c>
      <c r="AA94" s="130">
        <f t="shared" si="40"/>
        <v>0</v>
      </c>
      <c r="AB94" s="130">
        <f t="shared" si="40"/>
        <v>0</v>
      </c>
      <c r="AC94" s="131">
        <f t="shared" si="40"/>
        <v>0</v>
      </c>
      <c r="AD94" s="130">
        <f t="shared" si="40"/>
        <v>0</v>
      </c>
      <c r="AE94" s="129">
        <f t="shared" si="40"/>
        <v>0</v>
      </c>
      <c r="AF94" s="131">
        <f t="shared" si="40"/>
        <v>1.2851180164959342E-2</v>
      </c>
      <c r="AG94" s="130">
        <f t="shared" si="40"/>
        <v>9.8357179010101665E-3</v>
      </c>
      <c r="AH94" s="129">
        <f t="shared" si="40"/>
        <v>-3.7053472771730214E-3</v>
      </c>
      <c r="AI94" s="131">
        <f t="shared" si="40"/>
        <v>2.5702360329918683E-2</v>
      </c>
      <c r="AJ94" s="130">
        <f t="shared" si="40"/>
        <v>1.9671435802020333E-2</v>
      </c>
      <c r="AK94" s="129">
        <f t="shared" si="40"/>
        <v>-7.4106945543460428E-3</v>
      </c>
      <c r="AL94" s="131">
        <f t="shared" si="40"/>
        <v>0</v>
      </c>
      <c r="AM94" s="130">
        <f t="shared" si="40"/>
        <v>0</v>
      </c>
      <c r="AN94" s="129">
        <f t="shared" si="40"/>
        <v>0</v>
      </c>
    </row>
    <row r="95" spans="7:40">
      <c r="G95" s="135"/>
      <c r="H95" s="133"/>
      <c r="I95" s="133"/>
      <c r="J95" s="133"/>
      <c r="K95" s="133" t="s">
        <v>1060</v>
      </c>
      <c r="L95" s="134"/>
      <c r="M95" s="134"/>
      <c r="N95" s="134"/>
      <c r="O95" s="134"/>
      <c r="P95" s="134"/>
      <c r="Q95" s="134"/>
      <c r="R95" s="133"/>
      <c r="S95" s="133"/>
      <c r="T95" s="133"/>
      <c r="U95" s="133"/>
      <c r="V95" s="133"/>
      <c r="W95" s="131">
        <f t="shared" ref="W95:AN95" si="41">W84</f>
        <v>0</v>
      </c>
      <c r="X95" s="130">
        <f t="shared" si="41"/>
        <v>0</v>
      </c>
      <c r="Y95" s="129">
        <f t="shared" si="41"/>
        <v>0</v>
      </c>
      <c r="Z95" s="130">
        <f t="shared" si="41"/>
        <v>0</v>
      </c>
      <c r="AA95" s="130">
        <f t="shared" si="41"/>
        <v>0</v>
      </c>
      <c r="AB95" s="130">
        <f t="shared" si="41"/>
        <v>0</v>
      </c>
      <c r="AC95" s="131">
        <f t="shared" si="41"/>
        <v>5.0000000000000001E-3</v>
      </c>
      <c r="AD95" s="130">
        <f t="shared" si="41"/>
        <v>9.7500000000000017E-3</v>
      </c>
      <c r="AE95" s="129">
        <f t="shared" si="41"/>
        <v>1.1500000000000002E-2</v>
      </c>
      <c r="AF95" s="131">
        <f t="shared" si="41"/>
        <v>0.01</v>
      </c>
      <c r="AG95" s="130">
        <f t="shared" si="41"/>
        <v>1.9500000000000003E-2</v>
      </c>
      <c r="AH95" s="129">
        <f t="shared" si="41"/>
        <v>2.3000000000000003E-2</v>
      </c>
      <c r="AI95" s="131">
        <f t="shared" si="41"/>
        <v>1.2499999999999999E-2</v>
      </c>
      <c r="AJ95" s="132">
        <f t="shared" si="41"/>
        <v>2.4375000000000001E-2</v>
      </c>
      <c r="AK95" s="129">
        <f t="shared" si="41"/>
        <v>2.8750000000000001E-2</v>
      </c>
      <c r="AL95" s="131">
        <f t="shared" si="41"/>
        <v>0</v>
      </c>
      <c r="AM95" s="130">
        <f t="shared" si="41"/>
        <v>0</v>
      </c>
      <c r="AN95" s="129">
        <f t="shared" si="41"/>
        <v>0</v>
      </c>
    </row>
    <row r="96" spans="7:40">
      <c r="G96" s="121"/>
      <c r="H96" s="119"/>
      <c r="I96" s="119"/>
      <c r="J96" s="119"/>
      <c r="K96" s="119" t="s">
        <v>1059</v>
      </c>
      <c r="L96" s="120"/>
      <c r="M96" s="120"/>
      <c r="N96" s="120"/>
      <c r="O96" s="120"/>
      <c r="P96" s="120"/>
      <c r="Q96" s="120"/>
      <c r="R96" s="119"/>
      <c r="S96" s="119"/>
      <c r="T96" s="119"/>
      <c r="U96" s="119"/>
      <c r="V96" s="119"/>
      <c r="W96" s="118">
        <f t="shared" ref="W96:AN96" si="42">W85</f>
        <v>0</v>
      </c>
      <c r="X96" s="117">
        <f t="shared" si="42"/>
        <v>0</v>
      </c>
      <c r="Y96" s="116">
        <f t="shared" si="42"/>
        <v>0</v>
      </c>
      <c r="Z96" s="117">
        <f t="shared" si="42"/>
        <v>0</v>
      </c>
      <c r="AA96" s="117">
        <f t="shared" si="42"/>
        <v>0</v>
      </c>
      <c r="AB96" s="117">
        <f t="shared" si="42"/>
        <v>0</v>
      </c>
      <c r="AC96" s="118">
        <f t="shared" si="42"/>
        <v>0</v>
      </c>
      <c r="AD96" s="117">
        <f t="shared" si="42"/>
        <v>0</v>
      </c>
      <c r="AE96" s="116">
        <f t="shared" si="42"/>
        <v>0</v>
      </c>
      <c r="AF96" s="118">
        <f t="shared" si="42"/>
        <v>-7.4999999999999997E-3</v>
      </c>
      <c r="AG96" s="117">
        <f t="shared" si="42"/>
        <v>7.4999999999999997E-3</v>
      </c>
      <c r="AH96" s="116">
        <f t="shared" si="42"/>
        <v>1.0000000000000002E-2</v>
      </c>
      <c r="AI96" s="118">
        <f t="shared" si="42"/>
        <v>-1.125E-2</v>
      </c>
      <c r="AJ96" s="117">
        <f t="shared" si="42"/>
        <v>1.125E-2</v>
      </c>
      <c r="AK96" s="116">
        <f t="shared" si="42"/>
        <v>1.4999999999999999E-2</v>
      </c>
      <c r="AL96" s="118">
        <f t="shared" si="42"/>
        <v>0</v>
      </c>
      <c r="AM96" s="117">
        <f t="shared" si="42"/>
        <v>0</v>
      </c>
      <c r="AN96" s="116">
        <f t="shared" si="42"/>
        <v>0</v>
      </c>
    </row>
    <row r="97" spans="7:40">
      <c r="G97" s="128"/>
      <c r="H97" s="127"/>
      <c r="I97" s="127"/>
      <c r="J97" s="127"/>
      <c r="K97" s="127" t="s">
        <v>708</v>
      </c>
      <c r="L97" s="126"/>
      <c r="M97" s="126"/>
      <c r="N97" s="126"/>
      <c r="O97" s="126"/>
      <c r="P97" s="126"/>
      <c r="Q97" s="126"/>
      <c r="R97" s="125"/>
      <c r="S97" s="125"/>
      <c r="T97" s="125"/>
      <c r="U97" s="125"/>
      <c r="V97" s="125"/>
      <c r="W97" s="124">
        <f t="shared" ref="W97:AN97" si="43">SUM(W88:W96)</f>
        <v>0.15425</v>
      </c>
      <c r="X97" s="123">
        <f t="shared" si="43"/>
        <v>0.14924999999999999</v>
      </c>
      <c r="Y97" s="122">
        <f t="shared" si="43"/>
        <v>0.13425000000000001</v>
      </c>
      <c r="Z97" s="123">
        <f t="shared" si="43"/>
        <v>0.15551125000000005</v>
      </c>
      <c r="AA97" s="123">
        <f t="shared" si="43"/>
        <v>0.15288625000000003</v>
      </c>
      <c r="AB97" s="123">
        <f t="shared" si="43"/>
        <v>0.14244875000000004</v>
      </c>
      <c r="AC97" s="124">
        <f t="shared" si="43"/>
        <v>0.1429482484853796</v>
      </c>
      <c r="AD97" s="123">
        <f t="shared" si="43"/>
        <v>0.14802079081778058</v>
      </c>
      <c r="AE97" s="122">
        <f t="shared" si="43"/>
        <v>0.13715882708678631</v>
      </c>
      <c r="AF97" s="124">
        <f t="shared" si="43"/>
        <v>9.0446865541515598E-2</v>
      </c>
      <c r="AG97" s="123">
        <f t="shared" si="43"/>
        <v>0.13178536475396252</v>
      </c>
      <c r="AH97" s="122">
        <f t="shared" si="43"/>
        <v>0.11098368733118222</v>
      </c>
      <c r="AI97" s="124">
        <f t="shared" si="43"/>
        <v>8.8700107597651665E-2</v>
      </c>
      <c r="AJ97" s="123">
        <f t="shared" si="43"/>
        <v>0.13499206369014455</v>
      </c>
      <c r="AK97" s="122">
        <f t="shared" si="43"/>
        <v>0.11730692257557811</v>
      </c>
      <c r="AL97" s="124">
        <f t="shared" si="43"/>
        <v>-0.12578376217646625</v>
      </c>
      <c r="AM97" s="123">
        <f t="shared" si="43"/>
        <v>5.6344620703436599E-2</v>
      </c>
      <c r="AN97" s="122">
        <f t="shared" si="43"/>
        <v>0.16562165043137833</v>
      </c>
    </row>
    <row r="98" spans="7:40">
      <c r="G98" s="121"/>
      <c r="H98" s="119"/>
      <c r="I98" s="119"/>
      <c r="J98" s="119"/>
      <c r="K98" s="119" t="s">
        <v>1058</v>
      </c>
      <c r="L98" s="120"/>
      <c r="M98" s="120"/>
      <c r="N98" s="120"/>
      <c r="O98" s="120"/>
      <c r="P98" s="120"/>
      <c r="Q98" s="120"/>
      <c r="R98" s="119"/>
      <c r="S98" s="119"/>
      <c r="T98" s="119"/>
      <c r="U98" s="119"/>
      <c r="V98" s="119"/>
      <c r="W98" s="118">
        <f>W97/$C$41</f>
        <v>1.0283333333333333</v>
      </c>
      <c r="X98" s="117">
        <f>X97/$D$41</f>
        <v>1.0293103448275862</v>
      </c>
      <c r="Y98" s="116">
        <f>Y97/$E$41</f>
        <v>1.0326923076923078</v>
      </c>
      <c r="Z98" s="117">
        <f>Z97/$C$41</f>
        <v>1.0367416666666671</v>
      </c>
      <c r="AA98" s="117">
        <f>AA97/$D$41</f>
        <v>1.054387931034483</v>
      </c>
      <c r="AB98" s="117">
        <f>AB97/$E$41</f>
        <v>1.0957596153846156</v>
      </c>
      <c r="AC98" s="118">
        <f>AC97/$C$41</f>
        <v>0.95298832323586402</v>
      </c>
      <c r="AD98" s="117">
        <f>AD97/$D$41</f>
        <v>1.0208330401226247</v>
      </c>
      <c r="AE98" s="116">
        <f>AE97/$E$41</f>
        <v>1.0550679006675869</v>
      </c>
      <c r="AF98" s="118">
        <f>AF97/$C$41</f>
        <v>0.60297910361010398</v>
      </c>
      <c r="AG98" s="117">
        <f>AG97/$D$41</f>
        <v>0.90886458451008645</v>
      </c>
      <c r="AH98" s="116">
        <f>AH97/$E$41</f>
        <v>0.85372067177832478</v>
      </c>
      <c r="AI98" s="118">
        <f>AI97/$C$41</f>
        <v>0.59133405065101108</v>
      </c>
      <c r="AJ98" s="117">
        <f>AJ97/$D$41</f>
        <v>0.93097974958720386</v>
      </c>
      <c r="AK98" s="116">
        <f>AK97/$E$41</f>
        <v>0.90236094288906232</v>
      </c>
      <c r="AL98" s="118">
        <f>AL97/$C$41</f>
        <v>-0.83855841450977509</v>
      </c>
      <c r="AM98" s="117">
        <f>AM97/$D$41</f>
        <v>0.38858359105818346</v>
      </c>
      <c r="AN98" s="116">
        <f>AN97/$E$41</f>
        <v>1.2740126956259872</v>
      </c>
    </row>
    <row r="101" spans="7:40"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</row>
  </sheetData>
  <mergeCells count="12">
    <mergeCell ref="AI6:AK6"/>
    <mergeCell ref="AI58:AK58"/>
    <mergeCell ref="AL6:AN6"/>
    <mergeCell ref="AL58:AN58"/>
    <mergeCell ref="AF6:AH6"/>
    <mergeCell ref="AF58:AH58"/>
    <mergeCell ref="W6:Y6"/>
    <mergeCell ref="Z6:AB6"/>
    <mergeCell ref="AC6:AE6"/>
    <mergeCell ref="W58:Y58"/>
    <mergeCell ref="Z58:AB58"/>
    <mergeCell ref="AC58:AE58"/>
  </mergeCells>
  <conditionalFormatting sqref="R9:V9">
    <cfRule type="expression" dxfId="2" priority="4">
      <formula>R9=""</formula>
    </cfRule>
  </conditionalFormatting>
  <conditionalFormatting sqref="R13:V13">
    <cfRule type="expression" dxfId="1" priority="3">
      <formula>R13=""</formula>
    </cfRule>
  </conditionalFormatting>
  <conditionalFormatting sqref="R47:V52">
    <cfRule type="expression" dxfId="0" priority="2">
      <formula>R47=""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0F2D802-2DD1-418F-9879-5C8671970EC6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1.01</xm:f>
              </x14:cfvo>
              <x14:cfIcon iconSet="3Symbols" iconId="0"/>
              <x14:cfIcon iconSet="3Symbols" iconId="2"/>
              <x14:cfIcon iconSet="3Symbols" iconId="2"/>
            </x14:iconSet>
          </x14:cfRule>
          <xm:sqref>W55:AN55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2D0C-E903-4AEA-9A78-7AAC431352EC}">
  <dimension ref="A1:AH112"/>
  <sheetViews>
    <sheetView zoomScaleNormal="100" workbookViewId="0">
      <pane xSplit="2" topLeftCell="C1" activePane="topRight" state="frozen"/>
      <selection activeCell="P8" sqref="P8"/>
      <selection pane="topRight" activeCell="P8" sqref="P8"/>
    </sheetView>
  </sheetViews>
  <sheetFormatPr defaultColWidth="8.88671875" defaultRowHeight="13.8"/>
  <cols>
    <col min="1" max="1" width="8.88671875" style="5"/>
    <col min="2" max="2" width="50.5546875" style="5" bestFit="1" customWidth="1"/>
    <col min="3" max="3" width="15.6640625" style="5" customWidth="1"/>
    <col min="4" max="4" width="38.33203125" style="5" customWidth="1"/>
    <col min="5" max="5" width="11.44140625" style="5" bestFit="1" customWidth="1"/>
    <col min="6" max="6" width="12.33203125" style="5" bestFit="1" customWidth="1"/>
    <col min="7" max="7" width="12.33203125" style="5" customWidth="1"/>
    <col min="8" max="8" width="18" style="5" bestFit="1" customWidth="1"/>
    <col min="9" max="9" width="18.109375" style="67" bestFit="1" customWidth="1"/>
    <col min="10" max="10" width="15.33203125" style="5" customWidth="1"/>
    <col min="11" max="11" width="16.5546875" style="5" customWidth="1"/>
    <col min="12" max="14" width="15.33203125" style="5" customWidth="1"/>
    <col min="15" max="15" width="18.109375" style="67" customWidth="1"/>
    <col min="16" max="16" width="12.88671875" style="5" hidden="1" customWidth="1"/>
    <col min="17" max="17" width="32.5546875" style="5" hidden="1" customWidth="1"/>
    <col min="18" max="18" width="20.6640625" style="5" hidden="1" customWidth="1"/>
    <col min="19" max="19" width="38.6640625" style="5" hidden="1" customWidth="1"/>
    <col min="20" max="20" width="20.6640625" style="5" hidden="1" customWidth="1"/>
    <col min="21" max="21" width="46.6640625" style="5" hidden="1" customWidth="1"/>
    <col min="22" max="22" width="26.88671875" style="5" hidden="1" customWidth="1"/>
    <col min="23" max="23" width="21.6640625" style="5" hidden="1" customWidth="1"/>
    <col min="24" max="26" width="21.109375" style="5" hidden="1" customWidth="1"/>
    <col min="27" max="27" width="19" style="5" hidden="1" customWidth="1"/>
    <col min="28" max="28" width="14.6640625" style="5" hidden="1" customWidth="1"/>
    <col min="29" max="29" width="21" style="5" hidden="1" customWidth="1"/>
    <col min="30" max="30" width="14" style="5" hidden="1" customWidth="1"/>
    <col min="31" max="31" width="12.33203125" style="5" hidden="1" customWidth="1"/>
    <col min="32" max="32" width="13.6640625" style="5" customWidth="1"/>
    <col min="33" max="33" width="114.88671875" style="7" bestFit="1" customWidth="1"/>
    <col min="34" max="34" width="20.33203125" style="5" customWidth="1"/>
    <col min="35" max="35" width="18.33203125" style="5" bestFit="1" customWidth="1"/>
    <col min="36" max="36" width="43.6640625" style="5" bestFit="1" customWidth="1"/>
    <col min="37" max="16384" width="8.88671875" style="5"/>
  </cols>
  <sheetData>
    <row r="1" spans="1:34" ht="14.4" thickBot="1">
      <c r="B1" s="5" t="s">
        <v>710</v>
      </c>
      <c r="I1" s="6" t="s">
        <v>711</v>
      </c>
      <c r="J1" s="5" t="s">
        <v>708</v>
      </c>
      <c r="O1" s="6" t="s">
        <v>712</v>
      </c>
    </row>
    <row r="2" spans="1:34" ht="15" thickTop="1" thickBot="1">
      <c r="B2" s="8" t="s">
        <v>713</v>
      </c>
      <c r="C2" s="9"/>
      <c r="D2" s="9"/>
      <c r="E2" s="9"/>
      <c r="F2" s="9"/>
      <c r="G2" s="9"/>
      <c r="H2" s="9"/>
      <c r="I2" s="10">
        <f>SUMPRODUCT(I5:I89,L5:L89)</f>
        <v>7.2723080031160906E-3</v>
      </c>
      <c r="J2" s="11">
        <f>SUM(J5:J89)</f>
        <v>265767141.96219921</v>
      </c>
      <c r="K2" s="9"/>
      <c r="L2" s="11"/>
      <c r="M2" s="9"/>
      <c r="N2" s="9"/>
      <c r="O2" s="10">
        <f>SUMPRODUCT(O5:O89,L5:L89)</f>
        <v>3.7068790519441596E-3</v>
      </c>
      <c r="P2" s="9"/>
      <c r="Q2" s="9"/>
      <c r="R2" s="388" t="s">
        <v>714</v>
      </c>
      <c r="S2" s="389"/>
      <c r="T2" s="389"/>
      <c r="U2" s="389"/>
      <c r="V2" s="390"/>
      <c r="W2" s="391" t="s">
        <v>715</v>
      </c>
      <c r="X2" s="392"/>
      <c r="Y2" s="392"/>
      <c r="Z2" s="393"/>
      <c r="AA2" s="391" t="s">
        <v>716</v>
      </c>
      <c r="AB2" s="392"/>
      <c r="AC2" s="392"/>
      <c r="AD2" s="392"/>
      <c r="AE2" s="392"/>
      <c r="AF2" s="393"/>
      <c r="AG2" s="13"/>
      <c r="AH2" s="14"/>
    </row>
    <row r="3" spans="1:34" ht="15" thickTop="1" thickBot="1">
      <c r="B3" s="15"/>
      <c r="I3" s="16"/>
      <c r="O3" s="16"/>
      <c r="R3" s="12" t="s">
        <v>717</v>
      </c>
      <c r="S3" s="394" t="s">
        <v>718</v>
      </c>
      <c r="T3" s="389"/>
      <c r="U3" s="389"/>
      <c r="V3" s="390"/>
      <c r="W3" s="388" t="s">
        <v>719</v>
      </c>
      <c r="X3" s="389"/>
      <c r="Y3" s="389"/>
      <c r="Z3" s="390"/>
      <c r="AA3" s="388" t="s">
        <v>720</v>
      </c>
      <c r="AB3" s="389"/>
      <c r="AC3" s="389"/>
      <c r="AD3" s="394" t="s">
        <v>721</v>
      </c>
      <c r="AE3" s="389"/>
      <c r="AF3" s="390"/>
      <c r="AG3" s="17"/>
      <c r="AH3" s="18"/>
    </row>
    <row r="4" spans="1:34" s="30" customFormat="1" ht="42.6" thickTop="1" thickBot="1">
      <c r="A4" s="19"/>
      <c r="B4" s="20" t="s">
        <v>722</v>
      </c>
      <c r="C4" s="21" t="s">
        <v>723</v>
      </c>
      <c r="D4" s="21" t="s">
        <v>724</v>
      </c>
      <c r="E4" s="21" t="s">
        <v>725</v>
      </c>
      <c r="F4" s="21" t="s">
        <v>726</v>
      </c>
      <c r="G4" s="21" t="s">
        <v>0</v>
      </c>
      <c r="H4" s="21" t="s">
        <v>727</v>
      </c>
      <c r="I4" s="22" t="s">
        <v>728</v>
      </c>
      <c r="J4" s="21" t="s">
        <v>729</v>
      </c>
      <c r="K4" s="21" t="s">
        <v>730</v>
      </c>
      <c r="L4" s="21" t="s">
        <v>731</v>
      </c>
      <c r="M4" s="21" t="s">
        <v>732</v>
      </c>
      <c r="N4" s="21" t="s">
        <v>733</v>
      </c>
      <c r="O4" s="22" t="s">
        <v>734</v>
      </c>
      <c r="P4" s="23" t="s">
        <v>735</v>
      </c>
      <c r="Q4" s="23" t="s">
        <v>736</v>
      </c>
      <c r="R4" s="24" t="s">
        <v>737</v>
      </c>
      <c r="S4" s="25" t="s">
        <v>738</v>
      </c>
      <c r="T4" s="26" t="s">
        <v>739</v>
      </c>
      <c r="U4" s="26" t="s">
        <v>740</v>
      </c>
      <c r="V4" s="27" t="s">
        <v>741</v>
      </c>
      <c r="W4" s="24" t="s">
        <v>742</v>
      </c>
      <c r="X4" s="26" t="s">
        <v>743</v>
      </c>
      <c r="Y4" s="26" t="s">
        <v>744</v>
      </c>
      <c r="Z4" s="27" t="s">
        <v>745</v>
      </c>
      <c r="AA4" s="24" t="s">
        <v>746</v>
      </c>
      <c r="AB4" s="26" t="s">
        <v>747</v>
      </c>
      <c r="AC4" s="26" t="s">
        <v>748</v>
      </c>
      <c r="AD4" s="25" t="s">
        <v>749</v>
      </c>
      <c r="AE4" s="26" t="s">
        <v>750</v>
      </c>
      <c r="AF4" s="27" t="s">
        <v>751</v>
      </c>
      <c r="AG4" s="28" t="s">
        <v>752</v>
      </c>
      <c r="AH4" s="29" t="s">
        <v>753</v>
      </c>
    </row>
    <row r="5" spans="1:34" ht="28.2" thickTop="1">
      <c r="A5" s="31">
        <v>1</v>
      </c>
      <c r="B5" s="32" t="s">
        <v>754</v>
      </c>
      <c r="C5" s="33" t="s">
        <v>755</v>
      </c>
      <c r="D5" s="33" t="s">
        <v>756</v>
      </c>
      <c r="E5" s="33" t="s">
        <v>757</v>
      </c>
      <c r="F5" s="33" t="s">
        <v>758</v>
      </c>
      <c r="G5" s="34">
        <v>4529076</v>
      </c>
      <c r="H5" s="33" t="s">
        <v>759</v>
      </c>
      <c r="I5" s="35">
        <v>7.4999999999999997E-3</v>
      </c>
      <c r="J5" s="36">
        <f>VLOOKUP(G5,'[1]Planilha BTG - ON'!$A:$C,3,0)</f>
        <v>710187.78</v>
      </c>
      <c r="K5" s="37">
        <v>0.75</v>
      </c>
      <c r="L5" s="35">
        <f t="shared" ref="L5:L68" si="0">J5/$J$2</f>
        <v>2.6722181484007982E-3</v>
      </c>
      <c r="M5" s="36">
        <f t="shared" ref="M5:M68" si="1">J5*I5</f>
        <v>5326.4083499999997</v>
      </c>
      <c r="N5" s="36">
        <f t="shared" ref="N5:N68" si="2">M5*K5</f>
        <v>3994.8062624999998</v>
      </c>
      <c r="O5" s="35">
        <f t="shared" ref="O5:O68" si="3">I5*K5</f>
        <v>5.6249999999999998E-3</v>
      </c>
      <c r="P5" s="38"/>
      <c r="Q5" s="38" t="s">
        <v>760</v>
      </c>
      <c r="R5" s="39" t="s">
        <v>761</v>
      </c>
      <c r="S5" s="40" t="s">
        <v>762</v>
      </c>
      <c r="T5" s="41"/>
      <c r="U5" s="41"/>
      <c r="V5" s="42"/>
      <c r="W5" s="43"/>
      <c r="X5" s="41"/>
      <c r="Y5" s="44"/>
      <c r="Z5" s="42"/>
      <c r="AA5" s="43"/>
      <c r="AB5" s="41"/>
      <c r="AC5" s="44"/>
      <c r="AD5" s="45"/>
      <c r="AE5" s="46"/>
      <c r="AF5" s="42"/>
      <c r="AG5" s="47" t="s">
        <v>763</v>
      </c>
      <c r="AH5" s="48"/>
    </row>
    <row r="6" spans="1:34">
      <c r="A6" s="31">
        <v>2</v>
      </c>
      <c r="B6" s="32" t="s">
        <v>764</v>
      </c>
      <c r="C6" s="33" t="s">
        <v>765</v>
      </c>
      <c r="D6" s="33" t="s">
        <v>766</v>
      </c>
      <c r="E6" s="33" t="s">
        <v>757</v>
      </c>
      <c r="F6" s="33" t="s">
        <v>758</v>
      </c>
      <c r="G6" s="33">
        <v>1234875</v>
      </c>
      <c r="H6" s="33" t="s">
        <v>767</v>
      </c>
      <c r="I6" s="35">
        <v>0.01</v>
      </c>
      <c r="J6" s="36">
        <f>VLOOKUP(G6,'[1]Planilha BTG - ON'!$A:$C,3,0)</f>
        <v>3729458.81</v>
      </c>
      <c r="K6" s="37">
        <v>0.5</v>
      </c>
      <c r="L6" s="35">
        <f t="shared" si="0"/>
        <v>1.4032806247096005E-2</v>
      </c>
      <c r="M6" s="36">
        <f t="shared" si="1"/>
        <v>37294.588100000001</v>
      </c>
      <c r="N6" s="36">
        <f t="shared" si="2"/>
        <v>18647.29405</v>
      </c>
      <c r="O6" s="35">
        <f t="shared" si="3"/>
        <v>5.0000000000000001E-3</v>
      </c>
      <c r="P6" s="38"/>
      <c r="Q6" s="38"/>
      <c r="R6" s="39" t="s">
        <v>761</v>
      </c>
      <c r="S6" s="49"/>
      <c r="T6" s="41"/>
      <c r="U6" s="41"/>
      <c r="V6" s="42"/>
      <c r="W6" s="43"/>
      <c r="X6" s="41"/>
      <c r="Y6" s="44"/>
      <c r="Z6" s="42"/>
      <c r="AA6" s="43"/>
      <c r="AB6" s="41"/>
      <c r="AC6" s="44"/>
      <c r="AD6" s="50"/>
      <c r="AE6" s="41"/>
      <c r="AF6" s="42"/>
      <c r="AG6" s="47" t="s">
        <v>768</v>
      </c>
      <c r="AH6" s="48"/>
    </row>
    <row r="7" spans="1:34">
      <c r="A7" s="31">
        <v>3</v>
      </c>
      <c r="B7" s="32" t="s">
        <v>769</v>
      </c>
      <c r="C7" s="33" t="s">
        <v>770</v>
      </c>
      <c r="D7" s="33" t="s">
        <v>771</v>
      </c>
      <c r="E7" s="33" t="s">
        <v>757</v>
      </c>
      <c r="F7" s="33" t="s">
        <v>758</v>
      </c>
      <c r="G7" s="33">
        <v>1820187</v>
      </c>
      <c r="H7" s="33" t="s">
        <v>767</v>
      </c>
      <c r="I7" s="35">
        <v>0.01</v>
      </c>
      <c r="J7" s="36">
        <f>VLOOKUP(G7,'[1]Planilha BTG - ON'!$A:$C,3,0)</f>
        <v>1830551.54</v>
      </c>
      <c r="K7" s="37">
        <v>0.5</v>
      </c>
      <c r="L7" s="35">
        <f t="shared" si="0"/>
        <v>6.8878023313369728E-3</v>
      </c>
      <c r="M7" s="36">
        <f t="shared" si="1"/>
        <v>18305.5154</v>
      </c>
      <c r="N7" s="36">
        <f t="shared" si="2"/>
        <v>9152.7577000000001</v>
      </c>
      <c r="O7" s="35">
        <f t="shared" si="3"/>
        <v>5.0000000000000001E-3</v>
      </c>
      <c r="P7" s="38"/>
      <c r="Q7" s="38"/>
      <c r="R7" s="51" t="s">
        <v>761</v>
      </c>
      <c r="S7" s="49"/>
      <c r="T7" s="41"/>
      <c r="U7" s="41"/>
      <c r="V7" s="42"/>
      <c r="W7" s="43"/>
      <c r="X7" s="41"/>
      <c r="Y7" s="44"/>
      <c r="Z7" s="42"/>
      <c r="AA7" s="43"/>
      <c r="AB7" s="41"/>
      <c r="AC7" s="41"/>
      <c r="AD7" s="45"/>
      <c r="AE7" s="46"/>
      <c r="AF7" s="42"/>
      <c r="AG7" s="47" t="s">
        <v>768</v>
      </c>
      <c r="AH7" s="48"/>
    </row>
    <row r="8" spans="1:34">
      <c r="A8" s="31">
        <v>4</v>
      </c>
      <c r="B8" s="32" t="s">
        <v>772</v>
      </c>
      <c r="C8" s="33"/>
      <c r="D8" s="52" t="s">
        <v>773</v>
      </c>
      <c r="E8" s="33" t="s">
        <v>757</v>
      </c>
      <c r="F8" s="33" t="s">
        <v>758</v>
      </c>
      <c r="G8" s="33">
        <v>5646311</v>
      </c>
      <c r="H8" s="33" t="s">
        <v>774</v>
      </c>
      <c r="I8" s="35">
        <v>0.01</v>
      </c>
      <c r="J8" s="36">
        <f>VLOOKUP(G8,'[1]Planilha BTG - ON'!$A:$C,3,0)</f>
        <v>169527.24</v>
      </c>
      <c r="K8" s="37">
        <v>0.5</v>
      </c>
      <c r="L8" s="35">
        <f t="shared" si="0"/>
        <v>6.3787885420430314E-4</v>
      </c>
      <c r="M8" s="36">
        <f t="shared" si="1"/>
        <v>1695.2723999999998</v>
      </c>
      <c r="N8" s="36">
        <f t="shared" si="2"/>
        <v>847.63619999999992</v>
      </c>
      <c r="O8" s="35">
        <f t="shared" si="3"/>
        <v>5.0000000000000001E-3</v>
      </c>
      <c r="P8" s="38"/>
      <c r="Q8" s="38"/>
      <c r="R8" s="51"/>
      <c r="S8" s="49"/>
      <c r="T8" s="41"/>
      <c r="U8" s="41"/>
      <c r="V8" s="42"/>
      <c r="W8" s="43"/>
      <c r="X8" s="41"/>
      <c r="Y8" s="44"/>
      <c r="Z8" s="42"/>
      <c r="AA8" s="43"/>
      <c r="AB8" s="41"/>
      <c r="AC8" s="41"/>
      <c r="AD8" s="45"/>
      <c r="AE8" s="46"/>
      <c r="AF8" s="42"/>
      <c r="AG8" s="47" t="s">
        <v>775</v>
      </c>
      <c r="AH8" s="48"/>
    </row>
    <row r="9" spans="1:34">
      <c r="A9" s="31">
        <v>5</v>
      </c>
      <c r="B9" s="32" t="s">
        <v>776</v>
      </c>
      <c r="C9" s="33" t="s">
        <v>777</v>
      </c>
      <c r="D9" s="52" t="s">
        <v>778</v>
      </c>
      <c r="E9" s="33" t="s">
        <v>757</v>
      </c>
      <c r="F9" s="33" t="s">
        <v>758</v>
      </c>
      <c r="G9" s="33">
        <v>4005958</v>
      </c>
      <c r="H9" s="33" t="s">
        <v>779</v>
      </c>
      <c r="I9" s="35">
        <v>0.01</v>
      </c>
      <c r="J9" s="36">
        <f>VLOOKUP(G9,'[1]Planilha BTG - ON'!$A:$C,3,0)</f>
        <v>3327707.9299999997</v>
      </c>
      <c r="K9" s="37">
        <v>0.5</v>
      </c>
      <c r="L9" s="35">
        <f t="shared" si="0"/>
        <v>1.2521141272134042E-2</v>
      </c>
      <c r="M9" s="36">
        <f t="shared" si="1"/>
        <v>33277.079299999998</v>
      </c>
      <c r="N9" s="36">
        <f t="shared" si="2"/>
        <v>16638.539649999999</v>
      </c>
      <c r="O9" s="35">
        <f t="shared" si="3"/>
        <v>5.0000000000000001E-3</v>
      </c>
      <c r="P9" s="38"/>
      <c r="Q9" s="38"/>
      <c r="R9" s="51" t="s">
        <v>761</v>
      </c>
      <c r="S9" s="40" t="s">
        <v>780</v>
      </c>
      <c r="T9" s="41"/>
      <c r="U9" s="41"/>
      <c r="V9" s="42"/>
      <c r="W9" s="43"/>
      <c r="X9" s="41"/>
      <c r="Y9" s="44"/>
      <c r="Z9" s="42"/>
      <c r="AA9" s="43"/>
      <c r="AB9" s="41"/>
      <c r="AC9" s="41"/>
      <c r="AD9" s="45"/>
      <c r="AE9" s="46"/>
      <c r="AF9" s="42"/>
      <c r="AG9" s="47" t="s">
        <v>775</v>
      </c>
      <c r="AH9" s="48"/>
    </row>
    <row r="10" spans="1:34">
      <c r="A10" s="31">
        <v>6</v>
      </c>
      <c r="B10" s="32" t="s">
        <v>781</v>
      </c>
      <c r="C10" s="33"/>
      <c r="D10" s="52" t="s">
        <v>782</v>
      </c>
      <c r="E10" s="33" t="s">
        <v>757</v>
      </c>
      <c r="F10" s="33" t="s">
        <v>758</v>
      </c>
      <c r="G10" s="33">
        <v>1952296</v>
      </c>
      <c r="H10" s="33" t="s">
        <v>767</v>
      </c>
      <c r="I10" s="35">
        <v>0.01</v>
      </c>
      <c r="J10" s="36">
        <f>VLOOKUP(G10,'[1]Planilha BTG - ON'!$A:$C,3,0)</f>
        <v>2503135.9821991767</v>
      </c>
      <c r="K10" s="37">
        <v>0.5</v>
      </c>
      <c r="L10" s="35">
        <f t="shared" si="0"/>
        <v>9.4185306871200983E-3</v>
      </c>
      <c r="M10" s="36">
        <f t="shared" si="1"/>
        <v>25031.359821991766</v>
      </c>
      <c r="N10" s="36">
        <f t="shared" si="2"/>
        <v>12515.679910995883</v>
      </c>
      <c r="O10" s="35">
        <f t="shared" si="3"/>
        <v>5.0000000000000001E-3</v>
      </c>
      <c r="P10" s="38"/>
      <c r="Q10" s="38"/>
      <c r="R10" s="39" t="s">
        <v>761</v>
      </c>
      <c r="S10" s="49"/>
      <c r="T10" s="41"/>
      <c r="U10" s="41"/>
      <c r="V10" s="42"/>
      <c r="W10" s="43"/>
      <c r="X10" s="41"/>
      <c r="Y10" s="44"/>
      <c r="Z10" s="42"/>
      <c r="AA10" s="43"/>
      <c r="AB10" s="41"/>
      <c r="AC10" s="44"/>
      <c r="AD10" s="50"/>
      <c r="AE10" s="41"/>
      <c r="AF10" s="42"/>
      <c r="AG10" s="47" t="s">
        <v>768</v>
      </c>
      <c r="AH10" s="48"/>
    </row>
    <row r="11" spans="1:34">
      <c r="A11" s="31">
        <v>7</v>
      </c>
      <c r="B11" s="32" t="s">
        <v>783</v>
      </c>
      <c r="C11" s="33" t="s">
        <v>784</v>
      </c>
      <c r="D11" s="52" t="s">
        <v>778</v>
      </c>
      <c r="E11" s="33" t="s">
        <v>757</v>
      </c>
      <c r="F11" s="33" t="s">
        <v>758</v>
      </c>
      <c r="G11" s="33">
        <v>5290536</v>
      </c>
      <c r="H11" s="33" t="s">
        <v>779</v>
      </c>
      <c r="I11" s="35">
        <v>0.01</v>
      </c>
      <c r="J11" s="36">
        <f>VLOOKUP(G11,'[1]Planilha BTG - ON'!$A:$C,3,0)</f>
        <v>3058880.3300000005</v>
      </c>
      <c r="K11" s="37">
        <v>0.5</v>
      </c>
      <c r="L11" s="35">
        <f t="shared" si="0"/>
        <v>1.150962570999493E-2</v>
      </c>
      <c r="M11" s="36">
        <f t="shared" si="1"/>
        <v>30588.803300000007</v>
      </c>
      <c r="N11" s="36">
        <f t="shared" si="2"/>
        <v>15294.401650000003</v>
      </c>
      <c r="O11" s="35">
        <f t="shared" si="3"/>
        <v>5.0000000000000001E-3</v>
      </c>
      <c r="P11" s="38"/>
      <c r="Q11" s="38"/>
      <c r="R11" s="39"/>
      <c r="S11" s="49"/>
      <c r="T11" s="41"/>
      <c r="U11" s="41"/>
      <c r="V11" s="42"/>
      <c r="W11" s="43"/>
      <c r="X11" s="41"/>
      <c r="Y11" s="44"/>
      <c r="Z11" s="42"/>
      <c r="AA11" s="43"/>
      <c r="AB11" s="41"/>
      <c r="AC11" s="44"/>
      <c r="AD11" s="50"/>
      <c r="AE11" s="41"/>
      <c r="AF11" s="42"/>
      <c r="AG11" s="47" t="s">
        <v>775</v>
      </c>
      <c r="AH11" s="48"/>
    </row>
    <row r="12" spans="1:34">
      <c r="A12" s="31">
        <v>8</v>
      </c>
      <c r="B12" s="32" t="s">
        <v>785</v>
      </c>
      <c r="C12" s="33" t="s">
        <v>786</v>
      </c>
      <c r="D12" s="33" t="s">
        <v>787</v>
      </c>
      <c r="E12" s="33" t="s">
        <v>757</v>
      </c>
      <c r="F12" s="33" t="s">
        <v>758</v>
      </c>
      <c r="G12" s="33">
        <v>4837933</v>
      </c>
      <c r="H12" s="33" t="s">
        <v>788</v>
      </c>
      <c r="I12" s="35">
        <v>7.4999999999999997E-3</v>
      </c>
      <c r="J12" s="36">
        <f>VLOOKUP(G12,'[1]Planilha BTG - ON'!$A:$C,3,0)</f>
        <v>1379255.4100000001</v>
      </c>
      <c r="K12" s="37">
        <v>0.75</v>
      </c>
      <c r="L12" s="35">
        <f t="shared" si="0"/>
        <v>5.1897138217190724E-3</v>
      </c>
      <c r="M12" s="36">
        <f t="shared" si="1"/>
        <v>10344.415575000001</v>
      </c>
      <c r="N12" s="36">
        <f t="shared" si="2"/>
        <v>7758.3116812500011</v>
      </c>
      <c r="O12" s="35">
        <f t="shared" si="3"/>
        <v>5.6249999999999998E-3</v>
      </c>
      <c r="P12" s="38"/>
      <c r="Q12" s="38"/>
      <c r="R12" s="39" t="s">
        <v>761</v>
      </c>
      <c r="S12" s="49"/>
      <c r="T12" s="41"/>
      <c r="U12" s="41"/>
      <c r="V12" s="53"/>
      <c r="W12" s="43"/>
      <c r="X12" s="41"/>
      <c r="Y12" s="44"/>
      <c r="Z12" s="42"/>
      <c r="AA12" s="43"/>
      <c r="AB12" s="41"/>
      <c r="AC12" s="44"/>
      <c r="AD12" s="50"/>
      <c r="AE12" s="41"/>
      <c r="AF12" s="42"/>
      <c r="AG12" s="54" t="s">
        <v>789</v>
      </c>
      <c r="AH12" s="55"/>
    </row>
    <row r="13" spans="1:34">
      <c r="A13" s="31">
        <v>9</v>
      </c>
      <c r="B13" s="32" t="s">
        <v>790</v>
      </c>
      <c r="C13" s="33"/>
      <c r="D13" s="52" t="s">
        <v>791</v>
      </c>
      <c r="E13" s="33" t="s">
        <v>757</v>
      </c>
      <c r="F13" s="33" t="s">
        <v>758</v>
      </c>
      <c r="G13" s="33">
        <v>1557548</v>
      </c>
      <c r="H13" s="33" t="s">
        <v>779</v>
      </c>
      <c r="I13" s="35">
        <v>0.01</v>
      </c>
      <c r="J13" s="36">
        <f>VLOOKUP(G13,'[1]Planilha BTG - ON'!$A:$C,3,0)</f>
        <v>556798.22</v>
      </c>
      <c r="K13" s="37">
        <v>0.5</v>
      </c>
      <c r="L13" s="35">
        <f t="shared" si="0"/>
        <v>2.0950604197685014E-3</v>
      </c>
      <c r="M13" s="36">
        <f t="shared" si="1"/>
        <v>5567.9821999999995</v>
      </c>
      <c r="N13" s="36">
        <f t="shared" si="2"/>
        <v>2783.9910999999997</v>
      </c>
      <c r="O13" s="35">
        <f t="shared" si="3"/>
        <v>5.0000000000000001E-3</v>
      </c>
      <c r="P13" s="38"/>
      <c r="Q13" s="38"/>
      <c r="R13" s="39" t="s">
        <v>761</v>
      </c>
      <c r="S13" s="49"/>
      <c r="T13" s="41"/>
      <c r="U13" s="41"/>
      <c r="V13" s="42"/>
      <c r="W13" s="43"/>
      <c r="X13" s="41"/>
      <c r="Y13" s="44"/>
      <c r="Z13" s="42"/>
      <c r="AA13" s="43"/>
      <c r="AB13" s="41"/>
      <c r="AC13" s="44"/>
      <c r="AD13" s="50"/>
      <c r="AE13" s="41"/>
      <c r="AF13" s="42"/>
      <c r="AG13" s="47" t="s">
        <v>775</v>
      </c>
      <c r="AH13" s="48"/>
    </row>
    <row r="14" spans="1:34">
      <c r="A14" s="31">
        <v>10</v>
      </c>
      <c r="B14" s="32" t="s">
        <v>792</v>
      </c>
      <c r="C14" s="33" t="s">
        <v>793</v>
      </c>
      <c r="D14" s="52" t="s">
        <v>794</v>
      </c>
      <c r="E14" s="33" t="s">
        <v>757</v>
      </c>
      <c r="F14" s="33" t="s">
        <v>758</v>
      </c>
      <c r="G14" s="33">
        <v>1465709</v>
      </c>
      <c r="H14" s="33" t="s">
        <v>767</v>
      </c>
      <c r="I14" s="35">
        <v>0.01</v>
      </c>
      <c r="J14" s="36">
        <f>VLOOKUP(G14,'[1]Planilha BTG - ON'!$A:$C,3,0)</f>
        <v>7157221.3300000001</v>
      </c>
      <c r="K14" s="37">
        <v>0.5</v>
      </c>
      <c r="L14" s="35">
        <f t="shared" si="0"/>
        <v>2.693042216263887E-2</v>
      </c>
      <c r="M14" s="36">
        <f t="shared" si="1"/>
        <v>71572.213300000003</v>
      </c>
      <c r="N14" s="36">
        <f t="shared" si="2"/>
        <v>35786.106650000002</v>
      </c>
      <c r="O14" s="35">
        <f t="shared" si="3"/>
        <v>5.0000000000000001E-3</v>
      </c>
      <c r="P14" s="38"/>
      <c r="Q14" s="38"/>
      <c r="R14" s="39" t="s">
        <v>761</v>
      </c>
      <c r="S14" s="40" t="s">
        <v>795</v>
      </c>
      <c r="T14" s="41"/>
      <c r="U14" s="41"/>
      <c r="V14" s="42"/>
      <c r="W14" s="43"/>
      <c r="X14" s="41"/>
      <c r="Y14" s="44"/>
      <c r="Z14" s="42"/>
      <c r="AA14" s="43"/>
      <c r="AB14" s="41"/>
      <c r="AC14" s="44"/>
      <c r="AD14" s="50"/>
      <c r="AE14" s="41"/>
      <c r="AF14" s="42"/>
      <c r="AG14" s="47" t="s">
        <v>796</v>
      </c>
      <c r="AH14" s="48"/>
    </row>
    <row r="15" spans="1:34">
      <c r="A15" s="31">
        <v>11</v>
      </c>
      <c r="B15" s="32" t="s">
        <v>797</v>
      </c>
      <c r="C15" s="33" t="s">
        <v>798</v>
      </c>
      <c r="D15" s="52" t="s">
        <v>799</v>
      </c>
      <c r="E15" s="33" t="s">
        <v>757</v>
      </c>
      <c r="F15" s="33" t="s">
        <v>758</v>
      </c>
      <c r="G15" s="33">
        <v>3869961</v>
      </c>
      <c r="H15" s="33" t="s">
        <v>800</v>
      </c>
      <c r="I15" s="35">
        <v>6.0000000000000001E-3</v>
      </c>
      <c r="J15" s="36">
        <f>VLOOKUP(G15,'[1]Planilha BTG - ON'!$A:$C,3,0)</f>
        <v>3185932.8499999996</v>
      </c>
      <c r="K15" s="37">
        <v>0.5</v>
      </c>
      <c r="L15" s="35">
        <f t="shared" si="0"/>
        <v>1.19876852588991E-2</v>
      </c>
      <c r="M15" s="36">
        <f t="shared" si="1"/>
        <v>19115.597099999999</v>
      </c>
      <c r="N15" s="36">
        <f t="shared" si="2"/>
        <v>9557.7985499999995</v>
      </c>
      <c r="O15" s="35">
        <f t="shared" si="3"/>
        <v>3.0000000000000001E-3</v>
      </c>
      <c r="P15" s="38"/>
      <c r="Q15" s="38"/>
      <c r="R15" s="39" t="s">
        <v>761</v>
      </c>
      <c r="S15" s="49"/>
      <c r="T15" s="41"/>
      <c r="U15" s="41"/>
      <c r="V15" s="42"/>
      <c r="W15" s="43"/>
      <c r="X15" s="41"/>
      <c r="Y15" s="44"/>
      <c r="Z15" s="42"/>
      <c r="AA15" s="43"/>
      <c r="AB15" s="41"/>
      <c r="AC15" s="44"/>
      <c r="AD15" s="50"/>
      <c r="AE15" s="41"/>
      <c r="AF15" s="42"/>
      <c r="AG15" s="47" t="s">
        <v>775</v>
      </c>
      <c r="AH15" s="48"/>
    </row>
    <row r="16" spans="1:34">
      <c r="A16" s="31">
        <v>12</v>
      </c>
      <c r="B16" s="32" t="s">
        <v>801</v>
      </c>
      <c r="C16" s="33" t="s">
        <v>802</v>
      </c>
      <c r="D16" s="33" t="s">
        <v>803</v>
      </c>
      <c r="E16" s="33" t="s">
        <v>757</v>
      </c>
      <c r="F16" s="33" t="s">
        <v>758</v>
      </c>
      <c r="G16" s="33">
        <v>4477296</v>
      </c>
      <c r="H16" s="33" t="s">
        <v>759</v>
      </c>
      <c r="I16" s="35">
        <v>0.01</v>
      </c>
      <c r="J16" s="36">
        <f>VLOOKUP(G16,'[1]Planilha BTG - ON'!$A:$C,3,0)</f>
        <v>271381.61</v>
      </c>
      <c r="K16" s="37">
        <v>0.75</v>
      </c>
      <c r="L16" s="35">
        <f t="shared" si="0"/>
        <v>1.0211255161053706E-3</v>
      </c>
      <c r="M16" s="36">
        <f t="shared" si="1"/>
        <v>2713.8161</v>
      </c>
      <c r="N16" s="36">
        <f t="shared" si="2"/>
        <v>2035.362075</v>
      </c>
      <c r="O16" s="35">
        <f t="shared" si="3"/>
        <v>7.4999999999999997E-3</v>
      </c>
      <c r="P16" s="38"/>
      <c r="Q16" s="38"/>
      <c r="R16" s="39"/>
      <c r="S16" s="49"/>
      <c r="T16" s="41"/>
      <c r="U16" s="41"/>
      <c r="V16" s="53"/>
      <c r="W16" s="43"/>
      <c r="X16" s="41"/>
      <c r="Y16" s="44"/>
      <c r="Z16" s="42"/>
      <c r="AA16" s="43"/>
      <c r="AB16" s="41"/>
      <c r="AC16" s="44"/>
      <c r="AD16" s="50"/>
      <c r="AE16" s="41"/>
      <c r="AF16" s="42"/>
      <c r="AG16" s="54" t="s">
        <v>775</v>
      </c>
      <c r="AH16" s="55"/>
    </row>
    <row r="17" spans="1:34">
      <c r="A17" s="31">
        <v>13</v>
      </c>
      <c r="B17" s="32" t="s">
        <v>804</v>
      </c>
      <c r="C17" s="33" t="s">
        <v>805</v>
      </c>
      <c r="D17" s="52" t="s">
        <v>806</v>
      </c>
      <c r="E17" s="33" t="s">
        <v>757</v>
      </c>
      <c r="F17" s="33" t="s">
        <v>758</v>
      </c>
      <c r="G17" s="33">
        <v>5251385</v>
      </c>
      <c r="H17" s="33" t="s">
        <v>759</v>
      </c>
      <c r="I17" s="35">
        <v>0</v>
      </c>
      <c r="J17" s="36">
        <f>VLOOKUP(G17,'[1]Planilha BTG - ON'!$A:$C,3,0)</f>
        <v>173317.34</v>
      </c>
      <c r="K17" s="37">
        <v>0.75</v>
      </c>
      <c r="L17" s="35">
        <f t="shared" si="0"/>
        <v>6.5213983459494549E-4</v>
      </c>
      <c r="M17" s="36">
        <f t="shared" si="1"/>
        <v>0</v>
      </c>
      <c r="N17" s="36">
        <f t="shared" si="2"/>
        <v>0</v>
      </c>
      <c r="O17" s="35">
        <f t="shared" si="3"/>
        <v>0</v>
      </c>
      <c r="P17" s="38"/>
      <c r="Q17" s="38"/>
      <c r="R17" s="39"/>
      <c r="S17" s="49"/>
      <c r="T17" s="41"/>
      <c r="U17" s="41"/>
      <c r="V17" s="42"/>
      <c r="W17" s="43"/>
      <c r="X17" s="41"/>
      <c r="Y17" s="44"/>
      <c r="Z17" s="42"/>
      <c r="AA17" s="43"/>
      <c r="AB17" s="41"/>
      <c r="AC17" s="44"/>
      <c r="AD17" s="50"/>
      <c r="AE17" s="41"/>
      <c r="AF17" s="42"/>
      <c r="AG17" s="47" t="s">
        <v>775</v>
      </c>
      <c r="AH17" s="48"/>
    </row>
    <row r="18" spans="1:34">
      <c r="A18" s="31">
        <v>14</v>
      </c>
      <c r="B18" s="32" t="s">
        <v>807</v>
      </c>
      <c r="C18" s="33" t="s">
        <v>808</v>
      </c>
      <c r="D18" s="33" t="s">
        <v>809</v>
      </c>
      <c r="E18" s="33" t="s">
        <v>757</v>
      </c>
      <c r="F18" s="33" t="s">
        <v>758</v>
      </c>
      <c r="G18" s="33">
        <v>1812143</v>
      </c>
      <c r="H18" s="33" t="s">
        <v>767</v>
      </c>
      <c r="I18" s="35">
        <v>0.01</v>
      </c>
      <c r="J18" s="36">
        <f>VLOOKUP(G18,'[1]Planilha BTG - ON'!$A:$C,3,0)</f>
        <v>4716910.93</v>
      </c>
      <c r="K18" s="37">
        <v>0.5</v>
      </c>
      <c r="L18" s="35">
        <f t="shared" si="0"/>
        <v>1.7748284814948639E-2</v>
      </c>
      <c r="M18" s="36">
        <f t="shared" si="1"/>
        <v>47169.109299999996</v>
      </c>
      <c r="N18" s="36">
        <f t="shared" si="2"/>
        <v>23584.554649999998</v>
      </c>
      <c r="O18" s="35">
        <f t="shared" si="3"/>
        <v>5.0000000000000001E-3</v>
      </c>
      <c r="P18" s="38"/>
      <c r="Q18" s="38"/>
      <c r="R18" s="39" t="s">
        <v>761</v>
      </c>
      <c r="S18" s="49"/>
      <c r="T18" s="41"/>
      <c r="U18" s="41"/>
      <c r="V18" s="42"/>
      <c r="W18" s="43"/>
      <c r="X18" s="41"/>
      <c r="Y18" s="44"/>
      <c r="Z18" s="42"/>
      <c r="AA18" s="43"/>
      <c r="AB18" s="56"/>
      <c r="AC18" s="57"/>
      <c r="AD18" s="50"/>
      <c r="AE18" s="56"/>
      <c r="AF18" s="42"/>
      <c r="AG18" s="54" t="s">
        <v>768</v>
      </c>
      <c r="AH18" s="55"/>
    </row>
    <row r="19" spans="1:34">
      <c r="A19" s="31">
        <v>15</v>
      </c>
      <c r="B19" s="32" t="s">
        <v>810</v>
      </c>
      <c r="C19" s="33" t="s">
        <v>811</v>
      </c>
      <c r="D19" s="52" t="s">
        <v>812</v>
      </c>
      <c r="E19" s="33" t="s">
        <v>757</v>
      </c>
      <c r="F19" s="33" t="s">
        <v>758</v>
      </c>
      <c r="G19" s="33">
        <v>1767432</v>
      </c>
      <c r="H19" s="33" t="s">
        <v>767</v>
      </c>
      <c r="I19" s="35">
        <v>0.01</v>
      </c>
      <c r="J19" s="36">
        <f>VLOOKUP(G19,'[1]Planilha BTG - ON'!$A:$C,3,0)</f>
        <v>3062809.94</v>
      </c>
      <c r="K19" s="37">
        <v>0.5</v>
      </c>
      <c r="L19" s="35">
        <f t="shared" si="0"/>
        <v>1.1524411623599549E-2</v>
      </c>
      <c r="M19" s="36">
        <f t="shared" si="1"/>
        <v>30628.099399999999</v>
      </c>
      <c r="N19" s="36">
        <f t="shared" si="2"/>
        <v>15314.0497</v>
      </c>
      <c r="O19" s="35">
        <f t="shared" si="3"/>
        <v>5.0000000000000001E-3</v>
      </c>
      <c r="P19" s="38"/>
      <c r="Q19" s="38"/>
      <c r="R19" s="39" t="s">
        <v>761</v>
      </c>
      <c r="S19" s="49"/>
      <c r="T19" s="41"/>
      <c r="U19" s="41"/>
      <c r="V19" s="42"/>
      <c r="W19" s="43"/>
      <c r="X19" s="41"/>
      <c r="Y19" s="44"/>
      <c r="Z19" s="42"/>
      <c r="AA19" s="43"/>
      <c r="AB19" s="41"/>
      <c r="AC19" s="44"/>
      <c r="AD19" s="50"/>
      <c r="AE19" s="41"/>
      <c r="AF19" s="42"/>
      <c r="AG19" s="47" t="s">
        <v>768</v>
      </c>
      <c r="AH19" s="48"/>
    </row>
    <row r="20" spans="1:34">
      <c r="A20" s="31">
        <v>16</v>
      </c>
      <c r="B20" s="32" t="s">
        <v>813</v>
      </c>
      <c r="C20" s="33" t="s">
        <v>814</v>
      </c>
      <c r="D20" s="52" t="s">
        <v>815</v>
      </c>
      <c r="E20" s="33" t="s">
        <v>757</v>
      </c>
      <c r="F20" s="33" t="s">
        <v>758</v>
      </c>
      <c r="G20" s="33">
        <v>4972264</v>
      </c>
      <c r="H20" s="33" t="s">
        <v>816</v>
      </c>
      <c r="I20" s="35">
        <v>0.01</v>
      </c>
      <c r="J20" s="36">
        <f>VLOOKUP(G20,'[1]Planilha BTG - ON'!$A:$C,3,0)</f>
        <v>17</v>
      </c>
      <c r="K20" s="37">
        <v>0.5</v>
      </c>
      <c r="L20" s="35">
        <f t="shared" si="0"/>
        <v>6.3965770465402218E-8</v>
      </c>
      <c r="M20" s="36">
        <f t="shared" si="1"/>
        <v>0.17</v>
      </c>
      <c r="N20" s="36">
        <f t="shared" si="2"/>
        <v>8.5000000000000006E-2</v>
      </c>
      <c r="O20" s="35">
        <f t="shared" si="3"/>
        <v>5.0000000000000001E-3</v>
      </c>
      <c r="P20" s="38"/>
      <c r="Q20" s="38"/>
      <c r="R20" s="39" t="s">
        <v>761</v>
      </c>
      <c r="S20" s="49"/>
      <c r="T20" s="41"/>
      <c r="U20" s="41"/>
      <c r="V20" s="42"/>
      <c r="W20" s="43"/>
      <c r="X20" s="41"/>
      <c r="Y20" s="44"/>
      <c r="Z20" s="42"/>
      <c r="AA20" s="43"/>
      <c r="AB20" s="41"/>
      <c r="AC20" s="44"/>
      <c r="AD20" s="50"/>
      <c r="AE20" s="41"/>
      <c r="AF20" s="42"/>
      <c r="AG20" s="47" t="s">
        <v>817</v>
      </c>
      <c r="AH20" s="48"/>
    </row>
    <row r="21" spans="1:34">
      <c r="A21" s="31">
        <v>17</v>
      </c>
      <c r="B21" s="32" t="s">
        <v>818</v>
      </c>
      <c r="C21" s="33" t="s">
        <v>819</v>
      </c>
      <c r="D21" s="52" t="s">
        <v>820</v>
      </c>
      <c r="E21" s="33" t="s">
        <v>757</v>
      </c>
      <c r="F21" s="33" t="s">
        <v>758</v>
      </c>
      <c r="G21" s="33">
        <v>4288830</v>
      </c>
      <c r="H21" s="33" t="s">
        <v>759</v>
      </c>
      <c r="I21" s="35">
        <v>0</v>
      </c>
      <c r="J21" s="36">
        <f>VLOOKUP(G21,'[1]Planilha BTG - ON'!$A:$C,3,0)</f>
        <v>295956.94</v>
      </c>
      <c r="K21" s="37">
        <v>0.75</v>
      </c>
      <c r="L21" s="35">
        <f t="shared" si="0"/>
        <v>1.1135949230401657E-3</v>
      </c>
      <c r="M21" s="36">
        <f t="shared" si="1"/>
        <v>0</v>
      </c>
      <c r="N21" s="36">
        <f t="shared" si="2"/>
        <v>0</v>
      </c>
      <c r="O21" s="35">
        <f t="shared" si="3"/>
        <v>0</v>
      </c>
      <c r="P21" s="38"/>
      <c r="Q21" s="38"/>
      <c r="R21" s="39" t="s">
        <v>761</v>
      </c>
      <c r="S21" s="49"/>
      <c r="T21" s="41"/>
      <c r="U21" s="41"/>
      <c r="V21" s="42"/>
      <c r="W21" s="43"/>
      <c r="X21" s="41"/>
      <c r="Y21" s="44"/>
      <c r="Z21" s="42"/>
      <c r="AA21" s="43"/>
      <c r="AB21" s="41"/>
      <c r="AC21" s="44"/>
      <c r="AD21" s="50"/>
      <c r="AE21" s="41"/>
      <c r="AF21" s="42"/>
      <c r="AG21" s="47" t="s">
        <v>775</v>
      </c>
      <c r="AH21" s="48"/>
    </row>
    <row r="22" spans="1:34">
      <c r="A22" s="31">
        <v>18</v>
      </c>
      <c r="B22" s="32" t="s">
        <v>821</v>
      </c>
      <c r="C22" s="33" t="s">
        <v>822</v>
      </c>
      <c r="D22" s="33" t="s">
        <v>823</v>
      </c>
      <c r="E22" s="33" t="s">
        <v>757</v>
      </c>
      <c r="F22" s="33" t="s">
        <v>758</v>
      </c>
      <c r="G22" s="33">
        <v>1616612</v>
      </c>
      <c r="H22" s="33" t="s">
        <v>767</v>
      </c>
      <c r="I22" s="35">
        <v>0.01</v>
      </c>
      <c r="J22" s="36">
        <f>VLOOKUP(G22,'[1]Planilha BTG - ON'!$A:$C,3,0)</f>
        <v>3347536.0900000003</v>
      </c>
      <c r="K22" s="37">
        <v>0.5</v>
      </c>
      <c r="L22" s="35">
        <f t="shared" si="0"/>
        <v>1.2595748538681766E-2</v>
      </c>
      <c r="M22" s="36">
        <f t="shared" si="1"/>
        <v>33475.360900000007</v>
      </c>
      <c r="N22" s="36">
        <f t="shared" si="2"/>
        <v>16737.680450000003</v>
      </c>
      <c r="O22" s="35">
        <f t="shared" si="3"/>
        <v>5.0000000000000001E-3</v>
      </c>
      <c r="P22" s="38"/>
      <c r="Q22" s="38"/>
      <c r="R22" s="39" t="s">
        <v>761</v>
      </c>
      <c r="S22" s="49"/>
      <c r="T22" s="41"/>
      <c r="U22" s="41"/>
      <c r="V22" s="42"/>
      <c r="W22" s="43"/>
      <c r="X22" s="41"/>
      <c r="Y22" s="44"/>
      <c r="Z22" s="42"/>
      <c r="AA22" s="43"/>
      <c r="AB22" s="41"/>
      <c r="AC22" s="44"/>
      <c r="AD22" s="50"/>
      <c r="AE22" s="41"/>
      <c r="AF22" s="42"/>
      <c r="AG22" s="47" t="s">
        <v>768</v>
      </c>
      <c r="AH22" s="48"/>
    </row>
    <row r="23" spans="1:34">
      <c r="A23" s="31">
        <v>19</v>
      </c>
      <c r="B23" s="32" t="s">
        <v>824</v>
      </c>
      <c r="C23" s="33" t="s">
        <v>825</v>
      </c>
      <c r="D23" s="33"/>
      <c r="E23" s="33" t="s">
        <v>757</v>
      </c>
      <c r="F23" s="33" t="s">
        <v>758</v>
      </c>
      <c r="G23" s="33">
        <v>3675565</v>
      </c>
      <c r="H23" s="33" t="s">
        <v>759</v>
      </c>
      <c r="I23" s="35">
        <v>0</v>
      </c>
      <c r="J23" s="36">
        <f>VLOOKUP(G23,'[1]Planilha BTG - ON'!$A:$C,3,0)</f>
        <v>135574.34</v>
      </c>
      <c r="K23" s="37">
        <v>0.75</v>
      </c>
      <c r="L23" s="35">
        <f t="shared" si="0"/>
        <v>5.1012453608461164E-4</v>
      </c>
      <c r="M23" s="36">
        <f t="shared" si="1"/>
        <v>0</v>
      </c>
      <c r="N23" s="36">
        <f t="shared" si="2"/>
        <v>0</v>
      </c>
      <c r="O23" s="35">
        <f t="shared" si="3"/>
        <v>0</v>
      </c>
      <c r="P23" s="38"/>
      <c r="Q23" s="38"/>
      <c r="R23" s="39" t="s">
        <v>761</v>
      </c>
      <c r="S23" s="49"/>
      <c r="T23" s="41"/>
      <c r="U23" s="41"/>
      <c r="V23" s="53"/>
      <c r="W23" s="43"/>
      <c r="X23" s="41"/>
      <c r="Y23" s="44"/>
      <c r="Z23" s="42"/>
      <c r="AA23" s="43"/>
      <c r="AB23" s="41"/>
      <c r="AC23" s="44"/>
      <c r="AD23" s="50"/>
      <c r="AE23" s="41"/>
      <c r="AF23" s="42"/>
      <c r="AG23" s="54" t="s">
        <v>775</v>
      </c>
      <c r="AH23" s="55"/>
    </row>
    <row r="24" spans="1:34">
      <c r="A24" s="31">
        <v>20</v>
      </c>
      <c r="B24" s="32" t="s">
        <v>826</v>
      </c>
      <c r="C24" s="33" t="s">
        <v>827</v>
      </c>
      <c r="D24" s="52" t="s">
        <v>828</v>
      </c>
      <c r="E24" s="33" t="s">
        <v>757</v>
      </c>
      <c r="F24" s="33" t="s">
        <v>758</v>
      </c>
      <c r="G24" s="33">
        <v>1268412</v>
      </c>
      <c r="H24" s="33" t="s">
        <v>829</v>
      </c>
      <c r="I24" s="35">
        <v>0.01</v>
      </c>
      <c r="J24" s="36">
        <f>VLOOKUP(G24,'[1]Planilha BTG - ON'!$A:$C,3,0)</f>
        <v>4439602.24</v>
      </c>
      <c r="K24" s="37">
        <v>0.5</v>
      </c>
      <c r="L24" s="35">
        <f t="shared" si="0"/>
        <v>1.6704857520089739E-2</v>
      </c>
      <c r="M24" s="36">
        <f t="shared" si="1"/>
        <v>44396.022400000002</v>
      </c>
      <c r="N24" s="36">
        <f t="shared" si="2"/>
        <v>22198.011200000001</v>
      </c>
      <c r="O24" s="35">
        <f t="shared" si="3"/>
        <v>5.0000000000000001E-3</v>
      </c>
      <c r="P24" s="38"/>
      <c r="Q24" s="38"/>
      <c r="R24" s="39" t="s">
        <v>761</v>
      </c>
      <c r="S24" s="49"/>
      <c r="T24" s="41"/>
      <c r="U24" s="41"/>
      <c r="V24" s="42"/>
      <c r="W24" s="43"/>
      <c r="X24" s="41"/>
      <c r="Y24" s="44"/>
      <c r="Z24" s="42"/>
      <c r="AA24" s="43"/>
      <c r="AB24" s="41"/>
      <c r="AC24" s="44"/>
      <c r="AD24" s="50"/>
      <c r="AE24" s="41"/>
      <c r="AF24" s="58"/>
      <c r="AG24" s="47" t="s">
        <v>775</v>
      </c>
      <c r="AH24" s="48"/>
    </row>
    <row r="25" spans="1:34">
      <c r="A25" s="31">
        <v>21</v>
      </c>
      <c r="B25" s="32" t="s">
        <v>830</v>
      </c>
      <c r="C25" s="33" t="s">
        <v>831</v>
      </c>
      <c r="D25" s="52" t="s">
        <v>832</v>
      </c>
      <c r="E25" s="33" t="s">
        <v>757</v>
      </c>
      <c r="F25" s="33" t="s">
        <v>758</v>
      </c>
      <c r="G25" s="33">
        <v>2290857</v>
      </c>
      <c r="H25" s="33" t="s">
        <v>833</v>
      </c>
      <c r="I25" s="35">
        <v>7.4999999999999997E-3</v>
      </c>
      <c r="J25" s="36">
        <f>VLOOKUP(G25,'[1]Planilha BTG - ON'!$A:$C,3,0)</f>
        <v>3879743.0900000008</v>
      </c>
      <c r="K25" s="37">
        <v>0.5</v>
      </c>
      <c r="L25" s="35">
        <f t="shared" si="0"/>
        <v>1.4598279762333551E-2</v>
      </c>
      <c r="M25" s="36">
        <f t="shared" si="1"/>
        <v>29098.073175000005</v>
      </c>
      <c r="N25" s="36">
        <f t="shared" si="2"/>
        <v>14549.036587500002</v>
      </c>
      <c r="O25" s="35">
        <f t="shared" si="3"/>
        <v>3.7499999999999999E-3</v>
      </c>
      <c r="P25" s="38"/>
      <c r="Q25" s="38"/>
      <c r="R25" s="39" t="s">
        <v>761</v>
      </c>
      <c r="S25" s="49"/>
      <c r="T25" s="41"/>
      <c r="U25" s="41"/>
      <c r="V25" s="42"/>
      <c r="W25" s="43"/>
      <c r="X25" s="41"/>
      <c r="Y25" s="44"/>
      <c r="Z25" s="42"/>
      <c r="AA25" s="43"/>
      <c r="AB25" s="41"/>
      <c r="AC25" s="44"/>
      <c r="AD25" s="50"/>
      <c r="AE25" s="41"/>
      <c r="AF25" s="42"/>
      <c r="AG25" s="47" t="s">
        <v>775</v>
      </c>
      <c r="AH25" s="48"/>
    </row>
    <row r="26" spans="1:34">
      <c r="A26" s="31">
        <v>22</v>
      </c>
      <c r="B26" s="32" t="s">
        <v>830</v>
      </c>
      <c r="C26" s="33" t="s">
        <v>831</v>
      </c>
      <c r="D26" s="52" t="s">
        <v>832</v>
      </c>
      <c r="E26" s="33" t="s">
        <v>757</v>
      </c>
      <c r="F26" s="33" t="s">
        <v>758</v>
      </c>
      <c r="G26" s="33">
        <v>2254671</v>
      </c>
      <c r="H26" s="33" t="s">
        <v>833</v>
      </c>
      <c r="I26" s="35">
        <v>0</v>
      </c>
      <c r="J26" s="36">
        <f>VLOOKUP(G26,'[1]Planilha BTG - ON'!$A:$C,3,0)</f>
        <v>2032494.28</v>
      </c>
      <c r="K26" s="37">
        <v>0.5</v>
      </c>
      <c r="L26" s="35">
        <f t="shared" si="0"/>
        <v>7.6476507403954669E-3</v>
      </c>
      <c r="M26" s="36">
        <f t="shared" si="1"/>
        <v>0</v>
      </c>
      <c r="N26" s="36">
        <f t="shared" si="2"/>
        <v>0</v>
      </c>
      <c r="O26" s="35">
        <f t="shared" si="3"/>
        <v>0</v>
      </c>
      <c r="P26" s="38"/>
      <c r="Q26" s="38"/>
      <c r="R26" s="39" t="s">
        <v>761</v>
      </c>
      <c r="S26" s="49"/>
      <c r="T26" s="41"/>
      <c r="U26" s="41"/>
      <c r="V26" s="42"/>
      <c r="W26" s="43"/>
      <c r="X26" s="41"/>
      <c r="Y26" s="44"/>
      <c r="Z26" s="42"/>
      <c r="AA26" s="43"/>
      <c r="AB26" s="41"/>
      <c r="AC26" s="44"/>
      <c r="AD26" s="50"/>
      <c r="AE26" s="41"/>
      <c r="AF26" s="42"/>
      <c r="AG26" s="47" t="s">
        <v>775</v>
      </c>
      <c r="AH26" s="48"/>
    </row>
    <row r="27" spans="1:34">
      <c r="A27" s="31">
        <v>23</v>
      </c>
      <c r="B27" s="32" t="s">
        <v>834</v>
      </c>
      <c r="C27" s="33" t="s">
        <v>835</v>
      </c>
      <c r="D27" s="33" t="s">
        <v>836</v>
      </c>
      <c r="E27" s="33" t="s">
        <v>757</v>
      </c>
      <c r="F27" s="33" t="s">
        <v>758</v>
      </c>
      <c r="G27" s="33">
        <v>2080082</v>
      </c>
      <c r="H27" s="33" t="s">
        <v>837</v>
      </c>
      <c r="I27" s="35">
        <v>0.01</v>
      </c>
      <c r="J27" s="36">
        <f>VLOOKUP(G27,'[1]Planilha BTG - ON'!$A:$C,3,0)</f>
        <v>1025707.01</v>
      </c>
      <c r="K27" s="37">
        <v>0.5</v>
      </c>
      <c r="L27" s="35">
        <f t="shared" si="0"/>
        <v>3.8594199509655305E-3</v>
      </c>
      <c r="M27" s="36">
        <f t="shared" si="1"/>
        <v>10257.070100000001</v>
      </c>
      <c r="N27" s="36">
        <f t="shared" si="2"/>
        <v>5128.5350500000004</v>
      </c>
      <c r="O27" s="35">
        <f t="shared" si="3"/>
        <v>5.0000000000000001E-3</v>
      </c>
      <c r="P27" s="38"/>
      <c r="Q27" s="38"/>
      <c r="R27" s="39"/>
      <c r="S27" s="49"/>
      <c r="T27" s="41"/>
      <c r="U27" s="41"/>
      <c r="V27" s="42"/>
      <c r="W27" s="43"/>
      <c r="X27" s="41"/>
      <c r="Y27" s="44"/>
      <c r="Z27" s="42"/>
      <c r="AA27" s="43" t="s">
        <v>838</v>
      </c>
      <c r="AB27" s="56">
        <v>45076</v>
      </c>
      <c r="AC27" s="44" t="s">
        <v>839</v>
      </c>
      <c r="AD27" s="50" t="s">
        <v>838</v>
      </c>
      <c r="AE27" s="56">
        <v>45082</v>
      </c>
      <c r="AF27" s="58"/>
      <c r="AG27" s="54" t="s">
        <v>789</v>
      </c>
      <c r="AH27" s="55"/>
    </row>
    <row r="28" spans="1:34">
      <c r="A28" s="31">
        <v>24</v>
      </c>
      <c r="B28" s="32" t="s">
        <v>840</v>
      </c>
      <c r="C28" s="33" t="s">
        <v>841</v>
      </c>
      <c r="D28" s="33" t="s">
        <v>842</v>
      </c>
      <c r="E28" s="33" t="s">
        <v>757</v>
      </c>
      <c r="F28" s="33" t="s">
        <v>758</v>
      </c>
      <c r="G28" s="33">
        <v>4164768</v>
      </c>
      <c r="H28" s="33" t="s">
        <v>800</v>
      </c>
      <c r="I28" s="35">
        <v>0.01</v>
      </c>
      <c r="J28" s="36">
        <f>VLOOKUP(G28,'[1]Planilha BTG - ON'!$A:$C,3,0)</f>
        <v>4958743.7700000005</v>
      </c>
      <c r="K28" s="37">
        <v>0.5</v>
      </c>
      <c r="L28" s="35">
        <f t="shared" si="0"/>
        <v>1.8658227399327251E-2</v>
      </c>
      <c r="M28" s="36">
        <f t="shared" si="1"/>
        <v>49587.437700000009</v>
      </c>
      <c r="N28" s="36">
        <f t="shared" si="2"/>
        <v>24793.718850000005</v>
      </c>
      <c r="O28" s="35">
        <f t="shared" si="3"/>
        <v>5.0000000000000001E-3</v>
      </c>
      <c r="P28" s="38"/>
      <c r="Q28" s="38"/>
      <c r="R28" s="39" t="s">
        <v>761</v>
      </c>
      <c r="S28" s="49"/>
      <c r="T28" s="41"/>
      <c r="U28" s="41"/>
      <c r="V28" s="42"/>
      <c r="W28" s="43"/>
      <c r="X28" s="41"/>
      <c r="Y28" s="44"/>
      <c r="Z28" s="42"/>
      <c r="AA28" s="43" t="s">
        <v>843</v>
      </c>
      <c r="AB28" s="56">
        <v>45079</v>
      </c>
      <c r="AC28" s="44"/>
      <c r="AD28" s="50" t="s">
        <v>838</v>
      </c>
      <c r="AE28" s="56">
        <v>45082</v>
      </c>
      <c r="AF28" s="58"/>
      <c r="AG28" s="54" t="s">
        <v>844</v>
      </c>
      <c r="AH28" s="55"/>
    </row>
    <row r="29" spans="1:34">
      <c r="A29" s="31">
        <v>25</v>
      </c>
      <c r="B29" s="32" t="s">
        <v>845</v>
      </c>
      <c r="C29" s="33"/>
      <c r="D29" s="52" t="s">
        <v>846</v>
      </c>
      <c r="E29" s="33" t="s">
        <v>757</v>
      </c>
      <c r="F29" s="33" t="s">
        <v>758</v>
      </c>
      <c r="G29" s="33">
        <v>5651035</v>
      </c>
      <c r="H29" s="33" t="s">
        <v>774</v>
      </c>
      <c r="I29" s="35">
        <v>0.01</v>
      </c>
      <c r="J29" s="36">
        <f>VLOOKUP(G29,'[1]Planilha BTG - ON'!$A:$C,3,0)</f>
        <v>1138613.3800000001</v>
      </c>
      <c r="K29" s="37">
        <v>0.5</v>
      </c>
      <c r="L29" s="35">
        <f t="shared" si="0"/>
        <v>4.2842518890538707E-3</v>
      </c>
      <c r="M29" s="36">
        <f t="shared" si="1"/>
        <v>11386.133800000001</v>
      </c>
      <c r="N29" s="36">
        <f t="shared" si="2"/>
        <v>5693.0669000000007</v>
      </c>
      <c r="O29" s="35">
        <f t="shared" si="3"/>
        <v>5.0000000000000001E-3</v>
      </c>
      <c r="P29" s="38"/>
      <c r="Q29" s="38"/>
      <c r="R29" s="39"/>
      <c r="S29" s="49"/>
      <c r="T29" s="41"/>
      <c r="U29" s="41"/>
      <c r="V29" s="42"/>
      <c r="W29" s="43"/>
      <c r="X29" s="41"/>
      <c r="Y29" s="44"/>
      <c r="Z29" s="42"/>
      <c r="AA29" s="43"/>
      <c r="AB29" s="41"/>
      <c r="AC29" s="44"/>
      <c r="AD29" s="50"/>
      <c r="AE29" s="41"/>
      <c r="AF29" s="42"/>
      <c r="AG29" s="47" t="s">
        <v>775</v>
      </c>
      <c r="AH29" s="48"/>
    </row>
    <row r="30" spans="1:34">
      <c r="A30" s="31">
        <v>26</v>
      </c>
      <c r="B30" s="32" t="s">
        <v>847</v>
      </c>
      <c r="C30" s="33" t="s">
        <v>798</v>
      </c>
      <c r="D30" s="52" t="s">
        <v>799</v>
      </c>
      <c r="E30" s="33" t="s">
        <v>757</v>
      </c>
      <c r="F30" s="33" t="s">
        <v>758</v>
      </c>
      <c r="G30" s="33">
        <v>5037838</v>
      </c>
      <c r="H30" s="33" t="s">
        <v>800</v>
      </c>
      <c r="I30" s="35">
        <v>6.0000000000000001E-3</v>
      </c>
      <c r="J30" s="36">
        <f>VLOOKUP(G30,'[1]Planilha BTG - ON'!$A:$C,3,0)</f>
        <v>6466131.6699999999</v>
      </c>
      <c r="K30" s="37">
        <v>0.5</v>
      </c>
      <c r="L30" s="35">
        <f t="shared" si="0"/>
        <v>2.4330064364840465E-2</v>
      </c>
      <c r="M30" s="36">
        <f t="shared" si="1"/>
        <v>38796.79002</v>
      </c>
      <c r="N30" s="36">
        <f t="shared" si="2"/>
        <v>19398.39501</v>
      </c>
      <c r="O30" s="35">
        <f t="shared" si="3"/>
        <v>3.0000000000000001E-3</v>
      </c>
      <c r="P30" s="38"/>
      <c r="Q30" s="38"/>
      <c r="R30" s="39" t="s">
        <v>761</v>
      </c>
      <c r="S30" s="49"/>
      <c r="T30" s="41"/>
      <c r="U30" s="41"/>
      <c r="V30" s="42"/>
      <c r="W30" s="43"/>
      <c r="X30" s="41"/>
      <c r="Y30" s="44"/>
      <c r="Z30" s="42"/>
      <c r="AA30" s="43"/>
      <c r="AB30" s="41"/>
      <c r="AC30" s="44"/>
      <c r="AD30" s="50"/>
      <c r="AE30" s="41"/>
      <c r="AF30" s="42"/>
      <c r="AG30" s="47" t="s">
        <v>848</v>
      </c>
      <c r="AH30" s="48"/>
    </row>
    <row r="31" spans="1:34">
      <c r="A31" s="31">
        <v>27</v>
      </c>
      <c r="B31" s="32" t="s">
        <v>849</v>
      </c>
      <c r="C31" s="33" t="s">
        <v>850</v>
      </c>
      <c r="D31" s="33" t="s">
        <v>851</v>
      </c>
      <c r="E31" s="33" t="s">
        <v>852</v>
      </c>
      <c r="F31" s="33" t="s">
        <v>758</v>
      </c>
      <c r="G31" s="33">
        <v>4483023</v>
      </c>
      <c r="H31" s="33" t="s">
        <v>759</v>
      </c>
      <c r="I31" s="35">
        <v>7.4999999999999997E-3</v>
      </c>
      <c r="J31" s="36">
        <f>VLOOKUP(G31,'[1]Planilha BTG - ON'!$A:$C,3,0)</f>
        <v>966884.72</v>
      </c>
      <c r="K31" s="37">
        <v>0.75</v>
      </c>
      <c r="L31" s="35">
        <f t="shared" si="0"/>
        <v>3.6380897685896877E-3</v>
      </c>
      <c r="M31" s="36">
        <f t="shared" si="1"/>
        <v>7251.6353999999992</v>
      </c>
      <c r="N31" s="36">
        <f t="shared" si="2"/>
        <v>5438.7265499999994</v>
      </c>
      <c r="O31" s="35">
        <f t="shared" si="3"/>
        <v>5.6249999999999998E-3</v>
      </c>
      <c r="P31" s="38"/>
      <c r="Q31" s="38"/>
      <c r="R31" s="39" t="s">
        <v>761</v>
      </c>
      <c r="S31" s="40" t="s">
        <v>853</v>
      </c>
      <c r="T31" s="41"/>
      <c r="U31" s="41"/>
      <c r="V31" s="42"/>
      <c r="W31" s="43"/>
      <c r="X31" s="41"/>
      <c r="Y31" s="44"/>
      <c r="Z31" s="42"/>
      <c r="AA31" s="43"/>
      <c r="AB31" s="41"/>
      <c r="AC31" s="44"/>
      <c r="AD31" s="50"/>
      <c r="AE31" s="41"/>
      <c r="AF31" s="42"/>
      <c r="AG31" s="47" t="s">
        <v>775</v>
      </c>
      <c r="AH31" s="48"/>
    </row>
    <row r="32" spans="1:34">
      <c r="A32" s="31">
        <v>28</v>
      </c>
      <c r="B32" s="32" t="s">
        <v>854</v>
      </c>
      <c r="C32" s="33" t="s">
        <v>855</v>
      </c>
      <c r="D32" s="33"/>
      <c r="E32" s="33" t="s">
        <v>757</v>
      </c>
      <c r="F32" s="33" t="s">
        <v>758</v>
      </c>
      <c r="G32" s="33">
        <v>3659452</v>
      </c>
      <c r="H32" s="33" t="s">
        <v>759</v>
      </c>
      <c r="I32" s="35">
        <v>0</v>
      </c>
      <c r="J32" s="36">
        <f>VLOOKUP(G32,'[1]Planilha BTG - ON'!$A:$C,3,0)</f>
        <v>300984.73</v>
      </c>
      <c r="K32" s="37">
        <v>0.75</v>
      </c>
      <c r="L32" s="35">
        <f t="shared" si="0"/>
        <v>1.1325129501630034E-3</v>
      </c>
      <c r="M32" s="36">
        <f t="shared" si="1"/>
        <v>0</v>
      </c>
      <c r="N32" s="36">
        <f t="shared" si="2"/>
        <v>0</v>
      </c>
      <c r="O32" s="35">
        <f t="shared" si="3"/>
        <v>0</v>
      </c>
      <c r="P32" s="38"/>
      <c r="Q32" s="38"/>
      <c r="R32" s="39" t="s">
        <v>761</v>
      </c>
      <c r="S32" s="49"/>
      <c r="T32" s="41"/>
      <c r="U32" s="41"/>
      <c r="V32" s="53"/>
      <c r="W32" s="43"/>
      <c r="X32" s="41"/>
      <c r="Y32" s="44"/>
      <c r="Z32" s="42"/>
      <c r="AA32" s="43"/>
      <c r="AB32" s="41"/>
      <c r="AC32" s="44"/>
      <c r="AD32" s="50"/>
      <c r="AE32" s="41"/>
      <c r="AF32" s="42"/>
      <c r="AG32" s="54" t="s">
        <v>775</v>
      </c>
      <c r="AH32" s="55"/>
    </row>
    <row r="33" spans="1:34">
      <c r="A33" s="31">
        <v>29</v>
      </c>
      <c r="B33" s="32" t="s">
        <v>856</v>
      </c>
      <c r="C33" s="33" t="s">
        <v>857</v>
      </c>
      <c r="D33" s="52" t="s">
        <v>858</v>
      </c>
      <c r="E33" s="33" t="s">
        <v>757</v>
      </c>
      <c r="F33" s="33" t="s">
        <v>758</v>
      </c>
      <c r="G33" s="33">
        <v>5069704</v>
      </c>
      <c r="H33" s="33" t="s">
        <v>759</v>
      </c>
      <c r="I33" s="35">
        <v>0</v>
      </c>
      <c r="J33" s="36">
        <f>VLOOKUP(G33,'[1]Planilha BTG - ON'!$A:$C,3,0)</f>
        <v>1652152.78</v>
      </c>
      <c r="K33" s="37">
        <v>0.75</v>
      </c>
      <c r="L33" s="35">
        <f t="shared" si="0"/>
        <v>6.2165426764268332E-3</v>
      </c>
      <c r="M33" s="36">
        <f t="shared" si="1"/>
        <v>0</v>
      </c>
      <c r="N33" s="36">
        <f t="shared" si="2"/>
        <v>0</v>
      </c>
      <c r="O33" s="35">
        <f t="shared" si="3"/>
        <v>0</v>
      </c>
      <c r="P33" s="38"/>
      <c r="Q33" s="38"/>
      <c r="R33" s="39" t="s">
        <v>761</v>
      </c>
      <c r="S33" s="49"/>
      <c r="T33" s="41"/>
      <c r="U33" s="41"/>
      <c r="V33" s="42"/>
      <c r="W33" s="43"/>
      <c r="X33" s="41"/>
      <c r="Y33" s="44"/>
      <c r="Z33" s="42"/>
      <c r="AA33" s="43"/>
      <c r="AB33" s="41"/>
      <c r="AC33" s="44"/>
      <c r="AD33" s="50"/>
      <c r="AE33" s="41"/>
      <c r="AF33" s="42"/>
      <c r="AG33" s="47" t="s">
        <v>775</v>
      </c>
      <c r="AH33" s="48"/>
    </row>
    <row r="34" spans="1:34">
      <c r="A34" s="31">
        <v>30</v>
      </c>
      <c r="B34" s="32" t="s">
        <v>859</v>
      </c>
      <c r="C34" s="33" t="s">
        <v>860</v>
      </c>
      <c r="D34" s="33" t="s">
        <v>861</v>
      </c>
      <c r="E34" s="33" t="s">
        <v>757</v>
      </c>
      <c r="F34" s="33" t="s">
        <v>758</v>
      </c>
      <c r="G34" s="33">
        <v>2868078</v>
      </c>
      <c r="H34" s="33" t="s">
        <v>767</v>
      </c>
      <c r="I34" s="35">
        <v>0.01</v>
      </c>
      <c r="J34" s="36">
        <f>VLOOKUP(G34,'[1]Planilha BTG - ON'!$A:$C,3,0)</f>
        <v>5925525.9600000009</v>
      </c>
      <c r="K34" s="37">
        <v>0.5</v>
      </c>
      <c r="L34" s="35">
        <f t="shared" si="0"/>
        <v>2.2295931379067185E-2</v>
      </c>
      <c r="M34" s="36">
        <f t="shared" si="1"/>
        <v>59255.259600000012</v>
      </c>
      <c r="N34" s="36">
        <f t="shared" si="2"/>
        <v>29627.629800000006</v>
      </c>
      <c r="O34" s="35">
        <f t="shared" si="3"/>
        <v>5.0000000000000001E-3</v>
      </c>
      <c r="P34" s="38"/>
      <c r="Q34" s="38"/>
      <c r="R34" s="39" t="s">
        <v>761</v>
      </c>
      <c r="S34" s="49"/>
      <c r="T34" s="41"/>
      <c r="U34" s="41"/>
      <c r="V34" s="53"/>
      <c r="W34" s="43"/>
      <c r="X34" s="41"/>
      <c r="Y34" s="44"/>
      <c r="Z34" s="42"/>
      <c r="AA34" s="43"/>
      <c r="AB34" s="41"/>
      <c r="AC34" s="44"/>
      <c r="AD34" s="50"/>
      <c r="AE34" s="41"/>
      <c r="AF34" s="42"/>
      <c r="AG34" s="54" t="s">
        <v>768</v>
      </c>
      <c r="AH34" s="55"/>
    </row>
    <row r="35" spans="1:34">
      <c r="A35" s="31">
        <v>31</v>
      </c>
      <c r="B35" s="32" t="s">
        <v>862</v>
      </c>
      <c r="C35" s="33" t="s">
        <v>808</v>
      </c>
      <c r="D35" s="52" t="s">
        <v>809</v>
      </c>
      <c r="E35" s="33" t="s">
        <v>757</v>
      </c>
      <c r="F35" s="33" t="s">
        <v>758</v>
      </c>
      <c r="G35" s="33">
        <v>1773519</v>
      </c>
      <c r="H35" s="33" t="s">
        <v>767</v>
      </c>
      <c r="I35" s="35">
        <v>0.01</v>
      </c>
      <c r="J35" s="36">
        <f>VLOOKUP(G35,'[1]Planilha BTG - ON'!$A:$C,3,0)</f>
        <v>1164944.6399999999</v>
      </c>
      <c r="K35" s="37">
        <v>0.5</v>
      </c>
      <c r="L35" s="35">
        <f t="shared" si="0"/>
        <v>4.3833283204200357E-3</v>
      </c>
      <c r="M35" s="36">
        <f t="shared" si="1"/>
        <v>11649.446399999999</v>
      </c>
      <c r="N35" s="36">
        <f t="shared" si="2"/>
        <v>5824.7231999999995</v>
      </c>
      <c r="O35" s="35">
        <f t="shared" si="3"/>
        <v>5.0000000000000001E-3</v>
      </c>
      <c r="P35" s="38"/>
      <c r="Q35" s="38"/>
      <c r="R35" s="39" t="s">
        <v>761</v>
      </c>
      <c r="S35" s="49"/>
      <c r="T35" s="41"/>
      <c r="U35" s="41"/>
      <c r="V35" s="42"/>
      <c r="W35" s="43"/>
      <c r="X35" s="41"/>
      <c r="Y35" s="44"/>
      <c r="Z35" s="42"/>
      <c r="AA35" s="43"/>
      <c r="AB35" s="41"/>
      <c r="AC35" s="44"/>
      <c r="AD35" s="50"/>
      <c r="AE35" s="41"/>
      <c r="AF35" s="42"/>
      <c r="AG35" s="47" t="s">
        <v>768</v>
      </c>
      <c r="AH35" s="48"/>
    </row>
    <row r="36" spans="1:34">
      <c r="A36" s="31">
        <v>32</v>
      </c>
      <c r="B36" s="32" t="s">
        <v>863</v>
      </c>
      <c r="C36" s="33"/>
      <c r="D36" s="52" t="s">
        <v>864</v>
      </c>
      <c r="E36" s="33" t="s">
        <v>757</v>
      </c>
      <c r="F36" s="33" t="s">
        <v>758</v>
      </c>
      <c r="G36" s="33">
        <v>5646277</v>
      </c>
      <c r="H36" s="33" t="s">
        <v>774</v>
      </c>
      <c r="I36" s="35">
        <v>0.01</v>
      </c>
      <c r="J36" s="36">
        <f>VLOOKUP(G36,'[1]Planilha BTG - ON'!$A:$C,3,0)</f>
        <v>169634.6</v>
      </c>
      <c r="K36" s="37">
        <v>0.5</v>
      </c>
      <c r="L36" s="35">
        <f t="shared" si="0"/>
        <v>6.3828281685825411E-4</v>
      </c>
      <c r="M36" s="36">
        <f t="shared" si="1"/>
        <v>1696.346</v>
      </c>
      <c r="N36" s="36">
        <f t="shared" si="2"/>
        <v>848.173</v>
      </c>
      <c r="O36" s="35">
        <f t="shared" si="3"/>
        <v>5.0000000000000001E-3</v>
      </c>
      <c r="P36" s="38"/>
      <c r="Q36" s="38"/>
      <c r="R36" s="39"/>
      <c r="S36" s="49"/>
      <c r="T36" s="41"/>
      <c r="U36" s="41"/>
      <c r="V36" s="42"/>
      <c r="W36" s="43"/>
      <c r="X36" s="41"/>
      <c r="Y36" s="44"/>
      <c r="Z36" s="42"/>
      <c r="AA36" s="43"/>
      <c r="AB36" s="41"/>
      <c r="AC36" s="44"/>
      <c r="AD36" s="50"/>
      <c r="AE36" s="41"/>
      <c r="AF36" s="42"/>
      <c r="AG36" s="47" t="s">
        <v>775</v>
      </c>
      <c r="AH36" s="48"/>
    </row>
    <row r="37" spans="1:34">
      <c r="A37" s="31">
        <v>33</v>
      </c>
      <c r="B37" s="32" t="s">
        <v>865</v>
      </c>
      <c r="C37" s="33" t="s">
        <v>866</v>
      </c>
      <c r="D37" s="52" t="s">
        <v>867</v>
      </c>
      <c r="E37" s="33" t="s">
        <v>757</v>
      </c>
      <c r="F37" s="33" t="s">
        <v>758</v>
      </c>
      <c r="G37" s="33">
        <v>5535160</v>
      </c>
      <c r="H37" s="33" t="s">
        <v>759</v>
      </c>
      <c r="I37" s="35">
        <v>5.0000000000000001E-3</v>
      </c>
      <c r="J37" s="36">
        <f>VLOOKUP(G37,'[1]Planilha BTG - ON'!$A:$C,3,0)</f>
        <v>1334321.56</v>
      </c>
      <c r="K37" s="37">
        <v>0.75</v>
      </c>
      <c r="L37" s="35">
        <f t="shared" si="0"/>
        <v>5.0206415667057303E-3</v>
      </c>
      <c r="M37" s="36">
        <f t="shared" si="1"/>
        <v>6671.6078000000007</v>
      </c>
      <c r="N37" s="36">
        <f t="shared" si="2"/>
        <v>5003.7058500000003</v>
      </c>
      <c r="O37" s="35">
        <f t="shared" si="3"/>
        <v>3.7499999999999999E-3</v>
      </c>
      <c r="P37" s="38"/>
      <c r="Q37" s="38"/>
      <c r="R37" s="39" t="s">
        <v>761</v>
      </c>
      <c r="S37" s="49"/>
      <c r="T37" s="41"/>
      <c r="U37" s="41"/>
      <c r="V37" s="42"/>
      <c r="W37" s="43"/>
      <c r="X37" s="41"/>
      <c r="Y37" s="44"/>
      <c r="Z37" s="42"/>
      <c r="AA37" s="43"/>
      <c r="AB37" s="41"/>
      <c r="AC37" s="44"/>
      <c r="AD37" s="50"/>
      <c r="AE37" s="41"/>
      <c r="AF37" s="58">
        <v>45639</v>
      </c>
      <c r="AG37" s="47" t="s">
        <v>775</v>
      </c>
      <c r="AH37" s="48"/>
    </row>
    <row r="38" spans="1:34">
      <c r="A38" s="31">
        <v>34</v>
      </c>
      <c r="B38" s="32" t="s">
        <v>868</v>
      </c>
      <c r="C38" s="33" t="s">
        <v>869</v>
      </c>
      <c r="D38" s="52" t="s">
        <v>870</v>
      </c>
      <c r="E38" s="33" t="s">
        <v>757</v>
      </c>
      <c r="F38" s="33" t="s">
        <v>758</v>
      </c>
      <c r="G38" s="33">
        <v>3992075</v>
      </c>
      <c r="H38" s="33" t="s">
        <v>871</v>
      </c>
      <c r="I38" s="35">
        <v>6.4999999999999997E-3</v>
      </c>
      <c r="J38" s="36">
        <f>VLOOKUP(G38,'[1]Planilha BTG - ON'!$A:$C,3,0)</f>
        <v>4901442.37</v>
      </c>
      <c r="K38" s="37">
        <v>0.5</v>
      </c>
      <c r="L38" s="35">
        <f t="shared" si="0"/>
        <v>1.8442619858165709E-2</v>
      </c>
      <c r="M38" s="36">
        <f t="shared" si="1"/>
        <v>31859.375404999999</v>
      </c>
      <c r="N38" s="36">
        <f t="shared" si="2"/>
        <v>15929.687702499999</v>
      </c>
      <c r="O38" s="35">
        <f t="shared" si="3"/>
        <v>3.2499999999999999E-3</v>
      </c>
      <c r="P38" s="38"/>
      <c r="Q38" s="38"/>
      <c r="R38" s="39" t="s">
        <v>761</v>
      </c>
      <c r="S38" s="49"/>
      <c r="T38" s="41"/>
      <c r="U38" s="41"/>
      <c r="V38" s="42"/>
      <c r="W38" s="43"/>
      <c r="X38" s="41"/>
      <c r="Y38" s="44"/>
      <c r="Z38" s="42"/>
      <c r="AA38" s="43"/>
      <c r="AB38" s="41"/>
      <c r="AC38" s="44"/>
      <c r="AD38" s="50"/>
      <c r="AE38" s="41"/>
      <c r="AF38" s="42"/>
      <c r="AG38" s="47" t="s">
        <v>775</v>
      </c>
      <c r="AH38" s="48"/>
    </row>
    <row r="39" spans="1:34">
      <c r="A39" s="31">
        <v>35</v>
      </c>
      <c r="B39" s="32" t="s">
        <v>872</v>
      </c>
      <c r="C39" s="33" t="s">
        <v>873</v>
      </c>
      <c r="D39" s="33" t="s">
        <v>874</v>
      </c>
      <c r="E39" s="33" t="s">
        <v>757</v>
      </c>
      <c r="F39" s="33" t="s">
        <v>758</v>
      </c>
      <c r="G39" s="33">
        <v>4491470</v>
      </c>
      <c r="H39" s="33" t="s">
        <v>759</v>
      </c>
      <c r="I39" s="35">
        <v>0</v>
      </c>
      <c r="J39" s="36">
        <f>VLOOKUP(G39,'[1]Planilha BTG - ON'!$A:$C,3,0)</f>
        <v>60473.29</v>
      </c>
      <c r="K39" s="37">
        <v>0.75</v>
      </c>
      <c r="L39" s="35">
        <f t="shared" si="0"/>
        <v>2.2754238749574725E-4</v>
      </c>
      <c r="M39" s="36">
        <f t="shared" si="1"/>
        <v>0</v>
      </c>
      <c r="N39" s="36">
        <f t="shared" si="2"/>
        <v>0</v>
      </c>
      <c r="O39" s="35">
        <f t="shared" si="3"/>
        <v>0</v>
      </c>
      <c r="P39" s="38"/>
      <c r="Q39" s="38"/>
      <c r="R39" s="39"/>
      <c r="S39" s="49"/>
      <c r="T39" s="41"/>
      <c r="U39" s="41"/>
      <c r="V39" s="42"/>
      <c r="W39" s="43"/>
      <c r="X39" s="41"/>
      <c r="Y39" s="44"/>
      <c r="Z39" s="42"/>
      <c r="AA39" s="43"/>
      <c r="AB39" s="41"/>
      <c r="AC39" s="44"/>
      <c r="AD39" s="50"/>
      <c r="AE39" s="41"/>
      <c r="AF39" s="42"/>
      <c r="AG39" s="47" t="s">
        <v>775</v>
      </c>
      <c r="AH39" s="48"/>
    </row>
    <row r="40" spans="1:34">
      <c r="A40" s="31">
        <v>36</v>
      </c>
      <c r="B40" s="32" t="s">
        <v>875</v>
      </c>
      <c r="C40" s="33" t="s">
        <v>876</v>
      </c>
      <c r="D40" s="33" t="s">
        <v>877</v>
      </c>
      <c r="E40" s="33" t="s">
        <v>757</v>
      </c>
      <c r="F40" s="33" t="s">
        <v>758</v>
      </c>
      <c r="G40" s="33">
        <v>5042891</v>
      </c>
      <c r="H40" s="33" t="s">
        <v>759</v>
      </c>
      <c r="I40" s="35">
        <v>0.01</v>
      </c>
      <c r="J40" s="36">
        <f>VLOOKUP(G40,'[1]Planilha BTG - ON'!$A:$C,3,0)</f>
        <v>156.54</v>
      </c>
      <c r="K40" s="37">
        <v>0.75</v>
      </c>
      <c r="L40" s="35">
        <f t="shared" si="0"/>
        <v>5.8901186521494482E-7</v>
      </c>
      <c r="M40" s="36">
        <f t="shared" si="1"/>
        <v>1.5653999999999999</v>
      </c>
      <c r="N40" s="36">
        <f t="shared" si="2"/>
        <v>1.1740499999999998</v>
      </c>
      <c r="O40" s="35">
        <f t="shared" si="3"/>
        <v>7.4999999999999997E-3</v>
      </c>
      <c r="P40" s="38"/>
      <c r="Q40" s="38"/>
      <c r="R40" s="39"/>
      <c r="S40" s="49"/>
      <c r="T40" s="41"/>
      <c r="U40" s="41"/>
      <c r="V40" s="42"/>
      <c r="W40" s="43"/>
      <c r="X40" s="41"/>
      <c r="Y40" s="44"/>
      <c r="Z40" s="42"/>
      <c r="AA40" s="43"/>
      <c r="AB40" s="41"/>
      <c r="AC40" s="44"/>
      <c r="AD40" s="50"/>
      <c r="AE40" s="41"/>
      <c r="AF40" s="42"/>
      <c r="AG40" s="47" t="s">
        <v>878</v>
      </c>
      <c r="AH40" s="48"/>
    </row>
    <row r="41" spans="1:34">
      <c r="A41" s="31">
        <v>37</v>
      </c>
      <c r="B41" s="32" t="s">
        <v>879</v>
      </c>
      <c r="C41" s="33" t="s">
        <v>880</v>
      </c>
      <c r="D41" s="52" t="s">
        <v>881</v>
      </c>
      <c r="E41" s="33" t="s">
        <v>757</v>
      </c>
      <c r="F41" s="33" t="s">
        <v>758</v>
      </c>
      <c r="G41" s="33">
        <v>3908505</v>
      </c>
      <c r="H41" s="33" t="s">
        <v>882</v>
      </c>
      <c r="I41" s="35">
        <v>0.01</v>
      </c>
      <c r="J41" s="36">
        <f>VLOOKUP(G41,'[1]Planilha BTG - ON'!$A:$C,3,0)</f>
        <v>5160573.3999999994</v>
      </c>
      <c r="K41" s="37">
        <v>0.5</v>
      </c>
      <c r="L41" s="35">
        <f t="shared" si="0"/>
        <v>1.9417650210250603E-2</v>
      </c>
      <c r="M41" s="36">
        <f t="shared" si="1"/>
        <v>51605.733999999997</v>
      </c>
      <c r="N41" s="36">
        <f t="shared" si="2"/>
        <v>25802.866999999998</v>
      </c>
      <c r="O41" s="35">
        <f t="shared" si="3"/>
        <v>5.0000000000000001E-3</v>
      </c>
      <c r="P41" s="38"/>
      <c r="Q41" s="38"/>
      <c r="R41" s="39" t="s">
        <v>761</v>
      </c>
      <c r="S41" s="49"/>
      <c r="T41" s="41"/>
      <c r="U41" s="41"/>
      <c r="V41" s="42"/>
      <c r="W41" s="43"/>
      <c r="X41" s="41"/>
      <c r="Y41" s="44"/>
      <c r="Z41" s="42"/>
      <c r="AA41" s="43"/>
      <c r="AB41" s="41"/>
      <c r="AC41" s="44"/>
      <c r="AD41" s="50"/>
      <c r="AE41" s="41"/>
      <c r="AF41" s="42"/>
      <c r="AG41" s="47" t="s">
        <v>775</v>
      </c>
      <c r="AH41" s="48"/>
    </row>
    <row r="42" spans="1:34">
      <c r="A42" s="31">
        <v>38</v>
      </c>
      <c r="B42" s="32" t="s">
        <v>883</v>
      </c>
      <c r="C42" s="33"/>
      <c r="D42" s="52" t="s">
        <v>884</v>
      </c>
      <c r="E42" s="33" t="s">
        <v>757</v>
      </c>
      <c r="F42" s="33" t="s">
        <v>758</v>
      </c>
      <c r="G42" s="33">
        <v>1541659</v>
      </c>
      <c r="H42" s="33" t="s">
        <v>767</v>
      </c>
      <c r="I42" s="35">
        <v>0.01</v>
      </c>
      <c r="J42" s="36">
        <f>VLOOKUP(G42,'[1]Planilha BTG - ON'!$A:$C,3,0)</f>
        <v>1279205.6100000001</v>
      </c>
      <c r="K42" s="37">
        <v>0.5</v>
      </c>
      <c r="L42" s="35">
        <f t="shared" si="0"/>
        <v>4.8132572016067543E-3</v>
      </c>
      <c r="M42" s="36">
        <f t="shared" si="1"/>
        <v>12792.056100000002</v>
      </c>
      <c r="N42" s="36">
        <f t="shared" si="2"/>
        <v>6396.0280500000008</v>
      </c>
      <c r="O42" s="35">
        <f t="shared" si="3"/>
        <v>5.0000000000000001E-3</v>
      </c>
      <c r="P42" s="38"/>
      <c r="Q42" s="38"/>
      <c r="R42" s="39"/>
      <c r="S42" s="49"/>
      <c r="T42" s="41"/>
      <c r="U42" s="41"/>
      <c r="V42" s="42"/>
      <c r="W42" s="43"/>
      <c r="X42" s="41"/>
      <c r="Y42" s="44"/>
      <c r="Z42" s="42"/>
      <c r="AA42" s="43"/>
      <c r="AB42" s="41"/>
      <c r="AC42" s="44"/>
      <c r="AD42" s="50"/>
      <c r="AE42" s="41"/>
      <c r="AF42" s="42"/>
      <c r="AG42" s="47" t="s">
        <v>768</v>
      </c>
      <c r="AH42" s="48"/>
    </row>
    <row r="43" spans="1:34">
      <c r="A43" s="31">
        <v>39</v>
      </c>
      <c r="B43" s="32" t="s">
        <v>885</v>
      </c>
      <c r="C43" s="33" t="s">
        <v>886</v>
      </c>
      <c r="D43" s="52" t="s">
        <v>887</v>
      </c>
      <c r="E43" s="33" t="s">
        <v>757</v>
      </c>
      <c r="F43" s="33" t="s">
        <v>758</v>
      </c>
      <c r="G43" s="33">
        <v>4009015</v>
      </c>
      <c r="H43" s="33" t="s">
        <v>882</v>
      </c>
      <c r="I43" s="35">
        <v>0.01</v>
      </c>
      <c r="J43" s="36">
        <f>VLOOKUP(G43,'[1]Planilha BTG - ON'!$A:$C,3,0)</f>
        <v>1041006.89</v>
      </c>
      <c r="K43" s="37">
        <v>0.5</v>
      </c>
      <c r="L43" s="35">
        <f t="shared" si="0"/>
        <v>3.9169886928613062E-3</v>
      </c>
      <c r="M43" s="36">
        <f t="shared" si="1"/>
        <v>10410.0689</v>
      </c>
      <c r="N43" s="36">
        <f t="shared" si="2"/>
        <v>5205.0344500000001</v>
      </c>
      <c r="O43" s="35">
        <f t="shared" si="3"/>
        <v>5.0000000000000001E-3</v>
      </c>
      <c r="P43" s="38"/>
      <c r="Q43" s="38"/>
      <c r="R43" s="39"/>
      <c r="S43" s="49"/>
      <c r="T43" s="41"/>
      <c r="U43" s="41"/>
      <c r="V43" s="42"/>
      <c r="W43" s="43"/>
      <c r="X43" s="41"/>
      <c r="Y43" s="44"/>
      <c r="Z43" s="42"/>
      <c r="AA43" s="43"/>
      <c r="AB43" s="41"/>
      <c r="AC43" s="44"/>
      <c r="AD43" s="50"/>
      <c r="AE43" s="41"/>
      <c r="AF43" s="42"/>
      <c r="AG43" s="47" t="s">
        <v>775</v>
      </c>
      <c r="AH43" s="48"/>
    </row>
    <row r="44" spans="1:34">
      <c r="A44" s="31">
        <v>40</v>
      </c>
      <c r="B44" s="32" t="s">
        <v>888</v>
      </c>
      <c r="C44" s="33"/>
      <c r="D44" s="52" t="s">
        <v>884</v>
      </c>
      <c r="E44" s="33" t="s">
        <v>757</v>
      </c>
      <c r="F44" s="33" t="s">
        <v>758</v>
      </c>
      <c r="G44" s="33">
        <v>1875071</v>
      </c>
      <c r="H44" s="33" t="s">
        <v>767</v>
      </c>
      <c r="I44" s="35">
        <v>0.01</v>
      </c>
      <c r="J44" s="36">
        <f>VLOOKUP(G44,'[1]Planilha BTG - ON'!$A:$C,3,0)</f>
        <v>1151381.1000000001</v>
      </c>
      <c r="K44" s="37">
        <v>0.5</v>
      </c>
      <c r="L44" s="35">
        <f t="shared" si="0"/>
        <v>4.332292891811901E-3</v>
      </c>
      <c r="M44" s="36">
        <f t="shared" si="1"/>
        <v>11513.811000000002</v>
      </c>
      <c r="N44" s="36">
        <f t="shared" si="2"/>
        <v>5756.9055000000008</v>
      </c>
      <c r="O44" s="35">
        <f t="shared" si="3"/>
        <v>5.0000000000000001E-3</v>
      </c>
      <c r="P44" s="38"/>
      <c r="Q44" s="38"/>
      <c r="R44" s="39"/>
      <c r="S44" s="49"/>
      <c r="T44" s="41"/>
      <c r="U44" s="41"/>
      <c r="V44" s="42"/>
      <c r="W44" s="43"/>
      <c r="X44" s="41"/>
      <c r="Y44" s="44"/>
      <c r="Z44" s="42"/>
      <c r="AA44" s="43"/>
      <c r="AB44" s="41"/>
      <c r="AC44" s="44"/>
      <c r="AD44" s="50"/>
      <c r="AE44" s="41"/>
      <c r="AF44" s="42"/>
      <c r="AG44" s="47" t="s">
        <v>768</v>
      </c>
      <c r="AH44" s="48"/>
    </row>
    <row r="45" spans="1:34">
      <c r="A45" s="31">
        <v>41</v>
      </c>
      <c r="B45" s="32" t="s">
        <v>889</v>
      </c>
      <c r="C45" s="33"/>
      <c r="D45" s="52" t="s">
        <v>884</v>
      </c>
      <c r="E45" s="33" t="s">
        <v>757</v>
      </c>
      <c r="F45" s="33" t="s">
        <v>758</v>
      </c>
      <c r="G45" s="33">
        <v>1569741</v>
      </c>
      <c r="H45" s="33" t="s">
        <v>767</v>
      </c>
      <c r="I45" s="35">
        <v>0.01</v>
      </c>
      <c r="J45" s="36">
        <f>VLOOKUP(G45,'[1]Planilha BTG - ON'!$A:$C,3,0)</f>
        <v>1143163.21</v>
      </c>
      <c r="K45" s="37">
        <v>0.5</v>
      </c>
      <c r="L45" s="35">
        <f t="shared" si="0"/>
        <v>4.3013714997266108E-3</v>
      </c>
      <c r="M45" s="36">
        <f t="shared" si="1"/>
        <v>11431.632100000001</v>
      </c>
      <c r="N45" s="36">
        <f t="shared" si="2"/>
        <v>5715.8160500000004</v>
      </c>
      <c r="O45" s="35">
        <f t="shared" si="3"/>
        <v>5.0000000000000001E-3</v>
      </c>
      <c r="P45" s="38"/>
      <c r="Q45" s="38"/>
      <c r="R45" s="39"/>
      <c r="S45" s="49"/>
      <c r="T45" s="41"/>
      <c r="U45" s="41"/>
      <c r="V45" s="42"/>
      <c r="W45" s="43"/>
      <c r="X45" s="41"/>
      <c r="Y45" s="44"/>
      <c r="Z45" s="42"/>
      <c r="AA45" s="43"/>
      <c r="AB45" s="41"/>
      <c r="AC45" s="44"/>
      <c r="AD45" s="50"/>
      <c r="AE45" s="41"/>
      <c r="AF45" s="42"/>
      <c r="AG45" s="47" t="s">
        <v>768</v>
      </c>
      <c r="AH45" s="48"/>
    </row>
    <row r="46" spans="1:34">
      <c r="A46" s="31">
        <v>42</v>
      </c>
      <c r="B46" s="32" t="s">
        <v>890</v>
      </c>
      <c r="C46" s="33"/>
      <c r="D46" s="52" t="s">
        <v>891</v>
      </c>
      <c r="E46" s="33" t="s">
        <v>757</v>
      </c>
      <c r="F46" s="33" t="s">
        <v>758</v>
      </c>
      <c r="G46" s="33">
        <v>1830635</v>
      </c>
      <c r="H46" s="33" t="s">
        <v>767</v>
      </c>
      <c r="I46" s="35">
        <v>0.01</v>
      </c>
      <c r="J46" s="36">
        <f>VLOOKUP(G46,'[1]Planilha BTG - ON'!$A:$C,3,0)</f>
        <v>2020528.48</v>
      </c>
      <c r="K46" s="37">
        <v>0.5</v>
      </c>
      <c r="L46" s="35">
        <f t="shared" si="0"/>
        <v>7.602627115911061E-3</v>
      </c>
      <c r="M46" s="36">
        <f t="shared" si="1"/>
        <v>20205.284800000001</v>
      </c>
      <c r="N46" s="36">
        <f t="shared" si="2"/>
        <v>10102.642400000001</v>
      </c>
      <c r="O46" s="35">
        <f t="shared" si="3"/>
        <v>5.0000000000000001E-3</v>
      </c>
      <c r="P46" s="38"/>
      <c r="Q46" s="38"/>
      <c r="R46" s="39"/>
      <c r="S46" s="49"/>
      <c r="T46" s="41"/>
      <c r="U46" s="41"/>
      <c r="V46" s="42"/>
      <c r="W46" s="43"/>
      <c r="X46" s="41"/>
      <c r="Y46" s="44"/>
      <c r="Z46" s="42"/>
      <c r="AA46" s="43"/>
      <c r="AB46" s="41"/>
      <c r="AC46" s="44"/>
      <c r="AD46" s="50"/>
      <c r="AE46" s="41"/>
      <c r="AF46" s="42"/>
      <c r="AG46" s="47" t="s">
        <v>768</v>
      </c>
      <c r="AH46" s="48"/>
    </row>
    <row r="47" spans="1:34">
      <c r="A47" s="31">
        <v>43</v>
      </c>
      <c r="B47" s="32" t="s">
        <v>892</v>
      </c>
      <c r="C47" s="33"/>
      <c r="D47" s="52" t="s">
        <v>891</v>
      </c>
      <c r="E47" s="33" t="s">
        <v>757</v>
      </c>
      <c r="F47" s="33" t="s">
        <v>758</v>
      </c>
      <c r="G47" s="33">
        <v>1650917</v>
      </c>
      <c r="H47" s="33" t="s">
        <v>767</v>
      </c>
      <c r="I47" s="35">
        <v>0.01</v>
      </c>
      <c r="J47" s="36">
        <f>VLOOKUP(G47,'[1]Planilha BTG - ON'!$A:$C,3,0)</f>
        <v>3310301.92</v>
      </c>
      <c r="K47" s="37">
        <v>0.5</v>
      </c>
      <c r="L47" s="35">
        <f t="shared" si="0"/>
        <v>1.2455647810935309E-2</v>
      </c>
      <c r="M47" s="36">
        <f t="shared" si="1"/>
        <v>33103.019200000002</v>
      </c>
      <c r="N47" s="36">
        <f t="shared" si="2"/>
        <v>16551.509600000001</v>
      </c>
      <c r="O47" s="35">
        <f t="shared" si="3"/>
        <v>5.0000000000000001E-3</v>
      </c>
      <c r="P47" s="38"/>
      <c r="Q47" s="38"/>
      <c r="R47" s="39"/>
      <c r="S47" s="49"/>
      <c r="T47" s="41"/>
      <c r="U47" s="41"/>
      <c r="V47" s="42"/>
      <c r="W47" s="43"/>
      <c r="X47" s="41"/>
      <c r="Y47" s="44"/>
      <c r="Z47" s="42"/>
      <c r="AA47" s="43"/>
      <c r="AB47" s="41"/>
      <c r="AC47" s="44"/>
      <c r="AD47" s="50"/>
      <c r="AE47" s="41"/>
      <c r="AF47" s="42"/>
      <c r="AG47" s="47" t="s">
        <v>768</v>
      </c>
      <c r="AH47" s="48"/>
    </row>
    <row r="48" spans="1:34">
      <c r="A48" s="31">
        <v>44</v>
      </c>
      <c r="B48" s="32" t="s">
        <v>893</v>
      </c>
      <c r="C48" s="33"/>
      <c r="D48" s="52" t="s">
        <v>894</v>
      </c>
      <c r="E48" s="33" t="s">
        <v>757</v>
      </c>
      <c r="F48" s="33" t="s">
        <v>758</v>
      </c>
      <c r="G48" s="33">
        <v>3412696</v>
      </c>
      <c r="H48" s="33" t="s">
        <v>800</v>
      </c>
      <c r="I48" s="35">
        <v>6.0000000000000001E-3</v>
      </c>
      <c r="J48" s="36">
        <f>VLOOKUP(G48,'[1]Planilha BTG - ON'!$A:$C,3,0)</f>
        <v>5191011.5999999996</v>
      </c>
      <c r="K48" s="37">
        <v>0.5</v>
      </c>
      <c r="L48" s="35">
        <f t="shared" si="0"/>
        <v>1.9532179793461193E-2</v>
      </c>
      <c r="M48" s="36">
        <f t="shared" si="1"/>
        <v>31146.069599999999</v>
      </c>
      <c r="N48" s="36">
        <f t="shared" si="2"/>
        <v>15573.034799999999</v>
      </c>
      <c r="O48" s="35">
        <f t="shared" si="3"/>
        <v>3.0000000000000001E-3</v>
      </c>
      <c r="P48" s="38"/>
      <c r="Q48" s="38"/>
      <c r="R48" s="39"/>
      <c r="S48" s="49"/>
      <c r="T48" s="41"/>
      <c r="U48" s="41"/>
      <c r="V48" s="42"/>
      <c r="W48" s="43"/>
      <c r="X48" s="41"/>
      <c r="Y48" s="44"/>
      <c r="Z48" s="42"/>
      <c r="AA48" s="43"/>
      <c r="AB48" s="41"/>
      <c r="AC48" s="44"/>
      <c r="AD48" s="50"/>
      <c r="AE48" s="41"/>
      <c r="AF48" s="42"/>
      <c r="AG48" s="47" t="s">
        <v>775</v>
      </c>
      <c r="AH48" s="48"/>
    </row>
    <row r="49" spans="1:34">
      <c r="A49" s="31">
        <v>45</v>
      </c>
      <c r="B49" s="32" t="s">
        <v>895</v>
      </c>
      <c r="C49" s="33"/>
      <c r="D49" s="52" t="s">
        <v>894</v>
      </c>
      <c r="E49" s="33" t="s">
        <v>757</v>
      </c>
      <c r="F49" s="33" t="s">
        <v>758</v>
      </c>
      <c r="G49" s="33">
        <v>5156828</v>
      </c>
      <c r="H49" s="33" t="s">
        <v>800</v>
      </c>
      <c r="I49" s="35">
        <v>6.0000000000000001E-3</v>
      </c>
      <c r="J49" s="36">
        <f>VLOOKUP(G49,'[1]Planilha BTG - ON'!$A:$C,3,0)</f>
        <v>3369065.5300000003</v>
      </c>
      <c r="K49" s="37">
        <v>0.5</v>
      </c>
      <c r="L49" s="35">
        <f t="shared" si="0"/>
        <v>1.2676757198522275E-2</v>
      </c>
      <c r="M49" s="36">
        <f t="shared" si="1"/>
        <v>20214.393180000003</v>
      </c>
      <c r="N49" s="36">
        <f t="shared" si="2"/>
        <v>10107.196590000001</v>
      </c>
      <c r="O49" s="35">
        <f t="shared" si="3"/>
        <v>3.0000000000000001E-3</v>
      </c>
      <c r="P49" s="38"/>
      <c r="Q49" s="38"/>
      <c r="R49" s="39"/>
      <c r="S49" s="49"/>
      <c r="T49" s="41"/>
      <c r="U49" s="41"/>
      <c r="V49" s="42"/>
      <c r="W49" s="43"/>
      <c r="X49" s="41"/>
      <c r="Y49" s="44"/>
      <c r="Z49" s="42"/>
      <c r="AA49" s="43"/>
      <c r="AB49" s="41"/>
      <c r="AC49" s="44"/>
      <c r="AD49" s="50"/>
      <c r="AE49" s="41"/>
      <c r="AF49" s="42"/>
      <c r="AG49" s="47" t="s">
        <v>896</v>
      </c>
      <c r="AH49" s="48"/>
    </row>
    <row r="50" spans="1:34">
      <c r="A50" s="31">
        <v>46</v>
      </c>
      <c r="B50" s="32" t="s">
        <v>897</v>
      </c>
      <c r="C50" s="33"/>
      <c r="D50" s="52" t="s">
        <v>898</v>
      </c>
      <c r="E50" s="33" t="s">
        <v>757</v>
      </c>
      <c r="F50" s="33" t="s">
        <v>758</v>
      </c>
      <c r="G50" s="33">
        <v>1946304</v>
      </c>
      <c r="H50" s="33" t="s">
        <v>899</v>
      </c>
      <c r="I50" s="35">
        <v>6.0000000000000001E-3</v>
      </c>
      <c r="J50" s="36">
        <f>VLOOKUP(G50,'[1]Planilha BTG - ON'!$A:$C,3,0)</f>
        <v>8636221.6699999981</v>
      </c>
      <c r="K50" s="37">
        <v>0.5</v>
      </c>
      <c r="L50" s="35">
        <f t="shared" si="0"/>
        <v>3.2495445472444262E-2</v>
      </c>
      <c r="M50" s="36">
        <f t="shared" si="1"/>
        <v>51817.330019999987</v>
      </c>
      <c r="N50" s="36">
        <f t="shared" si="2"/>
        <v>25908.665009999993</v>
      </c>
      <c r="O50" s="35">
        <f t="shared" si="3"/>
        <v>3.0000000000000001E-3</v>
      </c>
      <c r="P50" s="38"/>
      <c r="Q50" s="38"/>
      <c r="R50" s="39"/>
      <c r="S50" s="49"/>
      <c r="T50" s="41"/>
      <c r="U50" s="41"/>
      <c r="V50" s="42"/>
      <c r="W50" s="43"/>
      <c r="X50" s="41"/>
      <c r="Y50" s="44"/>
      <c r="Z50" s="42"/>
      <c r="AA50" s="43"/>
      <c r="AB50" s="41"/>
      <c r="AC50" s="44"/>
      <c r="AD50" s="50"/>
      <c r="AE50" s="41"/>
      <c r="AF50" s="42"/>
      <c r="AG50" s="47" t="s">
        <v>775</v>
      </c>
      <c r="AH50" s="48"/>
    </row>
    <row r="51" spans="1:34">
      <c r="A51" s="31">
        <v>47</v>
      </c>
      <c r="B51" s="32" t="s">
        <v>900</v>
      </c>
      <c r="C51" s="33"/>
      <c r="D51" s="52" t="s">
        <v>901</v>
      </c>
      <c r="E51" s="33" t="s">
        <v>757</v>
      </c>
      <c r="F51" s="33" t="s">
        <v>758</v>
      </c>
      <c r="G51" s="33">
        <v>3648534</v>
      </c>
      <c r="H51" s="33" t="s">
        <v>767</v>
      </c>
      <c r="I51" s="35">
        <v>0.01</v>
      </c>
      <c r="J51" s="36">
        <f>VLOOKUP(G51,'[1]Planilha BTG - ON'!$A:$C,3,0)</f>
        <v>1793150.6799999997</v>
      </c>
      <c r="K51" s="37">
        <v>0.5</v>
      </c>
      <c r="L51" s="35">
        <f t="shared" si="0"/>
        <v>6.74707440039764E-3</v>
      </c>
      <c r="M51" s="36">
        <f t="shared" si="1"/>
        <v>17931.506799999999</v>
      </c>
      <c r="N51" s="36">
        <f t="shared" si="2"/>
        <v>8965.7533999999996</v>
      </c>
      <c r="O51" s="35">
        <f t="shared" si="3"/>
        <v>5.0000000000000001E-3</v>
      </c>
      <c r="P51" s="38"/>
      <c r="Q51" s="38"/>
      <c r="R51" s="39"/>
      <c r="S51" s="49"/>
      <c r="T51" s="41"/>
      <c r="U51" s="41"/>
      <c r="V51" s="42"/>
      <c r="W51" s="43"/>
      <c r="X51" s="41"/>
      <c r="Y51" s="44"/>
      <c r="Z51" s="42"/>
      <c r="AA51" s="43"/>
      <c r="AB51" s="41"/>
      <c r="AC51" s="44"/>
      <c r="AD51" s="50"/>
      <c r="AE51" s="41"/>
      <c r="AF51" s="42"/>
      <c r="AG51" s="47" t="s">
        <v>768</v>
      </c>
      <c r="AH51" s="48"/>
    </row>
    <row r="52" spans="1:34">
      <c r="A52" s="31">
        <v>48</v>
      </c>
      <c r="B52" s="32" t="s">
        <v>902</v>
      </c>
      <c r="C52" s="33"/>
      <c r="D52" s="52" t="s">
        <v>903</v>
      </c>
      <c r="E52" s="33" t="s">
        <v>757</v>
      </c>
      <c r="F52" s="33" t="s">
        <v>758</v>
      </c>
      <c r="G52" s="33">
        <v>4316747</v>
      </c>
      <c r="H52" s="33" t="s">
        <v>759</v>
      </c>
      <c r="I52" s="35">
        <v>0.01</v>
      </c>
      <c r="J52" s="36">
        <f>VLOOKUP(G52,'[1]Planilha BTG - ON'!$A:$C,3,0)</f>
        <v>1029530.26</v>
      </c>
      <c r="K52" s="37">
        <v>0.75</v>
      </c>
      <c r="L52" s="35">
        <f t="shared" si="0"/>
        <v>3.8738056646085801E-3</v>
      </c>
      <c r="M52" s="36">
        <f t="shared" si="1"/>
        <v>10295.302600000001</v>
      </c>
      <c r="N52" s="36">
        <f t="shared" si="2"/>
        <v>7721.4769500000002</v>
      </c>
      <c r="O52" s="35">
        <f t="shared" si="3"/>
        <v>7.4999999999999997E-3</v>
      </c>
      <c r="P52" s="38"/>
      <c r="Q52" s="38"/>
      <c r="R52" s="39"/>
      <c r="S52" s="49"/>
      <c r="T52" s="41"/>
      <c r="U52" s="41"/>
      <c r="V52" s="42"/>
      <c r="W52" s="43"/>
      <c r="X52" s="41"/>
      <c r="Y52" s="44"/>
      <c r="Z52" s="42"/>
      <c r="AA52" s="43"/>
      <c r="AB52" s="41"/>
      <c r="AC52" s="44"/>
      <c r="AD52" s="50"/>
      <c r="AE52" s="41"/>
      <c r="AF52" s="42"/>
      <c r="AG52" s="47" t="s">
        <v>775</v>
      </c>
      <c r="AH52" s="48"/>
    </row>
    <row r="53" spans="1:34">
      <c r="A53" s="31">
        <v>49</v>
      </c>
      <c r="B53" s="32" t="s">
        <v>904</v>
      </c>
      <c r="C53" s="33"/>
      <c r="D53" s="52" t="s">
        <v>905</v>
      </c>
      <c r="E53" s="33" t="s">
        <v>757</v>
      </c>
      <c r="F53" s="33" t="s">
        <v>758</v>
      </c>
      <c r="G53" s="33">
        <v>5742596</v>
      </c>
      <c r="H53" s="33" t="s">
        <v>899</v>
      </c>
      <c r="I53" s="35">
        <v>6.0000000000000001E-3</v>
      </c>
      <c r="J53" s="36">
        <f>VLOOKUP(G53,'[1]Planilha BTG - ON'!$A:$C,3,0)</f>
        <v>35804188.409999996</v>
      </c>
      <c r="K53" s="37">
        <v>0.5</v>
      </c>
      <c r="L53" s="35">
        <f t="shared" si="0"/>
        <v>0.13472014691376907</v>
      </c>
      <c r="M53" s="36">
        <f t="shared" si="1"/>
        <v>214825.13045999999</v>
      </c>
      <c r="N53" s="36">
        <f t="shared" si="2"/>
        <v>107412.56522999999</v>
      </c>
      <c r="O53" s="35">
        <f t="shared" si="3"/>
        <v>3.0000000000000001E-3</v>
      </c>
      <c r="P53" s="38"/>
      <c r="Q53" s="38"/>
      <c r="R53" s="39"/>
      <c r="S53" s="49"/>
      <c r="T53" s="41"/>
      <c r="U53" s="41"/>
      <c r="V53" s="42"/>
      <c r="W53" s="43"/>
      <c r="X53" s="41"/>
      <c r="Y53" s="44"/>
      <c r="Z53" s="42"/>
      <c r="AA53" s="43"/>
      <c r="AB53" s="41"/>
      <c r="AC53" s="44"/>
      <c r="AD53" s="50"/>
      <c r="AE53" s="41"/>
      <c r="AF53" s="42"/>
      <c r="AG53" s="47" t="s">
        <v>775</v>
      </c>
      <c r="AH53" s="48"/>
    </row>
    <row r="54" spans="1:34">
      <c r="A54" s="31">
        <v>50</v>
      </c>
      <c r="B54" s="32" t="s">
        <v>906</v>
      </c>
      <c r="C54" s="33"/>
      <c r="D54" s="52" t="s">
        <v>907</v>
      </c>
      <c r="E54" s="33" t="s">
        <v>757</v>
      </c>
      <c r="F54" s="33" t="s">
        <v>758</v>
      </c>
      <c r="G54" s="33">
        <v>3854493</v>
      </c>
      <c r="H54" s="33" t="s">
        <v>759</v>
      </c>
      <c r="I54" s="35">
        <v>5.0000000000000001E-3</v>
      </c>
      <c r="J54" s="36">
        <f>VLOOKUP(G54,'[1]Planilha BTG - ON'!$A:$C,3,0)</f>
        <v>4793852.7199999988</v>
      </c>
      <c r="K54" s="37">
        <v>0.75</v>
      </c>
      <c r="L54" s="35">
        <f t="shared" si="0"/>
        <v>1.8037793101909647E-2</v>
      </c>
      <c r="M54" s="36">
        <f t="shared" si="1"/>
        <v>23969.263599999995</v>
      </c>
      <c r="N54" s="36">
        <f t="shared" si="2"/>
        <v>17976.947699999997</v>
      </c>
      <c r="O54" s="35">
        <f t="shared" si="3"/>
        <v>3.7499999999999999E-3</v>
      </c>
      <c r="P54" s="38"/>
      <c r="Q54" s="38"/>
      <c r="R54" s="39"/>
      <c r="S54" s="49"/>
      <c r="T54" s="41"/>
      <c r="U54" s="41"/>
      <c r="V54" s="42"/>
      <c r="W54" s="43"/>
      <c r="X54" s="41"/>
      <c r="Y54" s="44"/>
      <c r="Z54" s="42"/>
      <c r="AA54" s="43"/>
      <c r="AB54" s="41"/>
      <c r="AC54" s="44"/>
      <c r="AD54" s="50"/>
      <c r="AE54" s="41"/>
      <c r="AF54" s="42"/>
      <c r="AG54" s="47" t="s">
        <v>775</v>
      </c>
      <c r="AH54" s="48"/>
    </row>
    <row r="55" spans="1:34">
      <c r="A55" s="31">
        <v>51</v>
      </c>
      <c r="B55" s="32" t="s">
        <v>908</v>
      </c>
      <c r="C55" s="33"/>
      <c r="D55" s="52" t="s">
        <v>909</v>
      </c>
      <c r="E55" s="33" t="s">
        <v>757</v>
      </c>
      <c r="F55" s="33" t="s">
        <v>758</v>
      </c>
      <c r="G55" s="33">
        <v>1758709</v>
      </c>
      <c r="H55" s="33" t="s">
        <v>767</v>
      </c>
      <c r="I55" s="35">
        <v>0.01</v>
      </c>
      <c r="J55" s="36">
        <f>VLOOKUP(G55,'[1]Planilha BTG - ON'!$A:$C,3,0)</f>
        <v>305917.69</v>
      </c>
      <c r="K55" s="37">
        <v>0.5</v>
      </c>
      <c r="L55" s="35">
        <f t="shared" si="0"/>
        <v>1.151074161167416E-3</v>
      </c>
      <c r="M55" s="36">
        <f t="shared" si="1"/>
        <v>3059.1768999999999</v>
      </c>
      <c r="N55" s="36">
        <f t="shared" si="2"/>
        <v>1529.58845</v>
      </c>
      <c r="O55" s="35">
        <f t="shared" si="3"/>
        <v>5.0000000000000001E-3</v>
      </c>
      <c r="P55" s="38"/>
      <c r="Q55" s="38"/>
      <c r="R55" s="39"/>
      <c r="S55" s="49"/>
      <c r="T55" s="41"/>
      <c r="U55" s="41"/>
      <c r="V55" s="42"/>
      <c r="W55" s="43"/>
      <c r="X55" s="41"/>
      <c r="Y55" s="44"/>
      <c r="Z55" s="42"/>
      <c r="AA55" s="43"/>
      <c r="AB55" s="41"/>
      <c r="AC55" s="44"/>
      <c r="AD55" s="50"/>
      <c r="AE55" s="41"/>
      <c r="AF55" s="42"/>
      <c r="AG55" s="47" t="s">
        <v>768</v>
      </c>
      <c r="AH55" s="48"/>
    </row>
    <row r="56" spans="1:34">
      <c r="A56" s="31">
        <v>52</v>
      </c>
      <c r="B56" s="32" t="s">
        <v>910</v>
      </c>
      <c r="C56" s="33"/>
      <c r="D56" s="52" t="s">
        <v>911</v>
      </c>
      <c r="E56" s="33" t="s">
        <v>757</v>
      </c>
      <c r="F56" s="33" t="s">
        <v>758</v>
      </c>
      <c r="G56" s="33">
        <v>5287656</v>
      </c>
      <c r="H56" s="33" t="s">
        <v>912</v>
      </c>
      <c r="I56" s="35">
        <v>0.01</v>
      </c>
      <c r="J56" s="36">
        <f>VLOOKUP(G56,'[1]Planilha BTG - ON'!$A:$C,3,0)</f>
        <v>366883.37</v>
      </c>
      <c r="K56" s="37">
        <v>0.5</v>
      </c>
      <c r="L56" s="35">
        <f t="shared" si="0"/>
        <v>1.3804692607643078E-3</v>
      </c>
      <c r="M56" s="36">
        <f t="shared" si="1"/>
        <v>3668.8337000000001</v>
      </c>
      <c r="N56" s="36">
        <f t="shared" si="2"/>
        <v>1834.4168500000001</v>
      </c>
      <c r="O56" s="35">
        <f t="shared" si="3"/>
        <v>5.0000000000000001E-3</v>
      </c>
      <c r="P56" s="38"/>
      <c r="Q56" s="38"/>
      <c r="R56" s="39"/>
      <c r="S56" s="49"/>
      <c r="T56" s="41"/>
      <c r="U56" s="41"/>
      <c r="V56" s="42"/>
      <c r="W56" s="43"/>
      <c r="X56" s="41"/>
      <c r="Y56" s="44"/>
      <c r="Z56" s="42"/>
      <c r="AA56" s="43"/>
      <c r="AB56" s="41"/>
      <c r="AC56" s="44"/>
      <c r="AD56" s="50"/>
      <c r="AE56" s="41"/>
      <c r="AF56" s="42"/>
      <c r="AG56" s="47" t="s">
        <v>913</v>
      </c>
      <c r="AH56" s="48"/>
    </row>
    <row r="57" spans="1:34">
      <c r="A57" s="31">
        <v>53</v>
      </c>
      <c r="B57" s="32" t="s">
        <v>914</v>
      </c>
      <c r="C57" s="33"/>
      <c r="D57" s="52" t="s">
        <v>915</v>
      </c>
      <c r="E57" s="33" t="s">
        <v>757</v>
      </c>
      <c r="F57" s="33" t="s">
        <v>758</v>
      </c>
      <c r="G57" s="33">
        <v>1736997</v>
      </c>
      <c r="H57" s="33" t="s">
        <v>767</v>
      </c>
      <c r="I57" s="35">
        <v>0.01</v>
      </c>
      <c r="J57" s="36">
        <f>VLOOKUP(G57,'[1]Planilha BTG - ON'!$A:$C,3,0)</f>
        <v>5395237.3300000001</v>
      </c>
      <c r="K57" s="37">
        <v>0.5</v>
      </c>
      <c r="L57" s="35">
        <f t="shared" si="0"/>
        <v>2.0300618391597029E-2</v>
      </c>
      <c r="M57" s="36">
        <f t="shared" si="1"/>
        <v>53952.373299999999</v>
      </c>
      <c r="N57" s="36">
        <f t="shared" si="2"/>
        <v>26976.18665</v>
      </c>
      <c r="O57" s="35">
        <f t="shared" si="3"/>
        <v>5.0000000000000001E-3</v>
      </c>
      <c r="P57" s="38"/>
      <c r="Q57" s="38"/>
      <c r="R57" s="39"/>
      <c r="S57" s="49"/>
      <c r="T57" s="41"/>
      <c r="U57" s="41"/>
      <c r="V57" s="42"/>
      <c r="W57" s="43"/>
      <c r="X57" s="41"/>
      <c r="Y57" s="44"/>
      <c r="Z57" s="42"/>
      <c r="AA57" s="43"/>
      <c r="AB57" s="41"/>
      <c r="AC57" s="44"/>
      <c r="AD57" s="50"/>
      <c r="AE57" s="41"/>
      <c r="AF57" s="42"/>
      <c r="AG57" s="47" t="s">
        <v>768</v>
      </c>
      <c r="AH57" s="48"/>
    </row>
    <row r="58" spans="1:34">
      <c r="A58" s="31">
        <v>54</v>
      </c>
      <c r="B58" s="32" t="s">
        <v>916</v>
      </c>
      <c r="C58" s="33"/>
      <c r="D58" s="52" t="s">
        <v>917</v>
      </c>
      <c r="E58" s="33" t="s">
        <v>757</v>
      </c>
      <c r="F58" s="33" t="s">
        <v>758</v>
      </c>
      <c r="G58" s="33">
        <v>1514440</v>
      </c>
      <c r="H58" s="33" t="s">
        <v>767</v>
      </c>
      <c r="I58" s="35">
        <v>0.01</v>
      </c>
      <c r="J58" s="36">
        <f>VLOOKUP(G58,'[1]Planilha BTG - ON'!$A:$C,3,0)</f>
        <v>5035216.4399999995</v>
      </c>
      <c r="K58" s="37">
        <v>0.5</v>
      </c>
      <c r="L58" s="35">
        <f t="shared" si="0"/>
        <v>1.8945970532038801E-2</v>
      </c>
      <c r="M58" s="36">
        <f t="shared" si="1"/>
        <v>50352.164399999994</v>
      </c>
      <c r="N58" s="36">
        <f t="shared" si="2"/>
        <v>25176.082199999997</v>
      </c>
      <c r="O58" s="35">
        <f t="shared" si="3"/>
        <v>5.0000000000000001E-3</v>
      </c>
      <c r="P58" s="38"/>
      <c r="Q58" s="38"/>
      <c r="R58" s="39"/>
      <c r="S58" s="49"/>
      <c r="T58" s="41"/>
      <c r="U58" s="41"/>
      <c r="V58" s="42"/>
      <c r="W58" s="43"/>
      <c r="X58" s="41"/>
      <c r="Y58" s="44"/>
      <c r="Z58" s="42"/>
      <c r="AA58" s="43"/>
      <c r="AB58" s="41"/>
      <c r="AC58" s="44"/>
      <c r="AD58" s="50"/>
      <c r="AE58" s="41"/>
      <c r="AF58" s="42"/>
      <c r="AG58" s="47" t="s">
        <v>768</v>
      </c>
      <c r="AH58" s="48"/>
    </row>
    <row r="59" spans="1:34">
      <c r="A59" s="31">
        <v>55</v>
      </c>
      <c r="B59" s="59" t="s">
        <v>918</v>
      </c>
      <c r="C59" s="33"/>
      <c r="D59" s="52" t="s">
        <v>919</v>
      </c>
      <c r="E59" s="33" t="s">
        <v>757</v>
      </c>
      <c r="F59" s="33" t="s">
        <v>758</v>
      </c>
      <c r="G59" s="33">
        <v>5998145</v>
      </c>
      <c r="H59" s="60" t="s">
        <v>920</v>
      </c>
      <c r="I59" s="35">
        <v>7.4999999999999997E-3</v>
      </c>
      <c r="J59" s="36">
        <f>VLOOKUP(G59,'[1]Planilha BTG - ON'!$A:$C,3,0)</f>
        <v>2121898.1</v>
      </c>
      <c r="K59" s="37">
        <v>0.5</v>
      </c>
      <c r="L59" s="35">
        <f t="shared" si="0"/>
        <v>7.9840498126807699E-3</v>
      </c>
      <c r="M59" s="36">
        <f t="shared" si="1"/>
        <v>15914.23575</v>
      </c>
      <c r="N59" s="36">
        <f t="shared" si="2"/>
        <v>7957.1178749999999</v>
      </c>
      <c r="O59" s="35">
        <f t="shared" si="3"/>
        <v>3.7499999999999999E-3</v>
      </c>
      <c r="P59" s="38"/>
      <c r="Q59" s="38"/>
      <c r="R59" s="39"/>
      <c r="S59" s="49"/>
      <c r="T59" s="41"/>
      <c r="U59" s="41"/>
      <c r="V59" s="42"/>
      <c r="AF59" s="42"/>
      <c r="AG59" s="47" t="s">
        <v>775</v>
      </c>
      <c r="AH59" s="48"/>
    </row>
    <row r="60" spans="1:34">
      <c r="A60" s="31">
        <v>56</v>
      </c>
      <c r="B60" s="32" t="s">
        <v>921</v>
      </c>
      <c r="C60" s="33"/>
      <c r="D60" s="52" t="s">
        <v>922</v>
      </c>
      <c r="E60" s="33" t="s">
        <v>757</v>
      </c>
      <c r="F60" s="33" t="s">
        <v>758</v>
      </c>
      <c r="G60" s="33">
        <v>1358716</v>
      </c>
      <c r="H60" s="60" t="s">
        <v>920</v>
      </c>
      <c r="I60" s="35">
        <v>0.01</v>
      </c>
      <c r="J60" s="36">
        <f>VLOOKUP(G60,'[1]Planilha BTG - ON'!$A:$C,3,0)</f>
        <v>2420471.2000000002</v>
      </c>
      <c r="K60" s="37">
        <v>0.5</v>
      </c>
      <c r="L60" s="35">
        <f t="shared" si="0"/>
        <v>9.1074885410186279E-3</v>
      </c>
      <c r="M60" s="36">
        <f t="shared" si="1"/>
        <v>24204.712000000003</v>
      </c>
      <c r="N60" s="36">
        <f t="shared" si="2"/>
        <v>12102.356000000002</v>
      </c>
      <c r="O60" s="35">
        <f t="shared" si="3"/>
        <v>5.0000000000000001E-3</v>
      </c>
      <c r="P60" s="38"/>
      <c r="Q60" s="38"/>
      <c r="R60" s="39"/>
      <c r="S60" s="49"/>
      <c r="T60" s="41"/>
      <c r="U60" s="41"/>
      <c r="V60" s="42"/>
      <c r="AF60" s="42"/>
      <c r="AG60" s="47" t="s">
        <v>923</v>
      </c>
      <c r="AH60" s="48"/>
    </row>
    <row r="61" spans="1:34">
      <c r="A61" s="31">
        <v>57</v>
      </c>
      <c r="B61" s="59" t="s">
        <v>924</v>
      </c>
      <c r="C61" s="33"/>
      <c r="D61" s="52" t="s">
        <v>925</v>
      </c>
      <c r="E61" s="33" t="s">
        <v>757</v>
      </c>
      <c r="F61" s="33" t="s">
        <v>758</v>
      </c>
      <c r="G61" s="33">
        <v>4524398</v>
      </c>
      <c r="H61" s="60" t="s">
        <v>920</v>
      </c>
      <c r="I61" s="35">
        <v>7.4999999999999997E-3</v>
      </c>
      <c r="J61" s="36">
        <f>VLOOKUP(G61,'[1]Planilha BTG - ON'!$A:$C,3,0)</f>
        <v>2208038.88</v>
      </c>
      <c r="K61" s="37">
        <v>0.5</v>
      </c>
      <c r="L61" s="35">
        <f t="shared" si="0"/>
        <v>8.3081710692213991E-3</v>
      </c>
      <c r="M61" s="36">
        <f t="shared" si="1"/>
        <v>16560.291599999997</v>
      </c>
      <c r="N61" s="36">
        <f t="shared" si="2"/>
        <v>8280.1457999999984</v>
      </c>
      <c r="O61" s="35">
        <f t="shared" si="3"/>
        <v>3.7499999999999999E-3</v>
      </c>
      <c r="P61" s="38"/>
      <c r="Q61" s="38"/>
      <c r="R61" s="39"/>
      <c r="S61" s="49"/>
      <c r="T61" s="41"/>
      <c r="U61" s="41"/>
      <c r="V61" s="42"/>
      <c r="AF61" s="42"/>
      <c r="AG61" s="47" t="s">
        <v>775</v>
      </c>
      <c r="AH61" s="48"/>
    </row>
    <row r="62" spans="1:34">
      <c r="A62" s="31">
        <v>58</v>
      </c>
      <c r="B62" s="59" t="s">
        <v>926</v>
      </c>
      <c r="C62" s="33"/>
      <c r="D62" s="52" t="s">
        <v>919</v>
      </c>
      <c r="E62" s="33" t="s">
        <v>757</v>
      </c>
      <c r="F62" s="33" t="s">
        <v>758</v>
      </c>
      <c r="G62" s="33">
        <v>4541961</v>
      </c>
      <c r="H62" s="60" t="s">
        <v>920</v>
      </c>
      <c r="I62" s="35">
        <v>7.4999999999999997E-3</v>
      </c>
      <c r="J62" s="36">
        <f>VLOOKUP(G62,'[1]Planilha BTG - ON'!$A:$C,3,0)</f>
        <v>597984.85</v>
      </c>
      <c r="K62" s="37">
        <v>0.5</v>
      </c>
      <c r="L62" s="35">
        <f t="shared" si="0"/>
        <v>2.2500330386404691E-3</v>
      </c>
      <c r="M62" s="36">
        <f t="shared" si="1"/>
        <v>4484.886375</v>
      </c>
      <c r="N62" s="36">
        <f t="shared" si="2"/>
        <v>2242.4431875</v>
      </c>
      <c r="O62" s="35">
        <f t="shared" si="3"/>
        <v>3.7499999999999999E-3</v>
      </c>
      <c r="P62" s="38"/>
      <c r="Q62" s="38"/>
      <c r="R62" s="39"/>
      <c r="S62" s="49"/>
      <c r="T62" s="41"/>
      <c r="U62" s="41"/>
      <c r="V62" s="42"/>
      <c r="AF62" s="42"/>
      <c r="AG62" s="47" t="s">
        <v>775</v>
      </c>
      <c r="AH62" s="48"/>
    </row>
    <row r="63" spans="1:34">
      <c r="A63" s="31">
        <v>59</v>
      </c>
      <c r="B63" s="32" t="s">
        <v>927</v>
      </c>
      <c r="C63" s="33"/>
      <c r="D63" s="52" t="s">
        <v>928</v>
      </c>
      <c r="E63" s="33" t="s">
        <v>757</v>
      </c>
      <c r="F63" s="33" t="s">
        <v>758</v>
      </c>
      <c r="G63" s="33">
        <v>1133008</v>
      </c>
      <c r="H63" s="33" t="s">
        <v>882</v>
      </c>
      <c r="I63" s="35">
        <v>0.01</v>
      </c>
      <c r="J63" s="36">
        <f>VLOOKUP(G63,'[1]Planilha BTG - ON'!$A:$C,3,0)</f>
        <v>3950101.59</v>
      </c>
      <c r="K63" s="37">
        <v>0.5</v>
      </c>
      <c r="L63" s="35">
        <f t="shared" si="0"/>
        <v>1.4863017154174136E-2</v>
      </c>
      <c r="M63" s="36">
        <f t="shared" si="1"/>
        <v>39501.015899999999</v>
      </c>
      <c r="N63" s="36">
        <f t="shared" si="2"/>
        <v>19750.507949999999</v>
      </c>
      <c r="O63" s="35">
        <f t="shared" si="3"/>
        <v>5.0000000000000001E-3</v>
      </c>
      <c r="P63" s="38"/>
      <c r="Q63" s="38"/>
      <c r="R63" s="39"/>
      <c r="S63" s="49"/>
      <c r="T63" s="41"/>
      <c r="U63" s="41"/>
      <c r="V63" s="42"/>
      <c r="AF63" s="42"/>
      <c r="AG63" s="47" t="s">
        <v>775</v>
      </c>
      <c r="AH63" s="48"/>
    </row>
    <row r="64" spans="1:34" ht="14.4">
      <c r="A64" s="31">
        <v>60</v>
      </c>
      <c r="B64" s="32" t="s">
        <v>929</v>
      </c>
      <c r="C64" s="33"/>
      <c r="D64" s="52" t="s">
        <v>930</v>
      </c>
      <c r="E64" s="33" t="s">
        <v>757</v>
      </c>
      <c r="F64" s="33" t="s">
        <v>758</v>
      </c>
      <c r="G64" s="61">
        <v>2370957</v>
      </c>
      <c r="H64" s="33" t="s">
        <v>882</v>
      </c>
      <c r="I64" s="35">
        <v>8.0000000000000002E-3</v>
      </c>
      <c r="J64" s="36">
        <f>VLOOKUP(G64,'[1]Planilha BTG - ON'!$A:$C,3,0)</f>
        <v>3273710.9299999997</v>
      </c>
      <c r="K64" s="37">
        <v>0.5</v>
      </c>
      <c r="L64" s="35">
        <f t="shared" si="0"/>
        <v>1.2317967171674023E-2</v>
      </c>
      <c r="M64" s="36">
        <f t="shared" si="1"/>
        <v>26189.687439999998</v>
      </c>
      <c r="N64" s="36">
        <f t="shared" si="2"/>
        <v>13094.843719999999</v>
      </c>
      <c r="O64" s="35">
        <f t="shared" si="3"/>
        <v>4.0000000000000001E-3</v>
      </c>
      <c r="P64" s="38"/>
      <c r="Q64" s="38"/>
      <c r="R64" s="39"/>
      <c r="S64" s="49"/>
      <c r="T64" s="41"/>
      <c r="U64" s="41"/>
      <c r="V64" s="42"/>
      <c r="AF64" s="42"/>
      <c r="AG64" s="47" t="s">
        <v>775</v>
      </c>
      <c r="AH64" s="48"/>
    </row>
    <row r="65" spans="1:34">
      <c r="A65" s="31">
        <v>61</v>
      </c>
      <c r="B65" s="59" t="s">
        <v>931</v>
      </c>
      <c r="C65" s="33"/>
      <c r="D65" s="52" t="s">
        <v>932</v>
      </c>
      <c r="E65" s="33" t="s">
        <v>757</v>
      </c>
      <c r="F65" s="33" t="s">
        <v>758</v>
      </c>
      <c r="G65" s="33">
        <v>2249511</v>
      </c>
      <c r="H65" s="60" t="s">
        <v>920</v>
      </c>
      <c r="I65" s="35">
        <v>7.4999999999999997E-3</v>
      </c>
      <c r="J65" s="36">
        <f>VLOOKUP(G65,'[1]Planilha BTG - ON'!$A:$C,3,0)</f>
        <v>2836503.03</v>
      </c>
      <c r="K65" s="37">
        <v>0.5</v>
      </c>
      <c r="L65" s="35">
        <f t="shared" si="0"/>
        <v>1.0672888337729287E-2</v>
      </c>
      <c r="M65" s="36">
        <f t="shared" si="1"/>
        <v>21273.772724999999</v>
      </c>
      <c r="N65" s="36">
        <f t="shared" si="2"/>
        <v>10636.886362499999</v>
      </c>
      <c r="O65" s="35">
        <f t="shared" si="3"/>
        <v>3.7499999999999999E-3</v>
      </c>
      <c r="P65" s="38"/>
      <c r="Q65" s="38"/>
      <c r="R65" s="39"/>
      <c r="S65" s="49"/>
      <c r="T65" s="41"/>
      <c r="U65" s="41"/>
      <c r="V65" s="42"/>
      <c r="AF65" s="42"/>
      <c r="AG65" s="47" t="s">
        <v>775</v>
      </c>
      <c r="AH65" s="48"/>
    </row>
    <row r="66" spans="1:34">
      <c r="A66" s="31">
        <v>62</v>
      </c>
      <c r="B66" s="32" t="s">
        <v>933</v>
      </c>
      <c r="C66" s="33"/>
      <c r="D66" s="52" t="s">
        <v>934</v>
      </c>
      <c r="E66" s="33" t="s">
        <v>757</v>
      </c>
      <c r="F66" s="33" t="s">
        <v>758</v>
      </c>
      <c r="G66" s="33">
        <v>1994919</v>
      </c>
      <c r="H66" s="60" t="s">
        <v>935</v>
      </c>
      <c r="I66" s="35">
        <v>5.0000000000000001E-3</v>
      </c>
      <c r="J66" s="36">
        <f>VLOOKUP(G66,'[1]Planilha BTG - ON'!$A:$C,3,0)</f>
        <v>1245275.8399999999</v>
      </c>
      <c r="K66" s="37">
        <v>0.5</v>
      </c>
      <c r="L66" s="35">
        <f t="shared" si="0"/>
        <v>4.6855899145618191E-3</v>
      </c>
      <c r="M66" s="36">
        <f t="shared" si="1"/>
        <v>6226.3791999999994</v>
      </c>
      <c r="N66" s="36">
        <f t="shared" si="2"/>
        <v>3113.1895999999997</v>
      </c>
      <c r="O66" s="35">
        <f>I66*K66</f>
        <v>2.5000000000000001E-3</v>
      </c>
      <c r="P66" s="38"/>
      <c r="Q66" s="38"/>
      <c r="R66" s="39"/>
      <c r="S66" s="49"/>
      <c r="T66" s="41"/>
      <c r="U66" s="41"/>
      <c r="V66" s="42"/>
      <c r="AF66" s="42"/>
      <c r="AG66" s="47" t="s">
        <v>923</v>
      </c>
      <c r="AH66" s="48"/>
    </row>
    <row r="67" spans="1:34">
      <c r="A67" s="31">
        <v>63</v>
      </c>
      <c r="B67" s="32" t="s">
        <v>936</v>
      </c>
      <c r="C67" s="33"/>
      <c r="D67" s="52" t="s">
        <v>937</v>
      </c>
      <c r="E67" s="33" t="s">
        <v>757</v>
      </c>
      <c r="F67" s="33" t="s">
        <v>758</v>
      </c>
      <c r="G67" s="33">
        <v>682006</v>
      </c>
      <c r="H67" s="33" t="s">
        <v>759</v>
      </c>
      <c r="I67" s="35">
        <v>0.01</v>
      </c>
      <c r="J67" s="36">
        <f>VLOOKUP(G67,'[1]Planilha BTG - ON'!$A:$C,3,0)</f>
        <v>861156.32</v>
      </c>
      <c r="K67" s="37">
        <v>0.75</v>
      </c>
      <c r="L67" s="35">
        <f t="shared" si="0"/>
        <v>3.2402663235264976E-3</v>
      </c>
      <c r="M67" s="36">
        <f t="shared" si="1"/>
        <v>8611.5632000000005</v>
      </c>
      <c r="N67" s="36">
        <f t="shared" si="2"/>
        <v>6458.6724000000004</v>
      </c>
      <c r="O67" s="35">
        <f t="shared" si="3"/>
        <v>7.4999999999999997E-3</v>
      </c>
      <c r="P67" s="38"/>
      <c r="Q67" s="38"/>
      <c r="R67" s="39"/>
      <c r="S67" s="49"/>
      <c r="T67" s="41"/>
      <c r="U67" s="41"/>
      <c r="V67" s="42"/>
      <c r="AF67" s="42"/>
      <c r="AG67" s="47" t="s">
        <v>775</v>
      </c>
      <c r="AH67" s="48"/>
    </row>
    <row r="68" spans="1:34">
      <c r="A68" s="31">
        <v>64</v>
      </c>
      <c r="B68" s="59" t="s">
        <v>938</v>
      </c>
      <c r="C68" s="33"/>
      <c r="D68" s="52" t="s">
        <v>932</v>
      </c>
      <c r="E68" s="33" t="s">
        <v>757</v>
      </c>
      <c r="F68" s="33" t="s">
        <v>758</v>
      </c>
      <c r="G68" s="33">
        <v>8206152</v>
      </c>
      <c r="H68" s="60" t="s">
        <v>920</v>
      </c>
      <c r="I68" s="35">
        <v>7.4999999999999997E-3</v>
      </c>
      <c r="J68" s="36">
        <f>VLOOKUP(G68,'[1]Planilha BTG - ON'!$A:$C,3,0)</f>
        <v>52339.96</v>
      </c>
      <c r="K68" s="37">
        <v>0.5</v>
      </c>
      <c r="L68" s="35">
        <f t="shared" si="0"/>
        <v>1.9693916867813725E-4</v>
      </c>
      <c r="M68" s="36">
        <f t="shared" si="1"/>
        <v>392.54969999999997</v>
      </c>
      <c r="N68" s="36">
        <f t="shared" si="2"/>
        <v>196.27484999999999</v>
      </c>
      <c r="O68" s="35">
        <f t="shared" si="3"/>
        <v>3.7499999999999999E-3</v>
      </c>
      <c r="P68" s="38"/>
      <c r="Q68" s="38"/>
      <c r="R68" s="39"/>
      <c r="S68" s="49"/>
      <c r="T68" s="41"/>
      <c r="U68" s="41"/>
      <c r="V68" s="42"/>
      <c r="AF68" s="42"/>
      <c r="AG68" s="47" t="s">
        <v>775</v>
      </c>
      <c r="AH68" s="48"/>
    </row>
    <row r="69" spans="1:34">
      <c r="A69" s="31">
        <v>65</v>
      </c>
      <c r="B69" s="32" t="s">
        <v>939</v>
      </c>
      <c r="C69" s="33"/>
      <c r="D69" s="52" t="s">
        <v>940</v>
      </c>
      <c r="E69" s="33" t="s">
        <v>757</v>
      </c>
      <c r="F69" s="33" t="s">
        <v>758</v>
      </c>
      <c r="G69" s="33">
        <v>8337968</v>
      </c>
      <c r="H69" s="33" t="s">
        <v>941</v>
      </c>
      <c r="I69" s="35">
        <v>7.0000000000000001E-3</v>
      </c>
      <c r="J69" s="36">
        <f>VLOOKUP(G69,'[1]Planilha BTG - ON'!$A:$C,3,0)</f>
        <v>1423081.06</v>
      </c>
      <c r="K69" s="37">
        <v>0.5</v>
      </c>
      <c r="L69" s="35">
        <f t="shared" ref="L69:L86" si="4">J69/$J$2</f>
        <v>5.3546162610365461E-3</v>
      </c>
      <c r="M69" s="36">
        <f t="shared" ref="M69:M86" si="5">J69*I69</f>
        <v>9961.5674200000012</v>
      </c>
      <c r="N69" s="36">
        <f t="shared" ref="N69:N86" si="6">M69*K69</f>
        <v>4980.7837100000006</v>
      </c>
      <c r="O69" s="35">
        <f>I69*K69</f>
        <v>3.5000000000000001E-3</v>
      </c>
      <c r="P69" s="38"/>
      <c r="Q69" s="38"/>
      <c r="R69" s="39"/>
      <c r="S69" s="49"/>
      <c r="T69" s="41"/>
      <c r="U69" s="41"/>
      <c r="V69" s="42"/>
      <c r="AF69" s="42"/>
      <c r="AG69" s="47" t="s">
        <v>923</v>
      </c>
      <c r="AH69" s="48"/>
    </row>
    <row r="70" spans="1:34">
      <c r="A70" s="31">
        <v>66</v>
      </c>
      <c r="B70" s="32" t="s">
        <v>942</v>
      </c>
      <c r="C70" s="33"/>
      <c r="D70" s="52" t="s">
        <v>943</v>
      </c>
      <c r="E70" s="33" t="s">
        <v>757</v>
      </c>
      <c r="F70" s="33" t="s">
        <v>758</v>
      </c>
      <c r="G70" s="33">
        <v>3225742</v>
      </c>
      <c r="H70" s="33" t="s">
        <v>816</v>
      </c>
      <c r="I70" s="35">
        <v>5.0000000000000001E-3</v>
      </c>
      <c r="J70" s="36">
        <f>VLOOKUP(G70,'[1]Planilha BTG - ON'!$A:$C,3,0)</f>
        <v>564701.88</v>
      </c>
      <c r="K70" s="37">
        <v>0.5</v>
      </c>
      <c r="L70" s="35">
        <f t="shared" si="4"/>
        <v>2.1247994610271237E-3</v>
      </c>
      <c r="M70" s="36">
        <f t="shared" si="5"/>
        <v>2823.5093999999999</v>
      </c>
      <c r="N70" s="36">
        <f t="shared" si="6"/>
        <v>1411.7547</v>
      </c>
      <c r="O70" s="35">
        <f>I70*K70</f>
        <v>2.5000000000000001E-3</v>
      </c>
      <c r="P70" s="38"/>
      <c r="Q70" s="38"/>
      <c r="R70" s="39"/>
      <c r="S70" s="49"/>
      <c r="T70" s="41"/>
      <c r="U70" s="41"/>
      <c r="V70" s="42"/>
      <c r="AF70" s="42"/>
      <c r="AG70" s="47" t="s">
        <v>775</v>
      </c>
      <c r="AH70" s="48"/>
    </row>
    <row r="71" spans="1:34">
      <c r="A71" s="31">
        <v>67</v>
      </c>
      <c r="B71" s="32" t="s">
        <v>944</v>
      </c>
      <c r="C71" s="33"/>
      <c r="D71" s="52" t="s">
        <v>945</v>
      </c>
      <c r="E71" s="33" t="s">
        <v>757</v>
      </c>
      <c r="F71" s="33" t="s">
        <v>758</v>
      </c>
      <c r="G71" s="33">
        <v>3115164</v>
      </c>
      <c r="H71" s="33" t="s">
        <v>759</v>
      </c>
      <c r="I71" s="35">
        <v>0</v>
      </c>
      <c r="J71" s="36">
        <f>VLOOKUP(G71,'[1]Planilha BTG - ON'!$A:$C,3,0)</f>
        <v>106621.11</v>
      </c>
      <c r="K71" s="37">
        <v>0.75</v>
      </c>
      <c r="L71" s="35">
        <f t="shared" si="4"/>
        <v>4.0118243817802358E-4</v>
      </c>
      <c r="M71" s="36">
        <f t="shared" si="5"/>
        <v>0</v>
      </c>
      <c r="N71" s="36">
        <f t="shared" si="6"/>
        <v>0</v>
      </c>
      <c r="O71" s="35">
        <f>I71*K71</f>
        <v>0</v>
      </c>
      <c r="P71" s="38"/>
      <c r="Q71" s="38"/>
      <c r="R71" s="39"/>
      <c r="S71" s="49"/>
      <c r="T71" s="41"/>
      <c r="U71" s="41"/>
      <c r="V71" s="42"/>
      <c r="AF71" s="42"/>
      <c r="AG71" s="47" t="s">
        <v>775</v>
      </c>
      <c r="AH71" s="48"/>
    </row>
    <row r="72" spans="1:34">
      <c r="A72" s="31">
        <v>68</v>
      </c>
      <c r="B72" s="32" t="s">
        <v>946</v>
      </c>
      <c r="C72" s="33"/>
      <c r="D72" s="52" t="s">
        <v>947</v>
      </c>
      <c r="E72" s="33" t="s">
        <v>757</v>
      </c>
      <c r="F72" s="33" t="s">
        <v>758</v>
      </c>
      <c r="G72" s="33">
        <v>3899781</v>
      </c>
      <c r="H72" s="33" t="s">
        <v>759</v>
      </c>
      <c r="I72" s="35">
        <v>0</v>
      </c>
      <c r="J72" s="36">
        <f>VLOOKUP(G72,'[1]Planilha BTG - ON'!$A:$C,3,0)</f>
        <v>357078.12</v>
      </c>
      <c r="K72" s="37">
        <v>0.75</v>
      </c>
      <c r="L72" s="35">
        <f t="shared" si="4"/>
        <v>1.3435751213021969E-3</v>
      </c>
      <c r="M72" s="36">
        <f t="shared" si="5"/>
        <v>0</v>
      </c>
      <c r="N72" s="36">
        <f t="shared" si="6"/>
        <v>0</v>
      </c>
      <c r="O72" s="35">
        <f>I72*K72</f>
        <v>0</v>
      </c>
      <c r="P72" s="38"/>
      <c r="Q72" s="38"/>
      <c r="R72" s="39"/>
      <c r="S72" s="49"/>
      <c r="T72" s="41"/>
      <c r="U72" s="41"/>
      <c r="V72" s="42"/>
      <c r="AF72" s="42"/>
      <c r="AG72" s="47" t="s">
        <v>775</v>
      </c>
      <c r="AH72" s="48"/>
    </row>
    <row r="73" spans="1:34">
      <c r="A73" s="31">
        <v>69</v>
      </c>
      <c r="B73" s="32" t="s">
        <v>948</v>
      </c>
      <c r="C73" s="33"/>
      <c r="D73" s="52" t="s">
        <v>949</v>
      </c>
      <c r="E73" s="33" t="s">
        <v>757</v>
      </c>
      <c r="F73" s="33" t="s">
        <v>758</v>
      </c>
      <c r="G73" s="33">
        <v>3003782</v>
      </c>
      <c r="H73" s="33" t="s">
        <v>816</v>
      </c>
      <c r="I73" s="35">
        <v>0.01</v>
      </c>
      <c r="J73" s="36">
        <f>VLOOKUP(G73,'[1]Planilha BTG - ON'!$A:$C,3,0)</f>
        <v>3632821.0200000005</v>
      </c>
      <c r="K73" s="37">
        <v>0.5</v>
      </c>
      <c r="L73" s="35">
        <f t="shared" si="4"/>
        <v>1.3669187971012258E-2</v>
      </c>
      <c r="M73" s="36">
        <f t="shared" si="5"/>
        <v>36328.210200000009</v>
      </c>
      <c r="N73" s="36">
        <f t="shared" si="6"/>
        <v>18164.105100000004</v>
      </c>
      <c r="O73" s="35">
        <f t="shared" ref="O73:O86" si="7">I73*K73</f>
        <v>5.0000000000000001E-3</v>
      </c>
      <c r="P73" s="38"/>
      <c r="Q73" s="38"/>
      <c r="R73" s="39"/>
      <c r="S73" s="49"/>
      <c r="T73" s="41"/>
      <c r="U73" s="41"/>
      <c r="V73" s="42"/>
      <c r="AF73" s="42"/>
      <c r="AG73" s="47" t="s">
        <v>768</v>
      </c>
      <c r="AH73" s="48"/>
    </row>
    <row r="74" spans="1:34">
      <c r="A74" s="31">
        <v>70</v>
      </c>
      <c r="B74" s="32" t="s">
        <v>942</v>
      </c>
      <c r="C74" s="33"/>
      <c r="D74" s="52" t="s">
        <v>943</v>
      </c>
      <c r="E74" s="33" t="s">
        <v>757</v>
      </c>
      <c r="F74" s="33" t="s">
        <v>758</v>
      </c>
      <c r="G74" s="33">
        <v>4204580</v>
      </c>
      <c r="H74" s="33" t="s">
        <v>816</v>
      </c>
      <c r="I74" s="35">
        <v>8.0000000000000002E-3</v>
      </c>
      <c r="J74" s="36">
        <f>VLOOKUP(G74,'[1]Planilha BTG - ON'!$A:$C,3,0)</f>
        <v>3301447.79</v>
      </c>
      <c r="K74" s="37">
        <v>0.5</v>
      </c>
      <c r="L74" s="35">
        <f t="shared" si="4"/>
        <v>1.2422332443449965E-2</v>
      </c>
      <c r="M74" s="36">
        <f t="shared" si="5"/>
        <v>26411.582320000001</v>
      </c>
      <c r="N74" s="36">
        <f t="shared" si="6"/>
        <v>13205.791160000001</v>
      </c>
      <c r="O74" s="35">
        <f t="shared" si="7"/>
        <v>4.0000000000000001E-3</v>
      </c>
      <c r="P74" s="38"/>
      <c r="Q74" s="38"/>
      <c r="R74" s="39"/>
      <c r="S74" s="49"/>
      <c r="T74" s="41"/>
      <c r="U74" s="41"/>
      <c r="V74" s="42"/>
      <c r="AF74" s="42"/>
      <c r="AG74" s="47" t="s">
        <v>768</v>
      </c>
      <c r="AH74" s="48"/>
    </row>
    <row r="75" spans="1:34">
      <c r="A75" s="31">
        <v>71</v>
      </c>
      <c r="B75" s="32" t="s">
        <v>950</v>
      </c>
      <c r="C75" s="33"/>
      <c r="D75" s="52" t="s">
        <v>951</v>
      </c>
      <c r="E75" s="33" t="s">
        <v>757</v>
      </c>
      <c r="F75" s="33" t="s">
        <v>758</v>
      </c>
      <c r="G75" s="33">
        <v>1507837</v>
      </c>
      <c r="H75" s="60" t="s">
        <v>952</v>
      </c>
      <c r="I75" s="35">
        <v>0.01</v>
      </c>
      <c r="J75" s="36">
        <f>VLOOKUP(G75,'[1]Planilha BTG - ON'!$A:$C,3,0)</f>
        <v>987103.97999999986</v>
      </c>
      <c r="K75" s="37">
        <v>0.5</v>
      </c>
      <c r="L75" s="35">
        <f t="shared" si="4"/>
        <v>3.7141686241273513E-3</v>
      </c>
      <c r="M75" s="36">
        <f t="shared" si="5"/>
        <v>9871.0397999999986</v>
      </c>
      <c r="N75" s="36">
        <f t="shared" si="6"/>
        <v>4935.5198999999993</v>
      </c>
      <c r="O75" s="35">
        <f t="shared" si="7"/>
        <v>5.0000000000000001E-3</v>
      </c>
      <c r="P75" s="38"/>
      <c r="Q75" s="38"/>
      <c r="R75" s="39"/>
      <c r="S75" s="49"/>
      <c r="T75" s="41"/>
      <c r="U75" s="41"/>
      <c r="V75" s="42"/>
      <c r="AF75" s="42"/>
      <c r="AG75" s="47" t="s">
        <v>923</v>
      </c>
      <c r="AH75" s="48"/>
    </row>
    <row r="76" spans="1:34">
      <c r="A76" s="31">
        <v>72</v>
      </c>
      <c r="B76" s="32" t="s">
        <v>953</v>
      </c>
      <c r="C76" s="33"/>
      <c r="D76" s="52" t="s">
        <v>954</v>
      </c>
      <c r="E76" s="33" t="s">
        <v>757</v>
      </c>
      <c r="F76" s="33" t="s">
        <v>758</v>
      </c>
      <c r="G76" s="33">
        <v>3800980</v>
      </c>
      <c r="H76" s="33" t="s">
        <v>955</v>
      </c>
      <c r="I76" s="35">
        <v>0.01</v>
      </c>
      <c r="J76" s="36">
        <f>VLOOKUP(G76,'[1]Planilha BTG - ON'!$A:$C,3,0)</f>
        <v>312906.12</v>
      </c>
      <c r="K76" s="37">
        <v>0.5</v>
      </c>
      <c r="L76" s="35">
        <f t="shared" si="4"/>
        <v>1.1773694734788002E-3</v>
      </c>
      <c r="M76" s="36">
        <f t="shared" si="5"/>
        <v>3129.0612000000001</v>
      </c>
      <c r="N76" s="36">
        <f t="shared" si="6"/>
        <v>1564.5306</v>
      </c>
      <c r="O76" s="35">
        <f t="shared" si="7"/>
        <v>5.0000000000000001E-3</v>
      </c>
      <c r="P76" s="38"/>
      <c r="Q76" s="38"/>
      <c r="R76" s="39"/>
      <c r="S76" s="49"/>
      <c r="T76" s="41"/>
      <c r="U76" s="41"/>
      <c r="V76" s="42"/>
      <c r="AF76" s="42"/>
      <c r="AG76" s="47" t="s">
        <v>956</v>
      </c>
      <c r="AH76" s="48"/>
    </row>
    <row r="77" spans="1:34">
      <c r="A77" s="31">
        <v>73</v>
      </c>
      <c r="B77" s="32" t="s">
        <v>957</v>
      </c>
      <c r="C77" s="33"/>
      <c r="D77" s="52" t="s">
        <v>958</v>
      </c>
      <c r="E77" s="33" t="s">
        <v>757</v>
      </c>
      <c r="F77" s="33" t="s">
        <v>758</v>
      </c>
      <c r="G77" s="33">
        <v>8543113</v>
      </c>
      <c r="H77" s="33" t="s">
        <v>959</v>
      </c>
      <c r="I77" s="35">
        <v>5.0000000000000001E-3</v>
      </c>
      <c r="J77" s="36">
        <f>VLOOKUP(G77,'[1]Planilha BTG - ON'!$A:$C,3,0)</f>
        <v>52590779.290000007</v>
      </c>
      <c r="K77" s="37">
        <v>0.5</v>
      </c>
      <c r="L77" s="35">
        <f t="shared" si="4"/>
        <v>0.19788292450945699</v>
      </c>
      <c r="M77" s="36">
        <f t="shared" si="5"/>
        <v>262953.89645000006</v>
      </c>
      <c r="N77" s="36">
        <f t="shared" si="6"/>
        <v>131476.94822500003</v>
      </c>
      <c r="O77" s="35">
        <f t="shared" si="7"/>
        <v>2.5000000000000001E-3</v>
      </c>
      <c r="P77" s="38"/>
      <c r="Q77" s="38"/>
      <c r="R77" s="39"/>
      <c r="S77" s="49"/>
      <c r="T77" s="41"/>
      <c r="U77" s="41"/>
      <c r="V77" s="42"/>
      <c r="AF77" s="42"/>
      <c r="AG77" s="62" t="s">
        <v>960</v>
      </c>
      <c r="AH77" s="48"/>
    </row>
    <row r="78" spans="1:34">
      <c r="A78" s="31">
        <v>74</v>
      </c>
      <c r="B78" s="32" t="s">
        <v>961</v>
      </c>
      <c r="C78" s="33"/>
      <c r="D78" s="52" t="s">
        <v>962</v>
      </c>
      <c r="E78" s="33" t="s">
        <v>757</v>
      </c>
      <c r="F78" s="33" t="s">
        <v>758</v>
      </c>
      <c r="G78" s="33">
        <v>8087551</v>
      </c>
      <c r="H78" s="33" t="s">
        <v>963</v>
      </c>
      <c r="I78" s="35">
        <v>5.4999999999999997E-3</v>
      </c>
      <c r="J78" s="36">
        <f>VLOOKUP(G78,'[1]Planilha BTG - ON'!$A:$C,3,0)</f>
        <v>2203473.2000000002</v>
      </c>
      <c r="K78" s="37">
        <v>0.5</v>
      </c>
      <c r="L78" s="35">
        <f t="shared" si="4"/>
        <v>8.2909918198744298E-3</v>
      </c>
      <c r="M78" s="36">
        <f t="shared" si="5"/>
        <v>12119.1026</v>
      </c>
      <c r="N78" s="36">
        <f t="shared" si="6"/>
        <v>6059.5513000000001</v>
      </c>
      <c r="O78" s="35">
        <f t="shared" si="7"/>
        <v>2.7499999999999998E-3</v>
      </c>
      <c r="P78" s="38"/>
      <c r="Q78" s="38"/>
      <c r="R78" s="39"/>
      <c r="S78" s="49"/>
      <c r="T78" s="41"/>
      <c r="U78" s="41"/>
      <c r="V78" s="42"/>
      <c r="AF78" s="42"/>
      <c r="AG78" s="47" t="s">
        <v>775</v>
      </c>
      <c r="AH78" s="48"/>
    </row>
    <row r="79" spans="1:34">
      <c r="A79" s="31">
        <v>75</v>
      </c>
      <c r="B79" s="32" t="s">
        <v>964</v>
      </c>
      <c r="C79" s="33"/>
      <c r="D79" s="52" t="s">
        <v>962</v>
      </c>
      <c r="E79" s="33" t="s">
        <v>757</v>
      </c>
      <c r="F79" s="33" t="s">
        <v>758</v>
      </c>
      <c r="G79" s="33">
        <v>8565325</v>
      </c>
      <c r="H79" s="33" t="s">
        <v>963</v>
      </c>
      <c r="I79" s="35">
        <v>5.4999999999999997E-3</v>
      </c>
      <c r="J79" s="36">
        <f>VLOOKUP(G79,'[1]Planilha BTG - ON'!$A:$C,3,0)</f>
        <v>2193036.96</v>
      </c>
      <c r="K79" s="37">
        <v>0.5</v>
      </c>
      <c r="L79" s="35">
        <f t="shared" si="4"/>
        <v>8.2517234591472626E-3</v>
      </c>
      <c r="M79" s="36">
        <f t="shared" si="5"/>
        <v>12061.70328</v>
      </c>
      <c r="N79" s="36">
        <f t="shared" si="6"/>
        <v>6030.8516399999999</v>
      </c>
      <c r="O79" s="35">
        <f t="shared" si="7"/>
        <v>2.7499999999999998E-3</v>
      </c>
      <c r="P79" s="38"/>
      <c r="Q79" s="38"/>
      <c r="R79" s="39"/>
      <c r="S79" s="49"/>
      <c r="T79" s="41"/>
      <c r="U79" s="41"/>
      <c r="V79" s="42"/>
      <c r="AF79" s="42"/>
      <c r="AG79" s="47" t="s">
        <v>775</v>
      </c>
      <c r="AH79" s="48"/>
    </row>
    <row r="80" spans="1:34">
      <c r="A80" s="31">
        <v>76</v>
      </c>
      <c r="B80" s="32" t="s">
        <v>965</v>
      </c>
      <c r="C80" s="33"/>
      <c r="D80" s="52" t="s">
        <v>966</v>
      </c>
      <c r="E80" s="33" t="s">
        <v>757</v>
      </c>
      <c r="F80" s="33" t="s">
        <v>758</v>
      </c>
      <c r="G80" s="33">
        <v>5955435</v>
      </c>
      <c r="H80" s="60" t="s">
        <v>967</v>
      </c>
      <c r="I80" s="35">
        <v>0.01</v>
      </c>
      <c r="J80" s="36">
        <f>VLOOKUP(G80,'[1]Planilha BTG - ON'!$A:$C,3,0)</f>
        <v>971505.78</v>
      </c>
      <c r="K80" s="37">
        <v>0.5</v>
      </c>
      <c r="L80" s="35">
        <f t="shared" si="4"/>
        <v>3.6554773958406791E-3</v>
      </c>
      <c r="M80" s="36">
        <f t="shared" si="5"/>
        <v>9715.0578000000005</v>
      </c>
      <c r="N80" s="36">
        <f t="shared" si="6"/>
        <v>4857.5289000000002</v>
      </c>
      <c r="O80" s="35">
        <f t="shared" si="7"/>
        <v>5.0000000000000001E-3</v>
      </c>
      <c r="P80" s="38"/>
      <c r="Q80" s="38"/>
      <c r="R80" s="39"/>
      <c r="S80" s="49"/>
      <c r="T80" s="41"/>
      <c r="U80" s="41"/>
      <c r="V80" s="42"/>
      <c r="AF80" s="42"/>
      <c r="AG80" s="47" t="s">
        <v>775</v>
      </c>
      <c r="AH80" s="48"/>
    </row>
    <row r="81" spans="1:34" ht="14.4">
      <c r="A81" s="31">
        <v>77</v>
      </c>
      <c r="B81" s="32" t="s">
        <v>968</v>
      </c>
      <c r="C81" s="33"/>
      <c r="D81" s="52" t="s">
        <v>969</v>
      </c>
      <c r="E81" s="33" t="s">
        <v>757</v>
      </c>
      <c r="F81" s="33" t="s">
        <v>758</v>
      </c>
      <c r="G81" s="63">
        <v>1985904</v>
      </c>
      <c r="H81" s="60" t="s">
        <v>935</v>
      </c>
      <c r="I81" s="35">
        <v>8.9999999999999993E-3</v>
      </c>
      <c r="J81" s="36">
        <f>VLOOKUP(G81,'[1]Planilha BTG - ON'!$A:$C,3,0)</f>
        <v>3791345.51</v>
      </c>
      <c r="K81" s="37">
        <v>0.5</v>
      </c>
      <c r="L81" s="35">
        <f t="shared" si="4"/>
        <v>1.4265666861629016E-2</v>
      </c>
      <c r="M81" s="36">
        <f t="shared" si="5"/>
        <v>34122.109589999993</v>
      </c>
      <c r="N81" s="36">
        <f t="shared" si="6"/>
        <v>17061.054794999996</v>
      </c>
      <c r="O81" s="35">
        <f t="shared" si="7"/>
        <v>4.4999999999999997E-3</v>
      </c>
      <c r="P81" s="38"/>
      <c r="Q81" s="38"/>
      <c r="R81" s="39"/>
      <c r="S81" s="49"/>
      <c r="T81" s="41"/>
      <c r="U81" s="41"/>
      <c r="V81" s="42"/>
      <c r="AF81" s="42"/>
      <c r="AG81" s="47" t="s">
        <v>775</v>
      </c>
      <c r="AH81" s="48"/>
    </row>
    <row r="82" spans="1:34">
      <c r="A82" s="31">
        <v>78</v>
      </c>
      <c r="B82" s="32" t="s">
        <v>970</v>
      </c>
      <c r="C82" s="33"/>
      <c r="D82" s="52" t="s">
        <v>971</v>
      </c>
      <c r="E82" s="33" t="s">
        <v>757</v>
      </c>
      <c r="F82" s="33" t="s">
        <v>758</v>
      </c>
      <c r="G82" s="33">
        <v>8733288</v>
      </c>
      <c r="H82" s="33" t="s">
        <v>882</v>
      </c>
      <c r="I82" s="35">
        <v>7.4999999999999997E-3</v>
      </c>
      <c r="J82" s="36">
        <f>VLOOKUP(G82,'[1]Planilha BTG - ON'!$A:$C,3,0)</f>
        <v>2711201.7700000005</v>
      </c>
      <c r="K82" s="37">
        <v>0.5</v>
      </c>
      <c r="L82" s="35">
        <f t="shared" si="4"/>
        <v>1.0201418241483073E-2</v>
      </c>
      <c r="M82" s="36">
        <f t="shared" si="5"/>
        <v>20334.013275000001</v>
      </c>
      <c r="N82" s="36">
        <f t="shared" si="6"/>
        <v>10167.006637500001</v>
      </c>
      <c r="O82" s="35">
        <f t="shared" si="7"/>
        <v>3.7499999999999999E-3</v>
      </c>
      <c r="P82" s="38"/>
      <c r="Q82" s="38"/>
      <c r="R82" s="39"/>
      <c r="S82" s="49"/>
      <c r="T82" s="41"/>
      <c r="U82" s="41"/>
      <c r="V82" s="42"/>
      <c r="AF82" s="42"/>
      <c r="AG82" s="47" t="s">
        <v>972</v>
      </c>
      <c r="AH82" s="48"/>
    </row>
    <row r="83" spans="1:34">
      <c r="A83" s="31">
        <v>79</v>
      </c>
      <c r="B83" s="32" t="s">
        <v>973</v>
      </c>
      <c r="C83" s="33"/>
      <c r="D83" s="52" t="s">
        <v>974</v>
      </c>
      <c r="E83" s="33" t="s">
        <v>757</v>
      </c>
      <c r="F83" s="33" t="s">
        <v>758</v>
      </c>
      <c r="G83" s="33">
        <v>8758138</v>
      </c>
      <c r="H83" s="33" t="s">
        <v>759</v>
      </c>
      <c r="I83" s="35">
        <v>0</v>
      </c>
      <c r="J83" s="36">
        <f>VLOOKUP(G83,'[1]Planilha BTG - ON'!$A:$C,3,0)</f>
        <v>1608421.0899999999</v>
      </c>
      <c r="K83" s="37">
        <v>0.75</v>
      </c>
      <c r="L83" s="35">
        <f t="shared" si="4"/>
        <v>6.0519937796854138E-3</v>
      </c>
      <c r="M83" s="36">
        <f t="shared" si="5"/>
        <v>0</v>
      </c>
      <c r="N83" s="36">
        <f t="shared" si="6"/>
        <v>0</v>
      </c>
      <c r="O83" s="35">
        <f t="shared" si="7"/>
        <v>0</v>
      </c>
      <c r="P83" s="38"/>
      <c r="Q83" s="38"/>
      <c r="R83" s="39"/>
      <c r="S83" s="49"/>
      <c r="T83" s="41"/>
      <c r="U83" s="41"/>
      <c r="V83" s="42"/>
      <c r="AF83" s="42"/>
      <c r="AG83" s="47" t="s">
        <v>975</v>
      </c>
      <c r="AH83" s="48"/>
    </row>
    <row r="84" spans="1:34" ht="14.4">
      <c r="A84" s="31">
        <v>80</v>
      </c>
      <c r="B84" s="32" t="s">
        <v>976</v>
      </c>
      <c r="C84" s="33"/>
      <c r="D84" s="52" t="s">
        <v>977</v>
      </c>
      <c r="E84" s="33" t="s">
        <v>757</v>
      </c>
      <c r="F84" s="33" t="s">
        <v>758</v>
      </c>
      <c r="G84" s="63">
        <v>8845021</v>
      </c>
      <c r="H84" s="33" t="s">
        <v>882</v>
      </c>
      <c r="I84" s="35">
        <v>7.4999999999999997E-3</v>
      </c>
      <c r="J84" s="36">
        <f>VLOOKUP(G84,'[1]Planilha BTG - ON'!$A:$C,3,0)</f>
        <v>1053983.3899999999</v>
      </c>
      <c r="K84" s="37">
        <v>0.5</v>
      </c>
      <c r="L84" s="35">
        <f t="shared" si="4"/>
        <v>3.9658152705344995E-3</v>
      </c>
      <c r="M84" s="36">
        <f t="shared" si="5"/>
        <v>7904.8754249999993</v>
      </c>
      <c r="N84" s="36">
        <f t="shared" si="6"/>
        <v>3952.4377124999996</v>
      </c>
      <c r="O84" s="35">
        <f t="shared" si="7"/>
        <v>3.7499999999999999E-3</v>
      </c>
      <c r="P84" s="38"/>
      <c r="Q84" s="38"/>
      <c r="R84" s="39"/>
      <c r="S84" s="49"/>
      <c r="T84" s="41"/>
      <c r="U84" s="41"/>
      <c r="V84" s="42"/>
      <c r="AF84" s="42"/>
      <c r="AG84" s="47" t="s">
        <v>978</v>
      </c>
      <c r="AH84" s="48"/>
    </row>
    <row r="85" spans="1:34">
      <c r="A85" s="31">
        <v>81</v>
      </c>
      <c r="B85" s="32" t="s">
        <v>979</v>
      </c>
      <c r="C85" s="33"/>
      <c r="D85" s="52" t="s">
        <v>980</v>
      </c>
      <c r="E85" s="33" t="s">
        <v>757</v>
      </c>
      <c r="F85" s="33" t="s">
        <v>758</v>
      </c>
      <c r="G85" s="33">
        <v>1533930</v>
      </c>
      <c r="H85" s="33" t="s">
        <v>767</v>
      </c>
      <c r="I85" s="35">
        <v>0.01</v>
      </c>
      <c r="J85" s="36">
        <f>VLOOKUP(G85,'[1]Planilha BTG - ON'!$A:$C,3,0)</f>
        <v>1027098.4400000001</v>
      </c>
      <c r="K85" s="37">
        <v>0.5</v>
      </c>
      <c r="L85" s="35">
        <f t="shared" si="4"/>
        <v>3.8646554740242763E-3</v>
      </c>
      <c r="M85" s="36">
        <f t="shared" si="5"/>
        <v>10270.984400000001</v>
      </c>
      <c r="N85" s="36">
        <f t="shared" si="6"/>
        <v>5135.4922000000006</v>
      </c>
      <c r="O85" s="35">
        <f t="shared" si="7"/>
        <v>5.0000000000000001E-3</v>
      </c>
      <c r="P85" s="38"/>
      <c r="Q85" s="38"/>
      <c r="R85" s="39"/>
      <c r="S85" s="49"/>
      <c r="T85" s="41"/>
      <c r="U85" s="41"/>
      <c r="V85" s="42"/>
      <c r="AF85" s="42"/>
      <c r="AG85" s="47" t="s">
        <v>768</v>
      </c>
      <c r="AH85" s="48"/>
    </row>
    <row r="86" spans="1:34" ht="14.4">
      <c r="A86" s="31">
        <v>82</v>
      </c>
      <c r="B86" s="32" t="s">
        <v>981</v>
      </c>
      <c r="C86" s="33"/>
      <c r="D86" s="52" t="s">
        <v>982</v>
      </c>
      <c r="E86" s="33" t="s">
        <v>757</v>
      </c>
      <c r="F86" s="33" t="s">
        <v>758</v>
      </c>
      <c r="G86" s="63">
        <v>8760358</v>
      </c>
      <c r="H86" s="33" t="s">
        <v>955</v>
      </c>
      <c r="I86" s="35">
        <v>0.01</v>
      </c>
      <c r="J86" s="36">
        <f>VLOOKUP(G86,'[1]Planilha BTG - ON'!$A:$C,3,0)</f>
        <v>506900.19999999995</v>
      </c>
      <c r="K86" s="37">
        <v>0.5</v>
      </c>
      <c r="L86" s="35">
        <f t="shared" si="4"/>
        <v>1.9073095201215572E-3</v>
      </c>
      <c r="M86" s="36">
        <f t="shared" si="5"/>
        <v>5069.0019999999995</v>
      </c>
      <c r="N86" s="36">
        <f t="shared" si="6"/>
        <v>2534.5009999999997</v>
      </c>
      <c r="O86" s="35">
        <f t="shared" si="7"/>
        <v>5.0000000000000001E-3</v>
      </c>
      <c r="P86" s="38"/>
      <c r="Q86" s="38"/>
      <c r="R86" s="39"/>
      <c r="S86" s="49"/>
      <c r="T86" s="41"/>
      <c r="U86" s="41"/>
      <c r="V86" s="42"/>
      <c r="AF86" s="42"/>
      <c r="AG86" s="47" t="s">
        <v>956</v>
      </c>
      <c r="AH86" s="48"/>
    </row>
    <row r="87" spans="1:34" ht="14.4">
      <c r="A87" s="31"/>
      <c r="B87" s="32"/>
      <c r="C87" s="33"/>
      <c r="D87" s="52"/>
      <c r="E87" s="33"/>
      <c r="F87" s="33"/>
      <c r="G87" s="63"/>
      <c r="H87" s="33"/>
      <c r="I87" s="35"/>
      <c r="J87" s="36"/>
      <c r="K87" s="37"/>
      <c r="L87" s="35"/>
      <c r="M87" s="36"/>
      <c r="N87" s="36"/>
      <c r="O87" s="35"/>
      <c r="P87" s="38"/>
      <c r="Q87" s="38"/>
      <c r="R87" s="39"/>
      <c r="S87" s="49"/>
      <c r="T87" s="41"/>
      <c r="U87" s="41"/>
      <c r="V87" s="42"/>
      <c r="AF87" s="42"/>
      <c r="AG87" s="47"/>
      <c r="AH87" s="48"/>
    </row>
    <row r="88" spans="1:34">
      <c r="A88" s="31"/>
      <c r="B88" s="32"/>
      <c r="C88" s="33"/>
      <c r="D88" s="52"/>
      <c r="E88" s="33"/>
      <c r="F88" s="33"/>
      <c r="G88" s="33"/>
      <c r="H88" s="33"/>
      <c r="I88" s="35"/>
      <c r="J88" s="36"/>
      <c r="K88" s="37"/>
      <c r="L88" s="35"/>
      <c r="M88" s="36"/>
      <c r="N88" s="36"/>
      <c r="O88" s="35"/>
      <c r="P88" s="38"/>
      <c r="Q88" s="38"/>
      <c r="R88" s="39"/>
      <c r="S88" s="49"/>
      <c r="T88" s="41"/>
      <c r="U88" s="41"/>
      <c r="V88" s="42"/>
      <c r="AF88" s="42"/>
      <c r="AG88" s="47"/>
      <c r="AH88" s="48"/>
    </row>
    <row r="89" spans="1:34">
      <c r="A89" s="31"/>
      <c r="B89" s="32"/>
      <c r="C89" s="33"/>
      <c r="D89" s="52"/>
      <c r="E89" s="33"/>
      <c r="F89" s="33"/>
      <c r="G89" s="33"/>
      <c r="H89" s="33"/>
      <c r="I89" s="35"/>
      <c r="J89" s="36"/>
      <c r="K89" s="37"/>
      <c r="L89" s="35"/>
      <c r="M89" s="36"/>
      <c r="N89" s="36"/>
      <c r="O89" s="35"/>
      <c r="P89" s="38"/>
      <c r="Q89" s="38"/>
      <c r="R89" s="39"/>
      <c r="S89" s="49"/>
      <c r="T89" s="41"/>
      <c r="U89" s="41"/>
      <c r="V89" s="42"/>
      <c r="AF89" s="42"/>
      <c r="AG89" s="47"/>
      <c r="AH89" s="48"/>
    </row>
    <row r="102" spans="4:6">
      <c r="D102" s="64"/>
    </row>
    <row r="104" spans="4:6">
      <c r="D104" s="65"/>
    </row>
    <row r="108" spans="4:6">
      <c r="D108" s="64"/>
    </row>
    <row r="109" spans="4:6">
      <c r="D109" s="64"/>
      <c r="E109" s="64"/>
    </row>
    <row r="110" spans="4:6">
      <c r="D110" s="66"/>
      <c r="F110" s="66"/>
    </row>
    <row r="111" spans="4:6">
      <c r="F111" s="66"/>
    </row>
    <row r="112" spans="4:6">
      <c r="F112" s="66"/>
    </row>
  </sheetData>
  <autoFilter ref="A4:AH86" xr:uid="{E7DD63BF-4104-445F-9EF1-F93A05A13D92}"/>
  <mergeCells count="7">
    <mergeCell ref="R2:V2"/>
    <mergeCell ref="W2:Z2"/>
    <mergeCell ref="AA2:AF2"/>
    <mergeCell ref="S3:V3"/>
    <mergeCell ref="W3:Z3"/>
    <mergeCell ref="AA3:AC3"/>
    <mergeCell ref="AD3:AF3"/>
  </mergeCells>
  <hyperlinks>
    <hyperlink ref="D20" r:id="rId1" xr:uid="{944C7F65-84C6-4F9C-82EA-3828DC5671BD}"/>
    <hyperlink ref="D17" r:id="rId2" xr:uid="{6BD4AD5A-9DE1-4BE4-9077-D069363EAEA4}"/>
    <hyperlink ref="D13" r:id="rId3" xr:uid="{FFFE66C6-8FE6-4E2F-A26F-F61B0E303448}"/>
    <hyperlink ref="D36" r:id="rId4" xr:uid="{141818FD-2899-4073-9FB9-7B4BD7F11AD0}"/>
    <hyperlink ref="D29" r:id="rId5" xr:uid="{098B4583-1028-4759-B00D-D6309EDEFE93}"/>
    <hyperlink ref="D42" r:id="rId6" xr:uid="{23A50166-4BAF-4D40-AA5E-73AED27158A0}"/>
    <hyperlink ref="D43" r:id="rId7" xr:uid="{161D49F4-A67E-4B60-B70E-5D69C2CA582E}"/>
    <hyperlink ref="D44" r:id="rId8" xr:uid="{8CBF1C9B-B175-4D4F-9A97-C75AB1988256}"/>
    <hyperlink ref="D45" r:id="rId9" xr:uid="{1ABC4B0F-F75C-4C56-9DD5-E421677EA8BB}"/>
    <hyperlink ref="D46" r:id="rId10" xr:uid="{FDF64904-51A8-4FD2-A5BB-7683B15D2AC5}"/>
    <hyperlink ref="D47" r:id="rId11" xr:uid="{C668EE3F-630A-483B-BD5E-40EA60AF749B}"/>
    <hyperlink ref="D48" r:id="rId12" xr:uid="{5CE3706E-9843-430F-B474-366B0FF09CDE}"/>
    <hyperlink ref="D49" r:id="rId13" xr:uid="{2BABC5AB-D15D-4232-A066-AE55E4BFEA50}"/>
    <hyperlink ref="D55" r:id="rId14" xr:uid="{28EFB962-D6AF-4B85-BA14-2DC6F089108A}"/>
    <hyperlink ref="D56" r:id="rId15" xr:uid="{F6B2CB13-D5AD-43BB-9795-65CC2A49CF2A}"/>
    <hyperlink ref="D57" r:id="rId16" xr:uid="{654B8CAB-0C24-4360-B1A0-A2EBC8E9329D}"/>
    <hyperlink ref="D58" r:id="rId17" xr:uid="{C54CB2C6-E194-4DF0-93D3-162FFCDB454E}"/>
    <hyperlink ref="D59" r:id="rId18" xr:uid="{8B76DE99-EB0C-4674-A35D-B6B8A6FCF799}"/>
    <hyperlink ref="D60" r:id="rId19" xr:uid="{ECDF1BF7-0979-4F13-94B1-834095B8A00E}"/>
    <hyperlink ref="D61" r:id="rId20" xr:uid="{4413C08B-35AB-4C55-B357-26414940043B}"/>
    <hyperlink ref="D62" r:id="rId21" xr:uid="{7315E1F1-D5B4-45DB-A5EB-F384CD6299C7}"/>
    <hyperlink ref="D63" r:id="rId22" xr:uid="{19C173DC-4309-4B56-8527-2A0903886581}"/>
    <hyperlink ref="D64" r:id="rId23" xr:uid="{5DC048B4-7557-4B06-B658-9AC2B1E8A337}"/>
    <hyperlink ref="D65" r:id="rId24" xr:uid="{0A1AD3AA-B758-4F00-BD60-6695BC523876}"/>
    <hyperlink ref="D66" r:id="rId25" xr:uid="{062B294C-BAEA-479E-BB1B-9D3384CE5E3B}"/>
    <hyperlink ref="D67" r:id="rId26" xr:uid="{7BD0D3EC-51F4-4D62-B51E-65CCD6987D63}"/>
    <hyperlink ref="D68" r:id="rId27" xr:uid="{B04BE1EC-4053-4587-9A20-905B9ECB1DA3}"/>
    <hyperlink ref="D69" r:id="rId28" xr:uid="{50A6E69A-21CF-47B0-9412-759467674911}"/>
    <hyperlink ref="D70" r:id="rId29" xr:uid="{C3478774-030E-48A7-B3BA-25608ACFC803}"/>
    <hyperlink ref="D71" r:id="rId30" xr:uid="{5E8E1E79-A8E1-48A8-9587-219863E672E3}"/>
    <hyperlink ref="D72" r:id="rId31" xr:uid="{D208E4FF-1129-4BEF-999C-D6F33AFAF95B}"/>
    <hyperlink ref="D74" r:id="rId32" xr:uid="{253FD887-6D1D-4E68-8366-0A521D846829}"/>
    <hyperlink ref="D73" r:id="rId33" xr:uid="{A889A183-21A8-4089-911A-FE6600334ACA}"/>
    <hyperlink ref="D75" r:id="rId34" xr:uid="{5D9410B3-0E48-4706-BFA5-72AC5C54EE5E}"/>
    <hyperlink ref="D76" r:id="rId35" xr:uid="{97C8938E-5185-4434-BFCC-B6D23DF74F58}"/>
    <hyperlink ref="D77" r:id="rId36" xr:uid="{5FBEEA45-AC16-424F-8067-388AE27A84D6}"/>
    <hyperlink ref="D78" r:id="rId37" xr:uid="{BA21D8B4-CB82-4E23-93C2-40E189A3583D}"/>
    <hyperlink ref="D79" r:id="rId38" xr:uid="{522FBED9-2D1B-469B-A1EA-98662A1E8298}"/>
    <hyperlink ref="D80" r:id="rId39" xr:uid="{32904514-1ED5-4419-9ED9-A598C1711B32}"/>
    <hyperlink ref="D11" r:id="rId40" xr:uid="{6ABEF097-CCD2-41AB-828E-A1D88F9C72D5}"/>
    <hyperlink ref="D81" r:id="rId41" xr:uid="{4B00BC89-1962-4544-BD27-D551AC43465D}"/>
    <hyperlink ref="D85" r:id="rId42" xr:uid="{B778A737-348D-4ACB-A6D5-C278B515D4FC}"/>
    <hyperlink ref="D82" r:id="rId43" xr:uid="{EDAE575F-2F46-4E04-8F67-DBEE33356CF3}"/>
    <hyperlink ref="D83" r:id="rId44" xr:uid="{B4DDA340-627F-4C16-81C7-BEF6154EAF33}"/>
    <hyperlink ref="D84" r:id="rId45" xr:uid="{3E613024-E82C-4F68-8838-74C5BF65C645}"/>
    <hyperlink ref="D86" r:id="rId46" xr:uid="{45F3BC4B-3B31-4A64-BB70-21F54A1A59E0}"/>
  </hyperlinks>
  <pageMargins left="0.511811024" right="0.511811024" top="0.78740157499999996" bottom="0.78740157499999996" header="0.31496062000000002" footer="0.31496062000000002"/>
  <pageSetup orientation="portrait"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2"/>
  <sheetViews>
    <sheetView workbookViewId="0">
      <selection activeCell="H23" sqref="H23"/>
    </sheetView>
  </sheetViews>
  <sheetFormatPr defaultRowHeight="14.4"/>
  <cols>
    <col min="1" max="1" width="26.44140625" customWidth="1"/>
    <col min="2" max="2" width="16.5546875" bestFit="1" customWidth="1"/>
    <col min="3" max="3" width="10.33203125" bestFit="1" customWidth="1"/>
    <col min="9" max="9" width="63.21875" bestFit="1" customWidth="1"/>
    <col min="10" max="10" width="12.21875" bestFit="1" customWidth="1"/>
    <col min="12" max="12" width="11" bestFit="1" customWidth="1"/>
    <col min="13" max="13" width="11.109375" bestFit="1" customWidth="1"/>
    <col min="20" max="20" width="21" bestFit="1" customWidth="1"/>
    <col min="21" max="21" width="36.21875" bestFit="1" customWidth="1"/>
    <col min="22" max="22" width="10.10937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706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t="s">
        <v>22</v>
      </c>
      <c r="B2" t="s">
        <v>23</v>
      </c>
      <c r="C2" s="2">
        <v>45864</v>
      </c>
      <c r="D2" t="s">
        <v>24</v>
      </c>
      <c r="E2" t="s">
        <v>25</v>
      </c>
      <c r="G2" t="s">
        <v>24</v>
      </c>
      <c r="J2" s="2"/>
      <c r="M2" s="2"/>
      <c r="N2">
        <v>0</v>
      </c>
      <c r="O2">
        <v>0</v>
      </c>
      <c r="S2">
        <v>0</v>
      </c>
      <c r="U2" t="s">
        <v>26</v>
      </c>
      <c r="W2" s="3">
        <v>6993711</v>
      </c>
    </row>
    <row r="3" spans="1:23">
      <c r="A3" t="s">
        <v>27</v>
      </c>
      <c r="B3" t="s">
        <v>28</v>
      </c>
      <c r="C3" s="2">
        <v>45864</v>
      </c>
      <c r="D3" t="s">
        <v>24</v>
      </c>
      <c r="E3" t="s">
        <v>25</v>
      </c>
      <c r="G3" t="s">
        <v>24</v>
      </c>
      <c r="J3" s="2"/>
      <c r="M3" s="2"/>
      <c r="N3">
        <v>0</v>
      </c>
      <c r="O3">
        <v>0</v>
      </c>
      <c r="S3">
        <v>0</v>
      </c>
      <c r="U3" t="s">
        <v>26</v>
      </c>
      <c r="W3" s="3">
        <v>12837303</v>
      </c>
    </row>
    <row r="4" spans="1:23">
      <c r="A4" t="s">
        <v>29</v>
      </c>
      <c r="B4" t="s">
        <v>30</v>
      </c>
      <c r="C4" s="2">
        <v>45864</v>
      </c>
      <c r="D4" t="s">
        <v>24</v>
      </c>
      <c r="E4" t="s">
        <v>25</v>
      </c>
      <c r="G4" t="s">
        <v>24</v>
      </c>
      <c r="J4" s="2"/>
      <c r="M4" s="2"/>
      <c r="N4">
        <v>0</v>
      </c>
      <c r="O4">
        <v>0</v>
      </c>
      <c r="S4">
        <v>0</v>
      </c>
      <c r="U4" t="s">
        <v>26</v>
      </c>
      <c r="W4" s="3">
        <v>16909379</v>
      </c>
    </row>
    <row r="5" spans="1:23">
      <c r="A5" t="s">
        <v>31</v>
      </c>
      <c r="B5" t="s">
        <v>32</v>
      </c>
      <c r="C5" s="2">
        <v>45864</v>
      </c>
      <c r="D5" t="s">
        <v>24</v>
      </c>
      <c r="E5" t="s">
        <v>25</v>
      </c>
      <c r="G5" t="s">
        <v>24</v>
      </c>
      <c r="J5" s="2"/>
      <c r="M5" s="2"/>
      <c r="N5">
        <v>0</v>
      </c>
      <c r="O5">
        <v>0</v>
      </c>
      <c r="S5">
        <v>0</v>
      </c>
      <c r="U5" t="s">
        <v>26</v>
      </c>
      <c r="W5" s="3">
        <v>21498002</v>
      </c>
    </row>
    <row r="6" spans="1:23">
      <c r="A6" t="s">
        <v>33</v>
      </c>
      <c r="B6" t="s">
        <v>34</v>
      </c>
      <c r="C6" s="2">
        <v>45864</v>
      </c>
      <c r="D6" t="s">
        <v>24</v>
      </c>
      <c r="E6" t="s">
        <v>25</v>
      </c>
      <c r="G6" t="s">
        <v>24</v>
      </c>
      <c r="J6" s="2"/>
      <c r="M6" s="2"/>
      <c r="N6">
        <v>0</v>
      </c>
      <c r="O6">
        <v>0</v>
      </c>
      <c r="S6">
        <v>0</v>
      </c>
      <c r="U6" t="s">
        <v>26</v>
      </c>
      <c r="W6" s="3">
        <v>24776433</v>
      </c>
    </row>
    <row r="7" spans="1:23">
      <c r="A7" t="s">
        <v>35</v>
      </c>
      <c r="B7" t="s">
        <v>36</v>
      </c>
      <c r="C7" s="2">
        <v>45864</v>
      </c>
      <c r="D7" t="s">
        <v>24</v>
      </c>
      <c r="E7" t="s">
        <v>25</v>
      </c>
      <c r="G7" t="s">
        <v>24</v>
      </c>
      <c r="J7" s="2"/>
      <c r="M7" s="2"/>
      <c r="N7">
        <v>0</v>
      </c>
      <c r="O7">
        <v>0</v>
      </c>
      <c r="S7">
        <v>0</v>
      </c>
      <c r="U7" t="s">
        <v>26</v>
      </c>
      <c r="W7" s="3">
        <v>47105782</v>
      </c>
    </row>
    <row r="8" spans="1:23">
      <c r="A8" t="s">
        <v>37</v>
      </c>
      <c r="B8" t="s">
        <v>38</v>
      </c>
      <c r="C8" s="2">
        <v>45864</v>
      </c>
      <c r="D8" t="s">
        <v>24</v>
      </c>
      <c r="E8" t="s">
        <v>25</v>
      </c>
      <c r="G8" t="s">
        <v>24</v>
      </c>
      <c r="J8" s="2"/>
      <c r="M8" s="2"/>
      <c r="N8">
        <v>0</v>
      </c>
      <c r="O8">
        <v>0</v>
      </c>
      <c r="S8">
        <v>0</v>
      </c>
      <c r="U8" t="s">
        <v>26</v>
      </c>
      <c r="W8" s="3">
        <v>51368596</v>
      </c>
    </row>
    <row r="9" spans="1:23">
      <c r="A9" t="s">
        <v>39</v>
      </c>
      <c r="B9" t="s">
        <v>40</v>
      </c>
      <c r="C9" s="2">
        <v>45864</v>
      </c>
      <c r="D9" t="s">
        <v>24</v>
      </c>
      <c r="E9" t="s">
        <v>25</v>
      </c>
      <c r="G9" t="s">
        <v>24</v>
      </c>
      <c r="J9" s="2"/>
      <c r="M9" s="2"/>
      <c r="N9">
        <v>0</v>
      </c>
      <c r="O9">
        <v>0</v>
      </c>
      <c r="S9">
        <v>0</v>
      </c>
      <c r="U9" t="s">
        <v>26</v>
      </c>
      <c r="W9" s="3">
        <v>60202250</v>
      </c>
    </row>
    <row r="10" spans="1:23">
      <c r="A10" t="s">
        <v>41</v>
      </c>
      <c r="B10" t="s">
        <v>42</v>
      </c>
      <c r="C10" s="2">
        <v>45864</v>
      </c>
      <c r="D10" t="s">
        <v>24</v>
      </c>
      <c r="E10" t="s">
        <v>25</v>
      </c>
      <c r="G10" t="s">
        <v>24</v>
      </c>
      <c r="J10" s="2"/>
      <c r="M10" s="2"/>
      <c r="N10">
        <v>0</v>
      </c>
      <c r="O10">
        <v>0</v>
      </c>
      <c r="S10">
        <v>0</v>
      </c>
      <c r="U10" t="s">
        <v>26</v>
      </c>
      <c r="W10" s="3">
        <v>60681506</v>
      </c>
    </row>
    <row r="11" spans="1:23">
      <c r="A11" t="s">
        <v>43</v>
      </c>
      <c r="B11" t="s">
        <v>44</v>
      </c>
      <c r="C11" s="2">
        <v>45864</v>
      </c>
      <c r="D11" t="s">
        <v>24</v>
      </c>
      <c r="E11" t="s">
        <v>25</v>
      </c>
      <c r="G11" t="s">
        <v>24</v>
      </c>
      <c r="J11" s="2"/>
      <c r="M11" s="2"/>
      <c r="N11">
        <v>0</v>
      </c>
      <c r="O11">
        <v>0</v>
      </c>
      <c r="S11">
        <v>0</v>
      </c>
      <c r="U11" t="s">
        <v>26</v>
      </c>
      <c r="W11" s="3">
        <v>79077483</v>
      </c>
    </row>
    <row r="12" spans="1:23">
      <c r="A12" t="s">
        <v>45</v>
      </c>
      <c r="B12" t="s">
        <v>46</v>
      </c>
      <c r="C12" s="2">
        <v>45864</v>
      </c>
      <c r="D12" t="s">
        <v>24</v>
      </c>
      <c r="E12" t="s">
        <v>25</v>
      </c>
      <c r="G12" t="s">
        <v>24</v>
      </c>
      <c r="J12" s="2"/>
      <c r="M12" s="2"/>
      <c r="N12">
        <v>0</v>
      </c>
      <c r="O12">
        <v>0</v>
      </c>
      <c r="S12">
        <v>0</v>
      </c>
      <c r="U12" t="s">
        <v>26</v>
      </c>
      <c r="W12" s="3">
        <v>83036957</v>
      </c>
    </row>
    <row r="13" spans="1:23">
      <c r="A13" t="s">
        <v>47</v>
      </c>
      <c r="B13" t="s">
        <v>48</v>
      </c>
      <c r="C13" s="2">
        <v>45864</v>
      </c>
      <c r="D13" t="s">
        <v>24</v>
      </c>
      <c r="E13" t="s">
        <v>25</v>
      </c>
      <c r="G13" t="s">
        <v>24</v>
      </c>
      <c r="J13" s="2"/>
      <c r="M13" s="2"/>
      <c r="N13">
        <v>0.52</v>
      </c>
      <c r="O13">
        <v>0.52</v>
      </c>
      <c r="S13">
        <v>0.52</v>
      </c>
      <c r="U13" t="s">
        <v>26</v>
      </c>
      <c r="W13" s="3">
        <v>78539089</v>
      </c>
    </row>
    <row r="14" spans="1:23">
      <c r="A14" t="s">
        <v>49</v>
      </c>
      <c r="B14" t="s">
        <v>50</v>
      </c>
      <c r="C14" s="2">
        <v>45864</v>
      </c>
      <c r="D14" t="s">
        <v>24</v>
      </c>
      <c r="E14" t="s">
        <v>25</v>
      </c>
      <c r="G14" t="s">
        <v>24</v>
      </c>
      <c r="J14" s="2"/>
      <c r="M14" s="2"/>
      <c r="N14">
        <v>55.67</v>
      </c>
      <c r="O14">
        <v>55.67</v>
      </c>
      <c r="S14">
        <v>55.67</v>
      </c>
      <c r="U14" t="s">
        <v>26</v>
      </c>
      <c r="W14" s="3">
        <v>82384025</v>
      </c>
    </row>
    <row r="15" spans="1:23">
      <c r="A15" t="s">
        <v>51</v>
      </c>
      <c r="B15" t="s">
        <v>52</v>
      </c>
      <c r="C15" s="2">
        <v>45864</v>
      </c>
      <c r="D15" t="s">
        <v>24</v>
      </c>
      <c r="E15" t="s">
        <v>25</v>
      </c>
      <c r="G15" t="s">
        <v>24</v>
      </c>
      <c r="J15" s="2"/>
      <c r="M15" s="2"/>
      <c r="N15">
        <v>100</v>
      </c>
      <c r="O15">
        <v>100</v>
      </c>
      <c r="P15" s="4"/>
      <c r="S15">
        <v>100</v>
      </c>
      <c r="U15" t="s">
        <v>26</v>
      </c>
      <c r="W15" s="3">
        <v>14607762</v>
      </c>
    </row>
    <row r="16" spans="1:23">
      <c r="A16" t="s">
        <v>53</v>
      </c>
      <c r="B16" t="s">
        <v>48</v>
      </c>
      <c r="C16" s="2">
        <v>45864</v>
      </c>
      <c r="D16" t="s">
        <v>24</v>
      </c>
      <c r="E16" t="s">
        <v>25</v>
      </c>
      <c r="G16" t="s">
        <v>24</v>
      </c>
      <c r="J16" s="2"/>
      <c r="M16" s="2"/>
      <c r="N16">
        <v>100</v>
      </c>
      <c r="O16">
        <v>100</v>
      </c>
      <c r="S16">
        <v>100</v>
      </c>
      <c r="U16" t="s">
        <v>26</v>
      </c>
      <c r="W16" s="3">
        <v>20907414</v>
      </c>
    </row>
    <row r="17" spans="1:23">
      <c r="A17" t="s">
        <v>54</v>
      </c>
      <c r="B17" t="s">
        <v>55</v>
      </c>
      <c r="C17" s="2">
        <v>45864</v>
      </c>
      <c r="D17" t="s">
        <v>24</v>
      </c>
      <c r="E17" t="s">
        <v>25</v>
      </c>
      <c r="G17" t="s">
        <v>24</v>
      </c>
      <c r="J17" s="2"/>
      <c r="M17" s="2"/>
      <c r="N17">
        <v>100</v>
      </c>
      <c r="O17">
        <v>100</v>
      </c>
      <c r="S17">
        <v>100</v>
      </c>
      <c r="U17" t="s">
        <v>26</v>
      </c>
      <c r="W17" s="3">
        <v>29269799</v>
      </c>
    </row>
    <row r="18" spans="1:23">
      <c r="A18" t="s">
        <v>56</v>
      </c>
      <c r="B18" t="s">
        <v>57</v>
      </c>
      <c r="C18" s="2">
        <v>45864</v>
      </c>
      <c r="D18" t="s">
        <v>24</v>
      </c>
      <c r="E18" t="s">
        <v>25</v>
      </c>
      <c r="G18" t="s">
        <v>24</v>
      </c>
      <c r="J18" s="2"/>
      <c r="M18" s="2"/>
      <c r="N18">
        <v>100</v>
      </c>
      <c r="O18">
        <v>100</v>
      </c>
      <c r="S18">
        <v>100</v>
      </c>
      <c r="U18" t="s">
        <v>26</v>
      </c>
      <c r="W18" s="3">
        <v>31743609</v>
      </c>
    </row>
    <row r="19" spans="1:23">
      <c r="A19" t="s">
        <v>58</v>
      </c>
      <c r="B19" t="s">
        <v>59</v>
      </c>
      <c r="C19" s="2">
        <v>45864</v>
      </c>
      <c r="D19" t="s">
        <v>24</v>
      </c>
      <c r="E19" t="s">
        <v>25</v>
      </c>
      <c r="G19" t="s">
        <v>24</v>
      </c>
      <c r="J19" s="2"/>
      <c r="M19" s="2"/>
      <c r="N19">
        <v>100</v>
      </c>
      <c r="O19">
        <v>100</v>
      </c>
      <c r="S19">
        <v>100</v>
      </c>
      <c r="U19" t="s">
        <v>26</v>
      </c>
      <c r="W19" s="3">
        <v>35381912</v>
      </c>
    </row>
    <row r="20" spans="1:23">
      <c r="A20" t="s">
        <v>60</v>
      </c>
      <c r="B20" t="s">
        <v>61</v>
      </c>
      <c r="C20" s="2">
        <v>45864</v>
      </c>
      <c r="D20" t="s">
        <v>24</v>
      </c>
      <c r="E20" t="s">
        <v>25</v>
      </c>
      <c r="G20" t="s">
        <v>24</v>
      </c>
      <c r="J20" s="2"/>
      <c r="M20" s="2"/>
      <c r="N20">
        <v>167</v>
      </c>
      <c r="O20">
        <v>167</v>
      </c>
      <c r="S20">
        <v>167</v>
      </c>
      <c r="U20" t="s">
        <v>26</v>
      </c>
      <c r="W20" s="3">
        <v>31424003</v>
      </c>
    </row>
    <row r="21" spans="1:23">
      <c r="A21" t="s">
        <v>62</v>
      </c>
      <c r="B21" t="s">
        <v>63</v>
      </c>
      <c r="C21" s="2">
        <v>45864</v>
      </c>
      <c r="D21" t="s">
        <v>24</v>
      </c>
      <c r="E21" t="s">
        <v>25</v>
      </c>
      <c r="G21" t="s">
        <v>24</v>
      </c>
      <c r="J21" s="2"/>
      <c r="M21" s="2"/>
      <c r="N21">
        <v>590.29</v>
      </c>
      <c r="O21">
        <v>590.29</v>
      </c>
      <c r="S21">
        <v>590.29</v>
      </c>
      <c r="U21" t="s">
        <v>26</v>
      </c>
      <c r="W21" s="3">
        <v>81318600</v>
      </c>
    </row>
    <row r="22" spans="1:23">
      <c r="A22" t="s">
        <v>64</v>
      </c>
      <c r="B22" t="s">
        <v>65</v>
      </c>
      <c r="C22" s="2">
        <v>45864</v>
      </c>
      <c r="D22" t="s">
        <v>24</v>
      </c>
      <c r="E22" t="s">
        <v>25</v>
      </c>
      <c r="G22" t="s">
        <v>24</v>
      </c>
      <c r="J22" s="2"/>
      <c r="M22" s="2"/>
      <c r="N22">
        <v>10385.68</v>
      </c>
      <c r="O22">
        <v>10385.68</v>
      </c>
      <c r="S22">
        <v>10385.68</v>
      </c>
      <c r="U22" t="s">
        <v>26</v>
      </c>
      <c r="W22" s="3">
        <v>5247023</v>
      </c>
    </row>
    <row r="23" spans="1:23">
      <c r="A23" t="s">
        <v>66</v>
      </c>
      <c r="B23" t="s">
        <v>67</v>
      </c>
      <c r="C23" s="2">
        <v>45864</v>
      </c>
      <c r="D23" t="s">
        <v>24</v>
      </c>
      <c r="E23" t="s">
        <v>25</v>
      </c>
      <c r="G23" t="s">
        <v>24</v>
      </c>
      <c r="J23" s="2"/>
      <c r="M23" s="2"/>
      <c r="N23">
        <v>1985024.82</v>
      </c>
      <c r="O23">
        <v>1985024.82</v>
      </c>
      <c r="S23">
        <v>1985024.82</v>
      </c>
      <c r="U23" t="s">
        <v>26</v>
      </c>
      <c r="W23" s="3">
        <v>10660587</v>
      </c>
    </row>
    <row r="24" spans="1:23">
      <c r="A24" t="s">
        <v>62</v>
      </c>
      <c r="B24" t="s">
        <v>63</v>
      </c>
      <c r="C24" s="2">
        <v>45864</v>
      </c>
      <c r="D24" t="s">
        <v>68</v>
      </c>
      <c r="E24" t="s">
        <v>69</v>
      </c>
      <c r="G24" t="s">
        <v>70</v>
      </c>
      <c r="J24" s="2"/>
      <c r="M24" s="2"/>
      <c r="N24">
        <v>14080</v>
      </c>
      <c r="O24">
        <v>5891.5221257077801</v>
      </c>
      <c r="S24">
        <v>5891.5221257077801</v>
      </c>
      <c r="U24" t="s">
        <v>26</v>
      </c>
      <c r="W24" s="3">
        <v>323115</v>
      </c>
    </row>
    <row r="25" spans="1:23">
      <c r="A25" t="s">
        <v>60</v>
      </c>
      <c r="B25" t="s">
        <v>61</v>
      </c>
      <c r="C25" s="2">
        <v>45864</v>
      </c>
      <c r="D25" t="s">
        <v>71</v>
      </c>
      <c r="E25" t="s">
        <v>72</v>
      </c>
      <c r="F25" t="s">
        <v>73</v>
      </c>
      <c r="G25" t="s">
        <v>74</v>
      </c>
      <c r="I25" t="s">
        <v>75</v>
      </c>
      <c r="J25" s="2">
        <v>45412</v>
      </c>
      <c r="K25">
        <v>1.27</v>
      </c>
      <c r="L25">
        <v>1.27</v>
      </c>
      <c r="M25" s="2">
        <v>46507</v>
      </c>
      <c r="N25">
        <v>50</v>
      </c>
      <c r="O25">
        <v>58479.24</v>
      </c>
      <c r="Q25">
        <v>1483.86</v>
      </c>
      <c r="R25">
        <v>0</v>
      </c>
      <c r="S25">
        <v>56995.38</v>
      </c>
      <c r="T25" t="s">
        <v>76</v>
      </c>
      <c r="U25" t="s">
        <v>26</v>
      </c>
      <c r="W25" s="3">
        <v>17898554</v>
      </c>
    </row>
    <row r="26" spans="1:23">
      <c r="A26" t="s">
        <v>37</v>
      </c>
      <c r="B26" t="s">
        <v>38</v>
      </c>
      <c r="C26" s="2">
        <v>45864</v>
      </c>
      <c r="D26" t="s">
        <v>71</v>
      </c>
      <c r="E26" t="s">
        <v>72</v>
      </c>
      <c r="F26" t="s">
        <v>77</v>
      </c>
      <c r="G26" t="s">
        <v>74</v>
      </c>
      <c r="I26" t="s">
        <v>78</v>
      </c>
      <c r="J26" s="2">
        <v>45499</v>
      </c>
      <c r="K26">
        <v>0</v>
      </c>
      <c r="L26">
        <v>100.5</v>
      </c>
      <c r="M26" s="2">
        <v>45866</v>
      </c>
      <c r="N26">
        <v>287806</v>
      </c>
      <c r="O26">
        <v>3237.4</v>
      </c>
      <c r="Q26">
        <v>62.88</v>
      </c>
      <c r="R26">
        <v>0</v>
      </c>
      <c r="S26">
        <v>3174.52</v>
      </c>
      <c r="T26" t="s">
        <v>76</v>
      </c>
      <c r="U26" t="s">
        <v>26</v>
      </c>
      <c r="W26" s="3">
        <v>61955161</v>
      </c>
    </row>
    <row r="27" spans="1:23">
      <c r="A27" t="s">
        <v>37</v>
      </c>
      <c r="B27" t="s">
        <v>38</v>
      </c>
      <c r="C27" s="2">
        <v>45864</v>
      </c>
      <c r="D27" t="s">
        <v>71</v>
      </c>
      <c r="E27" t="s">
        <v>72</v>
      </c>
      <c r="F27" t="s">
        <v>79</v>
      </c>
      <c r="G27" t="s">
        <v>74</v>
      </c>
      <c r="I27" t="s">
        <v>78</v>
      </c>
      <c r="J27" s="2">
        <v>45517</v>
      </c>
      <c r="K27">
        <v>0</v>
      </c>
      <c r="L27">
        <v>100.5</v>
      </c>
      <c r="M27" s="2">
        <v>45882</v>
      </c>
      <c r="N27">
        <v>376177</v>
      </c>
      <c r="O27">
        <v>4211.45</v>
      </c>
      <c r="Q27">
        <v>89.93</v>
      </c>
      <c r="R27">
        <v>0</v>
      </c>
      <c r="S27">
        <v>4121.5200000000004</v>
      </c>
      <c r="T27" t="s">
        <v>76</v>
      </c>
      <c r="U27" t="s">
        <v>26</v>
      </c>
      <c r="W27" s="3">
        <v>979251</v>
      </c>
    </row>
    <row r="28" spans="1:23">
      <c r="A28" t="s">
        <v>37</v>
      </c>
      <c r="B28" t="s">
        <v>38</v>
      </c>
      <c r="C28" s="2">
        <v>45864</v>
      </c>
      <c r="D28" t="s">
        <v>71</v>
      </c>
      <c r="E28" t="s">
        <v>72</v>
      </c>
      <c r="F28" t="s">
        <v>80</v>
      </c>
      <c r="G28" t="s">
        <v>74</v>
      </c>
      <c r="I28" t="s">
        <v>78</v>
      </c>
      <c r="J28" s="2">
        <v>45698</v>
      </c>
      <c r="K28">
        <v>0</v>
      </c>
      <c r="L28">
        <v>100</v>
      </c>
      <c r="M28" s="2">
        <v>46428</v>
      </c>
      <c r="N28">
        <v>502529</v>
      </c>
      <c r="O28">
        <v>5333.93</v>
      </c>
      <c r="Q28">
        <v>69.44</v>
      </c>
      <c r="R28">
        <v>0</v>
      </c>
      <c r="S28">
        <v>5264.49</v>
      </c>
      <c r="T28" t="s">
        <v>76</v>
      </c>
      <c r="U28" t="s">
        <v>26</v>
      </c>
      <c r="W28" s="3">
        <v>79188911</v>
      </c>
    </row>
    <row r="29" spans="1:23">
      <c r="A29" t="s">
        <v>37</v>
      </c>
      <c r="B29" t="s">
        <v>38</v>
      </c>
      <c r="C29" s="2">
        <v>45864</v>
      </c>
      <c r="D29" t="s">
        <v>71</v>
      </c>
      <c r="E29" t="s">
        <v>72</v>
      </c>
      <c r="F29" t="s">
        <v>81</v>
      </c>
      <c r="G29" t="s">
        <v>74</v>
      </c>
      <c r="I29" t="s">
        <v>78</v>
      </c>
      <c r="J29" s="2">
        <v>45748</v>
      </c>
      <c r="K29">
        <v>0</v>
      </c>
      <c r="L29">
        <v>100</v>
      </c>
      <c r="M29" s="2">
        <v>46478</v>
      </c>
      <c r="N29">
        <v>1180440</v>
      </c>
      <c r="O29">
        <v>12318.84</v>
      </c>
      <c r="Q29">
        <v>115.75</v>
      </c>
      <c r="R29">
        <v>0</v>
      </c>
      <c r="S29">
        <v>12203.09</v>
      </c>
      <c r="T29" t="s">
        <v>76</v>
      </c>
      <c r="U29" t="s">
        <v>26</v>
      </c>
      <c r="W29" s="3">
        <v>81291327</v>
      </c>
    </row>
    <row r="30" spans="1:23">
      <c r="A30" t="s">
        <v>37</v>
      </c>
      <c r="B30" t="s">
        <v>38</v>
      </c>
      <c r="C30" s="2">
        <v>45864</v>
      </c>
      <c r="D30" t="s">
        <v>71</v>
      </c>
      <c r="E30" t="s">
        <v>72</v>
      </c>
      <c r="F30" t="s">
        <v>82</v>
      </c>
      <c r="G30" t="s">
        <v>74</v>
      </c>
      <c r="I30" t="s">
        <v>78</v>
      </c>
      <c r="J30" s="2">
        <v>45777</v>
      </c>
      <c r="K30">
        <v>0</v>
      </c>
      <c r="L30">
        <v>100</v>
      </c>
      <c r="M30" s="2">
        <v>46507</v>
      </c>
      <c r="N30">
        <v>2431247</v>
      </c>
      <c r="O30">
        <v>25120.13</v>
      </c>
      <c r="Q30">
        <v>181.72</v>
      </c>
      <c r="R30">
        <v>0</v>
      </c>
      <c r="S30">
        <v>24938.41</v>
      </c>
      <c r="T30" t="s">
        <v>76</v>
      </c>
      <c r="U30" t="s">
        <v>26</v>
      </c>
      <c r="W30" s="3">
        <v>79916988</v>
      </c>
    </row>
    <row r="31" spans="1:23">
      <c r="A31" t="s">
        <v>37</v>
      </c>
      <c r="B31" t="s">
        <v>38</v>
      </c>
      <c r="C31" s="2">
        <v>45864</v>
      </c>
      <c r="D31" t="s">
        <v>71</v>
      </c>
      <c r="E31" t="s">
        <v>72</v>
      </c>
      <c r="F31" t="s">
        <v>83</v>
      </c>
      <c r="G31" t="s">
        <v>74</v>
      </c>
      <c r="I31" t="s">
        <v>78</v>
      </c>
      <c r="J31" s="2">
        <v>45789</v>
      </c>
      <c r="K31">
        <v>0</v>
      </c>
      <c r="L31">
        <v>100</v>
      </c>
      <c r="M31" s="2">
        <v>46519</v>
      </c>
      <c r="N31">
        <v>3120187</v>
      </c>
      <c r="O31">
        <v>32118.98</v>
      </c>
      <c r="Q31">
        <v>206.35</v>
      </c>
      <c r="R31">
        <v>0</v>
      </c>
      <c r="S31">
        <v>31912.63</v>
      </c>
      <c r="T31" t="s">
        <v>76</v>
      </c>
      <c r="U31" t="s">
        <v>26</v>
      </c>
      <c r="W31" s="3">
        <v>62789237</v>
      </c>
    </row>
    <row r="32" spans="1:23">
      <c r="A32" t="s">
        <v>37</v>
      </c>
      <c r="B32" t="s">
        <v>38</v>
      </c>
      <c r="C32" s="2">
        <v>45864</v>
      </c>
      <c r="D32" t="s">
        <v>71</v>
      </c>
      <c r="E32" t="s">
        <v>72</v>
      </c>
      <c r="F32" t="s">
        <v>84</v>
      </c>
      <c r="G32" t="s">
        <v>74</v>
      </c>
      <c r="I32" t="s">
        <v>78</v>
      </c>
      <c r="J32" s="2">
        <v>45800</v>
      </c>
      <c r="K32">
        <v>0</v>
      </c>
      <c r="L32">
        <v>100</v>
      </c>
      <c r="M32" s="2">
        <v>46531</v>
      </c>
      <c r="N32">
        <v>7325708</v>
      </c>
      <c r="O32">
        <v>75043.009999999995</v>
      </c>
      <c r="Q32">
        <v>401.83</v>
      </c>
      <c r="R32">
        <v>0</v>
      </c>
      <c r="S32">
        <v>74641.179999999993</v>
      </c>
      <c r="T32" t="s">
        <v>76</v>
      </c>
      <c r="U32" t="s">
        <v>26</v>
      </c>
      <c r="W32" s="3">
        <v>83589490</v>
      </c>
    </row>
    <row r="33" spans="1:23">
      <c r="A33" t="s">
        <v>37</v>
      </c>
      <c r="B33" t="s">
        <v>38</v>
      </c>
      <c r="C33" s="2">
        <v>45864</v>
      </c>
      <c r="D33" t="s">
        <v>71</v>
      </c>
      <c r="E33" t="s">
        <v>72</v>
      </c>
      <c r="F33" t="s">
        <v>85</v>
      </c>
      <c r="G33" t="s">
        <v>74</v>
      </c>
      <c r="I33" t="s">
        <v>78</v>
      </c>
      <c r="J33" s="2">
        <v>45842</v>
      </c>
      <c r="K33">
        <v>0</v>
      </c>
      <c r="L33">
        <v>100</v>
      </c>
      <c r="M33" s="2">
        <v>46573</v>
      </c>
      <c r="N33">
        <v>10779679</v>
      </c>
      <c r="O33">
        <v>108691.61</v>
      </c>
      <c r="Q33">
        <v>140.93</v>
      </c>
      <c r="R33">
        <v>268.44</v>
      </c>
      <c r="S33">
        <v>108282.24000000001</v>
      </c>
      <c r="T33" t="s">
        <v>76</v>
      </c>
      <c r="U33" t="s">
        <v>26</v>
      </c>
      <c r="W33" s="3">
        <v>63651831</v>
      </c>
    </row>
    <row r="34" spans="1:23">
      <c r="A34" t="s">
        <v>37</v>
      </c>
      <c r="B34" t="s">
        <v>38</v>
      </c>
      <c r="C34" s="2">
        <v>45864</v>
      </c>
      <c r="D34" t="s">
        <v>71</v>
      </c>
      <c r="E34" t="s">
        <v>72</v>
      </c>
      <c r="F34" t="s">
        <v>86</v>
      </c>
      <c r="G34" t="s">
        <v>74</v>
      </c>
      <c r="I34" t="s">
        <v>78</v>
      </c>
      <c r="J34" s="2">
        <v>45848</v>
      </c>
      <c r="K34">
        <v>0</v>
      </c>
      <c r="L34">
        <v>100</v>
      </c>
      <c r="M34" s="2">
        <v>46580</v>
      </c>
      <c r="N34">
        <v>19279176</v>
      </c>
      <c r="O34">
        <v>193964.12</v>
      </c>
      <c r="Q34">
        <v>131.88999999999999</v>
      </c>
      <c r="R34">
        <v>586.17999999999995</v>
      </c>
      <c r="S34">
        <v>193246.05</v>
      </c>
      <c r="T34" t="s">
        <v>76</v>
      </c>
      <c r="U34" t="s">
        <v>26</v>
      </c>
      <c r="W34" s="3">
        <v>57549420</v>
      </c>
    </row>
    <row r="35" spans="1:23">
      <c r="A35" t="s">
        <v>37</v>
      </c>
      <c r="B35" t="s">
        <v>38</v>
      </c>
      <c r="C35" s="2">
        <v>45864</v>
      </c>
      <c r="D35" t="s">
        <v>71</v>
      </c>
      <c r="E35" t="s">
        <v>72</v>
      </c>
      <c r="F35" t="s">
        <v>87</v>
      </c>
      <c r="G35" t="s">
        <v>74</v>
      </c>
      <c r="I35" t="s">
        <v>78</v>
      </c>
      <c r="J35" s="2">
        <v>45861</v>
      </c>
      <c r="K35">
        <v>0</v>
      </c>
      <c r="L35">
        <v>100</v>
      </c>
      <c r="M35" s="2">
        <v>46591</v>
      </c>
      <c r="N35">
        <v>5941873</v>
      </c>
      <c r="O35">
        <v>59484.2</v>
      </c>
      <c r="Q35">
        <v>1.03</v>
      </c>
      <c r="R35">
        <v>60.89</v>
      </c>
      <c r="S35">
        <v>59422.28</v>
      </c>
      <c r="T35" t="s">
        <v>76</v>
      </c>
      <c r="U35" t="s">
        <v>26</v>
      </c>
      <c r="W35" s="3">
        <v>53091460</v>
      </c>
    </row>
    <row r="36" spans="1:23">
      <c r="A36" t="s">
        <v>60</v>
      </c>
      <c r="B36" t="s">
        <v>61</v>
      </c>
      <c r="C36" s="2">
        <v>45864</v>
      </c>
      <c r="D36" t="s">
        <v>71</v>
      </c>
      <c r="E36" t="s">
        <v>72</v>
      </c>
      <c r="F36" t="s">
        <v>88</v>
      </c>
      <c r="G36" t="s">
        <v>74</v>
      </c>
      <c r="I36" t="s">
        <v>89</v>
      </c>
      <c r="J36" s="2">
        <v>45439</v>
      </c>
      <c r="K36">
        <v>1.3</v>
      </c>
      <c r="L36">
        <v>1.3</v>
      </c>
      <c r="M36" s="2">
        <v>46902</v>
      </c>
      <c r="N36">
        <v>200</v>
      </c>
      <c r="O36">
        <v>232127.81</v>
      </c>
      <c r="Q36">
        <v>5622.36</v>
      </c>
      <c r="R36">
        <v>0</v>
      </c>
      <c r="S36">
        <v>226505.45</v>
      </c>
      <c r="T36" t="s">
        <v>76</v>
      </c>
      <c r="U36" t="s">
        <v>26</v>
      </c>
      <c r="W36" s="3">
        <v>13946553</v>
      </c>
    </row>
    <row r="37" spans="1:23">
      <c r="A37" t="s">
        <v>62</v>
      </c>
      <c r="B37" t="s">
        <v>63</v>
      </c>
      <c r="C37" s="2">
        <v>45864</v>
      </c>
      <c r="D37" t="s">
        <v>71</v>
      </c>
      <c r="E37" t="s">
        <v>72</v>
      </c>
      <c r="F37" t="s">
        <v>90</v>
      </c>
      <c r="G37" t="s">
        <v>74</v>
      </c>
      <c r="I37" t="s">
        <v>91</v>
      </c>
      <c r="J37" s="2">
        <v>45205</v>
      </c>
      <c r="K37">
        <v>0</v>
      </c>
      <c r="L37">
        <v>120</v>
      </c>
      <c r="M37" s="2">
        <v>45929</v>
      </c>
      <c r="N37">
        <v>75</v>
      </c>
      <c r="O37">
        <v>126224.44</v>
      </c>
      <c r="Q37">
        <v>4743.04</v>
      </c>
      <c r="R37">
        <v>0</v>
      </c>
      <c r="S37">
        <v>121481.4</v>
      </c>
      <c r="T37" t="s">
        <v>76</v>
      </c>
      <c r="U37" t="s">
        <v>26</v>
      </c>
      <c r="W37" s="3">
        <v>21148</v>
      </c>
    </row>
    <row r="38" spans="1:23">
      <c r="A38" t="s">
        <v>51</v>
      </c>
      <c r="B38" t="s">
        <v>52</v>
      </c>
      <c r="C38" s="2">
        <v>45864</v>
      </c>
      <c r="D38" t="s">
        <v>71</v>
      </c>
      <c r="E38" t="s">
        <v>72</v>
      </c>
      <c r="F38" t="s">
        <v>92</v>
      </c>
      <c r="G38" t="s">
        <v>74</v>
      </c>
      <c r="I38" t="s">
        <v>93</v>
      </c>
      <c r="J38" s="2">
        <v>44524</v>
      </c>
      <c r="K38">
        <v>14.7</v>
      </c>
      <c r="L38">
        <v>14.7</v>
      </c>
      <c r="M38" s="2">
        <v>46350</v>
      </c>
      <c r="N38">
        <v>127</v>
      </c>
      <c r="O38">
        <v>209649.5</v>
      </c>
      <c r="P38" s="4"/>
      <c r="Q38">
        <v>12397.42</v>
      </c>
      <c r="R38">
        <v>0</v>
      </c>
      <c r="S38">
        <v>197252.08</v>
      </c>
      <c r="T38" t="s">
        <v>94</v>
      </c>
      <c r="U38" t="s">
        <v>26</v>
      </c>
      <c r="W38" s="3">
        <v>9846888</v>
      </c>
    </row>
    <row r="39" spans="1:23">
      <c r="A39" t="s">
        <v>43</v>
      </c>
      <c r="B39" t="s">
        <v>44</v>
      </c>
      <c r="C39" s="2">
        <v>45864</v>
      </c>
      <c r="D39" t="s">
        <v>71</v>
      </c>
      <c r="E39" t="s">
        <v>72</v>
      </c>
      <c r="F39" t="s">
        <v>95</v>
      </c>
      <c r="G39" t="s">
        <v>74</v>
      </c>
      <c r="I39" t="s">
        <v>96</v>
      </c>
      <c r="J39" s="2">
        <v>44069</v>
      </c>
      <c r="K39">
        <v>10</v>
      </c>
      <c r="L39">
        <v>10</v>
      </c>
      <c r="M39" s="2">
        <v>45895</v>
      </c>
      <c r="N39">
        <v>36</v>
      </c>
      <c r="O39">
        <v>57367.6</v>
      </c>
      <c r="Q39">
        <v>3205.14</v>
      </c>
      <c r="R39">
        <v>0</v>
      </c>
      <c r="S39">
        <v>54162.46</v>
      </c>
      <c r="T39" t="s">
        <v>94</v>
      </c>
      <c r="U39" t="s">
        <v>26</v>
      </c>
      <c r="W39" s="3">
        <v>60736942</v>
      </c>
    </row>
    <row r="40" spans="1:23">
      <c r="A40" t="s">
        <v>51</v>
      </c>
      <c r="B40" t="s">
        <v>52</v>
      </c>
      <c r="C40" s="2">
        <v>45864</v>
      </c>
      <c r="D40" t="s">
        <v>71</v>
      </c>
      <c r="E40" t="s">
        <v>72</v>
      </c>
      <c r="F40" t="s">
        <v>97</v>
      </c>
      <c r="G40" t="s">
        <v>74</v>
      </c>
      <c r="I40" t="s">
        <v>96</v>
      </c>
      <c r="J40" s="2">
        <v>44343</v>
      </c>
      <c r="K40">
        <v>12</v>
      </c>
      <c r="L40">
        <v>12</v>
      </c>
      <c r="M40" s="2">
        <v>46687</v>
      </c>
      <c r="N40">
        <v>119</v>
      </c>
      <c r="O40">
        <v>190390.6</v>
      </c>
      <c r="Q40">
        <v>10708.59</v>
      </c>
      <c r="R40">
        <v>0</v>
      </c>
      <c r="S40">
        <v>179682.01</v>
      </c>
      <c r="T40" t="s">
        <v>94</v>
      </c>
      <c r="U40" t="s">
        <v>26</v>
      </c>
      <c r="W40" s="3">
        <v>3550632</v>
      </c>
    </row>
    <row r="41" spans="1:23">
      <c r="A41" t="s">
        <v>60</v>
      </c>
      <c r="B41" t="s">
        <v>61</v>
      </c>
      <c r="C41" s="2">
        <v>45864</v>
      </c>
      <c r="D41" t="s">
        <v>71</v>
      </c>
      <c r="E41" t="s">
        <v>72</v>
      </c>
      <c r="F41" t="s">
        <v>98</v>
      </c>
      <c r="G41" t="s">
        <v>74</v>
      </c>
      <c r="I41" t="s">
        <v>96</v>
      </c>
      <c r="J41" s="2">
        <v>45105</v>
      </c>
      <c r="K41">
        <v>0</v>
      </c>
      <c r="L41">
        <v>127</v>
      </c>
      <c r="M41" s="2">
        <v>47267</v>
      </c>
      <c r="N41">
        <v>50</v>
      </c>
      <c r="O41">
        <v>67516.45</v>
      </c>
      <c r="Q41">
        <v>2627.46</v>
      </c>
      <c r="R41">
        <v>0</v>
      </c>
      <c r="S41">
        <v>64888.99</v>
      </c>
      <c r="T41" t="s">
        <v>76</v>
      </c>
      <c r="U41" t="s">
        <v>26</v>
      </c>
      <c r="W41" s="3">
        <v>14808026</v>
      </c>
    </row>
    <row r="42" spans="1:23">
      <c r="A42" t="s">
        <v>53</v>
      </c>
      <c r="B42" t="s">
        <v>48</v>
      </c>
      <c r="C42" s="2">
        <v>45864</v>
      </c>
      <c r="D42" t="s">
        <v>71</v>
      </c>
      <c r="E42" t="s">
        <v>72</v>
      </c>
      <c r="F42" t="s">
        <v>99</v>
      </c>
      <c r="G42" t="s">
        <v>74</v>
      </c>
      <c r="I42" t="s">
        <v>100</v>
      </c>
      <c r="J42" s="2">
        <v>45476</v>
      </c>
      <c r="K42">
        <v>15.05</v>
      </c>
      <c r="L42">
        <v>15.05</v>
      </c>
      <c r="M42" s="2">
        <v>46482</v>
      </c>
      <c r="N42">
        <v>63000</v>
      </c>
      <c r="O42">
        <v>71373.19</v>
      </c>
      <c r="Q42">
        <v>1729.27</v>
      </c>
      <c r="R42">
        <v>0</v>
      </c>
      <c r="S42">
        <v>69643.92</v>
      </c>
      <c r="T42" t="s">
        <v>94</v>
      </c>
      <c r="U42" t="s">
        <v>26</v>
      </c>
      <c r="W42" s="3">
        <v>4596832</v>
      </c>
    </row>
    <row r="43" spans="1:23">
      <c r="A43" t="s">
        <v>60</v>
      </c>
      <c r="B43" t="s">
        <v>61</v>
      </c>
      <c r="C43" s="2">
        <v>45864</v>
      </c>
      <c r="D43" t="s">
        <v>71</v>
      </c>
      <c r="E43" t="s">
        <v>72</v>
      </c>
      <c r="F43" t="s">
        <v>101</v>
      </c>
      <c r="G43" t="s">
        <v>74</v>
      </c>
      <c r="I43" t="s">
        <v>100</v>
      </c>
      <c r="J43" s="2">
        <v>45428</v>
      </c>
      <c r="K43">
        <v>13.27</v>
      </c>
      <c r="L43">
        <v>13.27</v>
      </c>
      <c r="M43" s="2">
        <v>46524</v>
      </c>
      <c r="N43">
        <v>50</v>
      </c>
      <c r="O43">
        <v>57995.26</v>
      </c>
      <c r="Q43">
        <v>1399.17</v>
      </c>
      <c r="R43">
        <v>0</v>
      </c>
      <c r="S43">
        <v>56596.09</v>
      </c>
      <c r="T43" t="s">
        <v>94</v>
      </c>
      <c r="U43" t="s">
        <v>26</v>
      </c>
      <c r="W43" s="3">
        <v>15449768</v>
      </c>
    </row>
    <row r="44" spans="1:23">
      <c r="A44" t="s">
        <v>58</v>
      </c>
      <c r="B44" t="s">
        <v>59</v>
      </c>
      <c r="C44" s="2">
        <v>45864</v>
      </c>
      <c r="D44" t="s">
        <v>71</v>
      </c>
      <c r="E44" t="s">
        <v>72</v>
      </c>
      <c r="F44" t="s">
        <v>102</v>
      </c>
      <c r="G44" t="s">
        <v>74</v>
      </c>
      <c r="I44" t="s">
        <v>100</v>
      </c>
      <c r="J44" s="2">
        <v>45476</v>
      </c>
      <c r="K44">
        <v>15.05</v>
      </c>
      <c r="L44">
        <v>15.05</v>
      </c>
      <c r="M44" s="2">
        <v>46524</v>
      </c>
      <c r="N44">
        <v>57834</v>
      </c>
      <c r="O44">
        <v>65450.58</v>
      </c>
      <c r="Q44">
        <v>1583.46</v>
      </c>
      <c r="R44">
        <v>0</v>
      </c>
      <c r="S44">
        <v>63867.12</v>
      </c>
      <c r="T44" t="s">
        <v>94</v>
      </c>
      <c r="U44" t="s">
        <v>26</v>
      </c>
      <c r="W44" s="3">
        <v>7204924</v>
      </c>
    </row>
    <row r="45" spans="1:23">
      <c r="A45" t="s">
        <v>53</v>
      </c>
      <c r="B45" t="s">
        <v>48</v>
      </c>
      <c r="C45" s="2">
        <v>45864</v>
      </c>
      <c r="D45" t="s">
        <v>71</v>
      </c>
      <c r="E45" t="s">
        <v>72</v>
      </c>
      <c r="F45" t="s">
        <v>103</v>
      </c>
      <c r="G45" t="s">
        <v>74</v>
      </c>
      <c r="I45" t="s">
        <v>100</v>
      </c>
      <c r="J45" s="2">
        <v>45476</v>
      </c>
      <c r="K45">
        <v>15.05</v>
      </c>
      <c r="L45">
        <v>15.05</v>
      </c>
      <c r="M45" s="2">
        <v>46538</v>
      </c>
      <c r="N45">
        <v>51850</v>
      </c>
      <c r="O45">
        <v>58789.18</v>
      </c>
      <c r="Q45">
        <v>1421.41</v>
      </c>
      <c r="R45">
        <v>0</v>
      </c>
      <c r="S45">
        <v>57367.77</v>
      </c>
      <c r="T45" t="s">
        <v>94</v>
      </c>
      <c r="U45" t="s">
        <v>26</v>
      </c>
      <c r="W45" s="3">
        <v>44174110</v>
      </c>
    </row>
    <row r="46" spans="1:23">
      <c r="A46" t="s">
        <v>60</v>
      </c>
      <c r="B46" t="s">
        <v>61</v>
      </c>
      <c r="C46" s="2">
        <v>45864</v>
      </c>
      <c r="D46" t="s">
        <v>71</v>
      </c>
      <c r="E46" t="s">
        <v>72</v>
      </c>
      <c r="F46" t="s">
        <v>104</v>
      </c>
      <c r="G46" t="s">
        <v>74</v>
      </c>
      <c r="I46" t="s">
        <v>105</v>
      </c>
      <c r="J46" s="2">
        <v>45411</v>
      </c>
      <c r="K46">
        <v>0</v>
      </c>
      <c r="L46">
        <v>113</v>
      </c>
      <c r="M46" s="2">
        <v>47241</v>
      </c>
      <c r="N46">
        <v>65</v>
      </c>
      <c r="O46">
        <v>76267.740000000005</v>
      </c>
      <c r="Q46">
        <v>1971.85</v>
      </c>
      <c r="R46">
        <v>0</v>
      </c>
      <c r="S46">
        <v>74295.89</v>
      </c>
      <c r="T46" t="s">
        <v>76</v>
      </c>
      <c r="U46" t="s">
        <v>26</v>
      </c>
      <c r="W46" s="3">
        <v>17470426</v>
      </c>
    </row>
    <row r="47" spans="1:23">
      <c r="A47" t="s">
        <v>62</v>
      </c>
      <c r="B47" t="s">
        <v>63</v>
      </c>
      <c r="C47" s="2">
        <v>45864</v>
      </c>
      <c r="D47" t="s">
        <v>71</v>
      </c>
      <c r="E47" t="s">
        <v>72</v>
      </c>
      <c r="F47" t="s">
        <v>106</v>
      </c>
      <c r="G47" t="s">
        <v>74</v>
      </c>
      <c r="I47" t="s">
        <v>107</v>
      </c>
      <c r="J47" s="2">
        <v>44063</v>
      </c>
      <c r="K47">
        <v>8.5</v>
      </c>
      <c r="L47">
        <v>8.5</v>
      </c>
      <c r="M47" s="2">
        <v>45889</v>
      </c>
      <c r="N47">
        <v>100</v>
      </c>
      <c r="O47">
        <v>149201.92000000001</v>
      </c>
      <c r="Q47">
        <v>7380.28</v>
      </c>
      <c r="R47">
        <v>0</v>
      </c>
      <c r="S47">
        <v>141821.64000000001</v>
      </c>
      <c r="T47" t="s">
        <v>94</v>
      </c>
      <c r="U47" t="s">
        <v>26</v>
      </c>
      <c r="W47" s="3">
        <v>78911140</v>
      </c>
    </row>
    <row r="48" spans="1:23">
      <c r="A48" t="s">
        <v>31</v>
      </c>
      <c r="B48" t="s">
        <v>32</v>
      </c>
      <c r="C48" s="2">
        <v>45864</v>
      </c>
      <c r="D48" t="s">
        <v>71</v>
      </c>
      <c r="E48" t="s">
        <v>72</v>
      </c>
      <c r="F48" t="s">
        <v>108</v>
      </c>
      <c r="G48" t="s">
        <v>74</v>
      </c>
      <c r="I48" t="s">
        <v>109</v>
      </c>
      <c r="J48" s="2">
        <v>44974</v>
      </c>
      <c r="K48">
        <v>0</v>
      </c>
      <c r="L48">
        <v>116</v>
      </c>
      <c r="M48" s="2">
        <v>46071</v>
      </c>
      <c r="N48">
        <v>150</v>
      </c>
      <c r="O48">
        <v>207725.24</v>
      </c>
      <c r="Q48">
        <v>8658.7800000000007</v>
      </c>
      <c r="R48">
        <v>0</v>
      </c>
      <c r="S48">
        <v>199066.46</v>
      </c>
      <c r="T48" t="s">
        <v>76</v>
      </c>
      <c r="U48" t="s">
        <v>26</v>
      </c>
      <c r="W48" s="3">
        <v>77464378</v>
      </c>
    </row>
    <row r="49" spans="1:23">
      <c r="A49" t="s">
        <v>51</v>
      </c>
      <c r="B49" t="s">
        <v>52</v>
      </c>
      <c r="C49" s="2">
        <v>45864</v>
      </c>
      <c r="D49" t="s">
        <v>71</v>
      </c>
      <c r="E49" t="s">
        <v>72</v>
      </c>
      <c r="F49" t="s">
        <v>110</v>
      </c>
      <c r="G49" t="s">
        <v>74</v>
      </c>
      <c r="I49" t="s">
        <v>111</v>
      </c>
      <c r="J49" s="2">
        <v>44301</v>
      </c>
      <c r="K49">
        <v>12.42</v>
      </c>
      <c r="L49">
        <v>12.42</v>
      </c>
      <c r="M49" s="2">
        <v>46127</v>
      </c>
      <c r="N49">
        <v>138</v>
      </c>
      <c r="O49">
        <v>227284.37</v>
      </c>
      <c r="Q49">
        <v>13392.65</v>
      </c>
      <c r="R49">
        <v>0</v>
      </c>
      <c r="S49">
        <v>213891.72</v>
      </c>
      <c r="T49" t="s">
        <v>94</v>
      </c>
      <c r="U49" t="s">
        <v>26</v>
      </c>
      <c r="W49" s="3">
        <v>5917824</v>
      </c>
    </row>
    <row r="50" spans="1:23">
      <c r="A50" t="s">
        <v>60</v>
      </c>
      <c r="B50" t="s">
        <v>61</v>
      </c>
      <c r="C50" s="2">
        <v>45864</v>
      </c>
      <c r="D50" t="s">
        <v>71</v>
      </c>
      <c r="E50" t="s">
        <v>72</v>
      </c>
      <c r="F50" t="s">
        <v>112</v>
      </c>
      <c r="G50" t="s">
        <v>74</v>
      </c>
      <c r="I50" t="s">
        <v>113</v>
      </c>
      <c r="J50" s="2">
        <v>45439</v>
      </c>
      <c r="K50">
        <v>1.2</v>
      </c>
      <c r="L50">
        <v>1.2</v>
      </c>
      <c r="M50" s="2">
        <v>46535</v>
      </c>
      <c r="N50">
        <v>200</v>
      </c>
      <c r="O50">
        <v>231861.4</v>
      </c>
      <c r="Q50">
        <v>5575.74</v>
      </c>
      <c r="R50">
        <v>0</v>
      </c>
      <c r="S50">
        <v>226285.66</v>
      </c>
      <c r="T50" t="s">
        <v>76</v>
      </c>
      <c r="U50" t="s">
        <v>26</v>
      </c>
      <c r="W50" s="3">
        <v>4953897</v>
      </c>
    </row>
    <row r="51" spans="1:23">
      <c r="A51" t="s">
        <v>51</v>
      </c>
      <c r="B51" t="s">
        <v>52</v>
      </c>
      <c r="C51" s="2">
        <v>45864</v>
      </c>
      <c r="D51" t="s">
        <v>71</v>
      </c>
      <c r="E51" t="s">
        <v>72</v>
      </c>
      <c r="F51" t="s">
        <v>114</v>
      </c>
      <c r="G51" t="s">
        <v>74</v>
      </c>
      <c r="I51" t="s">
        <v>115</v>
      </c>
      <c r="J51" s="2">
        <v>45057</v>
      </c>
      <c r="K51">
        <v>0</v>
      </c>
      <c r="L51">
        <v>120</v>
      </c>
      <c r="M51" s="2">
        <v>46139</v>
      </c>
      <c r="N51">
        <v>150</v>
      </c>
      <c r="O51">
        <v>203270.87</v>
      </c>
      <c r="Q51">
        <v>7990.63</v>
      </c>
      <c r="R51">
        <v>0</v>
      </c>
      <c r="S51">
        <v>195280.24</v>
      </c>
      <c r="T51" t="s">
        <v>76</v>
      </c>
      <c r="U51" t="s">
        <v>26</v>
      </c>
      <c r="W51" s="3">
        <v>31828180</v>
      </c>
    </row>
    <row r="52" spans="1:23">
      <c r="A52" t="s">
        <v>60</v>
      </c>
      <c r="B52" t="s">
        <v>61</v>
      </c>
      <c r="C52" s="2">
        <v>45864</v>
      </c>
      <c r="D52" t="s">
        <v>71</v>
      </c>
      <c r="E52" t="s">
        <v>72</v>
      </c>
      <c r="F52" t="s">
        <v>116</v>
      </c>
      <c r="G52" t="s">
        <v>74</v>
      </c>
      <c r="I52" t="s">
        <v>117</v>
      </c>
      <c r="J52" s="2">
        <v>45411</v>
      </c>
      <c r="K52">
        <v>0</v>
      </c>
      <c r="L52">
        <v>116.26</v>
      </c>
      <c r="M52" s="2">
        <v>47232</v>
      </c>
      <c r="N52">
        <v>18</v>
      </c>
      <c r="O52">
        <v>21217.47</v>
      </c>
      <c r="P52" s="4"/>
      <c r="Q52">
        <v>563.04999999999995</v>
      </c>
      <c r="R52">
        <v>0</v>
      </c>
      <c r="S52">
        <v>20654.419999999998</v>
      </c>
      <c r="T52" t="s">
        <v>76</v>
      </c>
      <c r="U52" t="s">
        <v>26</v>
      </c>
      <c r="W52" s="3">
        <v>19822829</v>
      </c>
    </row>
    <row r="53" spans="1:23">
      <c r="A53" t="s">
        <v>51</v>
      </c>
      <c r="B53" t="s">
        <v>52</v>
      </c>
      <c r="C53" s="2">
        <v>45864</v>
      </c>
      <c r="D53" t="s">
        <v>71</v>
      </c>
      <c r="E53" t="s">
        <v>72</v>
      </c>
      <c r="F53" t="s">
        <v>118</v>
      </c>
      <c r="G53" t="s">
        <v>119</v>
      </c>
      <c r="I53" t="s">
        <v>120</v>
      </c>
      <c r="J53" s="2">
        <v>45517</v>
      </c>
      <c r="K53">
        <v>6.2</v>
      </c>
      <c r="L53">
        <v>6.2061000000000002</v>
      </c>
      <c r="M53" s="2">
        <v>47315</v>
      </c>
      <c r="N53">
        <v>133</v>
      </c>
      <c r="O53">
        <v>140079.78</v>
      </c>
      <c r="Q53">
        <v>0</v>
      </c>
      <c r="R53">
        <v>0</v>
      </c>
      <c r="S53">
        <v>140079.78</v>
      </c>
      <c r="T53" t="s">
        <v>121</v>
      </c>
      <c r="U53" t="s">
        <v>26</v>
      </c>
      <c r="W53" s="3">
        <v>21555689</v>
      </c>
    </row>
    <row r="54" spans="1:23">
      <c r="A54" t="s">
        <v>31</v>
      </c>
      <c r="B54" t="s">
        <v>32</v>
      </c>
      <c r="C54" s="2">
        <v>45864</v>
      </c>
      <c r="D54" t="s">
        <v>71</v>
      </c>
      <c r="E54" t="s">
        <v>72</v>
      </c>
      <c r="F54" t="s">
        <v>122</v>
      </c>
      <c r="G54" t="s">
        <v>119</v>
      </c>
      <c r="I54" t="s">
        <v>120</v>
      </c>
      <c r="J54" s="2">
        <v>45517</v>
      </c>
      <c r="K54">
        <v>0</v>
      </c>
      <c r="L54">
        <v>101</v>
      </c>
      <c r="M54" s="2">
        <v>47315</v>
      </c>
      <c r="N54">
        <v>283</v>
      </c>
      <c r="O54">
        <v>284263.09999999998</v>
      </c>
      <c r="Q54">
        <v>0</v>
      </c>
      <c r="R54">
        <v>0</v>
      </c>
      <c r="S54">
        <v>284263.09999999998</v>
      </c>
      <c r="T54" t="s">
        <v>76</v>
      </c>
      <c r="U54" t="s">
        <v>26</v>
      </c>
      <c r="W54" s="3">
        <v>49714855</v>
      </c>
    </row>
    <row r="55" spans="1:23">
      <c r="A55" t="s">
        <v>31</v>
      </c>
      <c r="B55" t="s">
        <v>32</v>
      </c>
      <c r="C55" s="2">
        <v>45864</v>
      </c>
      <c r="D55" t="s">
        <v>71</v>
      </c>
      <c r="E55" t="s">
        <v>72</v>
      </c>
      <c r="F55" t="s">
        <v>118</v>
      </c>
      <c r="G55" t="s">
        <v>119</v>
      </c>
      <c r="I55" t="s">
        <v>120</v>
      </c>
      <c r="J55" s="2">
        <v>45517</v>
      </c>
      <c r="K55">
        <v>6.2</v>
      </c>
      <c r="L55">
        <v>6.2061000000000002</v>
      </c>
      <c r="M55" s="2">
        <v>47315</v>
      </c>
      <c r="N55">
        <v>310</v>
      </c>
      <c r="O55">
        <v>326501.75</v>
      </c>
      <c r="Q55">
        <v>0</v>
      </c>
      <c r="R55">
        <v>0</v>
      </c>
      <c r="S55">
        <v>326501.75</v>
      </c>
      <c r="T55" t="s">
        <v>121</v>
      </c>
      <c r="U55" t="s">
        <v>26</v>
      </c>
      <c r="W55" s="3">
        <v>71825233</v>
      </c>
    </row>
    <row r="56" spans="1:23">
      <c r="A56" t="s">
        <v>51</v>
      </c>
      <c r="B56" t="s">
        <v>52</v>
      </c>
      <c r="C56" s="2">
        <v>45864</v>
      </c>
      <c r="D56" t="s">
        <v>71</v>
      </c>
      <c r="E56" t="s">
        <v>72</v>
      </c>
      <c r="F56" t="s">
        <v>122</v>
      </c>
      <c r="G56" t="s">
        <v>119</v>
      </c>
      <c r="I56" t="s">
        <v>120</v>
      </c>
      <c r="J56" s="2">
        <v>45517</v>
      </c>
      <c r="K56">
        <v>0</v>
      </c>
      <c r="L56">
        <v>101</v>
      </c>
      <c r="M56" s="2">
        <v>47315</v>
      </c>
      <c r="N56">
        <v>354</v>
      </c>
      <c r="O56">
        <v>355580</v>
      </c>
      <c r="Q56">
        <v>0</v>
      </c>
      <c r="R56">
        <v>0</v>
      </c>
      <c r="S56">
        <v>355580</v>
      </c>
      <c r="T56" t="s">
        <v>76</v>
      </c>
      <c r="U56" t="s">
        <v>26</v>
      </c>
      <c r="W56" s="3">
        <v>23295434</v>
      </c>
    </row>
    <row r="57" spans="1:23">
      <c r="A57" t="s">
        <v>53</v>
      </c>
      <c r="B57" t="s">
        <v>48</v>
      </c>
      <c r="C57" s="2">
        <v>45864</v>
      </c>
      <c r="D57" t="s">
        <v>71</v>
      </c>
      <c r="E57" t="s">
        <v>72</v>
      </c>
      <c r="F57" t="s">
        <v>122</v>
      </c>
      <c r="G57" t="s">
        <v>119</v>
      </c>
      <c r="I57" t="s">
        <v>120</v>
      </c>
      <c r="J57" s="2">
        <v>45517</v>
      </c>
      <c r="K57">
        <v>0</v>
      </c>
      <c r="L57">
        <v>101</v>
      </c>
      <c r="M57" s="2">
        <v>47315</v>
      </c>
      <c r="N57">
        <v>443</v>
      </c>
      <c r="O57">
        <v>444977.23</v>
      </c>
      <c r="Q57">
        <v>0</v>
      </c>
      <c r="R57">
        <v>0</v>
      </c>
      <c r="S57">
        <v>444977.23</v>
      </c>
      <c r="T57" t="s">
        <v>76</v>
      </c>
      <c r="U57" t="s">
        <v>26</v>
      </c>
      <c r="W57" s="3">
        <v>23331555</v>
      </c>
    </row>
    <row r="58" spans="1:23">
      <c r="A58" t="s">
        <v>58</v>
      </c>
      <c r="B58" t="s">
        <v>59</v>
      </c>
      <c r="C58" s="2">
        <v>45864</v>
      </c>
      <c r="D58" t="s">
        <v>71</v>
      </c>
      <c r="E58" t="s">
        <v>72</v>
      </c>
      <c r="F58" t="s">
        <v>122</v>
      </c>
      <c r="G58" t="s">
        <v>119</v>
      </c>
      <c r="I58" t="s">
        <v>120</v>
      </c>
      <c r="J58" s="2">
        <v>45517</v>
      </c>
      <c r="K58">
        <v>0</v>
      </c>
      <c r="L58">
        <v>101</v>
      </c>
      <c r="M58" s="2">
        <v>47315</v>
      </c>
      <c r="N58">
        <v>443</v>
      </c>
      <c r="O58">
        <v>444977.23</v>
      </c>
      <c r="Q58">
        <v>0</v>
      </c>
      <c r="R58">
        <v>0</v>
      </c>
      <c r="S58">
        <v>444977.23</v>
      </c>
      <c r="T58" t="s">
        <v>76</v>
      </c>
      <c r="U58" t="s">
        <v>26</v>
      </c>
      <c r="W58" s="3">
        <v>33672079</v>
      </c>
    </row>
    <row r="59" spans="1:23">
      <c r="A59" t="s">
        <v>62</v>
      </c>
      <c r="B59" t="s">
        <v>63</v>
      </c>
      <c r="C59" s="2">
        <v>45864</v>
      </c>
      <c r="D59" t="s">
        <v>71</v>
      </c>
      <c r="E59" t="s">
        <v>123</v>
      </c>
      <c r="F59" t="s">
        <v>124</v>
      </c>
      <c r="G59" t="s">
        <v>123</v>
      </c>
      <c r="I59" t="s">
        <v>78</v>
      </c>
      <c r="J59" s="2"/>
      <c r="K59">
        <v>0</v>
      </c>
      <c r="M59" s="2">
        <v>46384</v>
      </c>
      <c r="N59">
        <v>500</v>
      </c>
      <c r="O59">
        <v>50561.09</v>
      </c>
      <c r="Q59">
        <v>98.19</v>
      </c>
      <c r="R59">
        <v>0</v>
      </c>
      <c r="S59">
        <v>50462.9</v>
      </c>
      <c r="T59" t="s">
        <v>125</v>
      </c>
      <c r="U59" t="s">
        <v>26</v>
      </c>
      <c r="W59" s="3">
        <v>68913151</v>
      </c>
    </row>
    <row r="60" spans="1:23">
      <c r="A60" t="s">
        <v>62</v>
      </c>
      <c r="B60" t="s">
        <v>63</v>
      </c>
      <c r="C60" s="2">
        <v>45864</v>
      </c>
      <c r="D60" t="s">
        <v>71</v>
      </c>
      <c r="E60" t="s">
        <v>123</v>
      </c>
      <c r="F60" t="s">
        <v>126</v>
      </c>
      <c r="G60" t="s">
        <v>123</v>
      </c>
      <c r="I60" t="s">
        <v>78</v>
      </c>
      <c r="J60" s="2"/>
      <c r="K60">
        <v>0</v>
      </c>
      <c r="M60" s="2">
        <v>46744</v>
      </c>
      <c r="N60">
        <v>1500</v>
      </c>
      <c r="O60">
        <v>151907.49</v>
      </c>
      <c r="Q60">
        <v>286.12</v>
      </c>
      <c r="R60">
        <v>0</v>
      </c>
      <c r="S60">
        <v>151621.37</v>
      </c>
      <c r="T60" t="s">
        <v>125</v>
      </c>
      <c r="U60" t="s">
        <v>26</v>
      </c>
      <c r="W60" s="3">
        <v>65660978</v>
      </c>
    </row>
    <row r="61" spans="1:23">
      <c r="A61" t="s">
        <v>60</v>
      </c>
      <c r="B61" t="s">
        <v>61</v>
      </c>
      <c r="C61" s="2">
        <v>45864</v>
      </c>
      <c r="D61" t="s">
        <v>71</v>
      </c>
      <c r="E61" t="s">
        <v>123</v>
      </c>
      <c r="F61" t="s">
        <v>127</v>
      </c>
      <c r="G61" t="s">
        <v>123</v>
      </c>
      <c r="I61" t="s">
        <v>78</v>
      </c>
      <c r="J61" s="2"/>
      <c r="K61">
        <v>0</v>
      </c>
      <c r="M61" s="2">
        <v>46927</v>
      </c>
      <c r="N61">
        <v>300</v>
      </c>
      <c r="O61">
        <v>30381.46</v>
      </c>
      <c r="Q61">
        <v>57.21</v>
      </c>
      <c r="R61">
        <v>0</v>
      </c>
      <c r="S61">
        <v>30324.25</v>
      </c>
      <c r="T61" t="s">
        <v>125</v>
      </c>
      <c r="U61" t="s">
        <v>26</v>
      </c>
      <c r="W61" s="3">
        <v>25544271</v>
      </c>
    </row>
    <row r="62" spans="1:23">
      <c r="A62" t="s">
        <v>62</v>
      </c>
      <c r="B62" t="s">
        <v>63</v>
      </c>
      <c r="C62" s="2">
        <v>45864</v>
      </c>
      <c r="D62" t="s">
        <v>71</v>
      </c>
      <c r="E62" t="s">
        <v>123</v>
      </c>
      <c r="F62" t="s">
        <v>128</v>
      </c>
      <c r="G62" t="s">
        <v>123</v>
      </c>
      <c r="I62" t="s">
        <v>78</v>
      </c>
      <c r="J62" s="2"/>
      <c r="K62">
        <v>0</v>
      </c>
      <c r="M62" s="2">
        <v>47877</v>
      </c>
      <c r="N62">
        <v>4000</v>
      </c>
      <c r="O62">
        <v>426892.22</v>
      </c>
      <c r="Q62">
        <v>4033.83</v>
      </c>
      <c r="R62">
        <v>0</v>
      </c>
      <c r="S62">
        <v>422858.39</v>
      </c>
      <c r="T62" t="s">
        <v>125</v>
      </c>
      <c r="U62" t="s">
        <v>26</v>
      </c>
      <c r="W62" s="3">
        <v>79268018</v>
      </c>
    </row>
    <row r="63" spans="1:23">
      <c r="A63" t="s">
        <v>62</v>
      </c>
      <c r="B63" t="s">
        <v>63</v>
      </c>
      <c r="C63" s="2">
        <v>45864</v>
      </c>
      <c r="D63" t="s">
        <v>71</v>
      </c>
      <c r="E63" t="s">
        <v>123</v>
      </c>
      <c r="F63" t="s">
        <v>129</v>
      </c>
      <c r="G63" t="s">
        <v>123</v>
      </c>
      <c r="I63" t="s">
        <v>78</v>
      </c>
      <c r="J63" s="2"/>
      <c r="K63">
        <v>0</v>
      </c>
      <c r="M63" s="2">
        <v>47889</v>
      </c>
      <c r="N63">
        <v>2000</v>
      </c>
      <c r="O63">
        <v>213929.31</v>
      </c>
      <c r="Q63">
        <v>2437.63</v>
      </c>
      <c r="R63">
        <v>0</v>
      </c>
      <c r="S63">
        <v>211491.68</v>
      </c>
      <c r="T63" t="s">
        <v>125</v>
      </c>
      <c r="U63" t="s">
        <v>26</v>
      </c>
      <c r="W63" s="3">
        <v>61384292</v>
      </c>
    </row>
    <row r="64" spans="1:23">
      <c r="A64" t="s">
        <v>60</v>
      </c>
      <c r="B64" t="s">
        <v>61</v>
      </c>
      <c r="C64" s="2">
        <v>45864</v>
      </c>
      <c r="D64" t="s">
        <v>71</v>
      </c>
      <c r="E64" t="s">
        <v>72</v>
      </c>
      <c r="F64" t="s">
        <v>130</v>
      </c>
      <c r="G64" t="s">
        <v>131</v>
      </c>
      <c r="I64" t="s">
        <v>132</v>
      </c>
      <c r="J64" s="2">
        <v>45727</v>
      </c>
      <c r="K64">
        <v>0</v>
      </c>
      <c r="L64">
        <v>96.9</v>
      </c>
      <c r="M64" s="2">
        <v>46063</v>
      </c>
      <c r="N64">
        <v>122</v>
      </c>
      <c r="O64">
        <v>143623.46</v>
      </c>
      <c r="Q64">
        <v>0</v>
      </c>
      <c r="R64">
        <v>0</v>
      </c>
      <c r="S64">
        <v>143623.46</v>
      </c>
      <c r="T64" t="s">
        <v>76</v>
      </c>
      <c r="U64" t="s">
        <v>26</v>
      </c>
      <c r="W64" s="3">
        <v>37629108</v>
      </c>
    </row>
    <row r="65" spans="1:23">
      <c r="A65" t="s">
        <v>60</v>
      </c>
      <c r="B65" t="s">
        <v>61</v>
      </c>
      <c r="C65" s="2">
        <v>45864</v>
      </c>
      <c r="D65" t="s">
        <v>71</v>
      </c>
      <c r="E65" t="s">
        <v>72</v>
      </c>
      <c r="F65" t="s">
        <v>133</v>
      </c>
      <c r="G65" t="s">
        <v>131</v>
      </c>
      <c r="I65" t="s">
        <v>132</v>
      </c>
      <c r="J65" s="2">
        <v>45323</v>
      </c>
      <c r="K65">
        <v>0</v>
      </c>
      <c r="L65">
        <v>100</v>
      </c>
      <c r="M65" s="2">
        <v>46428</v>
      </c>
      <c r="N65">
        <v>50</v>
      </c>
      <c r="O65">
        <v>59007.78</v>
      </c>
      <c r="Q65">
        <v>0</v>
      </c>
      <c r="R65">
        <v>0</v>
      </c>
      <c r="S65">
        <v>59007.78</v>
      </c>
      <c r="T65" t="s">
        <v>76</v>
      </c>
      <c r="U65" t="s">
        <v>26</v>
      </c>
      <c r="W65" s="3">
        <v>18341633</v>
      </c>
    </row>
    <row r="66" spans="1:23">
      <c r="A66" t="s">
        <v>51</v>
      </c>
      <c r="B66" t="s">
        <v>52</v>
      </c>
      <c r="C66" s="2">
        <v>45864</v>
      </c>
      <c r="D66" t="s">
        <v>71</v>
      </c>
      <c r="E66" t="s">
        <v>72</v>
      </c>
      <c r="F66" t="s">
        <v>133</v>
      </c>
      <c r="G66" t="s">
        <v>131</v>
      </c>
      <c r="I66" t="s">
        <v>132</v>
      </c>
      <c r="J66" s="2">
        <v>45777</v>
      </c>
      <c r="K66">
        <v>0</v>
      </c>
      <c r="L66">
        <v>96.9</v>
      </c>
      <c r="M66" s="2">
        <v>46428</v>
      </c>
      <c r="N66">
        <v>107</v>
      </c>
      <c r="O66">
        <v>127060.56</v>
      </c>
      <c r="Q66">
        <v>0</v>
      </c>
      <c r="R66">
        <v>0</v>
      </c>
      <c r="S66">
        <v>127060.56</v>
      </c>
      <c r="T66" t="s">
        <v>76</v>
      </c>
      <c r="U66" t="s">
        <v>26</v>
      </c>
      <c r="W66" s="3">
        <v>39844207</v>
      </c>
    </row>
    <row r="67" spans="1:23">
      <c r="A67" t="s">
        <v>60</v>
      </c>
      <c r="B67" t="s">
        <v>61</v>
      </c>
      <c r="C67" s="2">
        <v>45864</v>
      </c>
      <c r="D67" t="s">
        <v>71</v>
      </c>
      <c r="E67" t="s">
        <v>72</v>
      </c>
      <c r="F67" t="s">
        <v>133</v>
      </c>
      <c r="G67" t="s">
        <v>131</v>
      </c>
      <c r="I67" t="s">
        <v>132</v>
      </c>
      <c r="J67" s="2">
        <v>45666</v>
      </c>
      <c r="K67">
        <v>0</v>
      </c>
      <c r="L67">
        <v>97.9</v>
      </c>
      <c r="M67" s="2">
        <v>46428</v>
      </c>
      <c r="N67">
        <v>118</v>
      </c>
      <c r="O67">
        <v>139902.99</v>
      </c>
      <c r="Q67">
        <v>0</v>
      </c>
      <c r="R67">
        <v>0</v>
      </c>
      <c r="S67">
        <v>139902.99</v>
      </c>
      <c r="T67" t="s">
        <v>76</v>
      </c>
      <c r="U67" t="s">
        <v>26</v>
      </c>
      <c r="W67" s="3">
        <v>6193644</v>
      </c>
    </row>
    <row r="68" spans="1:23">
      <c r="A68" t="s">
        <v>43</v>
      </c>
      <c r="B68" t="s">
        <v>44</v>
      </c>
      <c r="C68" s="2">
        <v>45864</v>
      </c>
      <c r="D68" t="s">
        <v>71</v>
      </c>
      <c r="E68" t="s">
        <v>72</v>
      </c>
      <c r="F68" t="s">
        <v>133</v>
      </c>
      <c r="G68" t="s">
        <v>131</v>
      </c>
      <c r="I68" t="s">
        <v>132</v>
      </c>
      <c r="J68" s="2">
        <v>45762</v>
      </c>
      <c r="K68">
        <v>0</v>
      </c>
      <c r="L68">
        <v>98</v>
      </c>
      <c r="M68" s="2">
        <v>46428</v>
      </c>
      <c r="N68">
        <v>167</v>
      </c>
      <c r="O68">
        <v>195892.17</v>
      </c>
      <c r="Q68">
        <v>0</v>
      </c>
      <c r="R68">
        <v>0</v>
      </c>
      <c r="S68">
        <v>195892.17</v>
      </c>
      <c r="T68" t="s">
        <v>76</v>
      </c>
      <c r="U68" t="s">
        <v>26</v>
      </c>
      <c r="W68" s="3">
        <v>69750129</v>
      </c>
    </row>
    <row r="69" spans="1:23">
      <c r="A69" t="s">
        <v>66</v>
      </c>
      <c r="B69" t="s">
        <v>67</v>
      </c>
      <c r="C69" s="2">
        <v>45864</v>
      </c>
      <c r="D69" t="s">
        <v>71</v>
      </c>
      <c r="E69" t="s">
        <v>72</v>
      </c>
      <c r="F69" t="s">
        <v>133</v>
      </c>
      <c r="G69" t="s">
        <v>131</v>
      </c>
      <c r="I69" t="s">
        <v>132</v>
      </c>
      <c r="J69" s="2">
        <v>45819</v>
      </c>
      <c r="K69">
        <v>0</v>
      </c>
      <c r="L69">
        <v>96.9</v>
      </c>
      <c r="M69" s="2">
        <v>46428</v>
      </c>
      <c r="N69">
        <v>172</v>
      </c>
      <c r="O69">
        <v>204259.92</v>
      </c>
      <c r="Q69">
        <v>0</v>
      </c>
      <c r="R69">
        <v>0</v>
      </c>
      <c r="S69">
        <v>204259.92</v>
      </c>
      <c r="T69" t="s">
        <v>76</v>
      </c>
      <c r="U69" t="s">
        <v>26</v>
      </c>
      <c r="W69" s="3">
        <v>42796113</v>
      </c>
    </row>
    <row r="70" spans="1:23">
      <c r="A70" t="s">
        <v>60</v>
      </c>
      <c r="B70" t="s">
        <v>61</v>
      </c>
      <c r="C70" s="2">
        <v>45864</v>
      </c>
      <c r="D70" t="s">
        <v>71</v>
      </c>
      <c r="E70" t="s">
        <v>72</v>
      </c>
      <c r="F70" t="s">
        <v>133</v>
      </c>
      <c r="G70" t="s">
        <v>131</v>
      </c>
      <c r="I70" t="s">
        <v>132</v>
      </c>
      <c r="J70" s="2">
        <v>45323</v>
      </c>
      <c r="K70">
        <v>0</v>
      </c>
      <c r="L70">
        <v>100</v>
      </c>
      <c r="M70" s="2">
        <v>46428</v>
      </c>
      <c r="N70">
        <v>200</v>
      </c>
      <c r="O70">
        <v>236031.14</v>
      </c>
      <c r="Q70">
        <v>0</v>
      </c>
      <c r="R70">
        <v>0</v>
      </c>
      <c r="S70">
        <v>236031.14</v>
      </c>
      <c r="T70" t="s">
        <v>76</v>
      </c>
      <c r="U70" t="s">
        <v>26</v>
      </c>
      <c r="W70" s="3">
        <v>27609497</v>
      </c>
    </row>
    <row r="71" spans="1:23">
      <c r="A71" t="s">
        <v>66</v>
      </c>
      <c r="B71" t="s">
        <v>67</v>
      </c>
      <c r="C71" s="2">
        <v>45864</v>
      </c>
      <c r="D71" t="s">
        <v>71</v>
      </c>
      <c r="E71" t="s">
        <v>72</v>
      </c>
      <c r="F71" t="s">
        <v>133</v>
      </c>
      <c r="G71" t="s">
        <v>131</v>
      </c>
      <c r="I71" t="s">
        <v>132</v>
      </c>
      <c r="J71" s="2">
        <v>45806</v>
      </c>
      <c r="K71">
        <v>0</v>
      </c>
      <c r="L71">
        <v>96.9</v>
      </c>
      <c r="M71" s="2">
        <v>46428</v>
      </c>
      <c r="N71">
        <v>227</v>
      </c>
      <c r="O71">
        <v>269552.23</v>
      </c>
      <c r="Q71">
        <v>0</v>
      </c>
      <c r="R71">
        <v>0</v>
      </c>
      <c r="S71">
        <v>269552.23</v>
      </c>
      <c r="T71" t="s">
        <v>76</v>
      </c>
      <c r="U71" t="s">
        <v>26</v>
      </c>
      <c r="W71" s="3">
        <v>43622258</v>
      </c>
    </row>
    <row r="72" spans="1:23">
      <c r="A72" t="s">
        <v>58</v>
      </c>
      <c r="B72" t="s">
        <v>59</v>
      </c>
      <c r="C72" s="2">
        <v>45864</v>
      </c>
      <c r="D72" t="s">
        <v>71</v>
      </c>
      <c r="E72" t="s">
        <v>72</v>
      </c>
      <c r="F72" t="s">
        <v>133</v>
      </c>
      <c r="G72" t="s">
        <v>131</v>
      </c>
      <c r="I72" t="s">
        <v>132</v>
      </c>
      <c r="J72" s="2">
        <v>45323</v>
      </c>
      <c r="K72">
        <v>0</v>
      </c>
      <c r="L72">
        <v>100</v>
      </c>
      <c r="M72" s="2">
        <v>46428</v>
      </c>
      <c r="N72">
        <v>350</v>
      </c>
      <c r="O72">
        <v>413054.5</v>
      </c>
      <c r="Q72">
        <v>0</v>
      </c>
      <c r="R72">
        <v>0</v>
      </c>
      <c r="S72">
        <v>413054.5</v>
      </c>
      <c r="T72" t="s">
        <v>76</v>
      </c>
      <c r="U72" t="s">
        <v>26</v>
      </c>
      <c r="W72" s="3">
        <v>11124713</v>
      </c>
    </row>
    <row r="73" spans="1:23">
      <c r="A73" t="s">
        <v>53</v>
      </c>
      <c r="B73" t="s">
        <v>48</v>
      </c>
      <c r="C73" s="2">
        <v>45864</v>
      </c>
      <c r="D73" t="s">
        <v>71</v>
      </c>
      <c r="E73" t="s">
        <v>72</v>
      </c>
      <c r="F73" t="s">
        <v>133</v>
      </c>
      <c r="G73" t="s">
        <v>131</v>
      </c>
      <c r="I73" t="s">
        <v>132</v>
      </c>
      <c r="J73" s="2">
        <v>45323</v>
      </c>
      <c r="K73">
        <v>0</v>
      </c>
      <c r="L73">
        <v>100</v>
      </c>
      <c r="M73" s="2">
        <v>46428</v>
      </c>
      <c r="N73">
        <v>350</v>
      </c>
      <c r="O73">
        <v>413054.5</v>
      </c>
      <c r="Q73">
        <v>0</v>
      </c>
      <c r="R73">
        <v>0</v>
      </c>
      <c r="S73">
        <v>413054.5</v>
      </c>
      <c r="T73" t="s">
        <v>76</v>
      </c>
      <c r="U73" t="s">
        <v>26</v>
      </c>
      <c r="W73" s="3">
        <v>35593983</v>
      </c>
    </row>
    <row r="74" spans="1:23">
      <c r="A74" t="s">
        <v>43</v>
      </c>
      <c r="B74" t="s">
        <v>44</v>
      </c>
      <c r="C74" s="2">
        <v>45864</v>
      </c>
      <c r="D74" t="s">
        <v>71</v>
      </c>
      <c r="E74" t="s">
        <v>72</v>
      </c>
      <c r="F74" t="s">
        <v>133</v>
      </c>
      <c r="G74" t="s">
        <v>131</v>
      </c>
      <c r="I74" t="s">
        <v>132</v>
      </c>
      <c r="J74" s="2">
        <v>45750</v>
      </c>
      <c r="K74">
        <v>0</v>
      </c>
      <c r="L74">
        <v>96.9</v>
      </c>
      <c r="M74" s="2">
        <v>46428</v>
      </c>
      <c r="N74">
        <v>434</v>
      </c>
      <c r="O74">
        <v>509085.05</v>
      </c>
      <c r="Q74">
        <v>0</v>
      </c>
      <c r="R74">
        <v>0</v>
      </c>
      <c r="S74">
        <v>509085.05</v>
      </c>
      <c r="T74" t="s">
        <v>76</v>
      </c>
      <c r="U74" t="s">
        <v>26</v>
      </c>
      <c r="W74" s="3">
        <v>76940108</v>
      </c>
    </row>
    <row r="75" spans="1:23">
      <c r="A75" t="s">
        <v>43</v>
      </c>
      <c r="B75" t="s">
        <v>44</v>
      </c>
      <c r="C75" s="2">
        <v>45864</v>
      </c>
      <c r="D75" t="s">
        <v>71</v>
      </c>
      <c r="E75" t="s">
        <v>72</v>
      </c>
      <c r="F75" t="s">
        <v>133</v>
      </c>
      <c r="G75" t="s">
        <v>131</v>
      </c>
      <c r="I75" t="s">
        <v>132</v>
      </c>
      <c r="J75" s="2">
        <v>45323</v>
      </c>
      <c r="K75">
        <v>0</v>
      </c>
      <c r="L75">
        <v>100</v>
      </c>
      <c r="M75" s="2">
        <v>46428</v>
      </c>
      <c r="N75">
        <v>500</v>
      </c>
      <c r="O75">
        <v>586503.52</v>
      </c>
      <c r="P75" s="4"/>
      <c r="Q75">
        <v>0</v>
      </c>
      <c r="R75">
        <v>0</v>
      </c>
      <c r="S75">
        <v>586503.52</v>
      </c>
      <c r="T75" t="s">
        <v>76</v>
      </c>
      <c r="U75" t="s">
        <v>26</v>
      </c>
      <c r="W75" s="3">
        <v>60480517</v>
      </c>
    </row>
    <row r="76" spans="1:23">
      <c r="A76" t="s">
        <v>66</v>
      </c>
      <c r="B76" t="s">
        <v>67</v>
      </c>
      <c r="C76" s="2">
        <v>45864</v>
      </c>
      <c r="D76" t="s">
        <v>71</v>
      </c>
      <c r="E76" t="s">
        <v>72</v>
      </c>
      <c r="F76" t="s">
        <v>134</v>
      </c>
      <c r="G76" t="s">
        <v>131</v>
      </c>
      <c r="I76" t="s">
        <v>132</v>
      </c>
      <c r="J76" s="2">
        <v>45664</v>
      </c>
      <c r="K76">
        <v>15.05</v>
      </c>
      <c r="L76">
        <v>15.05</v>
      </c>
      <c r="M76" s="2">
        <v>48985</v>
      </c>
      <c r="N76">
        <v>186</v>
      </c>
      <c r="O76">
        <v>165673.09</v>
      </c>
      <c r="Q76">
        <v>0</v>
      </c>
      <c r="R76">
        <v>0</v>
      </c>
      <c r="S76">
        <v>165673.09</v>
      </c>
      <c r="T76" t="s">
        <v>94</v>
      </c>
      <c r="U76" t="s">
        <v>26</v>
      </c>
      <c r="W76" s="3">
        <v>27332475</v>
      </c>
    </row>
    <row r="77" spans="1:23">
      <c r="A77" t="s">
        <v>62</v>
      </c>
      <c r="B77" t="s">
        <v>63</v>
      </c>
      <c r="C77" s="2">
        <v>45864</v>
      </c>
      <c r="D77" t="s">
        <v>71</v>
      </c>
      <c r="E77" t="s">
        <v>72</v>
      </c>
      <c r="F77" t="s">
        <v>135</v>
      </c>
      <c r="G77" t="s">
        <v>131</v>
      </c>
      <c r="I77" t="s">
        <v>136</v>
      </c>
      <c r="J77" s="2">
        <v>44497</v>
      </c>
      <c r="K77">
        <v>5.76</v>
      </c>
      <c r="L77">
        <v>5.76</v>
      </c>
      <c r="M77" s="2">
        <v>46919</v>
      </c>
      <c r="N77">
        <v>161</v>
      </c>
      <c r="O77">
        <v>155352.21</v>
      </c>
      <c r="Q77">
        <v>0</v>
      </c>
      <c r="R77">
        <v>0</v>
      </c>
      <c r="S77">
        <v>155352.21</v>
      </c>
      <c r="T77" t="s">
        <v>121</v>
      </c>
      <c r="U77" t="s">
        <v>26</v>
      </c>
      <c r="W77" s="3">
        <v>49616389</v>
      </c>
    </row>
    <row r="78" spans="1:23">
      <c r="A78" t="s">
        <v>43</v>
      </c>
      <c r="B78" t="s">
        <v>44</v>
      </c>
      <c r="C78" s="2">
        <v>45864</v>
      </c>
      <c r="D78" t="s">
        <v>71</v>
      </c>
      <c r="E78" t="s">
        <v>72</v>
      </c>
      <c r="F78" t="s">
        <v>135</v>
      </c>
      <c r="G78" t="s">
        <v>131</v>
      </c>
      <c r="I78" t="s">
        <v>136</v>
      </c>
      <c r="J78" s="2">
        <v>44389</v>
      </c>
      <c r="K78">
        <v>5.96</v>
      </c>
      <c r="L78">
        <v>5.9641000000000002</v>
      </c>
      <c r="M78" s="2">
        <v>46919</v>
      </c>
      <c r="N78">
        <v>935</v>
      </c>
      <c r="O78">
        <v>812932.7</v>
      </c>
      <c r="Q78">
        <v>0</v>
      </c>
      <c r="R78">
        <v>0</v>
      </c>
      <c r="S78">
        <v>812932.7</v>
      </c>
      <c r="T78" t="s">
        <v>121</v>
      </c>
      <c r="U78" t="s">
        <v>26</v>
      </c>
      <c r="W78" s="3">
        <v>2836571</v>
      </c>
    </row>
    <row r="79" spans="1:23">
      <c r="A79" t="s">
        <v>66</v>
      </c>
      <c r="B79" t="s">
        <v>67</v>
      </c>
      <c r="C79" s="2">
        <v>45864</v>
      </c>
      <c r="D79" t="s">
        <v>71</v>
      </c>
      <c r="E79" t="s">
        <v>72</v>
      </c>
      <c r="F79" t="s">
        <v>137</v>
      </c>
      <c r="G79" t="s">
        <v>131</v>
      </c>
      <c r="I79" t="s">
        <v>138</v>
      </c>
      <c r="J79" s="2">
        <v>45198</v>
      </c>
      <c r="K79">
        <v>1.2</v>
      </c>
      <c r="L79">
        <v>1.2</v>
      </c>
      <c r="M79" s="2">
        <v>46920</v>
      </c>
      <c r="N79">
        <v>30</v>
      </c>
      <c r="O79">
        <v>30818.61</v>
      </c>
      <c r="Q79">
        <v>0</v>
      </c>
      <c r="R79">
        <v>0</v>
      </c>
      <c r="S79">
        <v>30818.61</v>
      </c>
      <c r="T79" t="s">
        <v>76</v>
      </c>
      <c r="U79" t="s">
        <v>26</v>
      </c>
      <c r="W79" s="3">
        <v>31871110</v>
      </c>
    </row>
    <row r="80" spans="1:23">
      <c r="A80" t="s">
        <v>53</v>
      </c>
      <c r="B80" t="s">
        <v>48</v>
      </c>
      <c r="C80" s="2">
        <v>45864</v>
      </c>
      <c r="D80" t="s">
        <v>71</v>
      </c>
      <c r="E80" t="s">
        <v>72</v>
      </c>
      <c r="F80" t="s">
        <v>139</v>
      </c>
      <c r="G80" t="s">
        <v>131</v>
      </c>
      <c r="I80" t="s">
        <v>140</v>
      </c>
      <c r="J80" s="2">
        <v>45327</v>
      </c>
      <c r="K80">
        <v>0.85</v>
      </c>
      <c r="L80">
        <v>0.85</v>
      </c>
      <c r="M80" s="2">
        <v>46402</v>
      </c>
      <c r="N80">
        <v>200</v>
      </c>
      <c r="O80">
        <v>200937.78</v>
      </c>
      <c r="Q80">
        <v>0</v>
      </c>
      <c r="R80">
        <v>0</v>
      </c>
      <c r="S80">
        <v>200937.78</v>
      </c>
      <c r="T80" t="s">
        <v>76</v>
      </c>
      <c r="U80" t="s">
        <v>26</v>
      </c>
      <c r="W80" s="3">
        <v>6084105</v>
      </c>
    </row>
    <row r="81" spans="1:23">
      <c r="A81" t="s">
        <v>58</v>
      </c>
      <c r="B81" t="s">
        <v>59</v>
      </c>
      <c r="C81" s="2">
        <v>45864</v>
      </c>
      <c r="D81" t="s">
        <v>71</v>
      </c>
      <c r="E81" t="s">
        <v>72</v>
      </c>
      <c r="F81" t="s">
        <v>139</v>
      </c>
      <c r="G81" t="s">
        <v>131</v>
      </c>
      <c r="I81" t="s">
        <v>140</v>
      </c>
      <c r="J81" s="2">
        <v>45327</v>
      </c>
      <c r="K81">
        <v>0.85</v>
      </c>
      <c r="L81">
        <v>0.85</v>
      </c>
      <c r="M81" s="2">
        <v>46402</v>
      </c>
      <c r="N81">
        <v>200</v>
      </c>
      <c r="O81">
        <v>200937.78</v>
      </c>
      <c r="Q81">
        <v>0</v>
      </c>
      <c r="R81">
        <v>0</v>
      </c>
      <c r="S81">
        <v>200937.78</v>
      </c>
      <c r="T81" t="s">
        <v>76</v>
      </c>
      <c r="U81" t="s">
        <v>26</v>
      </c>
      <c r="W81" s="3">
        <v>6724924</v>
      </c>
    </row>
    <row r="82" spans="1:23">
      <c r="A82" t="s">
        <v>31</v>
      </c>
      <c r="B82" t="s">
        <v>32</v>
      </c>
      <c r="C82" s="2">
        <v>45864</v>
      </c>
      <c r="D82" t="s">
        <v>71</v>
      </c>
      <c r="E82" t="s">
        <v>72</v>
      </c>
      <c r="F82" t="s">
        <v>141</v>
      </c>
      <c r="G82" t="s">
        <v>131</v>
      </c>
      <c r="I82" t="s">
        <v>140</v>
      </c>
      <c r="J82" s="2">
        <v>45530</v>
      </c>
      <c r="K82">
        <v>11.75</v>
      </c>
      <c r="L82">
        <v>11.75</v>
      </c>
      <c r="M82" s="2">
        <v>46402</v>
      </c>
      <c r="N82">
        <v>210</v>
      </c>
      <c r="O82">
        <v>208553.04</v>
      </c>
      <c r="Q82">
        <v>0</v>
      </c>
      <c r="R82">
        <v>0</v>
      </c>
      <c r="S82">
        <v>208553.04</v>
      </c>
      <c r="T82" t="s">
        <v>94</v>
      </c>
      <c r="U82" t="s">
        <v>26</v>
      </c>
      <c r="W82" s="3">
        <v>46967512</v>
      </c>
    </row>
    <row r="83" spans="1:23">
      <c r="A83" t="s">
        <v>66</v>
      </c>
      <c r="B83" t="s">
        <v>67</v>
      </c>
      <c r="C83" s="2">
        <v>45864</v>
      </c>
      <c r="D83" t="s">
        <v>71</v>
      </c>
      <c r="E83" t="s">
        <v>72</v>
      </c>
      <c r="F83" t="s">
        <v>142</v>
      </c>
      <c r="G83" t="s">
        <v>131</v>
      </c>
      <c r="I83" t="s">
        <v>143</v>
      </c>
      <c r="J83" s="2">
        <v>45804</v>
      </c>
      <c r="K83">
        <v>0</v>
      </c>
      <c r="L83">
        <v>95.9</v>
      </c>
      <c r="M83" s="2">
        <v>45945</v>
      </c>
      <c r="N83">
        <v>94</v>
      </c>
      <c r="O83">
        <v>114471.69</v>
      </c>
      <c r="Q83">
        <v>0</v>
      </c>
      <c r="R83">
        <v>0</v>
      </c>
      <c r="S83">
        <v>114471.69</v>
      </c>
      <c r="T83" t="s">
        <v>76</v>
      </c>
      <c r="U83" t="s">
        <v>26</v>
      </c>
      <c r="W83" s="3">
        <v>28519558</v>
      </c>
    </row>
    <row r="84" spans="1:23">
      <c r="A84" t="s">
        <v>43</v>
      </c>
      <c r="B84" t="s">
        <v>44</v>
      </c>
      <c r="C84" s="2">
        <v>45864</v>
      </c>
      <c r="D84" t="s">
        <v>71</v>
      </c>
      <c r="E84" t="s">
        <v>72</v>
      </c>
      <c r="F84" t="s">
        <v>142</v>
      </c>
      <c r="G84" t="s">
        <v>131</v>
      </c>
      <c r="I84" t="s">
        <v>143</v>
      </c>
      <c r="J84" s="2">
        <v>45716</v>
      </c>
      <c r="K84">
        <v>0</v>
      </c>
      <c r="L84">
        <v>95.9</v>
      </c>
      <c r="M84" s="2">
        <v>45945</v>
      </c>
      <c r="N84">
        <v>105</v>
      </c>
      <c r="O84">
        <v>127705.73</v>
      </c>
      <c r="Q84">
        <v>0</v>
      </c>
      <c r="R84">
        <v>0</v>
      </c>
      <c r="S84">
        <v>127705.73</v>
      </c>
      <c r="T84" t="s">
        <v>76</v>
      </c>
      <c r="U84" t="s">
        <v>26</v>
      </c>
      <c r="W84" s="3">
        <v>79299808</v>
      </c>
    </row>
    <row r="85" spans="1:23">
      <c r="A85" t="s">
        <v>66</v>
      </c>
      <c r="B85" t="s">
        <v>67</v>
      </c>
      <c r="C85" s="2">
        <v>45864</v>
      </c>
      <c r="D85" t="s">
        <v>71</v>
      </c>
      <c r="E85" t="s">
        <v>72</v>
      </c>
      <c r="F85" t="s">
        <v>142</v>
      </c>
      <c r="G85" t="s">
        <v>131</v>
      </c>
      <c r="I85" t="s">
        <v>143</v>
      </c>
      <c r="J85" s="2">
        <v>45792</v>
      </c>
      <c r="K85">
        <v>0</v>
      </c>
      <c r="L85">
        <v>96</v>
      </c>
      <c r="M85" s="2">
        <v>45945</v>
      </c>
      <c r="N85">
        <v>120</v>
      </c>
      <c r="O85">
        <v>146130.32</v>
      </c>
      <c r="Q85">
        <v>0</v>
      </c>
      <c r="R85">
        <v>0</v>
      </c>
      <c r="S85">
        <v>146130.32</v>
      </c>
      <c r="T85" t="s">
        <v>76</v>
      </c>
      <c r="U85" t="s">
        <v>26</v>
      </c>
      <c r="W85" s="3">
        <v>19157266</v>
      </c>
    </row>
    <row r="86" spans="1:23">
      <c r="A86" t="s">
        <v>66</v>
      </c>
      <c r="B86" t="s">
        <v>67</v>
      </c>
      <c r="C86" s="2">
        <v>45864</v>
      </c>
      <c r="D86" t="s">
        <v>71</v>
      </c>
      <c r="E86" t="s">
        <v>72</v>
      </c>
      <c r="F86" t="s">
        <v>144</v>
      </c>
      <c r="G86" t="s">
        <v>131</v>
      </c>
      <c r="I86" t="s">
        <v>143</v>
      </c>
      <c r="J86" s="2">
        <v>45819</v>
      </c>
      <c r="K86">
        <v>0</v>
      </c>
      <c r="L86">
        <v>96.9</v>
      </c>
      <c r="M86" s="2">
        <v>46310</v>
      </c>
      <c r="N86">
        <v>98</v>
      </c>
      <c r="O86">
        <v>120356.98</v>
      </c>
      <c r="Q86">
        <v>0</v>
      </c>
      <c r="R86">
        <v>0</v>
      </c>
      <c r="S86">
        <v>120356.98</v>
      </c>
      <c r="T86" t="s">
        <v>76</v>
      </c>
      <c r="U86" t="s">
        <v>26</v>
      </c>
      <c r="W86" s="3">
        <v>10656192</v>
      </c>
    </row>
    <row r="87" spans="1:23">
      <c r="A87" t="s">
        <v>66</v>
      </c>
      <c r="B87" t="s">
        <v>67</v>
      </c>
      <c r="C87" s="2">
        <v>45864</v>
      </c>
      <c r="D87" t="s">
        <v>71</v>
      </c>
      <c r="E87" t="s">
        <v>72</v>
      </c>
      <c r="F87" t="s">
        <v>145</v>
      </c>
      <c r="G87" t="s">
        <v>131</v>
      </c>
      <c r="I87" t="s">
        <v>146</v>
      </c>
      <c r="J87" s="2">
        <v>45727</v>
      </c>
      <c r="K87">
        <v>0</v>
      </c>
      <c r="L87">
        <v>96.9</v>
      </c>
      <c r="M87" s="2">
        <v>46341</v>
      </c>
      <c r="N87">
        <v>92</v>
      </c>
      <c r="O87">
        <v>113043.57</v>
      </c>
      <c r="Q87">
        <v>0</v>
      </c>
      <c r="R87">
        <v>0</v>
      </c>
      <c r="S87">
        <v>113043.57</v>
      </c>
      <c r="T87" t="s">
        <v>76</v>
      </c>
      <c r="U87" t="s">
        <v>26</v>
      </c>
      <c r="W87" s="3">
        <v>41286044</v>
      </c>
    </row>
    <row r="88" spans="1:23">
      <c r="A88" t="s">
        <v>66</v>
      </c>
      <c r="B88" t="s">
        <v>67</v>
      </c>
      <c r="C88" s="2">
        <v>45864</v>
      </c>
      <c r="D88" t="s">
        <v>71</v>
      </c>
      <c r="E88" t="s">
        <v>72</v>
      </c>
      <c r="F88" t="s">
        <v>145</v>
      </c>
      <c r="G88" t="s">
        <v>131</v>
      </c>
      <c r="I88" t="s">
        <v>146</v>
      </c>
      <c r="J88" s="2">
        <v>45792</v>
      </c>
      <c r="K88">
        <v>0</v>
      </c>
      <c r="L88">
        <v>97</v>
      </c>
      <c r="M88" s="2">
        <v>46341</v>
      </c>
      <c r="N88">
        <v>113</v>
      </c>
      <c r="O88">
        <v>138797.82</v>
      </c>
      <c r="Q88">
        <v>0</v>
      </c>
      <c r="R88">
        <v>0</v>
      </c>
      <c r="S88">
        <v>138797.82</v>
      </c>
      <c r="T88" t="s">
        <v>76</v>
      </c>
      <c r="U88" t="s">
        <v>26</v>
      </c>
      <c r="W88" s="3">
        <v>19695899</v>
      </c>
    </row>
    <row r="89" spans="1:23">
      <c r="A89" t="s">
        <v>60</v>
      </c>
      <c r="B89" t="s">
        <v>61</v>
      </c>
      <c r="C89" s="2">
        <v>45864</v>
      </c>
      <c r="D89" t="s">
        <v>71</v>
      </c>
      <c r="E89" t="s">
        <v>72</v>
      </c>
      <c r="F89" t="s">
        <v>147</v>
      </c>
      <c r="G89" t="s">
        <v>131</v>
      </c>
      <c r="I89" t="s">
        <v>148</v>
      </c>
      <c r="J89" s="2">
        <v>45384</v>
      </c>
      <c r="K89">
        <v>2.2999999999999998</v>
      </c>
      <c r="L89">
        <v>2.2999999999999998</v>
      </c>
      <c r="M89" s="2">
        <v>46352</v>
      </c>
      <c r="N89">
        <v>97</v>
      </c>
      <c r="O89">
        <v>83476.28</v>
      </c>
      <c r="P89" s="4"/>
      <c r="Q89">
        <v>0</v>
      </c>
      <c r="R89">
        <v>0</v>
      </c>
      <c r="S89">
        <v>83476.28</v>
      </c>
      <c r="T89" t="s">
        <v>76</v>
      </c>
      <c r="U89" t="s">
        <v>26</v>
      </c>
      <c r="W89" s="3">
        <v>2554502</v>
      </c>
    </row>
    <row r="90" spans="1:23">
      <c r="A90" t="s">
        <v>53</v>
      </c>
      <c r="B90" t="s">
        <v>48</v>
      </c>
      <c r="C90" s="2">
        <v>45864</v>
      </c>
      <c r="D90" t="s">
        <v>71</v>
      </c>
      <c r="E90" t="s">
        <v>72</v>
      </c>
      <c r="F90" t="s">
        <v>147</v>
      </c>
      <c r="G90" t="s">
        <v>131</v>
      </c>
      <c r="I90" t="s">
        <v>148</v>
      </c>
      <c r="J90" s="2">
        <v>45468</v>
      </c>
      <c r="K90">
        <v>2.25</v>
      </c>
      <c r="L90">
        <v>2.25</v>
      </c>
      <c r="M90" s="2">
        <v>46352</v>
      </c>
      <c r="N90">
        <v>237</v>
      </c>
      <c r="O90">
        <v>204071.12</v>
      </c>
      <c r="Q90">
        <v>0</v>
      </c>
      <c r="R90">
        <v>0</v>
      </c>
      <c r="S90">
        <v>204071.12</v>
      </c>
      <c r="T90" t="s">
        <v>76</v>
      </c>
      <c r="U90" t="s">
        <v>26</v>
      </c>
      <c r="W90" s="3">
        <v>29523031</v>
      </c>
    </row>
    <row r="91" spans="1:23">
      <c r="A91" t="s">
        <v>58</v>
      </c>
      <c r="B91" t="s">
        <v>59</v>
      </c>
      <c r="C91" s="2">
        <v>45864</v>
      </c>
      <c r="D91" t="s">
        <v>71</v>
      </c>
      <c r="E91" t="s">
        <v>72</v>
      </c>
      <c r="F91" t="s">
        <v>147</v>
      </c>
      <c r="G91" t="s">
        <v>131</v>
      </c>
      <c r="I91" t="s">
        <v>148</v>
      </c>
      <c r="J91" s="2">
        <v>45468</v>
      </c>
      <c r="K91">
        <v>2.25</v>
      </c>
      <c r="L91">
        <v>2.25</v>
      </c>
      <c r="M91" s="2">
        <v>46352</v>
      </c>
      <c r="N91">
        <v>237</v>
      </c>
      <c r="O91">
        <v>204071.12</v>
      </c>
      <c r="Q91">
        <v>0</v>
      </c>
      <c r="R91">
        <v>0</v>
      </c>
      <c r="S91">
        <v>204071.12</v>
      </c>
      <c r="T91" t="s">
        <v>76</v>
      </c>
      <c r="U91" t="s">
        <v>26</v>
      </c>
      <c r="W91" s="3">
        <v>35299483</v>
      </c>
    </row>
    <row r="92" spans="1:23">
      <c r="A92" t="s">
        <v>51</v>
      </c>
      <c r="B92" t="s">
        <v>52</v>
      </c>
      <c r="C92" s="2">
        <v>45864</v>
      </c>
      <c r="D92" t="s">
        <v>71</v>
      </c>
      <c r="E92" t="s">
        <v>72</v>
      </c>
      <c r="F92" t="s">
        <v>147</v>
      </c>
      <c r="G92" t="s">
        <v>131</v>
      </c>
      <c r="I92" t="s">
        <v>148</v>
      </c>
      <c r="J92" s="2">
        <v>45468</v>
      </c>
      <c r="K92">
        <v>2.25</v>
      </c>
      <c r="L92">
        <v>2.25</v>
      </c>
      <c r="M92" s="2">
        <v>46352</v>
      </c>
      <c r="N92">
        <v>237</v>
      </c>
      <c r="O92">
        <v>204071.12</v>
      </c>
      <c r="Q92">
        <v>0</v>
      </c>
      <c r="R92">
        <v>0</v>
      </c>
      <c r="S92">
        <v>204071.12</v>
      </c>
      <c r="T92" t="s">
        <v>76</v>
      </c>
      <c r="U92" t="s">
        <v>26</v>
      </c>
      <c r="W92" s="3">
        <v>36352202</v>
      </c>
    </row>
    <row r="93" spans="1:23">
      <c r="A93" t="s">
        <v>54</v>
      </c>
      <c r="B93" t="s">
        <v>55</v>
      </c>
      <c r="C93" s="2">
        <v>45864</v>
      </c>
      <c r="D93" t="s">
        <v>71</v>
      </c>
      <c r="E93" t="s">
        <v>72</v>
      </c>
      <c r="F93" t="s">
        <v>149</v>
      </c>
      <c r="G93" t="s">
        <v>131</v>
      </c>
      <c r="I93" t="s">
        <v>150</v>
      </c>
      <c r="J93" s="2">
        <v>45681</v>
      </c>
      <c r="K93">
        <v>2.2400000000000002</v>
      </c>
      <c r="L93">
        <v>2.2450000000000001</v>
      </c>
      <c r="M93" s="2">
        <v>46352</v>
      </c>
      <c r="N93">
        <v>98</v>
      </c>
      <c r="O93">
        <v>84390.82</v>
      </c>
      <c r="Q93">
        <v>0</v>
      </c>
      <c r="R93">
        <v>0</v>
      </c>
      <c r="S93">
        <v>84390.82</v>
      </c>
      <c r="T93" t="s">
        <v>76</v>
      </c>
      <c r="U93" t="s">
        <v>26</v>
      </c>
      <c r="W93" s="3">
        <v>42309009</v>
      </c>
    </row>
    <row r="94" spans="1:23">
      <c r="A94" t="s">
        <v>62</v>
      </c>
      <c r="B94" t="s">
        <v>63</v>
      </c>
      <c r="C94" s="2">
        <v>45864</v>
      </c>
      <c r="D94" t="s">
        <v>71</v>
      </c>
      <c r="E94" t="s">
        <v>72</v>
      </c>
      <c r="F94" t="s">
        <v>149</v>
      </c>
      <c r="G94" t="s">
        <v>131</v>
      </c>
      <c r="I94" t="s">
        <v>150</v>
      </c>
      <c r="J94" s="2">
        <v>45681</v>
      </c>
      <c r="K94">
        <v>2.2400000000000002</v>
      </c>
      <c r="L94">
        <v>2.2450000000000001</v>
      </c>
      <c r="M94" s="2">
        <v>46352</v>
      </c>
      <c r="N94">
        <v>198</v>
      </c>
      <c r="O94">
        <v>170503.9</v>
      </c>
      <c r="Q94">
        <v>0</v>
      </c>
      <c r="R94">
        <v>0</v>
      </c>
      <c r="S94">
        <v>170503.9</v>
      </c>
      <c r="T94" t="s">
        <v>76</v>
      </c>
      <c r="U94" t="s">
        <v>26</v>
      </c>
      <c r="W94" s="3">
        <v>10778784</v>
      </c>
    </row>
    <row r="95" spans="1:23">
      <c r="A95" t="s">
        <v>66</v>
      </c>
      <c r="B95" t="s">
        <v>67</v>
      </c>
      <c r="C95" s="2">
        <v>45864</v>
      </c>
      <c r="D95" t="s">
        <v>71</v>
      </c>
      <c r="E95" t="s">
        <v>72</v>
      </c>
      <c r="F95" t="s">
        <v>149</v>
      </c>
      <c r="G95" t="s">
        <v>131</v>
      </c>
      <c r="I95" t="s">
        <v>150</v>
      </c>
      <c r="J95" s="2">
        <v>45681</v>
      </c>
      <c r="K95">
        <v>2.2400000000000002</v>
      </c>
      <c r="L95">
        <v>2.2450000000000001</v>
      </c>
      <c r="M95" s="2">
        <v>46352</v>
      </c>
      <c r="N95">
        <v>198</v>
      </c>
      <c r="O95">
        <v>170503.9</v>
      </c>
      <c r="Q95">
        <v>0</v>
      </c>
      <c r="R95">
        <v>0</v>
      </c>
      <c r="S95">
        <v>170503.9</v>
      </c>
      <c r="T95" t="s">
        <v>76</v>
      </c>
      <c r="U95" t="s">
        <v>26</v>
      </c>
      <c r="W95" s="3">
        <v>40410411</v>
      </c>
    </row>
    <row r="96" spans="1:23">
      <c r="A96" t="s">
        <v>43</v>
      </c>
      <c r="B96" t="s">
        <v>44</v>
      </c>
      <c r="C96" s="2">
        <v>45864</v>
      </c>
      <c r="D96" t="s">
        <v>71</v>
      </c>
      <c r="E96" t="s">
        <v>72</v>
      </c>
      <c r="F96" t="s">
        <v>151</v>
      </c>
      <c r="G96" t="s">
        <v>131</v>
      </c>
      <c r="I96" t="s">
        <v>152</v>
      </c>
      <c r="J96" s="2">
        <v>44035</v>
      </c>
      <c r="K96">
        <v>5.2</v>
      </c>
      <c r="L96">
        <v>5.2055999999999996</v>
      </c>
      <c r="M96" s="2">
        <v>47679</v>
      </c>
      <c r="N96">
        <v>112</v>
      </c>
      <c r="O96">
        <v>140294.68</v>
      </c>
      <c r="Q96">
        <v>0</v>
      </c>
      <c r="R96">
        <v>0</v>
      </c>
      <c r="S96">
        <v>140294.68</v>
      </c>
      <c r="T96" t="s">
        <v>121</v>
      </c>
      <c r="U96" t="s">
        <v>26</v>
      </c>
      <c r="W96" s="3">
        <v>67864549</v>
      </c>
    </row>
    <row r="97" spans="1:23">
      <c r="A97" t="s">
        <v>60</v>
      </c>
      <c r="B97" t="s">
        <v>61</v>
      </c>
      <c r="C97" s="2">
        <v>45864</v>
      </c>
      <c r="D97" t="s">
        <v>71</v>
      </c>
      <c r="E97" t="s">
        <v>72</v>
      </c>
      <c r="F97" t="s">
        <v>151</v>
      </c>
      <c r="G97" t="s">
        <v>131</v>
      </c>
      <c r="I97" t="s">
        <v>152</v>
      </c>
      <c r="J97" s="2">
        <v>45212</v>
      </c>
      <c r="K97">
        <v>7.2</v>
      </c>
      <c r="L97">
        <v>7.2</v>
      </c>
      <c r="M97" s="2">
        <v>47679</v>
      </c>
      <c r="N97">
        <v>169</v>
      </c>
      <c r="O97">
        <v>220667.67</v>
      </c>
      <c r="Q97">
        <v>0</v>
      </c>
      <c r="R97">
        <v>0</v>
      </c>
      <c r="S97">
        <v>220667.67</v>
      </c>
      <c r="T97" t="s">
        <v>121</v>
      </c>
      <c r="U97" t="s">
        <v>26</v>
      </c>
      <c r="W97" s="3">
        <v>2954082</v>
      </c>
    </row>
    <row r="98" spans="1:23">
      <c r="A98" t="s">
        <v>53</v>
      </c>
      <c r="B98" t="s">
        <v>48</v>
      </c>
      <c r="C98" s="2">
        <v>45864</v>
      </c>
      <c r="D98" t="s">
        <v>71</v>
      </c>
      <c r="E98" t="s">
        <v>72</v>
      </c>
      <c r="F98" t="s">
        <v>153</v>
      </c>
      <c r="G98" t="s">
        <v>131</v>
      </c>
      <c r="I98" t="s">
        <v>152</v>
      </c>
      <c r="J98" s="2">
        <v>44585</v>
      </c>
      <c r="K98">
        <v>5.59</v>
      </c>
      <c r="L98">
        <v>5.59</v>
      </c>
      <c r="M98" s="2">
        <v>47983</v>
      </c>
      <c r="N98">
        <v>107</v>
      </c>
      <c r="O98">
        <v>132666.57999999999</v>
      </c>
      <c r="Q98">
        <v>0</v>
      </c>
      <c r="R98">
        <v>0</v>
      </c>
      <c r="S98">
        <v>132666.57999999999</v>
      </c>
      <c r="T98" t="s">
        <v>121</v>
      </c>
      <c r="U98" t="s">
        <v>26</v>
      </c>
      <c r="W98" s="3">
        <v>21149442</v>
      </c>
    </row>
    <row r="99" spans="1:23">
      <c r="A99" t="s">
        <v>66</v>
      </c>
      <c r="B99" t="s">
        <v>67</v>
      </c>
      <c r="C99" s="2">
        <v>45864</v>
      </c>
      <c r="D99" t="s">
        <v>71</v>
      </c>
      <c r="E99" t="s">
        <v>72</v>
      </c>
      <c r="F99" t="s">
        <v>154</v>
      </c>
      <c r="G99" t="s">
        <v>131</v>
      </c>
      <c r="I99" t="s">
        <v>155</v>
      </c>
      <c r="J99" s="2">
        <v>45043</v>
      </c>
      <c r="K99">
        <v>6.87</v>
      </c>
      <c r="L99">
        <v>7.86</v>
      </c>
      <c r="M99" s="2">
        <v>48410</v>
      </c>
      <c r="N99">
        <v>46</v>
      </c>
      <c r="O99">
        <v>50711.22</v>
      </c>
      <c r="Q99">
        <v>0</v>
      </c>
      <c r="R99">
        <v>0</v>
      </c>
      <c r="S99">
        <v>50711.22</v>
      </c>
      <c r="T99" t="s">
        <v>121</v>
      </c>
      <c r="U99" t="s">
        <v>26</v>
      </c>
      <c r="W99" s="3">
        <v>4167903</v>
      </c>
    </row>
    <row r="100" spans="1:23">
      <c r="A100" t="s">
        <v>66</v>
      </c>
      <c r="B100" t="s">
        <v>67</v>
      </c>
      <c r="C100" s="2">
        <v>45864</v>
      </c>
      <c r="D100" t="s">
        <v>71</v>
      </c>
      <c r="E100" t="s">
        <v>72</v>
      </c>
      <c r="F100" t="s">
        <v>154</v>
      </c>
      <c r="G100" t="s">
        <v>131</v>
      </c>
      <c r="I100" t="s">
        <v>155</v>
      </c>
      <c r="J100" s="2">
        <v>45111</v>
      </c>
      <c r="K100">
        <v>6.87</v>
      </c>
      <c r="L100">
        <v>6.23</v>
      </c>
      <c r="M100" s="2">
        <v>48410</v>
      </c>
      <c r="N100">
        <v>60</v>
      </c>
      <c r="O100">
        <v>70989.460000000006</v>
      </c>
      <c r="Q100">
        <v>0</v>
      </c>
      <c r="R100">
        <v>0</v>
      </c>
      <c r="S100">
        <v>70989.460000000006</v>
      </c>
      <c r="T100" t="s">
        <v>121</v>
      </c>
      <c r="U100" t="s">
        <v>26</v>
      </c>
      <c r="W100" s="3">
        <v>42012857</v>
      </c>
    </row>
    <row r="101" spans="1:23">
      <c r="A101" t="s">
        <v>66</v>
      </c>
      <c r="B101" t="s">
        <v>67</v>
      </c>
      <c r="C101" s="2">
        <v>45864</v>
      </c>
      <c r="D101" t="s">
        <v>71</v>
      </c>
      <c r="E101" t="s">
        <v>72</v>
      </c>
      <c r="F101" t="s">
        <v>154</v>
      </c>
      <c r="G101" t="s">
        <v>131</v>
      </c>
      <c r="I101" t="s">
        <v>155</v>
      </c>
      <c r="J101" s="2">
        <v>45189</v>
      </c>
      <c r="K101">
        <v>6.87</v>
      </c>
      <c r="L101">
        <v>6.87</v>
      </c>
      <c r="M101" s="2">
        <v>48410</v>
      </c>
      <c r="N101">
        <v>70</v>
      </c>
      <c r="O101">
        <v>80610.67</v>
      </c>
      <c r="Q101">
        <v>0</v>
      </c>
      <c r="R101">
        <v>0</v>
      </c>
      <c r="S101">
        <v>80610.67</v>
      </c>
      <c r="T101" t="s">
        <v>121</v>
      </c>
      <c r="U101" t="s">
        <v>26</v>
      </c>
      <c r="W101" s="3">
        <v>15020477</v>
      </c>
    </row>
    <row r="102" spans="1:23">
      <c r="A102" t="s">
        <v>66</v>
      </c>
      <c r="B102" t="s">
        <v>67</v>
      </c>
      <c r="C102" s="2">
        <v>45864</v>
      </c>
      <c r="D102" t="s">
        <v>71</v>
      </c>
      <c r="E102" t="s">
        <v>72</v>
      </c>
      <c r="F102" t="s">
        <v>154</v>
      </c>
      <c r="G102" t="s">
        <v>131</v>
      </c>
      <c r="I102" t="s">
        <v>155</v>
      </c>
      <c r="J102" s="2">
        <v>45350</v>
      </c>
      <c r="K102">
        <v>6.87</v>
      </c>
      <c r="L102">
        <v>7</v>
      </c>
      <c r="M102" s="2">
        <v>48410</v>
      </c>
      <c r="N102">
        <v>101</v>
      </c>
      <c r="O102">
        <v>115758.28</v>
      </c>
      <c r="Q102">
        <v>0</v>
      </c>
      <c r="R102">
        <v>0</v>
      </c>
      <c r="S102">
        <v>115758.28</v>
      </c>
      <c r="T102" t="s">
        <v>121</v>
      </c>
      <c r="U102" t="s">
        <v>26</v>
      </c>
      <c r="W102" s="3">
        <v>26511040</v>
      </c>
    </row>
    <row r="103" spans="1:23">
      <c r="A103" t="s">
        <v>60</v>
      </c>
      <c r="B103" t="s">
        <v>61</v>
      </c>
      <c r="C103" s="2">
        <v>45864</v>
      </c>
      <c r="D103" t="s">
        <v>71</v>
      </c>
      <c r="E103" t="s">
        <v>72</v>
      </c>
      <c r="F103" t="s">
        <v>156</v>
      </c>
      <c r="G103" t="s">
        <v>131</v>
      </c>
      <c r="I103" t="s">
        <v>157</v>
      </c>
      <c r="J103" s="2">
        <v>44980</v>
      </c>
      <c r="K103">
        <v>0</v>
      </c>
      <c r="L103">
        <v>103</v>
      </c>
      <c r="M103" s="2">
        <v>46402</v>
      </c>
      <c r="N103">
        <v>37</v>
      </c>
      <c r="O103">
        <v>37168.410000000003</v>
      </c>
      <c r="Q103">
        <v>0</v>
      </c>
      <c r="R103">
        <v>0</v>
      </c>
      <c r="S103">
        <v>37168.410000000003</v>
      </c>
      <c r="T103" t="s">
        <v>76</v>
      </c>
      <c r="U103" t="s">
        <v>26</v>
      </c>
      <c r="W103" s="3">
        <v>14770854</v>
      </c>
    </row>
    <row r="104" spans="1:23">
      <c r="A104" t="s">
        <v>51</v>
      </c>
      <c r="B104" t="s">
        <v>52</v>
      </c>
      <c r="C104" s="2">
        <v>45864</v>
      </c>
      <c r="D104" t="s">
        <v>71</v>
      </c>
      <c r="E104" t="s">
        <v>72</v>
      </c>
      <c r="F104" t="s">
        <v>156</v>
      </c>
      <c r="G104" t="s">
        <v>131</v>
      </c>
      <c r="I104" t="s">
        <v>157</v>
      </c>
      <c r="J104" s="2">
        <v>44980</v>
      </c>
      <c r="K104">
        <v>0</v>
      </c>
      <c r="L104">
        <v>103</v>
      </c>
      <c r="M104" s="2">
        <v>46402</v>
      </c>
      <c r="N104">
        <v>114</v>
      </c>
      <c r="O104">
        <v>114518.9</v>
      </c>
      <c r="Q104">
        <v>0</v>
      </c>
      <c r="R104">
        <v>0</v>
      </c>
      <c r="S104">
        <v>114518.9</v>
      </c>
      <c r="T104" t="s">
        <v>76</v>
      </c>
      <c r="U104" t="s">
        <v>26</v>
      </c>
      <c r="W104" s="3">
        <v>44915002</v>
      </c>
    </row>
    <row r="105" spans="1:23">
      <c r="A105" t="s">
        <v>60</v>
      </c>
      <c r="B105" t="s">
        <v>61</v>
      </c>
      <c r="C105" s="2">
        <v>45864</v>
      </c>
      <c r="D105" t="s">
        <v>71</v>
      </c>
      <c r="E105" t="s">
        <v>72</v>
      </c>
      <c r="F105" t="s">
        <v>158</v>
      </c>
      <c r="G105" t="s">
        <v>131</v>
      </c>
      <c r="I105" t="s">
        <v>157</v>
      </c>
      <c r="J105" s="2">
        <v>45107</v>
      </c>
      <c r="K105">
        <v>11.78</v>
      </c>
      <c r="L105">
        <v>11.786</v>
      </c>
      <c r="M105" s="2">
        <v>48775</v>
      </c>
      <c r="N105">
        <v>50</v>
      </c>
      <c r="O105">
        <v>50177.16</v>
      </c>
      <c r="Q105">
        <v>0</v>
      </c>
      <c r="R105">
        <v>0</v>
      </c>
      <c r="S105">
        <v>50177.16</v>
      </c>
      <c r="T105" t="s">
        <v>94</v>
      </c>
      <c r="U105" t="s">
        <v>26</v>
      </c>
      <c r="W105" s="3">
        <v>22546095</v>
      </c>
    </row>
    <row r="106" spans="1:23">
      <c r="A106" t="s">
        <v>60</v>
      </c>
      <c r="B106" t="s">
        <v>61</v>
      </c>
      <c r="C106" s="2">
        <v>45864</v>
      </c>
      <c r="D106" t="s">
        <v>71</v>
      </c>
      <c r="E106" t="s">
        <v>72</v>
      </c>
      <c r="F106" t="s">
        <v>159</v>
      </c>
      <c r="G106" t="s">
        <v>131</v>
      </c>
      <c r="I106" t="s">
        <v>157</v>
      </c>
      <c r="J106" s="2">
        <v>45107</v>
      </c>
      <c r="K106">
        <v>6.43</v>
      </c>
      <c r="L106">
        <v>6.43</v>
      </c>
      <c r="M106" s="2">
        <v>48775</v>
      </c>
      <c r="N106">
        <v>134</v>
      </c>
      <c r="O106">
        <v>147550.72</v>
      </c>
      <c r="Q106">
        <v>0</v>
      </c>
      <c r="R106">
        <v>0</v>
      </c>
      <c r="S106">
        <v>147550.72</v>
      </c>
      <c r="T106" t="s">
        <v>121</v>
      </c>
      <c r="U106" t="s">
        <v>26</v>
      </c>
      <c r="W106" s="3">
        <v>40310008</v>
      </c>
    </row>
    <row r="107" spans="1:23">
      <c r="A107" t="s">
        <v>51</v>
      </c>
      <c r="B107" t="s">
        <v>52</v>
      </c>
      <c r="C107" s="2">
        <v>45864</v>
      </c>
      <c r="D107" t="s">
        <v>71</v>
      </c>
      <c r="E107" t="s">
        <v>72</v>
      </c>
      <c r="F107" t="s">
        <v>159</v>
      </c>
      <c r="G107" t="s">
        <v>131</v>
      </c>
      <c r="I107" t="s">
        <v>157</v>
      </c>
      <c r="J107" s="2">
        <v>45107</v>
      </c>
      <c r="K107">
        <v>6.43</v>
      </c>
      <c r="L107">
        <v>6.4337999999999997</v>
      </c>
      <c r="M107" s="2">
        <v>48775</v>
      </c>
      <c r="N107">
        <v>200</v>
      </c>
      <c r="O107">
        <v>220224.96</v>
      </c>
      <c r="Q107">
        <v>0</v>
      </c>
      <c r="R107">
        <v>0</v>
      </c>
      <c r="S107">
        <v>220224.96</v>
      </c>
      <c r="T107" t="s">
        <v>121</v>
      </c>
      <c r="U107" t="s">
        <v>26</v>
      </c>
      <c r="W107" s="3">
        <v>8469588</v>
      </c>
    </row>
    <row r="108" spans="1:23">
      <c r="A108" t="s">
        <v>43</v>
      </c>
      <c r="B108" t="s">
        <v>44</v>
      </c>
      <c r="C108" s="2">
        <v>45864</v>
      </c>
      <c r="D108" t="s">
        <v>71</v>
      </c>
      <c r="E108" t="s">
        <v>72</v>
      </c>
      <c r="F108" t="s">
        <v>159</v>
      </c>
      <c r="G108" t="s">
        <v>131</v>
      </c>
      <c r="I108" t="s">
        <v>157</v>
      </c>
      <c r="J108" s="2">
        <v>45107</v>
      </c>
      <c r="K108">
        <v>6.43</v>
      </c>
      <c r="L108">
        <v>6.4337999999999997</v>
      </c>
      <c r="M108" s="2">
        <v>48775</v>
      </c>
      <c r="N108">
        <v>250</v>
      </c>
      <c r="O108">
        <v>256041.4</v>
      </c>
      <c r="Q108">
        <v>0</v>
      </c>
      <c r="R108">
        <v>0</v>
      </c>
      <c r="S108">
        <v>256041.4</v>
      </c>
      <c r="T108" t="s">
        <v>121</v>
      </c>
      <c r="U108" t="s">
        <v>26</v>
      </c>
      <c r="W108" s="3">
        <v>74472764</v>
      </c>
    </row>
    <row r="109" spans="1:23">
      <c r="A109" t="s">
        <v>60</v>
      </c>
      <c r="B109" t="s">
        <v>61</v>
      </c>
      <c r="C109" s="2">
        <v>45864</v>
      </c>
      <c r="D109" t="s">
        <v>71</v>
      </c>
      <c r="E109" t="s">
        <v>72</v>
      </c>
      <c r="F109" t="s">
        <v>160</v>
      </c>
      <c r="G109" t="s">
        <v>131</v>
      </c>
      <c r="I109" t="s">
        <v>157</v>
      </c>
      <c r="J109" s="2">
        <v>45169</v>
      </c>
      <c r="K109">
        <v>11.96</v>
      </c>
      <c r="L109">
        <v>11.96</v>
      </c>
      <c r="M109" s="2">
        <v>48837</v>
      </c>
      <c r="N109">
        <v>95</v>
      </c>
      <c r="O109">
        <v>98912.59</v>
      </c>
      <c r="Q109">
        <v>0</v>
      </c>
      <c r="R109">
        <v>0</v>
      </c>
      <c r="S109">
        <v>98912.59</v>
      </c>
      <c r="T109" t="s">
        <v>94</v>
      </c>
      <c r="U109" t="s">
        <v>26</v>
      </c>
      <c r="W109" s="3">
        <v>13588920</v>
      </c>
    </row>
    <row r="110" spans="1:23">
      <c r="A110" t="s">
        <v>60</v>
      </c>
      <c r="B110" t="s">
        <v>61</v>
      </c>
      <c r="C110" s="2">
        <v>45864</v>
      </c>
      <c r="D110" t="s">
        <v>71</v>
      </c>
      <c r="E110" t="s">
        <v>72</v>
      </c>
      <c r="F110" t="s">
        <v>160</v>
      </c>
      <c r="G110" t="s">
        <v>131</v>
      </c>
      <c r="I110" t="s">
        <v>157</v>
      </c>
      <c r="J110" s="2">
        <v>45169</v>
      </c>
      <c r="K110">
        <v>11.96</v>
      </c>
      <c r="L110">
        <v>11.964</v>
      </c>
      <c r="M110" s="2">
        <v>48837</v>
      </c>
      <c r="N110">
        <v>100</v>
      </c>
      <c r="O110">
        <v>104118.52</v>
      </c>
      <c r="Q110">
        <v>0</v>
      </c>
      <c r="R110">
        <v>0</v>
      </c>
      <c r="S110">
        <v>104118.52</v>
      </c>
      <c r="T110" t="s">
        <v>94</v>
      </c>
      <c r="U110" t="s">
        <v>26</v>
      </c>
      <c r="W110" s="3">
        <v>18572546</v>
      </c>
    </row>
    <row r="111" spans="1:23">
      <c r="A111" t="s">
        <v>43</v>
      </c>
      <c r="B111" t="s">
        <v>44</v>
      </c>
      <c r="C111" s="2">
        <v>45864</v>
      </c>
      <c r="D111" t="s">
        <v>71</v>
      </c>
      <c r="E111" t="s">
        <v>72</v>
      </c>
      <c r="F111" t="s">
        <v>160</v>
      </c>
      <c r="G111" t="s">
        <v>131</v>
      </c>
      <c r="I111" t="s">
        <v>157</v>
      </c>
      <c r="J111" s="2">
        <v>45169</v>
      </c>
      <c r="K111">
        <v>11.96</v>
      </c>
      <c r="L111">
        <v>11.964</v>
      </c>
      <c r="M111" s="2">
        <v>48837</v>
      </c>
      <c r="N111">
        <v>300</v>
      </c>
      <c r="O111">
        <v>286437.5</v>
      </c>
      <c r="Q111">
        <v>0</v>
      </c>
      <c r="R111">
        <v>0</v>
      </c>
      <c r="S111">
        <v>286437.5</v>
      </c>
      <c r="T111" t="s">
        <v>94</v>
      </c>
      <c r="U111" t="s">
        <v>26</v>
      </c>
      <c r="W111" s="3">
        <v>62578487</v>
      </c>
    </row>
    <row r="112" spans="1:23">
      <c r="A112" t="s">
        <v>43</v>
      </c>
      <c r="B112" t="s">
        <v>44</v>
      </c>
      <c r="C112" s="2">
        <v>45864</v>
      </c>
      <c r="D112" t="s">
        <v>71</v>
      </c>
      <c r="E112" t="s">
        <v>72</v>
      </c>
      <c r="F112" t="s">
        <v>161</v>
      </c>
      <c r="G112" t="s">
        <v>131</v>
      </c>
      <c r="I112" t="s">
        <v>157</v>
      </c>
      <c r="J112" s="2">
        <v>45169</v>
      </c>
      <c r="K112">
        <v>6.31</v>
      </c>
      <c r="L112">
        <v>6.3178999999999998</v>
      </c>
      <c r="M112" s="2">
        <v>48837</v>
      </c>
      <c r="N112">
        <v>300</v>
      </c>
      <c r="O112">
        <v>311049.3</v>
      </c>
      <c r="P112" s="4"/>
      <c r="Q112">
        <v>0</v>
      </c>
      <c r="R112">
        <v>0</v>
      </c>
      <c r="S112">
        <v>311049.3</v>
      </c>
      <c r="T112" t="s">
        <v>121</v>
      </c>
      <c r="U112" t="s">
        <v>26</v>
      </c>
      <c r="W112" s="3">
        <v>74035057</v>
      </c>
    </row>
    <row r="113" spans="1:23">
      <c r="A113" t="s">
        <v>62</v>
      </c>
      <c r="B113" t="s">
        <v>63</v>
      </c>
      <c r="C113" s="2">
        <v>45864</v>
      </c>
      <c r="D113" t="s">
        <v>71</v>
      </c>
      <c r="E113" t="s">
        <v>72</v>
      </c>
      <c r="F113" t="s">
        <v>162</v>
      </c>
      <c r="G113" t="s">
        <v>131</v>
      </c>
      <c r="I113" t="s">
        <v>157</v>
      </c>
      <c r="J113" s="2">
        <v>45279</v>
      </c>
      <c r="K113">
        <v>6</v>
      </c>
      <c r="L113">
        <v>6.0073999999999996</v>
      </c>
      <c r="M113" s="2">
        <v>48928</v>
      </c>
      <c r="N113">
        <v>150</v>
      </c>
      <c r="O113">
        <v>164021.04999999999</v>
      </c>
      <c r="Q113">
        <v>0</v>
      </c>
      <c r="R113">
        <v>0</v>
      </c>
      <c r="S113">
        <v>164021.04999999999</v>
      </c>
      <c r="T113" t="s">
        <v>121</v>
      </c>
      <c r="U113" t="s">
        <v>26</v>
      </c>
      <c r="W113" s="3">
        <v>84119320</v>
      </c>
    </row>
    <row r="114" spans="1:23">
      <c r="A114" t="s">
        <v>60</v>
      </c>
      <c r="B114" t="s">
        <v>61</v>
      </c>
      <c r="C114" s="2">
        <v>45864</v>
      </c>
      <c r="D114" t="s">
        <v>71</v>
      </c>
      <c r="E114" t="s">
        <v>72</v>
      </c>
      <c r="F114" t="s">
        <v>163</v>
      </c>
      <c r="G114" t="s">
        <v>131</v>
      </c>
      <c r="I114" t="s">
        <v>164</v>
      </c>
      <c r="J114" s="2">
        <v>45051</v>
      </c>
      <c r="K114">
        <v>0</v>
      </c>
      <c r="L114">
        <v>101</v>
      </c>
      <c r="M114" s="2">
        <v>46939</v>
      </c>
      <c r="N114">
        <v>30</v>
      </c>
      <c r="O114">
        <v>30234.71</v>
      </c>
      <c r="Q114">
        <v>0</v>
      </c>
      <c r="R114">
        <v>0</v>
      </c>
      <c r="S114">
        <v>30234.71</v>
      </c>
      <c r="T114" t="s">
        <v>76</v>
      </c>
      <c r="U114" t="s">
        <v>26</v>
      </c>
      <c r="W114" s="3">
        <v>11201155</v>
      </c>
    </row>
    <row r="115" spans="1:23">
      <c r="A115" t="s">
        <v>66</v>
      </c>
      <c r="B115" t="s">
        <v>67</v>
      </c>
      <c r="C115" s="2">
        <v>45864</v>
      </c>
      <c r="D115" t="s">
        <v>71</v>
      </c>
      <c r="E115" t="s">
        <v>72</v>
      </c>
      <c r="F115" t="s">
        <v>163</v>
      </c>
      <c r="G115" t="s">
        <v>131</v>
      </c>
      <c r="I115" t="s">
        <v>164</v>
      </c>
      <c r="J115" s="2">
        <v>45117</v>
      </c>
      <c r="K115">
        <v>0</v>
      </c>
      <c r="L115">
        <v>99.989000000000004</v>
      </c>
      <c r="M115" s="2">
        <v>46939</v>
      </c>
      <c r="N115">
        <v>300</v>
      </c>
      <c r="O115">
        <v>303050.63</v>
      </c>
      <c r="Q115">
        <v>0</v>
      </c>
      <c r="R115">
        <v>0</v>
      </c>
      <c r="S115">
        <v>303050.63</v>
      </c>
      <c r="T115" t="s">
        <v>76</v>
      </c>
      <c r="U115" t="s">
        <v>26</v>
      </c>
      <c r="W115" s="3">
        <v>32509139</v>
      </c>
    </row>
    <row r="116" spans="1:23">
      <c r="A116" t="s">
        <v>60</v>
      </c>
      <c r="B116" t="s">
        <v>61</v>
      </c>
      <c r="C116" s="2">
        <v>45864</v>
      </c>
      <c r="D116" t="s">
        <v>71</v>
      </c>
      <c r="E116" t="s">
        <v>72</v>
      </c>
      <c r="F116" t="s">
        <v>165</v>
      </c>
      <c r="G116" t="s">
        <v>131</v>
      </c>
      <c r="I116" t="s">
        <v>166</v>
      </c>
      <c r="J116" s="2">
        <v>45051</v>
      </c>
      <c r="K116">
        <v>12.06</v>
      </c>
      <c r="L116">
        <v>12.057499999999999</v>
      </c>
      <c r="M116" s="2">
        <v>47304</v>
      </c>
      <c r="N116">
        <v>30</v>
      </c>
      <c r="O116">
        <v>38600.910000000003</v>
      </c>
      <c r="Q116">
        <v>0</v>
      </c>
      <c r="R116">
        <v>0</v>
      </c>
      <c r="S116">
        <v>38600.910000000003</v>
      </c>
      <c r="T116" t="s">
        <v>94</v>
      </c>
      <c r="U116" t="s">
        <v>26</v>
      </c>
      <c r="W116" s="3">
        <v>30356730</v>
      </c>
    </row>
    <row r="117" spans="1:23">
      <c r="A117" t="s">
        <v>60</v>
      </c>
      <c r="B117" t="s">
        <v>61</v>
      </c>
      <c r="C117" s="2">
        <v>45864</v>
      </c>
      <c r="D117" t="s">
        <v>71</v>
      </c>
      <c r="E117" t="s">
        <v>72</v>
      </c>
      <c r="F117" t="s">
        <v>165</v>
      </c>
      <c r="G117" t="s">
        <v>131</v>
      </c>
      <c r="I117" t="s">
        <v>166</v>
      </c>
      <c r="J117" s="2">
        <v>45051</v>
      </c>
      <c r="K117">
        <v>12.06</v>
      </c>
      <c r="L117">
        <v>12.06</v>
      </c>
      <c r="M117" s="2">
        <v>47304</v>
      </c>
      <c r="N117">
        <v>100</v>
      </c>
      <c r="O117">
        <v>128669.71</v>
      </c>
      <c r="Q117">
        <v>0</v>
      </c>
      <c r="R117">
        <v>0</v>
      </c>
      <c r="S117">
        <v>128669.71</v>
      </c>
      <c r="T117" t="s">
        <v>94</v>
      </c>
      <c r="U117" t="s">
        <v>26</v>
      </c>
      <c r="W117" s="3">
        <v>12387990</v>
      </c>
    </row>
    <row r="118" spans="1:23">
      <c r="A118" t="s">
        <v>62</v>
      </c>
      <c r="B118" t="s">
        <v>63</v>
      </c>
      <c r="C118" s="2">
        <v>45864</v>
      </c>
      <c r="D118" t="s">
        <v>71</v>
      </c>
      <c r="E118" t="s">
        <v>72</v>
      </c>
      <c r="F118" t="s">
        <v>167</v>
      </c>
      <c r="G118" t="s">
        <v>131</v>
      </c>
      <c r="I118" t="s">
        <v>168</v>
      </c>
      <c r="J118" s="2">
        <v>45107</v>
      </c>
      <c r="K118">
        <v>1</v>
      </c>
      <c r="L118">
        <v>1</v>
      </c>
      <c r="M118" s="2">
        <v>48775</v>
      </c>
      <c r="N118">
        <v>250</v>
      </c>
      <c r="O118">
        <v>251184.08</v>
      </c>
      <c r="Q118">
        <v>0</v>
      </c>
      <c r="R118">
        <v>0</v>
      </c>
      <c r="S118">
        <v>251184.08</v>
      </c>
      <c r="T118" t="s">
        <v>76</v>
      </c>
      <c r="U118" t="s">
        <v>26</v>
      </c>
      <c r="W118" s="3">
        <v>61965107</v>
      </c>
    </row>
    <row r="119" spans="1:23">
      <c r="A119" t="s">
        <v>43</v>
      </c>
      <c r="B119" t="s">
        <v>44</v>
      </c>
      <c r="C119" s="2">
        <v>45864</v>
      </c>
      <c r="D119" t="s">
        <v>71</v>
      </c>
      <c r="E119" t="s">
        <v>72</v>
      </c>
      <c r="F119" t="s">
        <v>167</v>
      </c>
      <c r="G119" t="s">
        <v>131</v>
      </c>
      <c r="I119" t="s">
        <v>168</v>
      </c>
      <c r="J119" s="2">
        <v>45107</v>
      </c>
      <c r="K119">
        <v>1</v>
      </c>
      <c r="L119">
        <v>1</v>
      </c>
      <c r="M119" s="2">
        <v>48775</v>
      </c>
      <c r="N119">
        <v>250</v>
      </c>
      <c r="O119">
        <v>259850.59</v>
      </c>
      <c r="Q119">
        <v>0</v>
      </c>
      <c r="R119">
        <v>0</v>
      </c>
      <c r="S119">
        <v>259850.59</v>
      </c>
      <c r="T119" t="s">
        <v>76</v>
      </c>
      <c r="U119" t="s">
        <v>26</v>
      </c>
      <c r="W119" s="3">
        <v>82452341</v>
      </c>
    </row>
    <row r="120" spans="1:23">
      <c r="A120" t="s">
        <v>60</v>
      </c>
      <c r="B120" t="s">
        <v>61</v>
      </c>
      <c r="C120" s="2">
        <v>45864</v>
      </c>
      <c r="D120" t="s">
        <v>71</v>
      </c>
      <c r="E120" t="s">
        <v>72</v>
      </c>
      <c r="F120" t="s">
        <v>169</v>
      </c>
      <c r="G120" t="s">
        <v>131</v>
      </c>
      <c r="I120" t="s">
        <v>168</v>
      </c>
      <c r="J120" s="2">
        <v>45236</v>
      </c>
      <c r="K120">
        <v>12.56</v>
      </c>
      <c r="L120">
        <v>12.566000000000001</v>
      </c>
      <c r="M120" s="2">
        <v>48899</v>
      </c>
      <c r="N120">
        <v>60</v>
      </c>
      <c r="O120">
        <v>61368.160000000003</v>
      </c>
      <c r="Q120">
        <v>0</v>
      </c>
      <c r="R120">
        <v>0</v>
      </c>
      <c r="S120">
        <v>61368.160000000003</v>
      </c>
      <c r="T120" t="s">
        <v>94</v>
      </c>
      <c r="U120" t="s">
        <v>26</v>
      </c>
      <c r="W120" s="3">
        <v>3006968</v>
      </c>
    </row>
    <row r="121" spans="1:23">
      <c r="A121" t="s">
        <v>43</v>
      </c>
      <c r="B121" t="s">
        <v>44</v>
      </c>
      <c r="C121" s="2">
        <v>45864</v>
      </c>
      <c r="D121" t="s">
        <v>71</v>
      </c>
      <c r="E121" t="s">
        <v>72</v>
      </c>
      <c r="F121" t="s">
        <v>170</v>
      </c>
      <c r="G121" t="s">
        <v>131</v>
      </c>
      <c r="I121" t="s">
        <v>168</v>
      </c>
      <c r="J121" s="2">
        <v>45236</v>
      </c>
      <c r="K121">
        <v>0.8</v>
      </c>
      <c r="L121">
        <v>0.8</v>
      </c>
      <c r="M121" s="2">
        <v>48899</v>
      </c>
      <c r="N121">
        <v>110</v>
      </c>
      <c r="O121">
        <v>116133.41</v>
      </c>
      <c r="Q121">
        <v>0</v>
      </c>
      <c r="R121">
        <v>0</v>
      </c>
      <c r="S121">
        <v>116133.41</v>
      </c>
      <c r="T121" t="s">
        <v>76</v>
      </c>
      <c r="U121" t="s">
        <v>26</v>
      </c>
      <c r="W121" s="3">
        <v>944306</v>
      </c>
    </row>
    <row r="122" spans="1:23">
      <c r="A122" t="s">
        <v>43</v>
      </c>
      <c r="B122" t="s">
        <v>44</v>
      </c>
      <c r="C122" s="2">
        <v>45864</v>
      </c>
      <c r="D122" t="s">
        <v>71</v>
      </c>
      <c r="E122" t="s">
        <v>72</v>
      </c>
      <c r="F122" t="s">
        <v>171</v>
      </c>
      <c r="G122" t="s">
        <v>131</v>
      </c>
      <c r="I122" t="s">
        <v>168</v>
      </c>
      <c r="J122" s="2">
        <v>45236</v>
      </c>
      <c r="K122">
        <v>0</v>
      </c>
      <c r="L122">
        <v>107</v>
      </c>
      <c r="M122" s="2">
        <v>48899</v>
      </c>
      <c r="N122">
        <v>170</v>
      </c>
      <c r="O122">
        <v>181782.55</v>
      </c>
      <c r="Q122">
        <v>0</v>
      </c>
      <c r="R122">
        <v>0</v>
      </c>
      <c r="S122">
        <v>181782.55</v>
      </c>
      <c r="T122" t="s">
        <v>76</v>
      </c>
      <c r="U122" t="s">
        <v>26</v>
      </c>
      <c r="W122" s="3">
        <v>55783138</v>
      </c>
    </row>
    <row r="123" spans="1:23">
      <c r="A123" t="s">
        <v>43</v>
      </c>
      <c r="B123" t="s">
        <v>44</v>
      </c>
      <c r="C123" s="2">
        <v>45864</v>
      </c>
      <c r="D123" t="s">
        <v>71</v>
      </c>
      <c r="E123" t="s">
        <v>72</v>
      </c>
      <c r="F123" t="s">
        <v>172</v>
      </c>
      <c r="G123" t="s">
        <v>131</v>
      </c>
      <c r="I123" t="s">
        <v>168</v>
      </c>
      <c r="J123" s="2">
        <v>45236</v>
      </c>
      <c r="K123">
        <v>6.75</v>
      </c>
      <c r="L123">
        <v>6.7565999999999997</v>
      </c>
      <c r="M123" s="2">
        <v>48899</v>
      </c>
      <c r="N123">
        <v>200</v>
      </c>
      <c r="O123">
        <v>209638.56</v>
      </c>
      <c r="Q123">
        <v>0</v>
      </c>
      <c r="R123">
        <v>0</v>
      </c>
      <c r="S123">
        <v>209638.56</v>
      </c>
      <c r="T123" t="s">
        <v>121</v>
      </c>
      <c r="U123" t="s">
        <v>26</v>
      </c>
      <c r="W123" s="3">
        <v>52312046</v>
      </c>
    </row>
    <row r="124" spans="1:23">
      <c r="A124" t="s">
        <v>43</v>
      </c>
      <c r="B124" t="s">
        <v>44</v>
      </c>
      <c r="C124" s="2">
        <v>45864</v>
      </c>
      <c r="D124" t="s">
        <v>71</v>
      </c>
      <c r="E124" t="s">
        <v>72</v>
      </c>
      <c r="F124" t="s">
        <v>169</v>
      </c>
      <c r="G124" t="s">
        <v>131</v>
      </c>
      <c r="I124" t="s">
        <v>168</v>
      </c>
      <c r="J124" s="2">
        <v>45236</v>
      </c>
      <c r="K124">
        <v>12.56</v>
      </c>
      <c r="L124">
        <v>12.566000000000001</v>
      </c>
      <c r="M124" s="2">
        <v>48899</v>
      </c>
      <c r="N124">
        <v>225</v>
      </c>
      <c r="O124">
        <v>216756.7</v>
      </c>
      <c r="Q124">
        <v>0</v>
      </c>
      <c r="R124">
        <v>0</v>
      </c>
      <c r="S124">
        <v>216756.7</v>
      </c>
      <c r="T124" t="s">
        <v>94</v>
      </c>
      <c r="U124" t="s">
        <v>26</v>
      </c>
      <c r="W124" s="3">
        <v>31014247</v>
      </c>
    </row>
    <row r="125" spans="1:23">
      <c r="A125" t="s">
        <v>51</v>
      </c>
      <c r="B125" t="s">
        <v>52</v>
      </c>
      <c r="C125" s="2">
        <v>45864</v>
      </c>
      <c r="D125" t="s">
        <v>71</v>
      </c>
      <c r="E125" t="s">
        <v>72</v>
      </c>
      <c r="F125" t="s">
        <v>171</v>
      </c>
      <c r="G125" t="s">
        <v>131</v>
      </c>
      <c r="I125" t="s">
        <v>168</v>
      </c>
      <c r="J125" s="2">
        <v>45236</v>
      </c>
      <c r="K125">
        <v>0</v>
      </c>
      <c r="L125">
        <v>107</v>
      </c>
      <c r="M125" s="2">
        <v>48899</v>
      </c>
      <c r="N125">
        <v>243</v>
      </c>
      <c r="O125">
        <v>249923.68</v>
      </c>
      <c r="Q125">
        <v>0</v>
      </c>
      <c r="R125">
        <v>0</v>
      </c>
      <c r="S125">
        <v>249923.68</v>
      </c>
      <c r="T125" t="s">
        <v>76</v>
      </c>
      <c r="U125" t="s">
        <v>26</v>
      </c>
      <c r="W125" s="3">
        <v>39786272</v>
      </c>
    </row>
    <row r="126" spans="1:23">
      <c r="A126" t="s">
        <v>51</v>
      </c>
      <c r="B126" t="s">
        <v>52</v>
      </c>
      <c r="C126" s="2">
        <v>45864</v>
      </c>
      <c r="D126" t="s">
        <v>71</v>
      </c>
      <c r="E126" t="s">
        <v>72</v>
      </c>
      <c r="F126" t="s">
        <v>169</v>
      </c>
      <c r="G126" t="s">
        <v>131</v>
      </c>
      <c r="I126" t="s">
        <v>168</v>
      </c>
      <c r="J126" s="2">
        <v>45236</v>
      </c>
      <c r="K126">
        <v>12.56</v>
      </c>
      <c r="L126">
        <v>12.566000000000001</v>
      </c>
      <c r="M126" s="2">
        <v>48899</v>
      </c>
      <c r="N126">
        <v>315</v>
      </c>
      <c r="O126">
        <v>322182.84000000003</v>
      </c>
      <c r="P126" s="4"/>
      <c r="Q126">
        <v>0</v>
      </c>
      <c r="R126">
        <v>0</v>
      </c>
      <c r="S126">
        <v>322182.84000000003</v>
      </c>
      <c r="T126" t="s">
        <v>94</v>
      </c>
      <c r="U126" t="s">
        <v>26</v>
      </c>
      <c r="W126" s="3">
        <v>13948309</v>
      </c>
    </row>
    <row r="127" spans="1:23">
      <c r="A127" t="s">
        <v>51</v>
      </c>
      <c r="B127" t="s">
        <v>52</v>
      </c>
      <c r="C127" s="2">
        <v>45864</v>
      </c>
      <c r="D127" t="s">
        <v>71</v>
      </c>
      <c r="E127" t="s">
        <v>72</v>
      </c>
      <c r="F127" t="s">
        <v>173</v>
      </c>
      <c r="G127" t="s">
        <v>131</v>
      </c>
      <c r="I127" t="s">
        <v>174</v>
      </c>
      <c r="J127" s="2">
        <v>45777</v>
      </c>
      <c r="K127">
        <v>0</v>
      </c>
      <c r="L127">
        <v>94.9</v>
      </c>
      <c r="M127" s="2">
        <v>46014</v>
      </c>
      <c r="N127">
        <v>93</v>
      </c>
      <c r="O127">
        <v>111172.1</v>
      </c>
      <c r="Q127">
        <v>0</v>
      </c>
      <c r="R127">
        <v>0</v>
      </c>
      <c r="S127">
        <v>111172.1</v>
      </c>
      <c r="T127" t="s">
        <v>76</v>
      </c>
      <c r="U127" t="s">
        <v>26</v>
      </c>
      <c r="W127" s="3">
        <v>14232482</v>
      </c>
    </row>
    <row r="128" spans="1:23">
      <c r="A128" t="s">
        <v>43</v>
      </c>
      <c r="B128" t="s">
        <v>44</v>
      </c>
      <c r="C128" s="2">
        <v>45864</v>
      </c>
      <c r="D128" t="s">
        <v>71</v>
      </c>
      <c r="E128" t="s">
        <v>72</v>
      </c>
      <c r="F128" t="s">
        <v>173</v>
      </c>
      <c r="G128" t="s">
        <v>131</v>
      </c>
      <c r="I128" t="s">
        <v>174</v>
      </c>
      <c r="J128" s="2">
        <v>45709</v>
      </c>
      <c r="K128">
        <v>0</v>
      </c>
      <c r="L128">
        <v>9.59</v>
      </c>
      <c r="M128" s="2">
        <v>46014</v>
      </c>
      <c r="N128">
        <v>106</v>
      </c>
      <c r="O128">
        <v>126412.6</v>
      </c>
      <c r="Q128">
        <v>0</v>
      </c>
      <c r="R128">
        <v>0</v>
      </c>
      <c r="S128">
        <v>126412.6</v>
      </c>
      <c r="T128" t="s">
        <v>76</v>
      </c>
      <c r="U128" t="s">
        <v>26</v>
      </c>
      <c r="W128" s="3">
        <v>76524968</v>
      </c>
    </row>
    <row r="129" spans="1:23">
      <c r="A129" t="s">
        <v>60</v>
      </c>
      <c r="B129" t="s">
        <v>61</v>
      </c>
      <c r="C129" s="2">
        <v>45864</v>
      </c>
      <c r="D129" t="s">
        <v>71</v>
      </c>
      <c r="E129" t="s">
        <v>72</v>
      </c>
      <c r="F129" t="s">
        <v>173</v>
      </c>
      <c r="G129" t="s">
        <v>131</v>
      </c>
      <c r="I129" t="s">
        <v>174</v>
      </c>
      <c r="J129" s="2">
        <v>45684</v>
      </c>
      <c r="K129">
        <v>0</v>
      </c>
      <c r="L129">
        <v>95.9</v>
      </c>
      <c r="M129" s="2">
        <v>46014</v>
      </c>
      <c r="N129">
        <v>179</v>
      </c>
      <c r="O129">
        <v>213862.89</v>
      </c>
      <c r="Q129">
        <v>0</v>
      </c>
      <c r="R129">
        <v>0</v>
      </c>
      <c r="S129">
        <v>213862.89</v>
      </c>
      <c r="T129" t="s">
        <v>76</v>
      </c>
      <c r="U129" t="s">
        <v>26</v>
      </c>
      <c r="W129" s="3">
        <v>32812231</v>
      </c>
    </row>
    <row r="130" spans="1:23">
      <c r="A130" t="s">
        <v>43</v>
      </c>
      <c r="B130" t="s">
        <v>44</v>
      </c>
      <c r="C130" s="2">
        <v>45864</v>
      </c>
      <c r="D130" t="s">
        <v>71</v>
      </c>
      <c r="E130" t="s">
        <v>72</v>
      </c>
      <c r="F130" t="s">
        <v>175</v>
      </c>
      <c r="G130" t="s">
        <v>131</v>
      </c>
      <c r="I130" t="s">
        <v>174</v>
      </c>
      <c r="J130" s="2">
        <v>45757</v>
      </c>
      <c r="K130">
        <v>0</v>
      </c>
      <c r="L130">
        <v>95.9</v>
      </c>
      <c r="M130" s="2">
        <v>46379</v>
      </c>
      <c r="N130">
        <v>96</v>
      </c>
      <c r="O130">
        <v>114690.68</v>
      </c>
      <c r="Q130">
        <v>0</v>
      </c>
      <c r="R130">
        <v>0</v>
      </c>
      <c r="S130">
        <v>114690.68</v>
      </c>
      <c r="T130" t="s">
        <v>76</v>
      </c>
      <c r="U130" t="s">
        <v>26</v>
      </c>
      <c r="W130" s="3">
        <v>50795919</v>
      </c>
    </row>
    <row r="131" spans="1:23">
      <c r="A131" t="s">
        <v>66</v>
      </c>
      <c r="B131" t="s">
        <v>67</v>
      </c>
      <c r="C131" s="2">
        <v>45864</v>
      </c>
      <c r="D131" t="s">
        <v>71</v>
      </c>
      <c r="E131" t="s">
        <v>72</v>
      </c>
      <c r="F131" t="s">
        <v>175</v>
      </c>
      <c r="G131" t="s">
        <v>131</v>
      </c>
      <c r="I131" t="s">
        <v>174</v>
      </c>
      <c r="J131" s="2">
        <v>45800</v>
      </c>
      <c r="K131">
        <v>0</v>
      </c>
      <c r="L131">
        <v>95.9</v>
      </c>
      <c r="M131" s="2">
        <v>46379</v>
      </c>
      <c r="N131">
        <v>99</v>
      </c>
      <c r="O131">
        <v>119165.12</v>
      </c>
      <c r="Q131">
        <v>0</v>
      </c>
      <c r="R131">
        <v>0</v>
      </c>
      <c r="S131">
        <v>119165.12</v>
      </c>
      <c r="T131" t="s">
        <v>76</v>
      </c>
      <c r="U131" t="s">
        <v>26</v>
      </c>
      <c r="W131" s="3">
        <v>37945476</v>
      </c>
    </row>
    <row r="132" spans="1:23">
      <c r="A132" t="s">
        <v>56</v>
      </c>
      <c r="B132" t="s">
        <v>57</v>
      </c>
      <c r="C132" s="2">
        <v>45864</v>
      </c>
      <c r="D132" t="s">
        <v>71</v>
      </c>
      <c r="E132" t="s">
        <v>72</v>
      </c>
      <c r="F132" t="s">
        <v>175</v>
      </c>
      <c r="G132" t="s">
        <v>131</v>
      </c>
      <c r="I132" t="s">
        <v>174</v>
      </c>
      <c r="J132" s="2">
        <v>45784</v>
      </c>
      <c r="K132">
        <v>0</v>
      </c>
      <c r="L132">
        <v>95.9</v>
      </c>
      <c r="M132" s="2">
        <v>46379</v>
      </c>
      <c r="N132">
        <v>104</v>
      </c>
      <c r="O132">
        <v>125182.2</v>
      </c>
      <c r="Q132">
        <v>0</v>
      </c>
      <c r="R132">
        <v>0</v>
      </c>
      <c r="S132">
        <v>125182.2</v>
      </c>
      <c r="T132" t="s">
        <v>76</v>
      </c>
      <c r="U132" t="s">
        <v>26</v>
      </c>
      <c r="W132" s="3">
        <v>18615906</v>
      </c>
    </row>
    <row r="133" spans="1:23">
      <c r="A133" t="s">
        <v>66</v>
      </c>
      <c r="B133" t="s">
        <v>67</v>
      </c>
      <c r="C133" s="2">
        <v>45864</v>
      </c>
      <c r="D133" t="s">
        <v>71</v>
      </c>
      <c r="E133" t="s">
        <v>72</v>
      </c>
      <c r="F133" t="s">
        <v>175</v>
      </c>
      <c r="G133" t="s">
        <v>131</v>
      </c>
      <c r="I133" t="s">
        <v>174</v>
      </c>
      <c r="J133" s="2">
        <v>45806</v>
      </c>
      <c r="K133">
        <v>0</v>
      </c>
      <c r="L133">
        <v>95.9</v>
      </c>
      <c r="M133" s="2">
        <v>46379</v>
      </c>
      <c r="N133">
        <v>112</v>
      </c>
      <c r="O133">
        <v>134806.69</v>
      </c>
      <c r="Q133">
        <v>0</v>
      </c>
      <c r="R133">
        <v>0</v>
      </c>
      <c r="S133">
        <v>134806.69</v>
      </c>
      <c r="T133" t="s">
        <v>76</v>
      </c>
      <c r="U133" t="s">
        <v>26</v>
      </c>
      <c r="W133" s="3">
        <v>42832607</v>
      </c>
    </row>
    <row r="134" spans="1:23">
      <c r="A134" t="s">
        <v>53</v>
      </c>
      <c r="B134" t="s">
        <v>48</v>
      </c>
      <c r="C134" s="2">
        <v>45864</v>
      </c>
      <c r="D134" t="s">
        <v>71</v>
      </c>
      <c r="E134" t="s">
        <v>72</v>
      </c>
      <c r="F134" t="s">
        <v>175</v>
      </c>
      <c r="G134" t="s">
        <v>131</v>
      </c>
      <c r="I134" t="s">
        <v>174</v>
      </c>
      <c r="J134" s="2">
        <v>45363</v>
      </c>
      <c r="K134">
        <v>0</v>
      </c>
      <c r="L134">
        <v>99</v>
      </c>
      <c r="M134" s="2">
        <v>46379</v>
      </c>
      <c r="N134">
        <v>150</v>
      </c>
      <c r="O134">
        <v>179445.25</v>
      </c>
      <c r="Q134">
        <v>0</v>
      </c>
      <c r="R134">
        <v>0</v>
      </c>
      <c r="S134">
        <v>179445.25</v>
      </c>
      <c r="T134" t="s">
        <v>76</v>
      </c>
      <c r="U134" t="s">
        <v>26</v>
      </c>
      <c r="W134" s="3">
        <v>32358596</v>
      </c>
    </row>
    <row r="135" spans="1:23">
      <c r="A135" t="s">
        <v>62</v>
      </c>
      <c r="B135" t="s">
        <v>63</v>
      </c>
      <c r="C135" s="2">
        <v>45864</v>
      </c>
      <c r="D135" t="s">
        <v>71</v>
      </c>
      <c r="E135" t="s">
        <v>72</v>
      </c>
      <c r="F135" t="s">
        <v>175</v>
      </c>
      <c r="G135" t="s">
        <v>131</v>
      </c>
      <c r="I135" t="s">
        <v>174</v>
      </c>
      <c r="J135" s="2">
        <v>45281</v>
      </c>
      <c r="K135">
        <v>0</v>
      </c>
      <c r="L135">
        <v>100</v>
      </c>
      <c r="M135" s="2">
        <v>46379</v>
      </c>
      <c r="N135">
        <v>200</v>
      </c>
      <c r="O135">
        <v>238938.93</v>
      </c>
      <c r="Q135">
        <v>0</v>
      </c>
      <c r="R135">
        <v>0</v>
      </c>
      <c r="S135">
        <v>238938.93</v>
      </c>
      <c r="T135" t="s">
        <v>76</v>
      </c>
      <c r="U135" t="s">
        <v>26</v>
      </c>
      <c r="W135" s="3">
        <v>867842</v>
      </c>
    </row>
    <row r="136" spans="1:23">
      <c r="A136" t="s">
        <v>43</v>
      </c>
      <c r="B136" t="s">
        <v>44</v>
      </c>
      <c r="C136" s="2">
        <v>45864</v>
      </c>
      <c r="D136" t="s">
        <v>71</v>
      </c>
      <c r="E136" t="s">
        <v>72</v>
      </c>
      <c r="F136" t="s">
        <v>175</v>
      </c>
      <c r="G136" t="s">
        <v>131</v>
      </c>
      <c r="I136" t="s">
        <v>174</v>
      </c>
      <c r="J136" s="2">
        <v>45671</v>
      </c>
      <c r="K136">
        <v>0</v>
      </c>
      <c r="L136">
        <v>98.9</v>
      </c>
      <c r="M136" s="2">
        <v>46379</v>
      </c>
      <c r="N136">
        <v>237</v>
      </c>
      <c r="O136">
        <v>283142.63</v>
      </c>
      <c r="Q136">
        <v>0</v>
      </c>
      <c r="R136">
        <v>0</v>
      </c>
      <c r="S136">
        <v>283142.63</v>
      </c>
      <c r="T136" t="s">
        <v>76</v>
      </c>
      <c r="U136" t="s">
        <v>26</v>
      </c>
      <c r="W136" s="3">
        <v>47553336</v>
      </c>
    </row>
    <row r="137" spans="1:23">
      <c r="A137" t="s">
        <v>43</v>
      </c>
      <c r="B137" t="s">
        <v>44</v>
      </c>
      <c r="C137" s="2">
        <v>45864</v>
      </c>
      <c r="D137" t="s">
        <v>71</v>
      </c>
      <c r="E137" t="s">
        <v>72</v>
      </c>
      <c r="F137" t="s">
        <v>175</v>
      </c>
      <c r="G137" t="s">
        <v>131</v>
      </c>
      <c r="I137" t="s">
        <v>174</v>
      </c>
      <c r="J137" s="2">
        <v>45281</v>
      </c>
      <c r="K137">
        <v>0</v>
      </c>
      <c r="L137">
        <v>100</v>
      </c>
      <c r="M137" s="2">
        <v>46379</v>
      </c>
      <c r="N137">
        <v>500</v>
      </c>
      <c r="O137">
        <v>597347.31999999995</v>
      </c>
      <c r="Q137">
        <v>0</v>
      </c>
      <c r="R137">
        <v>0</v>
      </c>
      <c r="S137">
        <v>597347.31999999995</v>
      </c>
      <c r="T137" t="s">
        <v>76</v>
      </c>
      <c r="U137" t="s">
        <v>26</v>
      </c>
      <c r="W137" s="3">
        <v>50251531</v>
      </c>
    </row>
    <row r="138" spans="1:23">
      <c r="A138" t="s">
        <v>43</v>
      </c>
      <c r="B138" t="s">
        <v>44</v>
      </c>
      <c r="C138" s="2">
        <v>45864</v>
      </c>
      <c r="D138" t="s">
        <v>71</v>
      </c>
      <c r="E138" t="s">
        <v>72</v>
      </c>
      <c r="F138" t="s">
        <v>176</v>
      </c>
      <c r="G138" t="s">
        <v>131</v>
      </c>
      <c r="I138" t="s">
        <v>174</v>
      </c>
      <c r="J138" s="2">
        <v>45727</v>
      </c>
      <c r="K138">
        <v>0</v>
      </c>
      <c r="L138">
        <v>101.9</v>
      </c>
      <c r="M138" s="2">
        <v>48934</v>
      </c>
      <c r="N138">
        <v>196</v>
      </c>
      <c r="O138">
        <v>198793.8</v>
      </c>
      <c r="Q138">
        <v>0</v>
      </c>
      <c r="R138">
        <v>0</v>
      </c>
      <c r="S138">
        <v>198793.8</v>
      </c>
      <c r="T138" t="s">
        <v>76</v>
      </c>
      <c r="U138" t="s">
        <v>26</v>
      </c>
      <c r="W138" s="3">
        <v>74777473</v>
      </c>
    </row>
    <row r="139" spans="1:23">
      <c r="A139" t="s">
        <v>66</v>
      </c>
      <c r="B139" t="s">
        <v>67</v>
      </c>
      <c r="C139" s="2">
        <v>45864</v>
      </c>
      <c r="D139" t="s">
        <v>71</v>
      </c>
      <c r="E139" t="s">
        <v>72</v>
      </c>
      <c r="F139" t="s">
        <v>176</v>
      </c>
      <c r="G139" t="s">
        <v>131</v>
      </c>
      <c r="I139" t="s">
        <v>174</v>
      </c>
      <c r="J139" s="2">
        <v>45664</v>
      </c>
      <c r="K139">
        <v>0</v>
      </c>
      <c r="L139">
        <v>103.9</v>
      </c>
      <c r="M139" s="2">
        <v>48934</v>
      </c>
      <c r="N139">
        <v>298</v>
      </c>
      <c r="O139">
        <v>308532.53000000003</v>
      </c>
      <c r="Q139">
        <v>0</v>
      </c>
      <c r="R139">
        <v>0</v>
      </c>
      <c r="S139">
        <v>308532.53000000003</v>
      </c>
      <c r="T139" t="s">
        <v>76</v>
      </c>
      <c r="U139" t="s">
        <v>26</v>
      </c>
      <c r="W139" s="3">
        <v>17458996</v>
      </c>
    </row>
    <row r="140" spans="1:23">
      <c r="A140" t="s">
        <v>51</v>
      </c>
      <c r="B140" t="s">
        <v>52</v>
      </c>
      <c r="C140" s="2">
        <v>45864</v>
      </c>
      <c r="D140" t="s">
        <v>71</v>
      </c>
      <c r="E140" t="s">
        <v>72</v>
      </c>
      <c r="F140" t="s">
        <v>177</v>
      </c>
      <c r="G140" t="s">
        <v>131</v>
      </c>
      <c r="I140" t="s">
        <v>178</v>
      </c>
      <c r="J140" s="2">
        <v>45447</v>
      </c>
      <c r="K140">
        <v>0.55000000000000004</v>
      </c>
      <c r="L140">
        <v>0.55000000000000004</v>
      </c>
      <c r="M140" s="2">
        <v>46020</v>
      </c>
      <c r="N140">
        <v>189</v>
      </c>
      <c r="O140">
        <v>191378.74</v>
      </c>
      <c r="Q140">
        <v>0</v>
      </c>
      <c r="R140">
        <v>0</v>
      </c>
      <c r="S140">
        <v>191378.74</v>
      </c>
      <c r="T140" t="s">
        <v>76</v>
      </c>
      <c r="U140" t="s">
        <v>26</v>
      </c>
      <c r="W140" s="3">
        <v>45826941</v>
      </c>
    </row>
    <row r="141" spans="1:23">
      <c r="A141" t="s">
        <v>53</v>
      </c>
      <c r="B141" t="s">
        <v>48</v>
      </c>
      <c r="C141" s="2">
        <v>45864</v>
      </c>
      <c r="D141" t="s">
        <v>71</v>
      </c>
      <c r="E141" t="s">
        <v>72</v>
      </c>
      <c r="F141" t="s">
        <v>177</v>
      </c>
      <c r="G141" t="s">
        <v>131</v>
      </c>
      <c r="I141" t="s">
        <v>178</v>
      </c>
      <c r="J141" s="2">
        <v>45296</v>
      </c>
      <c r="K141">
        <v>0.65</v>
      </c>
      <c r="L141">
        <v>0.65</v>
      </c>
      <c r="M141" s="2">
        <v>46020</v>
      </c>
      <c r="N141">
        <v>198</v>
      </c>
      <c r="O141">
        <v>200419.21</v>
      </c>
      <c r="Q141">
        <v>0</v>
      </c>
      <c r="R141">
        <v>0</v>
      </c>
      <c r="S141">
        <v>200419.21</v>
      </c>
      <c r="T141" t="s">
        <v>76</v>
      </c>
      <c r="U141" t="s">
        <v>26</v>
      </c>
      <c r="W141" s="3">
        <v>15110346</v>
      </c>
    </row>
    <row r="142" spans="1:23">
      <c r="A142" t="s">
        <v>58</v>
      </c>
      <c r="B142" t="s">
        <v>59</v>
      </c>
      <c r="C142" s="2">
        <v>45864</v>
      </c>
      <c r="D142" t="s">
        <v>71</v>
      </c>
      <c r="E142" t="s">
        <v>72</v>
      </c>
      <c r="F142" t="s">
        <v>177</v>
      </c>
      <c r="G142" t="s">
        <v>131</v>
      </c>
      <c r="I142" t="s">
        <v>178</v>
      </c>
      <c r="J142" s="2">
        <v>45257</v>
      </c>
      <c r="K142">
        <v>0.85</v>
      </c>
      <c r="L142">
        <v>0.85</v>
      </c>
      <c r="M142" s="2">
        <v>46020</v>
      </c>
      <c r="N142">
        <v>378</v>
      </c>
      <c r="O142">
        <v>382309.12</v>
      </c>
      <c r="Q142">
        <v>0</v>
      </c>
      <c r="R142">
        <v>0</v>
      </c>
      <c r="S142">
        <v>382309.12</v>
      </c>
      <c r="T142" t="s">
        <v>76</v>
      </c>
      <c r="U142" t="s">
        <v>26</v>
      </c>
      <c r="W142" s="3">
        <v>3667116</v>
      </c>
    </row>
    <row r="143" spans="1:23">
      <c r="A143" t="s">
        <v>66</v>
      </c>
      <c r="B143" t="s">
        <v>67</v>
      </c>
      <c r="C143" s="2">
        <v>45864</v>
      </c>
      <c r="D143" t="s">
        <v>71</v>
      </c>
      <c r="E143" t="s">
        <v>72</v>
      </c>
      <c r="F143" t="s">
        <v>179</v>
      </c>
      <c r="G143" t="s">
        <v>131</v>
      </c>
      <c r="I143" t="s">
        <v>180</v>
      </c>
      <c r="J143" s="2">
        <v>45201</v>
      </c>
      <c r="K143">
        <v>7.64</v>
      </c>
      <c r="L143">
        <v>7.6449999999999996</v>
      </c>
      <c r="M143" s="2">
        <v>47315</v>
      </c>
      <c r="N143">
        <v>30</v>
      </c>
      <c r="O143">
        <v>27041.7</v>
      </c>
      <c r="Q143">
        <v>0</v>
      </c>
      <c r="R143">
        <v>0</v>
      </c>
      <c r="S143">
        <v>27041.7</v>
      </c>
      <c r="T143" t="s">
        <v>121</v>
      </c>
      <c r="U143" t="s">
        <v>26</v>
      </c>
      <c r="W143" s="3">
        <v>25842133</v>
      </c>
    </row>
    <row r="144" spans="1:23">
      <c r="A144" t="s">
        <v>43</v>
      </c>
      <c r="B144" t="s">
        <v>44</v>
      </c>
      <c r="C144" s="2">
        <v>45864</v>
      </c>
      <c r="D144" t="s">
        <v>71</v>
      </c>
      <c r="E144" t="s">
        <v>72</v>
      </c>
      <c r="F144" t="s">
        <v>181</v>
      </c>
      <c r="G144" t="s">
        <v>131</v>
      </c>
      <c r="I144" t="s">
        <v>182</v>
      </c>
      <c r="J144" s="2">
        <v>44498</v>
      </c>
      <c r="K144">
        <v>5.76</v>
      </c>
      <c r="L144">
        <v>5.7641</v>
      </c>
      <c r="M144" s="2">
        <v>46645</v>
      </c>
      <c r="N144">
        <v>103</v>
      </c>
      <c r="O144">
        <v>71879.149999999994</v>
      </c>
      <c r="Q144">
        <v>0</v>
      </c>
      <c r="R144">
        <v>0</v>
      </c>
      <c r="S144">
        <v>71879.149999999994</v>
      </c>
      <c r="T144" t="s">
        <v>121</v>
      </c>
      <c r="U144" t="s">
        <v>26</v>
      </c>
      <c r="W144" s="3">
        <v>71624492</v>
      </c>
    </row>
    <row r="145" spans="1:23">
      <c r="A145" t="s">
        <v>62</v>
      </c>
      <c r="B145" t="s">
        <v>63</v>
      </c>
      <c r="C145" s="2">
        <v>45864</v>
      </c>
      <c r="D145" t="s">
        <v>71</v>
      </c>
      <c r="E145" t="s">
        <v>72</v>
      </c>
      <c r="F145" t="s">
        <v>181</v>
      </c>
      <c r="G145" t="s">
        <v>131</v>
      </c>
      <c r="I145" t="s">
        <v>182</v>
      </c>
      <c r="J145" s="2">
        <v>44498</v>
      </c>
      <c r="K145">
        <v>5.76</v>
      </c>
      <c r="L145">
        <v>5.7641</v>
      </c>
      <c r="M145" s="2">
        <v>46645</v>
      </c>
      <c r="N145">
        <v>150</v>
      </c>
      <c r="O145">
        <v>112399.59</v>
      </c>
      <c r="Q145">
        <v>0</v>
      </c>
      <c r="R145">
        <v>0</v>
      </c>
      <c r="S145">
        <v>112399.59</v>
      </c>
      <c r="T145" t="s">
        <v>121</v>
      </c>
      <c r="U145" t="s">
        <v>26</v>
      </c>
      <c r="W145" s="3">
        <v>62610994</v>
      </c>
    </row>
    <row r="146" spans="1:23">
      <c r="A146" t="s">
        <v>60</v>
      </c>
      <c r="B146" t="s">
        <v>61</v>
      </c>
      <c r="C146" s="2">
        <v>45864</v>
      </c>
      <c r="D146" t="s">
        <v>71</v>
      </c>
      <c r="E146" t="s">
        <v>72</v>
      </c>
      <c r="F146" t="s">
        <v>183</v>
      </c>
      <c r="G146" t="s">
        <v>131</v>
      </c>
      <c r="I146" t="s">
        <v>184</v>
      </c>
      <c r="J146" s="2">
        <v>45191</v>
      </c>
      <c r="K146">
        <v>1.7</v>
      </c>
      <c r="L146">
        <v>1.7</v>
      </c>
      <c r="M146" s="2">
        <v>46888</v>
      </c>
      <c r="N146">
        <v>86</v>
      </c>
      <c r="O146">
        <v>52967.199999999997</v>
      </c>
      <c r="Q146">
        <v>0</v>
      </c>
      <c r="R146">
        <v>0</v>
      </c>
      <c r="S146">
        <v>52967.199999999997</v>
      </c>
      <c r="T146" t="s">
        <v>76</v>
      </c>
      <c r="U146" t="s">
        <v>26</v>
      </c>
      <c r="W146" s="3">
        <v>44166065</v>
      </c>
    </row>
    <row r="147" spans="1:23">
      <c r="A147" t="s">
        <v>43</v>
      </c>
      <c r="B147" t="s">
        <v>44</v>
      </c>
      <c r="C147" s="2">
        <v>45864</v>
      </c>
      <c r="D147" t="s">
        <v>71</v>
      </c>
      <c r="E147" t="s">
        <v>72</v>
      </c>
      <c r="F147" t="s">
        <v>183</v>
      </c>
      <c r="G147" t="s">
        <v>131</v>
      </c>
      <c r="I147" t="s">
        <v>184</v>
      </c>
      <c r="J147" s="2">
        <v>45191</v>
      </c>
      <c r="K147">
        <v>1.7</v>
      </c>
      <c r="L147">
        <v>1.7</v>
      </c>
      <c r="M147" s="2">
        <v>46888</v>
      </c>
      <c r="N147">
        <v>286</v>
      </c>
      <c r="O147">
        <v>174691.75</v>
      </c>
      <c r="Q147">
        <v>0</v>
      </c>
      <c r="R147">
        <v>0</v>
      </c>
      <c r="S147">
        <v>174691.75</v>
      </c>
      <c r="T147" t="s">
        <v>76</v>
      </c>
      <c r="U147" t="s">
        <v>26</v>
      </c>
      <c r="W147" s="3">
        <v>74987363</v>
      </c>
    </row>
    <row r="148" spans="1:23">
      <c r="A148" t="s">
        <v>51</v>
      </c>
      <c r="B148" t="s">
        <v>52</v>
      </c>
      <c r="C148" s="2">
        <v>45864</v>
      </c>
      <c r="D148" t="s">
        <v>71</v>
      </c>
      <c r="E148" t="s">
        <v>72</v>
      </c>
      <c r="F148" t="s">
        <v>185</v>
      </c>
      <c r="G148" t="s">
        <v>131</v>
      </c>
      <c r="I148" t="s">
        <v>186</v>
      </c>
      <c r="J148" s="2">
        <v>45610</v>
      </c>
      <c r="K148">
        <v>1.1000000000000001</v>
      </c>
      <c r="L148">
        <v>1.1000000000000001</v>
      </c>
      <c r="M148" s="2">
        <v>47438</v>
      </c>
      <c r="N148">
        <v>100</v>
      </c>
      <c r="O148">
        <v>102992.54</v>
      </c>
      <c r="Q148">
        <v>0</v>
      </c>
      <c r="R148">
        <v>0</v>
      </c>
      <c r="S148">
        <v>102992.54</v>
      </c>
      <c r="T148" t="s">
        <v>76</v>
      </c>
      <c r="U148" t="s">
        <v>26</v>
      </c>
      <c r="W148" s="3">
        <v>4758034</v>
      </c>
    </row>
    <row r="149" spans="1:23">
      <c r="A149" t="s">
        <v>54</v>
      </c>
      <c r="B149" t="s">
        <v>55</v>
      </c>
      <c r="C149" s="2">
        <v>45864</v>
      </c>
      <c r="D149" t="s">
        <v>71</v>
      </c>
      <c r="E149" t="s">
        <v>72</v>
      </c>
      <c r="F149" t="s">
        <v>185</v>
      </c>
      <c r="G149" t="s">
        <v>131</v>
      </c>
      <c r="I149" t="s">
        <v>186</v>
      </c>
      <c r="J149" s="2">
        <v>45610</v>
      </c>
      <c r="K149">
        <v>1.1000000000000001</v>
      </c>
      <c r="L149">
        <v>1.1000000000000001</v>
      </c>
      <c r="M149" s="2">
        <v>47438</v>
      </c>
      <c r="N149">
        <v>150</v>
      </c>
      <c r="O149">
        <v>154488.82</v>
      </c>
      <c r="P149" s="4"/>
      <c r="Q149">
        <v>0</v>
      </c>
      <c r="R149">
        <v>0</v>
      </c>
      <c r="S149">
        <v>154488.82</v>
      </c>
      <c r="T149" t="s">
        <v>76</v>
      </c>
      <c r="U149" t="s">
        <v>26</v>
      </c>
      <c r="W149" s="3">
        <v>18331318</v>
      </c>
    </row>
    <row r="150" spans="1:23">
      <c r="A150" t="s">
        <v>66</v>
      </c>
      <c r="B150" t="s">
        <v>67</v>
      </c>
      <c r="C150" s="2">
        <v>45864</v>
      </c>
      <c r="D150" t="s">
        <v>71</v>
      </c>
      <c r="E150" t="s">
        <v>72</v>
      </c>
      <c r="F150" t="s">
        <v>185</v>
      </c>
      <c r="G150" t="s">
        <v>131</v>
      </c>
      <c r="I150" t="s">
        <v>186</v>
      </c>
      <c r="J150" s="2">
        <v>45610</v>
      </c>
      <c r="K150">
        <v>1.1000000000000001</v>
      </c>
      <c r="L150">
        <v>1.1000000000000001</v>
      </c>
      <c r="M150" s="2">
        <v>47438</v>
      </c>
      <c r="N150">
        <v>220</v>
      </c>
      <c r="O150">
        <v>226583.6</v>
      </c>
      <c r="Q150">
        <v>0</v>
      </c>
      <c r="R150">
        <v>0</v>
      </c>
      <c r="S150">
        <v>226583.6</v>
      </c>
      <c r="T150" t="s">
        <v>76</v>
      </c>
      <c r="U150" t="s">
        <v>26</v>
      </c>
      <c r="W150" s="3">
        <v>19087868</v>
      </c>
    </row>
    <row r="151" spans="1:23">
      <c r="A151" t="s">
        <v>62</v>
      </c>
      <c r="B151" t="s">
        <v>63</v>
      </c>
      <c r="C151" s="2">
        <v>45864</v>
      </c>
      <c r="D151" t="s">
        <v>71</v>
      </c>
      <c r="E151" t="s">
        <v>72</v>
      </c>
      <c r="F151" t="s">
        <v>185</v>
      </c>
      <c r="G151" t="s">
        <v>131</v>
      </c>
      <c r="I151" t="s">
        <v>186</v>
      </c>
      <c r="J151" s="2">
        <v>45610</v>
      </c>
      <c r="K151">
        <v>1.1000000000000001</v>
      </c>
      <c r="L151">
        <v>1.1000000000000001</v>
      </c>
      <c r="M151" s="2">
        <v>47438</v>
      </c>
      <c r="N151">
        <v>230</v>
      </c>
      <c r="O151">
        <v>236882.86</v>
      </c>
      <c r="Q151">
        <v>0</v>
      </c>
      <c r="R151">
        <v>0</v>
      </c>
      <c r="S151">
        <v>236882.86</v>
      </c>
      <c r="T151" t="s">
        <v>76</v>
      </c>
      <c r="U151" t="s">
        <v>26</v>
      </c>
      <c r="W151" s="3">
        <v>51032900</v>
      </c>
    </row>
    <row r="152" spans="1:23">
      <c r="A152" t="s">
        <v>31</v>
      </c>
      <c r="B152" t="s">
        <v>32</v>
      </c>
      <c r="C152" s="2">
        <v>45864</v>
      </c>
      <c r="D152" t="s">
        <v>71</v>
      </c>
      <c r="E152" t="s">
        <v>72</v>
      </c>
      <c r="F152" t="s">
        <v>185</v>
      </c>
      <c r="G152" t="s">
        <v>131</v>
      </c>
      <c r="I152" t="s">
        <v>186</v>
      </c>
      <c r="J152" s="2">
        <v>45610</v>
      </c>
      <c r="K152">
        <v>1.1000000000000001</v>
      </c>
      <c r="L152">
        <v>1.1000000000000001</v>
      </c>
      <c r="M152" s="2">
        <v>47438</v>
      </c>
      <c r="N152">
        <v>250</v>
      </c>
      <c r="O152">
        <v>257481.37</v>
      </c>
      <c r="Q152">
        <v>0</v>
      </c>
      <c r="R152">
        <v>0</v>
      </c>
      <c r="S152">
        <v>257481.37</v>
      </c>
      <c r="T152" t="s">
        <v>76</v>
      </c>
      <c r="U152" t="s">
        <v>26</v>
      </c>
      <c r="W152" s="3">
        <v>59499464</v>
      </c>
    </row>
    <row r="153" spans="1:23">
      <c r="A153" t="s">
        <v>43</v>
      </c>
      <c r="B153" t="s">
        <v>44</v>
      </c>
      <c r="C153" s="2">
        <v>45864</v>
      </c>
      <c r="D153" t="s">
        <v>71</v>
      </c>
      <c r="E153" t="s">
        <v>72</v>
      </c>
      <c r="F153" t="s">
        <v>187</v>
      </c>
      <c r="G153" t="s">
        <v>131</v>
      </c>
      <c r="I153" t="s">
        <v>188</v>
      </c>
      <c r="J153" s="2">
        <v>45072</v>
      </c>
      <c r="K153">
        <v>7.2</v>
      </c>
      <c r="L153">
        <v>7.2</v>
      </c>
      <c r="M153" s="2">
        <v>47710</v>
      </c>
      <c r="N153">
        <v>343</v>
      </c>
      <c r="O153">
        <v>368878.92</v>
      </c>
      <c r="Q153">
        <v>0</v>
      </c>
      <c r="R153">
        <v>0</v>
      </c>
      <c r="S153">
        <v>368878.92</v>
      </c>
      <c r="T153" t="s">
        <v>121</v>
      </c>
      <c r="U153" t="s">
        <v>26</v>
      </c>
      <c r="W153" s="3">
        <v>69842903</v>
      </c>
    </row>
    <row r="154" spans="1:23">
      <c r="A154" t="s">
        <v>43</v>
      </c>
      <c r="B154" t="s">
        <v>44</v>
      </c>
      <c r="C154" s="2">
        <v>45864</v>
      </c>
      <c r="D154" t="s">
        <v>71</v>
      </c>
      <c r="E154" t="s">
        <v>72</v>
      </c>
      <c r="F154" t="s">
        <v>189</v>
      </c>
      <c r="G154" t="s">
        <v>131</v>
      </c>
      <c r="I154" t="s">
        <v>190</v>
      </c>
      <c r="J154" s="2">
        <v>45125</v>
      </c>
      <c r="K154">
        <v>8.3000000000000007</v>
      </c>
      <c r="L154">
        <v>8.3000000000000007</v>
      </c>
      <c r="M154" s="2">
        <v>47072</v>
      </c>
      <c r="N154">
        <v>49</v>
      </c>
      <c r="O154">
        <v>57282.75</v>
      </c>
      <c r="Q154">
        <v>0</v>
      </c>
      <c r="R154">
        <v>0</v>
      </c>
      <c r="S154">
        <v>57282.75</v>
      </c>
      <c r="T154" t="s">
        <v>121</v>
      </c>
      <c r="U154" t="s">
        <v>26</v>
      </c>
      <c r="W154" s="3">
        <v>67856569</v>
      </c>
    </row>
    <row r="155" spans="1:23">
      <c r="A155" t="s">
        <v>43</v>
      </c>
      <c r="B155" t="s">
        <v>44</v>
      </c>
      <c r="C155" s="2">
        <v>45864</v>
      </c>
      <c r="D155" t="s">
        <v>71</v>
      </c>
      <c r="E155" t="s">
        <v>72</v>
      </c>
      <c r="F155" t="s">
        <v>189</v>
      </c>
      <c r="G155" t="s">
        <v>131</v>
      </c>
      <c r="I155" t="s">
        <v>190</v>
      </c>
      <c r="J155" s="2">
        <v>45125</v>
      </c>
      <c r="K155">
        <v>8.3000000000000007</v>
      </c>
      <c r="L155">
        <v>8.3000000000000007</v>
      </c>
      <c r="M155" s="2">
        <v>47072</v>
      </c>
      <c r="N155">
        <v>226</v>
      </c>
      <c r="O155">
        <v>264202.11</v>
      </c>
      <c r="Q155">
        <v>0</v>
      </c>
      <c r="R155">
        <v>0</v>
      </c>
      <c r="S155">
        <v>264202.11</v>
      </c>
      <c r="T155" t="s">
        <v>121</v>
      </c>
      <c r="U155" t="s">
        <v>26</v>
      </c>
      <c r="W155" s="3">
        <v>69252596</v>
      </c>
    </row>
    <row r="156" spans="1:23">
      <c r="A156" t="s">
        <v>60</v>
      </c>
      <c r="B156" t="s">
        <v>61</v>
      </c>
      <c r="C156" s="2">
        <v>45864</v>
      </c>
      <c r="D156" t="s">
        <v>71</v>
      </c>
      <c r="E156" t="s">
        <v>72</v>
      </c>
      <c r="F156" t="s">
        <v>191</v>
      </c>
      <c r="G156" t="s">
        <v>131</v>
      </c>
      <c r="I156" t="s">
        <v>192</v>
      </c>
      <c r="J156" s="2">
        <v>44463</v>
      </c>
      <c r="K156">
        <v>5.09</v>
      </c>
      <c r="L156">
        <v>5.09</v>
      </c>
      <c r="M156" s="2">
        <v>46888</v>
      </c>
      <c r="N156">
        <v>236</v>
      </c>
      <c r="O156">
        <v>306550.90999999997</v>
      </c>
      <c r="Q156">
        <v>0</v>
      </c>
      <c r="R156">
        <v>0</v>
      </c>
      <c r="S156">
        <v>306550.90999999997</v>
      </c>
      <c r="T156" t="s">
        <v>121</v>
      </c>
      <c r="U156" t="s">
        <v>26</v>
      </c>
      <c r="W156" s="3">
        <v>15951435</v>
      </c>
    </row>
    <row r="157" spans="1:23">
      <c r="A157" t="s">
        <v>60</v>
      </c>
      <c r="B157" t="s">
        <v>61</v>
      </c>
      <c r="C157" s="2">
        <v>45864</v>
      </c>
      <c r="D157" t="s">
        <v>71</v>
      </c>
      <c r="E157" t="s">
        <v>72</v>
      </c>
      <c r="F157" t="s">
        <v>193</v>
      </c>
      <c r="G157" t="s">
        <v>131</v>
      </c>
      <c r="I157" t="s">
        <v>194</v>
      </c>
      <c r="J157" s="2">
        <v>45107</v>
      </c>
      <c r="K157">
        <v>0</v>
      </c>
      <c r="L157">
        <v>109</v>
      </c>
      <c r="M157" s="2">
        <v>48775</v>
      </c>
      <c r="N157">
        <v>50</v>
      </c>
      <c r="O157">
        <v>50240.87</v>
      </c>
      <c r="Q157">
        <v>0</v>
      </c>
      <c r="R157">
        <v>0</v>
      </c>
      <c r="S157">
        <v>50240.87</v>
      </c>
      <c r="T157" t="s">
        <v>76</v>
      </c>
      <c r="U157" t="s">
        <v>26</v>
      </c>
      <c r="W157" s="3">
        <v>10100686</v>
      </c>
    </row>
    <row r="158" spans="1:23">
      <c r="A158" t="s">
        <v>66</v>
      </c>
      <c r="B158" t="s">
        <v>67</v>
      </c>
      <c r="C158" s="2">
        <v>45864</v>
      </c>
      <c r="D158" t="s">
        <v>71</v>
      </c>
      <c r="E158" t="s">
        <v>72</v>
      </c>
      <c r="F158" t="s">
        <v>193</v>
      </c>
      <c r="G158" t="s">
        <v>131</v>
      </c>
      <c r="I158" t="s">
        <v>194</v>
      </c>
      <c r="J158" s="2">
        <v>45350</v>
      </c>
      <c r="K158">
        <v>0</v>
      </c>
      <c r="L158">
        <v>108</v>
      </c>
      <c r="M158" s="2">
        <v>48775</v>
      </c>
      <c r="N158">
        <v>100</v>
      </c>
      <c r="O158">
        <v>100999.34</v>
      </c>
      <c r="Q158">
        <v>0</v>
      </c>
      <c r="R158">
        <v>0</v>
      </c>
      <c r="S158">
        <v>100999.34</v>
      </c>
      <c r="T158" t="s">
        <v>76</v>
      </c>
      <c r="U158" t="s">
        <v>26</v>
      </c>
      <c r="W158" s="3">
        <v>28160650</v>
      </c>
    </row>
    <row r="159" spans="1:23">
      <c r="A159" t="s">
        <v>66</v>
      </c>
      <c r="B159" t="s">
        <v>67</v>
      </c>
      <c r="C159" s="2">
        <v>45864</v>
      </c>
      <c r="D159" t="s">
        <v>71</v>
      </c>
      <c r="E159" t="s">
        <v>72</v>
      </c>
      <c r="F159" t="s">
        <v>193</v>
      </c>
      <c r="G159" t="s">
        <v>131</v>
      </c>
      <c r="I159" t="s">
        <v>194</v>
      </c>
      <c r="J159" s="2">
        <v>45107</v>
      </c>
      <c r="K159">
        <v>0</v>
      </c>
      <c r="L159">
        <v>109</v>
      </c>
      <c r="M159" s="2">
        <v>48775</v>
      </c>
      <c r="N159">
        <v>300</v>
      </c>
      <c r="O159">
        <v>301445.26</v>
      </c>
      <c r="Q159">
        <v>0</v>
      </c>
      <c r="R159">
        <v>0</v>
      </c>
      <c r="S159">
        <v>301445.26</v>
      </c>
      <c r="T159" t="s">
        <v>76</v>
      </c>
      <c r="U159" t="s">
        <v>26</v>
      </c>
      <c r="W159" s="3">
        <v>9878437</v>
      </c>
    </row>
    <row r="160" spans="1:23">
      <c r="A160" t="s">
        <v>60</v>
      </c>
      <c r="B160" t="s">
        <v>61</v>
      </c>
      <c r="C160" s="2">
        <v>45864</v>
      </c>
      <c r="D160" t="s">
        <v>71</v>
      </c>
      <c r="E160" t="s">
        <v>72</v>
      </c>
      <c r="F160" t="s">
        <v>195</v>
      </c>
      <c r="G160" t="s">
        <v>131</v>
      </c>
      <c r="I160" t="s">
        <v>196</v>
      </c>
      <c r="J160" s="2">
        <v>45169</v>
      </c>
      <c r="K160">
        <v>1</v>
      </c>
      <c r="L160">
        <v>1</v>
      </c>
      <c r="M160" s="2">
        <v>48837</v>
      </c>
      <c r="N160">
        <v>93</v>
      </c>
      <c r="O160">
        <v>97952.6</v>
      </c>
      <c r="Q160">
        <v>0</v>
      </c>
      <c r="R160">
        <v>0</v>
      </c>
      <c r="S160">
        <v>97952.6</v>
      </c>
      <c r="T160" t="s">
        <v>76</v>
      </c>
      <c r="U160" t="s">
        <v>26</v>
      </c>
      <c r="W160" s="3">
        <v>22247779</v>
      </c>
    </row>
    <row r="161" spans="1:23">
      <c r="A161" t="s">
        <v>51</v>
      </c>
      <c r="B161" t="s">
        <v>52</v>
      </c>
      <c r="C161" s="2">
        <v>45864</v>
      </c>
      <c r="D161" t="s">
        <v>71</v>
      </c>
      <c r="E161" t="s">
        <v>72</v>
      </c>
      <c r="F161" t="s">
        <v>195</v>
      </c>
      <c r="G161" t="s">
        <v>131</v>
      </c>
      <c r="I161" t="s">
        <v>196</v>
      </c>
      <c r="J161" s="2">
        <v>45169</v>
      </c>
      <c r="K161">
        <v>1</v>
      </c>
      <c r="L161">
        <v>1</v>
      </c>
      <c r="M161" s="2">
        <v>48837</v>
      </c>
      <c r="N161">
        <v>302</v>
      </c>
      <c r="O161">
        <v>318082.65999999997</v>
      </c>
      <c r="Q161">
        <v>0</v>
      </c>
      <c r="R161">
        <v>0</v>
      </c>
      <c r="S161">
        <v>318082.65999999997</v>
      </c>
      <c r="T161" t="s">
        <v>76</v>
      </c>
      <c r="U161" t="s">
        <v>26</v>
      </c>
      <c r="W161" s="3">
        <v>30519682</v>
      </c>
    </row>
    <row r="162" spans="1:23">
      <c r="A162" t="s">
        <v>43</v>
      </c>
      <c r="B162" t="s">
        <v>44</v>
      </c>
      <c r="C162" s="2">
        <v>45864</v>
      </c>
      <c r="D162" t="s">
        <v>71</v>
      </c>
      <c r="E162" t="s">
        <v>72</v>
      </c>
      <c r="F162" t="s">
        <v>195</v>
      </c>
      <c r="G162" t="s">
        <v>131</v>
      </c>
      <c r="I162" t="s">
        <v>196</v>
      </c>
      <c r="J162" s="2">
        <v>45169</v>
      </c>
      <c r="K162">
        <v>1</v>
      </c>
      <c r="L162">
        <v>1</v>
      </c>
      <c r="M162" s="2">
        <v>48837</v>
      </c>
      <c r="N162">
        <v>300</v>
      </c>
      <c r="O162">
        <v>331514.76</v>
      </c>
      <c r="Q162">
        <v>0</v>
      </c>
      <c r="R162">
        <v>0</v>
      </c>
      <c r="S162">
        <v>331514.76</v>
      </c>
      <c r="T162" t="s">
        <v>76</v>
      </c>
      <c r="U162" t="s">
        <v>26</v>
      </c>
      <c r="W162" s="3">
        <v>64644119</v>
      </c>
    </row>
    <row r="163" spans="1:23">
      <c r="A163" t="s">
        <v>62</v>
      </c>
      <c r="B163" t="s">
        <v>63</v>
      </c>
      <c r="C163" s="2">
        <v>45864</v>
      </c>
      <c r="D163" t="s">
        <v>71</v>
      </c>
      <c r="E163" t="s">
        <v>72</v>
      </c>
      <c r="F163" t="s">
        <v>197</v>
      </c>
      <c r="G163" t="s">
        <v>131</v>
      </c>
      <c r="I163" t="s">
        <v>198</v>
      </c>
      <c r="J163" s="2">
        <v>45279</v>
      </c>
      <c r="K163">
        <v>11.01</v>
      </c>
      <c r="L163">
        <v>11.018000000000001</v>
      </c>
      <c r="M163" s="2">
        <v>48928</v>
      </c>
      <c r="N163">
        <v>150</v>
      </c>
      <c r="O163">
        <v>151752.19</v>
      </c>
      <c r="P163" s="4"/>
      <c r="Q163">
        <v>0</v>
      </c>
      <c r="R163">
        <v>0</v>
      </c>
      <c r="S163">
        <v>151752.19</v>
      </c>
      <c r="T163" t="s">
        <v>94</v>
      </c>
      <c r="U163" t="s">
        <v>26</v>
      </c>
      <c r="W163" s="3">
        <v>84296077</v>
      </c>
    </row>
    <row r="164" spans="1:23">
      <c r="A164" t="s">
        <v>66</v>
      </c>
      <c r="B164" t="s">
        <v>67</v>
      </c>
      <c r="C164" s="2">
        <v>45864</v>
      </c>
      <c r="D164" t="s">
        <v>71</v>
      </c>
      <c r="E164" t="s">
        <v>72</v>
      </c>
      <c r="F164" t="s">
        <v>199</v>
      </c>
      <c r="G164" t="s">
        <v>131</v>
      </c>
      <c r="I164" t="s">
        <v>200</v>
      </c>
      <c r="J164" s="2">
        <v>45792</v>
      </c>
      <c r="K164">
        <v>9.68</v>
      </c>
      <c r="L164">
        <v>9.68</v>
      </c>
      <c r="M164" s="2">
        <v>46645</v>
      </c>
      <c r="N164">
        <v>91</v>
      </c>
      <c r="O164">
        <v>113061.94</v>
      </c>
      <c r="Q164">
        <v>0</v>
      </c>
      <c r="R164">
        <v>0</v>
      </c>
      <c r="S164">
        <v>113061.94</v>
      </c>
      <c r="T164" t="s">
        <v>121</v>
      </c>
      <c r="U164" t="s">
        <v>26</v>
      </c>
      <c r="W164" s="3">
        <v>33772517</v>
      </c>
    </row>
    <row r="165" spans="1:23">
      <c r="A165" t="s">
        <v>43</v>
      </c>
      <c r="B165" t="s">
        <v>44</v>
      </c>
      <c r="C165" s="2">
        <v>45864</v>
      </c>
      <c r="D165" t="s">
        <v>71</v>
      </c>
      <c r="E165" t="s">
        <v>72</v>
      </c>
      <c r="F165" t="s">
        <v>199</v>
      </c>
      <c r="G165" t="s">
        <v>131</v>
      </c>
      <c r="I165" t="s">
        <v>200</v>
      </c>
      <c r="J165" s="2">
        <v>44739</v>
      </c>
      <c r="K165">
        <v>6.5</v>
      </c>
      <c r="L165">
        <v>6.5</v>
      </c>
      <c r="M165" s="2">
        <v>46645</v>
      </c>
      <c r="N165">
        <v>136</v>
      </c>
      <c r="O165">
        <v>167584.1</v>
      </c>
      <c r="Q165">
        <v>0</v>
      </c>
      <c r="R165">
        <v>0</v>
      </c>
      <c r="S165">
        <v>167584.1</v>
      </c>
      <c r="T165" t="s">
        <v>121</v>
      </c>
      <c r="U165" t="s">
        <v>26</v>
      </c>
      <c r="W165" s="3">
        <v>75382412</v>
      </c>
    </row>
    <row r="166" spans="1:23">
      <c r="A166" t="s">
        <v>60</v>
      </c>
      <c r="B166" t="s">
        <v>61</v>
      </c>
      <c r="C166" s="2">
        <v>45864</v>
      </c>
      <c r="D166" t="s">
        <v>71</v>
      </c>
      <c r="E166" t="s">
        <v>72</v>
      </c>
      <c r="F166" t="s">
        <v>201</v>
      </c>
      <c r="G166" t="s">
        <v>131</v>
      </c>
      <c r="I166" t="s">
        <v>202</v>
      </c>
      <c r="J166" s="2">
        <v>44980</v>
      </c>
      <c r="K166">
        <v>13.58</v>
      </c>
      <c r="L166">
        <v>13.584</v>
      </c>
      <c r="M166" s="2">
        <v>46769</v>
      </c>
      <c r="N166">
        <v>34</v>
      </c>
      <c r="O166">
        <v>46185.27</v>
      </c>
      <c r="Q166">
        <v>0</v>
      </c>
      <c r="R166">
        <v>0</v>
      </c>
      <c r="S166">
        <v>46185.27</v>
      </c>
      <c r="T166" t="s">
        <v>94</v>
      </c>
      <c r="U166" t="s">
        <v>26</v>
      </c>
      <c r="W166" s="3">
        <v>40462200</v>
      </c>
    </row>
    <row r="167" spans="1:23">
      <c r="A167" t="s">
        <v>60</v>
      </c>
      <c r="B167" t="s">
        <v>61</v>
      </c>
      <c r="C167" s="2">
        <v>45864</v>
      </c>
      <c r="D167" t="s">
        <v>71</v>
      </c>
      <c r="E167" t="s">
        <v>72</v>
      </c>
      <c r="F167" t="s">
        <v>203</v>
      </c>
      <c r="G167" t="s">
        <v>131</v>
      </c>
      <c r="I167" t="s">
        <v>204</v>
      </c>
      <c r="J167" s="2">
        <v>44939</v>
      </c>
      <c r="K167">
        <v>1.2</v>
      </c>
      <c r="L167">
        <v>1.2</v>
      </c>
      <c r="M167" s="2">
        <v>46157</v>
      </c>
      <c r="N167">
        <v>95</v>
      </c>
      <c r="O167">
        <v>49043.31</v>
      </c>
      <c r="Q167">
        <v>0</v>
      </c>
      <c r="R167">
        <v>0</v>
      </c>
      <c r="S167">
        <v>49043.31</v>
      </c>
      <c r="T167" t="s">
        <v>76</v>
      </c>
      <c r="U167" t="s">
        <v>26</v>
      </c>
      <c r="W167" s="3">
        <v>16856677</v>
      </c>
    </row>
    <row r="168" spans="1:23">
      <c r="A168" t="s">
        <v>66</v>
      </c>
      <c r="B168" t="s">
        <v>67</v>
      </c>
      <c r="C168" s="2">
        <v>45864</v>
      </c>
      <c r="D168" t="s">
        <v>71</v>
      </c>
      <c r="E168" t="s">
        <v>72</v>
      </c>
      <c r="F168" t="s">
        <v>205</v>
      </c>
      <c r="G168" t="s">
        <v>131</v>
      </c>
      <c r="I168" t="s">
        <v>204</v>
      </c>
      <c r="J168" s="2">
        <v>44894</v>
      </c>
      <c r="K168">
        <v>7.38</v>
      </c>
      <c r="L168">
        <v>7.6</v>
      </c>
      <c r="M168" s="2">
        <v>47253</v>
      </c>
      <c r="N168">
        <v>20</v>
      </c>
      <c r="O168">
        <v>23195.23</v>
      </c>
      <c r="Q168">
        <v>0</v>
      </c>
      <c r="R168">
        <v>0</v>
      </c>
      <c r="S168">
        <v>23195.23</v>
      </c>
      <c r="T168" t="s">
        <v>121</v>
      </c>
      <c r="U168" t="s">
        <v>26</v>
      </c>
      <c r="W168" s="3">
        <v>22377119</v>
      </c>
    </row>
    <row r="169" spans="1:23">
      <c r="A169" t="s">
        <v>66</v>
      </c>
      <c r="B169" t="s">
        <v>67</v>
      </c>
      <c r="C169" s="2">
        <v>45864</v>
      </c>
      <c r="D169" t="s">
        <v>71</v>
      </c>
      <c r="E169" t="s">
        <v>72</v>
      </c>
      <c r="F169" t="s">
        <v>205</v>
      </c>
      <c r="G169" t="s">
        <v>131</v>
      </c>
      <c r="I169" t="s">
        <v>204</v>
      </c>
      <c r="J169" s="2">
        <v>45198</v>
      </c>
      <c r="K169">
        <v>7.38</v>
      </c>
      <c r="L169">
        <v>7.38</v>
      </c>
      <c r="M169" s="2">
        <v>47253</v>
      </c>
      <c r="N169">
        <v>30</v>
      </c>
      <c r="O169">
        <v>34983.449999999997</v>
      </c>
      <c r="Q169">
        <v>0</v>
      </c>
      <c r="R169">
        <v>0</v>
      </c>
      <c r="S169">
        <v>34983.449999999997</v>
      </c>
      <c r="T169" t="s">
        <v>121</v>
      </c>
      <c r="U169" t="s">
        <v>26</v>
      </c>
      <c r="W169" s="3">
        <v>25609092</v>
      </c>
    </row>
    <row r="170" spans="1:23">
      <c r="A170" t="s">
        <v>43</v>
      </c>
      <c r="B170" t="s">
        <v>44</v>
      </c>
      <c r="C170" s="2">
        <v>45864</v>
      </c>
      <c r="D170" t="s">
        <v>71</v>
      </c>
      <c r="E170" t="s">
        <v>72</v>
      </c>
      <c r="F170" t="s">
        <v>205</v>
      </c>
      <c r="G170" t="s">
        <v>131</v>
      </c>
      <c r="I170" t="s">
        <v>204</v>
      </c>
      <c r="J170" s="2">
        <v>45272</v>
      </c>
      <c r="K170">
        <v>7.85</v>
      </c>
      <c r="L170">
        <v>7.85</v>
      </c>
      <c r="M170" s="2">
        <v>47253</v>
      </c>
      <c r="N170">
        <v>192</v>
      </c>
      <c r="O170">
        <v>201867.4</v>
      </c>
      <c r="Q170">
        <v>0</v>
      </c>
      <c r="R170">
        <v>0</v>
      </c>
      <c r="S170">
        <v>201867.4</v>
      </c>
      <c r="T170" t="s">
        <v>121</v>
      </c>
      <c r="U170" t="s">
        <v>26</v>
      </c>
      <c r="W170" s="3">
        <v>60106188</v>
      </c>
    </row>
    <row r="171" spans="1:23">
      <c r="A171" t="s">
        <v>60</v>
      </c>
      <c r="B171" t="s">
        <v>61</v>
      </c>
      <c r="C171" s="2">
        <v>45864</v>
      </c>
      <c r="D171" t="s">
        <v>71</v>
      </c>
      <c r="E171" t="s">
        <v>72</v>
      </c>
      <c r="F171" t="s">
        <v>206</v>
      </c>
      <c r="G171" t="s">
        <v>131</v>
      </c>
      <c r="I171" t="s">
        <v>207</v>
      </c>
      <c r="J171" s="2">
        <v>44945</v>
      </c>
      <c r="K171">
        <v>1.1499999999999999</v>
      </c>
      <c r="L171">
        <v>1.1499999999999999</v>
      </c>
      <c r="M171" s="2">
        <v>46071</v>
      </c>
      <c r="N171">
        <v>93</v>
      </c>
      <c r="O171">
        <v>49611.29</v>
      </c>
      <c r="Q171">
        <v>0</v>
      </c>
      <c r="R171">
        <v>0</v>
      </c>
      <c r="S171">
        <v>49611.29</v>
      </c>
      <c r="T171" t="s">
        <v>76</v>
      </c>
      <c r="U171" t="s">
        <v>26</v>
      </c>
      <c r="W171" s="3">
        <v>31764953</v>
      </c>
    </row>
    <row r="172" spans="1:23">
      <c r="A172" t="s">
        <v>43</v>
      </c>
      <c r="B172" t="s">
        <v>44</v>
      </c>
      <c r="C172" s="2">
        <v>45864</v>
      </c>
      <c r="D172" t="s">
        <v>71</v>
      </c>
      <c r="E172" t="s">
        <v>72</v>
      </c>
      <c r="F172" t="s">
        <v>208</v>
      </c>
      <c r="G172" t="s">
        <v>131</v>
      </c>
      <c r="I172" t="s">
        <v>207</v>
      </c>
      <c r="J172" s="2">
        <v>44623</v>
      </c>
      <c r="K172">
        <v>7.8</v>
      </c>
      <c r="L172">
        <v>7.8</v>
      </c>
      <c r="M172" s="2">
        <v>46343</v>
      </c>
      <c r="N172">
        <v>282</v>
      </c>
      <c r="O172">
        <v>374508.53</v>
      </c>
      <c r="Q172">
        <v>0</v>
      </c>
      <c r="R172">
        <v>0</v>
      </c>
      <c r="S172">
        <v>374508.53</v>
      </c>
      <c r="T172" t="s">
        <v>121</v>
      </c>
      <c r="U172" t="s">
        <v>26</v>
      </c>
      <c r="W172" s="3">
        <v>55275659</v>
      </c>
    </row>
    <row r="173" spans="1:23">
      <c r="A173" t="s">
        <v>66</v>
      </c>
      <c r="B173" t="s">
        <v>67</v>
      </c>
      <c r="C173" s="2">
        <v>45864</v>
      </c>
      <c r="D173" t="s">
        <v>71</v>
      </c>
      <c r="E173" t="s">
        <v>72</v>
      </c>
      <c r="F173" t="s">
        <v>209</v>
      </c>
      <c r="G173" t="s">
        <v>131</v>
      </c>
      <c r="I173" t="s">
        <v>210</v>
      </c>
      <c r="J173" s="2">
        <v>45111</v>
      </c>
      <c r="K173">
        <v>6.85</v>
      </c>
      <c r="L173">
        <v>6.85</v>
      </c>
      <c r="M173" s="2">
        <v>48502</v>
      </c>
      <c r="N173">
        <v>50</v>
      </c>
      <c r="O173">
        <v>54783.16</v>
      </c>
      <c r="Q173">
        <v>0</v>
      </c>
      <c r="R173">
        <v>0</v>
      </c>
      <c r="S173">
        <v>54783.16</v>
      </c>
      <c r="T173" t="s">
        <v>121</v>
      </c>
      <c r="U173" t="s">
        <v>26</v>
      </c>
      <c r="W173" s="3">
        <v>5779964</v>
      </c>
    </row>
    <row r="174" spans="1:23">
      <c r="A174" t="s">
        <v>62</v>
      </c>
      <c r="B174" t="s">
        <v>63</v>
      </c>
      <c r="C174" s="2">
        <v>45864</v>
      </c>
      <c r="D174" t="s">
        <v>71</v>
      </c>
      <c r="E174" t="s">
        <v>72</v>
      </c>
      <c r="F174" t="s">
        <v>209</v>
      </c>
      <c r="G174" t="s">
        <v>131</v>
      </c>
      <c r="I174" t="s">
        <v>210</v>
      </c>
      <c r="J174" s="2">
        <v>44949</v>
      </c>
      <c r="K174">
        <v>7.4</v>
      </c>
      <c r="L174">
        <v>7.4</v>
      </c>
      <c r="M174" s="2">
        <v>48502</v>
      </c>
      <c r="N174">
        <v>100</v>
      </c>
      <c r="O174">
        <v>103577.14</v>
      </c>
      <c r="Q174">
        <v>0</v>
      </c>
      <c r="R174">
        <v>0</v>
      </c>
      <c r="S174">
        <v>103577.14</v>
      </c>
      <c r="T174" t="s">
        <v>121</v>
      </c>
      <c r="U174" t="s">
        <v>26</v>
      </c>
      <c r="W174" s="3">
        <v>75020946</v>
      </c>
    </row>
    <row r="175" spans="1:23">
      <c r="A175" t="s">
        <v>62</v>
      </c>
      <c r="B175" t="s">
        <v>63</v>
      </c>
      <c r="C175" s="2">
        <v>45864</v>
      </c>
      <c r="D175" t="s">
        <v>71</v>
      </c>
      <c r="E175" t="s">
        <v>72</v>
      </c>
      <c r="F175" t="s">
        <v>211</v>
      </c>
      <c r="G175" t="s">
        <v>131</v>
      </c>
      <c r="I175" t="s">
        <v>212</v>
      </c>
      <c r="J175" s="2">
        <v>44375</v>
      </c>
      <c r="K175">
        <v>4.92</v>
      </c>
      <c r="L175">
        <v>4.9221000000000004</v>
      </c>
      <c r="M175" s="2">
        <v>46888</v>
      </c>
      <c r="N175">
        <v>150</v>
      </c>
      <c r="O175">
        <v>192768.18</v>
      </c>
      <c r="Q175">
        <v>0</v>
      </c>
      <c r="R175">
        <v>0</v>
      </c>
      <c r="S175">
        <v>192768.18</v>
      </c>
      <c r="T175" t="s">
        <v>121</v>
      </c>
      <c r="U175" t="s">
        <v>26</v>
      </c>
      <c r="W175" s="3">
        <v>71607942</v>
      </c>
    </row>
    <row r="176" spans="1:23">
      <c r="A176" t="s">
        <v>43</v>
      </c>
      <c r="B176" t="s">
        <v>44</v>
      </c>
      <c r="C176" s="2">
        <v>45864</v>
      </c>
      <c r="D176" t="s">
        <v>71</v>
      </c>
      <c r="E176" t="s">
        <v>72</v>
      </c>
      <c r="F176" t="s">
        <v>211</v>
      </c>
      <c r="G176" t="s">
        <v>131</v>
      </c>
      <c r="I176" t="s">
        <v>212</v>
      </c>
      <c r="J176" s="2">
        <v>44375</v>
      </c>
      <c r="K176">
        <v>4.92</v>
      </c>
      <c r="L176">
        <v>4.9221000000000004</v>
      </c>
      <c r="M176" s="2">
        <v>46888</v>
      </c>
      <c r="N176">
        <v>250</v>
      </c>
      <c r="O176">
        <v>285838.84000000003</v>
      </c>
      <c r="Q176">
        <v>0</v>
      </c>
      <c r="R176">
        <v>0</v>
      </c>
      <c r="S176">
        <v>285838.84000000003</v>
      </c>
      <c r="T176" t="s">
        <v>121</v>
      </c>
      <c r="U176" t="s">
        <v>26</v>
      </c>
      <c r="W176" s="3">
        <v>49691028</v>
      </c>
    </row>
    <row r="177" spans="1:23">
      <c r="A177" t="s">
        <v>60</v>
      </c>
      <c r="B177" t="s">
        <v>61</v>
      </c>
      <c r="C177" s="2">
        <v>45864</v>
      </c>
      <c r="D177" t="s">
        <v>71</v>
      </c>
      <c r="E177" t="s">
        <v>72</v>
      </c>
      <c r="F177" t="s">
        <v>213</v>
      </c>
      <c r="G177" t="s">
        <v>131</v>
      </c>
      <c r="I177" t="s">
        <v>214</v>
      </c>
      <c r="J177" s="2">
        <v>45135</v>
      </c>
      <c r="K177">
        <v>11.17</v>
      </c>
      <c r="L177">
        <v>11.17</v>
      </c>
      <c r="M177" s="2">
        <v>46584</v>
      </c>
      <c r="N177">
        <v>90</v>
      </c>
      <c r="O177">
        <v>90265.11</v>
      </c>
      <c r="Q177">
        <v>0</v>
      </c>
      <c r="R177">
        <v>0</v>
      </c>
      <c r="S177">
        <v>90265.11</v>
      </c>
      <c r="T177" t="s">
        <v>94</v>
      </c>
      <c r="U177" t="s">
        <v>26</v>
      </c>
      <c r="W177" s="3">
        <v>5168124</v>
      </c>
    </row>
    <row r="178" spans="1:23">
      <c r="A178" t="s">
        <v>60</v>
      </c>
      <c r="B178" t="s">
        <v>61</v>
      </c>
      <c r="C178" s="2">
        <v>45864</v>
      </c>
      <c r="D178" t="s">
        <v>71</v>
      </c>
      <c r="E178" t="s">
        <v>72</v>
      </c>
      <c r="F178" t="s">
        <v>215</v>
      </c>
      <c r="G178" t="s">
        <v>131</v>
      </c>
      <c r="I178" t="s">
        <v>216</v>
      </c>
      <c r="J178" s="2">
        <v>44455</v>
      </c>
      <c r="K178">
        <v>4.83</v>
      </c>
      <c r="L178">
        <v>4.83</v>
      </c>
      <c r="M178" s="2">
        <v>47011</v>
      </c>
      <c r="N178">
        <v>100</v>
      </c>
      <c r="O178">
        <v>126603.66</v>
      </c>
      <c r="Q178">
        <v>0</v>
      </c>
      <c r="R178">
        <v>0</v>
      </c>
      <c r="S178">
        <v>126603.66</v>
      </c>
      <c r="T178" t="s">
        <v>121</v>
      </c>
      <c r="U178" t="s">
        <v>26</v>
      </c>
      <c r="W178" s="3">
        <v>35197886</v>
      </c>
    </row>
    <row r="179" spans="1:23">
      <c r="A179" t="s">
        <v>66</v>
      </c>
      <c r="B179" t="s">
        <v>67</v>
      </c>
      <c r="C179" s="2">
        <v>45864</v>
      </c>
      <c r="D179" t="s">
        <v>71</v>
      </c>
      <c r="E179" t="s">
        <v>72</v>
      </c>
      <c r="F179" t="s">
        <v>217</v>
      </c>
      <c r="G179" t="s">
        <v>131</v>
      </c>
      <c r="I179" t="s">
        <v>218</v>
      </c>
      <c r="J179" s="2">
        <v>45387</v>
      </c>
      <c r="K179">
        <v>0.5</v>
      </c>
      <c r="L179">
        <v>0.5</v>
      </c>
      <c r="M179" s="2">
        <v>46615</v>
      </c>
      <c r="N179">
        <v>50</v>
      </c>
      <c r="O179">
        <v>54090.13</v>
      </c>
      <c r="Q179">
        <v>0</v>
      </c>
      <c r="R179">
        <v>0</v>
      </c>
      <c r="S179">
        <v>54090.13</v>
      </c>
      <c r="T179" t="s">
        <v>76</v>
      </c>
      <c r="U179" t="s">
        <v>26</v>
      </c>
      <c r="W179" s="3">
        <v>9840144</v>
      </c>
    </row>
    <row r="180" spans="1:23">
      <c r="A180" t="s">
        <v>43</v>
      </c>
      <c r="B180" t="s">
        <v>44</v>
      </c>
      <c r="C180" s="2">
        <v>45864</v>
      </c>
      <c r="D180" t="s">
        <v>71</v>
      </c>
      <c r="E180" t="s">
        <v>72</v>
      </c>
      <c r="F180" t="s">
        <v>217</v>
      </c>
      <c r="G180" t="s">
        <v>131</v>
      </c>
      <c r="I180" t="s">
        <v>218</v>
      </c>
      <c r="J180" s="2">
        <v>44848</v>
      </c>
      <c r="K180">
        <v>1.4</v>
      </c>
      <c r="L180">
        <v>1.4</v>
      </c>
      <c r="M180" s="2">
        <v>46615</v>
      </c>
      <c r="N180">
        <v>250</v>
      </c>
      <c r="O180">
        <v>269349.36</v>
      </c>
      <c r="Q180">
        <v>0</v>
      </c>
      <c r="R180">
        <v>0</v>
      </c>
      <c r="S180">
        <v>269349.36</v>
      </c>
      <c r="T180" t="s">
        <v>76</v>
      </c>
      <c r="U180" t="s">
        <v>26</v>
      </c>
      <c r="W180" s="3">
        <v>53915080</v>
      </c>
    </row>
    <row r="181" spans="1:23">
      <c r="A181" t="s">
        <v>66</v>
      </c>
      <c r="B181" t="s">
        <v>67</v>
      </c>
      <c r="C181" s="2">
        <v>45864</v>
      </c>
      <c r="D181" t="s">
        <v>71</v>
      </c>
      <c r="E181" t="s">
        <v>72</v>
      </c>
      <c r="F181" t="s">
        <v>219</v>
      </c>
      <c r="G181" t="s">
        <v>131</v>
      </c>
      <c r="I181" t="s">
        <v>220</v>
      </c>
      <c r="J181" s="2">
        <v>45387</v>
      </c>
      <c r="K181">
        <v>6.29</v>
      </c>
      <c r="L181">
        <v>6.29</v>
      </c>
      <c r="M181" s="2">
        <v>50145</v>
      </c>
      <c r="N181">
        <v>45</v>
      </c>
      <c r="O181">
        <v>51969.52</v>
      </c>
      <c r="Q181">
        <v>0</v>
      </c>
      <c r="R181">
        <v>0</v>
      </c>
      <c r="S181">
        <v>51969.52</v>
      </c>
      <c r="T181" t="s">
        <v>121</v>
      </c>
      <c r="U181" t="s">
        <v>26</v>
      </c>
      <c r="W181" s="3">
        <v>8283425</v>
      </c>
    </row>
    <row r="182" spans="1:23">
      <c r="A182" t="s">
        <v>53</v>
      </c>
      <c r="B182" t="s">
        <v>48</v>
      </c>
      <c r="C182" s="2">
        <v>45864</v>
      </c>
      <c r="D182" t="s">
        <v>71</v>
      </c>
      <c r="E182" t="s">
        <v>72</v>
      </c>
      <c r="F182" t="s">
        <v>221</v>
      </c>
      <c r="G182" t="s">
        <v>131</v>
      </c>
      <c r="I182" t="s">
        <v>222</v>
      </c>
      <c r="J182" s="2">
        <v>44173</v>
      </c>
      <c r="K182">
        <v>3.55</v>
      </c>
      <c r="L182">
        <v>3.55</v>
      </c>
      <c r="M182" s="2">
        <v>47192</v>
      </c>
      <c r="N182">
        <v>106</v>
      </c>
      <c r="O182">
        <v>153590.15</v>
      </c>
      <c r="Q182">
        <v>0</v>
      </c>
      <c r="R182">
        <v>0</v>
      </c>
      <c r="S182">
        <v>153590.15</v>
      </c>
      <c r="T182" t="s">
        <v>121</v>
      </c>
      <c r="U182" t="s">
        <v>26</v>
      </c>
      <c r="W182" s="3">
        <v>13778177</v>
      </c>
    </row>
    <row r="183" spans="1:23">
      <c r="A183" t="s">
        <v>66</v>
      </c>
      <c r="B183" t="s">
        <v>67</v>
      </c>
      <c r="C183" s="2">
        <v>45864</v>
      </c>
      <c r="D183" t="s">
        <v>71</v>
      </c>
      <c r="E183" t="s">
        <v>72</v>
      </c>
      <c r="F183" t="s">
        <v>223</v>
      </c>
      <c r="G183" t="s">
        <v>131</v>
      </c>
      <c r="I183" t="s">
        <v>222</v>
      </c>
      <c r="J183" s="2">
        <v>44883</v>
      </c>
      <c r="K183">
        <v>6.39</v>
      </c>
      <c r="L183">
        <v>6.39</v>
      </c>
      <c r="M183" s="2">
        <v>49079</v>
      </c>
      <c r="N183">
        <v>50</v>
      </c>
      <c r="O183">
        <v>58732.4</v>
      </c>
      <c r="Q183">
        <v>0</v>
      </c>
      <c r="R183">
        <v>0</v>
      </c>
      <c r="S183">
        <v>58732.4</v>
      </c>
      <c r="T183" t="s">
        <v>121</v>
      </c>
      <c r="U183" t="s">
        <v>26</v>
      </c>
      <c r="W183" s="3">
        <v>15235749</v>
      </c>
    </row>
    <row r="184" spans="1:23">
      <c r="A184" t="s">
        <v>60</v>
      </c>
      <c r="B184" t="s">
        <v>61</v>
      </c>
      <c r="C184" s="2">
        <v>45864</v>
      </c>
      <c r="D184" t="s">
        <v>71</v>
      </c>
      <c r="E184" t="s">
        <v>72</v>
      </c>
      <c r="F184" t="s">
        <v>223</v>
      </c>
      <c r="G184" t="s">
        <v>131</v>
      </c>
      <c r="I184" t="s">
        <v>222</v>
      </c>
      <c r="J184" s="2">
        <v>45196</v>
      </c>
      <c r="K184">
        <v>5.74</v>
      </c>
      <c r="L184">
        <v>5.74</v>
      </c>
      <c r="M184" s="2">
        <v>49079</v>
      </c>
      <c r="N184">
        <v>70</v>
      </c>
      <c r="O184">
        <v>85556.45</v>
      </c>
      <c r="Q184">
        <v>0</v>
      </c>
      <c r="R184">
        <v>0</v>
      </c>
      <c r="S184">
        <v>85556.45</v>
      </c>
      <c r="T184" t="s">
        <v>121</v>
      </c>
      <c r="U184" t="s">
        <v>26</v>
      </c>
      <c r="W184" s="3">
        <v>27697450</v>
      </c>
    </row>
    <row r="185" spans="1:23">
      <c r="A185" t="s">
        <v>62</v>
      </c>
      <c r="B185" t="s">
        <v>63</v>
      </c>
      <c r="C185" s="2">
        <v>45864</v>
      </c>
      <c r="D185" t="s">
        <v>71</v>
      </c>
      <c r="E185" t="s">
        <v>72</v>
      </c>
      <c r="F185" t="s">
        <v>224</v>
      </c>
      <c r="G185" t="s">
        <v>131</v>
      </c>
      <c r="I185" t="s">
        <v>225</v>
      </c>
      <c r="J185" s="2">
        <v>44279</v>
      </c>
      <c r="K185">
        <v>4.13</v>
      </c>
      <c r="L185">
        <v>4.1368999999999998</v>
      </c>
      <c r="M185" s="2">
        <v>47922</v>
      </c>
      <c r="N185">
        <v>93</v>
      </c>
      <c r="O185">
        <v>123252.76</v>
      </c>
      <c r="Q185">
        <v>0</v>
      </c>
      <c r="R185">
        <v>0</v>
      </c>
      <c r="S185">
        <v>123252.76</v>
      </c>
      <c r="T185" t="s">
        <v>121</v>
      </c>
      <c r="U185" t="s">
        <v>26</v>
      </c>
      <c r="W185" s="3">
        <v>63102326</v>
      </c>
    </row>
    <row r="186" spans="1:23">
      <c r="A186" t="s">
        <v>53</v>
      </c>
      <c r="B186" t="s">
        <v>48</v>
      </c>
      <c r="C186" s="2">
        <v>45864</v>
      </c>
      <c r="D186" t="s">
        <v>71</v>
      </c>
      <c r="E186" t="s">
        <v>72</v>
      </c>
      <c r="F186" t="s">
        <v>226</v>
      </c>
      <c r="G186" t="s">
        <v>131</v>
      </c>
      <c r="I186" t="s">
        <v>227</v>
      </c>
      <c r="J186" s="2">
        <v>45363</v>
      </c>
      <c r="K186">
        <v>1.25</v>
      </c>
      <c r="L186">
        <v>1.25</v>
      </c>
      <c r="M186" s="2">
        <v>46037</v>
      </c>
      <c r="N186">
        <v>49</v>
      </c>
      <c r="O186">
        <v>49235.94</v>
      </c>
      <c r="P186" s="4"/>
      <c r="Q186">
        <v>0</v>
      </c>
      <c r="R186">
        <v>0</v>
      </c>
      <c r="S186">
        <v>49235.94</v>
      </c>
      <c r="T186" t="s">
        <v>76</v>
      </c>
      <c r="U186" t="s">
        <v>26</v>
      </c>
      <c r="W186" s="3">
        <v>24567854</v>
      </c>
    </row>
    <row r="187" spans="1:23">
      <c r="A187" t="s">
        <v>60</v>
      </c>
      <c r="B187" t="s">
        <v>61</v>
      </c>
      <c r="C187" s="2">
        <v>45864</v>
      </c>
      <c r="D187" t="s">
        <v>71</v>
      </c>
      <c r="E187" t="s">
        <v>72</v>
      </c>
      <c r="F187" t="s">
        <v>228</v>
      </c>
      <c r="G187" t="s">
        <v>131</v>
      </c>
      <c r="I187" t="s">
        <v>227</v>
      </c>
      <c r="J187" s="2">
        <v>45376</v>
      </c>
      <c r="K187">
        <v>0.95</v>
      </c>
      <c r="L187">
        <v>0.95</v>
      </c>
      <c r="M187" s="2">
        <v>47192</v>
      </c>
      <c r="N187">
        <v>100</v>
      </c>
      <c r="O187">
        <v>105300.34</v>
      </c>
      <c r="Q187">
        <v>0</v>
      </c>
      <c r="R187">
        <v>0</v>
      </c>
      <c r="S187">
        <v>105300.34</v>
      </c>
      <c r="T187" t="s">
        <v>76</v>
      </c>
      <c r="U187" t="s">
        <v>26</v>
      </c>
      <c r="W187" s="3">
        <v>21107382</v>
      </c>
    </row>
    <row r="188" spans="1:23">
      <c r="A188" t="s">
        <v>66</v>
      </c>
      <c r="B188" t="s">
        <v>67</v>
      </c>
      <c r="C188" s="2">
        <v>45864</v>
      </c>
      <c r="D188" t="s">
        <v>71</v>
      </c>
      <c r="E188" t="s">
        <v>72</v>
      </c>
      <c r="F188" t="s">
        <v>229</v>
      </c>
      <c r="G188" t="s">
        <v>131</v>
      </c>
      <c r="I188" t="s">
        <v>227</v>
      </c>
      <c r="J188" s="2">
        <v>45114</v>
      </c>
      <c r="K188">
        <v>6.18</v>
      </c>
      <c r="L188">
        <v>6.18</v>
      </c>
      <c r="M188" s="2">
        <v>48228</v>
      </c>
      <c r="N188">
        <v>50</v>
      </c>
      <c r="O188">
        <v>60969.39</v>
      </c>
      <c r="Q188">
        <v>0</v>
      </c>
      <c r="R188">
        <v>0</v>
      </c>
      <c r="S188">
        <v>60969.39</v>
      </c>
      <c r="T188" t="s">
        <v>121</v>
      </c>
      <c r="U188" t="s">
        <v>26</v>
      </c>
      <c r="W188" s="3">
        <v>34934731</v>
      </c>
    </row>
    <row r="189" spans="1:23">
      <c r="A189" t="s">
        <v>60</v>
      </c>
      <c r="B189" t="s">
        <v>61</v>
      </c>
      <c r="C189" s="2">
        <v>45864</v>
      </c>
      <c r="D189" t="s">
        <v>71</v>
      </c>
      <c r="E189" t="s">
        <v>72</v>
      </c>
      <c r="F189" t="s">
        <v>230</v>
      </c>
      <c r="G189" t="s">
        <v>131</v>
      </c>
      <c r="I189" t="s">
        <v>231</v>
      </c>
      <c r="J189" s="2">
        <v>45210</v>
      </c>
      <c r="K189">
        <v>1.5</v>
      </c>
      <c r="L189">
        <v>1.5</v>
      </c>
      <c r="M189" s="2">
        <v>47011</v>
      </c>
      <c r="N189">
        <v>150</v>
      </c>
      <c r="O189">
        <v>158247.67999999999</v>
      </c>
      <c r="Q189">
        <v>0</v>
      </c>
      <c r="R189">
        <v>0</v>
      </c>
      <c r="S189">
        <v>158247.67999999999</v>
      </c>
      <c r="T189" t="s">
        <v>76</v>
      </c>
      <c r="U189" t="s">
        <v>26</v>
      </c>
      <c r="W189" s="3">
        <v>35715219</v>
      </c>
    </row>
    <row r="190" spans="1:23">
      <c r="A190" t="s">
        <v>53</v>
      </c>
      <c r="B190" t="s">
        <v>48</v>
      </c>
      <c r="C190" s="2">
        <v>45864</v>
      </c>
      <c r="D190" t="s">
        <v>71</v>
      </c>
      <c r="E190" t="s">
        <v>72</v>
      </c>
      <c r="F190" t="s">
        <v>232</v>
      </c>
      <c r="G190" t="s">
        <v>131</v>
      </c>
      <c r="I190" t="s">
        <v>231</v>
      </c>
      <c r="J190" s="2">
        <v>45372</v>
      </c>
      <c r="K190">
        <v>1.1000000000000001</v>
      </c>
      <c r="L190">
        <v>1.1000000000000001</v>
      </c>
      <c r="M190" s="2">
        <v>47192</v>
      </c>
      <c r="N190">
        <v>200</v>
      </c>
      <c r="O190">
        <v>210699.56</v>
      </c>
      <c r="Q190">
        <v>0</v>
      </c>
      <c r="R190">
        <v>0</v>
      </c>
      <c r="S190">
        <v>210699.56</v>
      </c>
      <c r="T190" t="s">
        <v>76</v>
      </c>
      <c r="U190" t="s">
        <v>26</v>
      </c>
      <c r="W190" s="3">
        <v>21240482</v>
      </c>
    </row>
    <row r="191" spans="1:23">
      <c r="A191" t="s">
        <v>51</v>
      </c>
      <c r="B191" t="s">
        <v>52</v>
      </c>
      <c r="C191" s="2">
        <v>45864</v>
      </c>
      <c r="D191" t="s">
        <v>71</v>
      </c>
      <c r="E191" t="s">
        <v>72</v>
      </c>
      <c r="F191" t="s">
        <v>232</v>
      </c>
      <c r="G191" t="s">
        <v>131</v>
      </c>
      <c r="I191" t="s">
        <v>231</v>
      </c>
      <c r="J191" s="2">
        <v>45372</v>
      </c>
      <c r="K191">
        <v>1.1000000000000001</v>
      </c>
      <c r="L191">
        <v>1.1000000000000001</v>
      </c>
      <c r="M191" s="2">
        <v>47192</v>
      </c>
      <c r="N191">
        <v>200</v>
      </c>
      <c r="O191">
        <v>210699.56</v>
      </c>
      <c r="Q191">
        <v>0</v>
      </c>
      <c r="R191">
        <v>0</v>
      </c>
      <c r="S191">
        <v>210699.56</v>
      </c>
      <c r="T191" t="s">
        <v>76</v>
      </c>
      <c r="U191" t="s">
        <v>26</v>
      </c>
      <c r="W191" s="3">
        <v>25762879</v>
      </c>
    </row>
    <row r="192" spans="1:23">
      <c r="A192" t="s">
        <v>60</v>
      </c>
      <c r="B192" t="s">
        <v>61</v>
      </c>
      <c r="C192" s="2">
        <v>45864</v>
      </c>
      <c r="D192" t="s">
        <v>71</v>
      </c>
      <c r="E192" t="s">
        <v>72</v>
      </c>
      <c r="F192" t="s">
        <v>233</v>
      </c>
      <c r="G192" t="s">
        <v>131</v>
      </c>
      <c r="I192" t="s">
        <v>231</v>
      </c>
      <c r="J192" s="2">
        <v>45210</v>
      </c>
      <c r="K192">
        <v>13.51</v>
      </c>
      <c r="L192">
        <v>13.51</v>
      </c>
      <c r="M192" s="2">
        <v>47741</v>
      </c>
      <c r="N192">
        <v>150</v>
      </c>
      <c r="O192">
        <v>156945.70000000001</v>
      </c>
      <c r="Q192">
        <v>0</v>
      </c>
      <c r="R192">
        <v>0</v>
      </c>
      <c r="S192">
        <v>156945.70000000001</v>
      </c>
      <c r="T192" t="s">
        <v>94</v>
      </c>
      <c r="U192" t="s">
        <v>26</v>
      </c>
      <c r="W192" s="3">
        <v>39249335</v>
      </c>
    </row>
    <row r="193" spans="1:23">
      <c r="A193" t="s">
        <v>62</v>
      </c>
      <c r="B193" t="s">
        <v>63</v>
      </c>
      <c r="C193" s="2">
        <v>45864</v>
      </c>
      <c r="D193" t="s">
        <v>71</v>
      </c>
      <c r="E193" t="s">
        <v>72</v>
      </c>
      <c r="F193" t="s">
        <v>234</v>
      </c>
      <c r="G193" t="s">
        <v>131</v>
      </c>
      <c r="I193" t="s">
        <v>235</v>
      </c>
      <c r="J193" s="2">
        <v>43671</v>
      </c>
      <c r="K193">
        <v>3.6</v>
      </c>
      <c r="L193">
        <v>3.6019999999999999</v>
      </c>
      <c r="M193" s="2">
        <v>47315</v>
      </c>
      <c r="N193">
        <v>150</v>
      </c>
      <c r="O193">
        <v>210727.09</v>
      </c>
      <c r="Q193">
        <v>0</v>
      </c>
      <c r="R193">
        <v>0</v>
      </c>
      <c r="S193">
        <v>210727.09</v>
      </c>
      <c r="T193" t="s">
        <v>121</v>
      </c>
      <c r="U193" t="s">
        <v>26</v>
      </c>
      <c r="W193" s="3">
        <v>67111034</v>
      </c>
    </row>
    <row r="194" spans="1:23">
      <c r="A194" t="s">
        <v>66</v>
      </c>
      <c r="B194" t="s">
        <v>67</v>
      </c>
      <c r="C194" s="2">
        <v>45864</v>
      </c>
      <c r="D194" t="s">
        <v>71</v>
      </c>
      <c r="E194" t="s">
        <v>72</v>
      </c>
      <c r="F194" t="s">
        <v>236</v>
      </c>
      <c r="G194" t="s">
        <v>131</v>
      </c>
      <c r="I194" t="s">
        <v>237</v>
      </c>
      <c r="J194" s="2">
        <v>45111</v>
      </c>
      <c r="K194">
        <v>5.31</v>
      </c>
      <c r="L194">
        <v>5.3</v>
      </c>
      <c r="M194" s="2">
        <v>48441</v>
      </c>
      <c r="N194">
        <v>50</v>
      </c>
      <c r="O194">
        <v>64641.120000000003</v>
      </c>
      <c r="Q194">
        <v>0</v>
      </c>
      <c r="R194">
        <v>0</v>
      </c>
      <c r="S194">
        <v>64641.120000000003</v>
      </c>
      <c r="T194" t="s">
        <v>121</v>
      </c>
      <c r="U194" t="s">
        <v>26</v>
      </c>
      <c r="W194" s="3">
        <v>13497590</v>
      </c>
    </row>
    <row r="195" spans="1:23">
      <c r="A195" t="s">
        <v>66</v>
      </c>
      <c r="B195" t="s">
        <v>67</v>
      </c>
      <c r="C195" s="2">
        <v>45864</v>
      </c>
      <c r="D195" t="s">
        <v>71</v>
      </c>
      <c r="E195" t="s">
        <v>72</v>
      </c>
      <c r="F195" t="s">
        <v>236</v>
      </c>
      <c r="G195" t="s">
        <v>131</v>
      </c>
      <c r="I195" t="s">
        <v>237</v>
      </c>
      <c r="J195" s="2">
        <v>45117</v>
      </c>
      <c r="K195">
        <v>5.31</v>
      </c>
      <c r="L195">
        <v>5.31</v>
      </c>
      <c r="M195" s="2">
        <v>48441</v>
      </c>
      <c r="N195">
        <v>100</v>
      </c>
      <c r="O195">
        <v>129213.45</v>
      </c>
      <c r="Q195">
        <v>0</v>
      </c>
      <c r="R195">
        <v>0</v>
      </c>
      <c r="S195">
        <v>129213.45</v>
      </c>
      <c r="T195" t="s">
        <v>121</v>
      </c>
      <c r="U195" t="s">
        <v>26</v>
      </c>
      <c r="W195" s="3">
        <v>4758056</v>
      </c>
    </row>
    <row r="196" spans="1:23">
      <c r="A196" t="s">
        <v>66</v>
      </c>
      <c r="B196" t="s">
        <v>67</v>
      </c>
      <c r="C196" s="2">
        <v>45864</v>
      </c>
      <c r="D196" t="s">
        <v>71</v>
      </c>
      <c r="E196" t="s">
        <v>72</v>
      </c>
      <c r="F196" t="s">
        <v>238</v>
      </c>
      <c r="G196" t="s">
        <v>131</v>
      </c>
      <c r="I196" t="s">
        <v>239</v>
      </c>
      <c r="J196" s="2">
        <v>45219</v>
      </c>
      <c r="K196">
        <v>6.25</v>
      </c>
      <c r="L196">
        <v>6.2512999999999996</v>
      </c>
      <c r="M196" s="2">
        <v>48869</v>
      </c>
      <c r="N196">
        <v>70</v>
      </c>
      <c r="O196">
        <v>77717.509999999995</v>
      </c>
      <c r="Q196">
        <v>0</v>
      </c>
      <c r="R196">
        <v>0</v>
      </c>
      <c r="S196">
        <v>77717.509999999995</v>
      </c>
      <c r="T196" t="s">
        <v>121</v>
      </c>
      <c r="U196" t="s">
        <v>26</v>
      </c>
      <c r="W196" s="3">
        <v>8995685</v>
      </c>
    </row>
    <row r="197" spans="1:23">
      <c r="A197" t="s">
        <v>60</v>
      </c>
      <c r="B197" t="s">
        <v>61</v>
      </c>
      <c r="C197" s="2">
        <v>45864</v>
      </c>
      <c r="D197" t="s">
        <v>71</v>
      </c>
      <c r="E197" t="s">
        <v>72</v>
      </c>
      <c r="F197" t="s">
        <v>240</v>
      </c>
      <c r="G197" t="s">
        <v>131</v>
      </c>
      <c r="I197" t="s">
        <v>239</v>
      </c>
      <c r="J197" s="2">
        <v>45219</v>
      </c>
      <c r="K197">
        <v>12.29</v>
      </c>
      <c r="L197">
        <v>12.29</v>
      </c>
      <c r="M197" s="2">
        <v>48869</v>
      </c>
      <c r="N197">
        <v>150</v>
      </c>
      <c r="O197">
        <v>154836.15</v>
      </c>
      <c r="Q197">
        <v>0</v>
      </c>
      <c r="R197">
        <v>0</v>
      </c>
      <c r="S197">
        <v>154836.15</v>
      </c>
      <c r="T197" t="s">
        <v>94</v>
      </c>
      <c r="U197" t="s">
        <v>26</v>
      </c>
      <c r="W197" s="3">
        <v>19211457</v>
      </c>
    </row>
    <row r="198" spans="1:23">
      <c r="A198" t="s">
        <v>43</v>
      </c>
      <c r="B198" t="s">
        <v>44</v>
      </c>
      <c r="C198" s="2">
        <v>45864</v>
      </c>
      <c r="D198" t="s">
        <v>71</v>
      </c>
      <c r="E198" t="s">
        <v>72</v>
      </c>
      <c r="F198" t="s">
        <v>241</v>
      </c>
      <c r="G198" t="s">
        <v>131</v>
      </c>
      <c r="I198" t="s">
        <v>242</v>
      </c>
      <c r="J198" s="2">
        <v>45534</v>
      </c>
      <c r="K198">
        <v>7.31</v>
      </c>
      <c r="L198">
        <v>7.31</v>
      </c>
      <c r="M198" s="2">
        <v>48075</v>
      </c>
      <c r="N198">
        <v>92</v>
      </c>
      <c r="O198">
        <v>93115.8</v>
      </c>
      <c r="Q198">
        <v>0</v>
      </c>
      <c r="R198">
        <v>0</v>
      </c>
      <c r="S198">
        <v>93115.8</v>
      </c>
      <c r="T198" t="s">
        <v>121</v>
      </c>
      <c r="U198" t="s">
        <v>26</v>
      </c>
      <c r="W198" s="3">
        <v>49159628</v>
      </c>
    </row>
    <row r="199" spans="1:23">
      <c r="A199" t="s">
        <v>39</v>
      </c>
      <c r="B199" t="s">
        <v>40</v>
      </c>
      <c r="C199" s="2">
        <v>45864</v>
      </c>
      <c r="D199" t="s">
        <v>71</v>
      </c>
      <c r="E199" t="s">
        <v>72</v>
      </c>
      <c r="F199" t="s">
        <v>243</v>
      </c>
      <c r="G199" t="s">
        <v>131</v>
      </c>
      <c r="I199" t="s">
        <v>244</v>
      </c>
      <c r="J199" s="2">
        <v>45441</v>
      </c>
      <c r="K199">
        <v>7.37</v>
      </c>
      <c r="L199">
        <v>7.37</v>
      </c>
      <c r="M199" s="2">
        <v>46097</v>
      </c>
      <c r="N199">
        <v>3</v>
      </c>
      <c r="O199">
        <v>1277.96</v>
      </c>
      <c r="Q199">
        <v>0</v>
      </c>
      <c r="R199">
        <v>0</v>
      </c>
      <c r="S199">
        <v>1277.96</v>
      </c>
      <c r="T199" t="s">
        <v>121</v>
      </c>
      <c r="U199" t="s">
        <v>26</v>
      </c>
      <c r="W199" s="3">
        <v>62688954</v>
      </c>
    </row>
    <row r="200" spans="1:23">
      <c r="A200" t="s">
        <v>62</v>
      </c>
      <c r="B200" t="s">
        <v>63</v>
      </c>
      <c r="C200" s="2">
        <v>45864</v>
      </c>
      <c r="D200" t="s">
        <v>71</v>
      </c>
      <c r="E200" t="s">
        <v>72</v>
      </c>
      <c r="F200" t="s">
        <v>243</v>
      </c>
      <c r="G200" t="s">
        <v>131</v>
      </c>
      <c r="I200" t="s">
        <v>244</v>
      </c>
      <c r="J200" s="2">
        <v>44285</v>
      </c>
      <c r="K200">
        <v>4.92</v>
      </c>
      <c r="L200">
        <v>4.9264999999999999</v>
      </c>
      <c r="M200" s="2">
        <v>46097</v>
      </c>
      <c r="N200">
        <v>97</v>
      </c>
      <c r="O200">
        <v>43239.199999999997</v>
      </c>
      <c r="P200" s="4"/>
      <c r="Q200">
        <v>0</v>
      </c>
      <c r="R200">
        <v>0</v>
      </c>
      <c r="S200">
        <v>43239.199999999997</v>
      </c>
      <c r="T200" t="s">
        <v>121</v>
      </c>
      <c r="U200" t="s">
        <v>26</v>
      </c>
      <c r="W200" s="3">
        <v>74440677</v>
      </c>
    </row>
    <row r="201" spans="1:23">
      <c r="A201" t="s">
        <v>58</v>
      </c>
      <c r="B201" t="s">
        <v>59</v>
      </c>
      <c r="C201" s="2">
        <v>45864</v>
      </c>
      <c r="D201" t="s">
        <v>71</v>
      </c>
      <c r="E201" t="s">
        <v>72</v>
      </c>
      <c r="F201" t="s">
        <v>245</v>
      </c>
      <c r="G201" t="s">
        <v>131</v>
      </c>
      <c r="I201" t="s">
        <v>246</v>
      </c>
      <c r="J201" s="2">
        <v>45436</v>
      </c>
      <c r="K201">
        <v>0.95</v>
      </c>
      <c r="L201">
        <v>0.95</v>
      </c>
      <c r="M201" s="2">
        <v>47011</v>
      </c>
      <c r="N201">
        <v>250</v>
      </c>
      <c r="O201">
        <v>263622.68</v>
      </c>
      <c r="Q201">
        <v>0</v>
      </c>
      <c r="R201">
        <v>0</v>
      </c>
      <c r="S201">
        <v>263622.68</v>
      </c>
      <c r="T201" t="s">
        <v>76</v>
      </c>
      <c r="U201" t="s">
        <v>26</v>
      </c>
      <c r="W201" s="3">
        <v>12540734</v>
      </c>
    </row>
    <row r="202" spans="1:23">
      <c r="A202" t="s">
        <v>51</v>
      </c>
      <c r="B202" t="s">
        <v>52</v>
      </c>
      <c r="C202" s="2">
        <v>45864</v>
      </c>
      <c r="D202" t="s">
        <v>71</v>
      </c>
      <c r="E202" t="s">
        <v>72</v>
      </c>
      <c r="F202" t="s">
        <v>245</v>
      </c>
      <c r="G202" t="s">
        <v>131</v>
      </c>
      <c r="I202" t="s">
        <v>246</v>
      </c>
      <c r="J202" s="2">
        <v>45439</v>
      </c>
      <c r="K202">
        <v>0.9</v>
      </c>
      <c r="L202">
        <v>0.9</v>
      </c>
      <c r="M202" s="2">
        <v>47011</v>
      </c>
      <c r="N202">
        <v>250</v>
      </c>
      <c r="O202">
        <v>263948.13</v>
      </c>
      <c r="Q202">
        <v>0</v>
      </c>
      <c r="R202">
        <v>0</v>
      </c>
      <c r="S202">
        <v>263948.13</v>
      </c>
      <c r="T202" t="s">
        <v>76</v>
      </c>
      <c r="U202" t="s">
        <v>26</v>
      </c>
      <c r="W202" s="3">
        <v>35287640</v>
      </c>
    </row>
    <row r="203" spans="1:23">
      <c r="A203" t="s">
        <v>53</v>
      </c>
      <c r="B203" t="s">
        <v>48</v>
      </c>
      <c r="C203" s="2">
        <v>45864</v>
      </c>
      <c r="D203" t="s">
        <v>71</v>
      </c>
      <c r="E203" t="s">
        <v>72</v>
      </c>
      <c r="F203" t="s">
        <v>247</v>
      </c>
      <c r="G203" t="s">
        <v>131</v>
      </c>
      <c r="I203" t="s">
        <v>246</v>
      </c>
      <c r="J203" s="2">
        <v>45394</v>
      </c>
      <c r="K203">
        <v>1.55</v>
      </c>
      <c r="L203">
        <v>1.55</v>
      </c>
      <c r="M203" s="2">
        <v>47102</v>
      </c>
      <c r="N203">
        <v>97</v>
      </c>
      <c r="O203">
        <v>99066.2</v>
      </c>
      <c r="Q203">
        <v>0</v>
      </c>
      <c r="R203">
        <v>0</v>
      </c>
      <c r="S203">
        <v>99066.2</v>
      </c>
      <c r="T203" t="s">
        <v>76</v>
      </c>
      <c r="U203" t="s">
        <v>26</v>
      </c>
      <c r="W203" s="3">
        <v>46050171</v>
      </c>
    </row>
    <row r="204" spans="1:23">
      <c r="A204" t="s">
        <v>51</v>
      </c>
      <c r="B204" t="s">
        <v>52</v>
      </c>
      <c r="C204" s="2">
        <v>45864</v>
      </c>
      <c r="D204" t="s">
        <v>71</v>
      </c>
      <c r="E204" t="s">
        <v>72</v>
      </c>
      <c r="F204" t="s">
        <v>247</v>
      </c>
      <c r="G204" t="s">
        <v>131</v>
      </c>
      <c r="I204" t="s">
        <v>246</v>
      </c>
      <c r="J204" s="2">
        <v>45394</v>
      </c>
      <c r="K204">
        <v>1.55</v>
      </c>
      <c r="L204">
        <v>1.55</v>
      </c>
      <c r="M204" s="2">
        <v>47102</v>
      </c>
      <c r="N204">
        <v>123</v>
      </c>
      <c r="O204">
        <v>125620.03</v>
      </c>
      <c r="Q204">
        <v>0</v>
      </c>
      <c r="R204">
        <v>0</v>
      </c>
      <c r="S204">
        <v>125620.03</v>
      </c>
      <c r="T204" t="s">
        <v>76</v>
      </c>
      <c r="U204" t="s">
        <v>26</v>
      </c>
      <c r="W204" s="3">
        <v>45200319</v>
      </c>
    </row>
    <row r="205" spans="1:23">
      <c r="A205" t="s">
        <v>53</v>
      </c>
      <c r="B205" t="s">
        <v>48</v>
      </c>
      <c r="C205" s="2">
        <v>45864</v>
      </c>
      <c r="D205" t="s">
        <v>71</v>
      </c>
      <c r="E205" t="s">
        <v>72</v>
      </c>
      <c r="F205" t="s">
        <v>248</v>
      </c>
      <c r="G205" t="s">
        <v>131</v>
      </c>
      <c r="I205" t="s">
        <v>249</v>
      </c>
      <c r="J205" s="2">
        <v>44729</v>
      </c>
      <c r="K205">
        <v>6.06</v>
      </c>
      <c r="L205">
        <v>6.06</v>
      </c>
      <c r="M205" s="2">
        <v>46553</v>
      </c>
      <c r="N205">
        <v>84</v>
      </c>
      <c r="O205">
        <v>77305.759999999995</v>
      </c>
      <c r="Q205">
        <v>0</v>
      </c>
      <c r="R205">
        <v>0</v>
      </c>
      <c r="S205">
        <v>77305.759999999995</v>
      </c>
      <c r="T205" t="s">
        <v>121</v>
      </c>
      <c r="U205" t="s">
        <v>26</v>
      </c>
      <c r="W205" s="3">
        <v>23688974</v>
      </c>
    </row>
    <row r="206" spans="1:23">
      <c r="A206" t="s">
        <v>53</v>
      </c>
      <c r="B206" t="s">
        <v>48</v>
      </c>
      <c r="C206" s="2">
        <v>45864</v>
      </c>
      <c r="D206" t="s">
        <v>71</v>
      </c>
      <c r="E206" t="s">
        <v>72</v>
      </c>
      <c r="F206" t="s">
        <v>250</v>
      </c>
      <c r="G206" t="s">
        <v>131</v>
      </c>
      <c r="I206" t="s">
        <v>249</v>
      </c>
      <c r="J206" s="2">
        <v>44279</v>
      </c>
      <c r="K206">
        <v>4.95</v>
      </c>
      <c r="L206">
        <v>4.95</v>
      </c>
      <c r="M206" s="2">
        <v>47805</v>
      </c>
      <c r="N206">
        <v>117</v>
      </c>
      <c r="O206">
        <v>161758.29</v>
      </c>
      <c r="Q206">
        <v>0</v>
      </c>
      <c r="R206">
        <v>0</v>
      </c>
      <c r="S206">
        <v>161758.29</v>
      </c>
      <c r="T206" t="s">
        <v>121</v>
      </c>
      <c r="U206" t="s">
        <v>26</v>
      </c>
      <c r="W206" s="3">
        <v>6550340</v>
      </c>
    </row>
    <row r="207" spans="1:23">
      <c r="A207" t="s">
        <v>53</v>
      </c>
      <c r="B207" t="s">
        <v>48</v>
      </c>
      <c r="C207" s="2">
        <v>45864</v>
      </c>
      <c r="D207" t="s">
        <v>71</v>
      </c>
      <c r="E207" t="s">
        <v>72</v>
      </c>
      <c r="F207" t="s">
        <v>251</v>
      </c>
      <c r="G207" t="s">
        <v>131</v>
      </c>
      <c r="I207" t="s">
        <v>252</v>
      </c>
      <c r="J207" s="2">
        <v>44652</v>
      </c>
      <c r="K207">
        <v>5.71</v>
      </c>
      <c r="L207">
        <v>5.71</v>
      </c>
      <c r="M207" s="2">
        <v>48106</v>
      </c>
      <c r="N207">
        <v>94</v>
      </c>
      <c r="O207">
        <v>118900.59</v>
      </c>
      <c r="Q207">
        <v>0</v>
      </c>
      <c r="R207">
        <v>0</v>
      </c>
      <c r="S207">
        <v>118900.59</v>
      </c>
      <c r="T207" t="s">
        <v>121</v>
      </c>
      <c r="U207" t="s">
        <v>26</v>
      </c>
      <c r="W207" s="3">
        <v>20886594</v>
      </c>
    </row>
    <row r="208" spans="1:23">
      <c r="A208" t="s">
        <v>51</v>
      </c>
      <c r="B208" t="s">
        <v>52</v>
      </c>
      <c r="C208" s="2">
        <v>45864</v>
      </c>
      <c r="D208" t="s">
        <v>71</v>
      </c>
      <c r="E208" t="s">
        <v>72</v>
      </c>
      <c r="F208" t="s">
        <v>253</v>
      </c>
      <c r="G208" t="s">
        <v>131</v>
      </c>
      <c r="I208" t="s">
        <v>254</v>
      </c>
      <c r="J208" s="2">
        <v>44523</v>
      </c>
      <c r="K208">
        <v>6.98</v>
      </c>
      <c r="L208">
        <v>6.9848999999999997</v>
      </c>
      <c r="M208" s="2">
        <v>46310</v>
      </c>
      <c r="N208">
        <v>59</v>
      </c>
      <c r="O208">
        <v>72951.73</v>
      </c>
      <c r="Q208">
        <v>0</v>
      </c>
      <c r="R208">
        <v>0</v>
      </c>
      <c r="S208">
        <v>72951.73</v>
      </c>
      <c r="T208" t="s">
        <v>121</v>
      </c>
      <c r="U208" t="s">
        <v>26</v>
      </c>
      <c r="W208" s="3">
        <v>33268811</v>
      </c>
    </row>
    <row r="209" spans="1:23">
      <c r="A209" t="s">
        <v>60</v>
      </c>
      <c r="B209" t="s">
        <v>61</v>
      </c>
      <c r="C209" s="2">
        <v>45864</v>
      </c>
      <c r="D209" t="s">
        <v>71</v>
      </c>
      <c r="E209" t="s">
        <v>72</v>
      </c>
      <c r="F209" t="s">
        <v>253</v>
      </c>
      <c r="G209" t="s">
        <v>131</v>
      </c>
      <c r="I209" t="s">
        <v>254</v>
      </c>
      <c r="J209" s="2">
        <v>44523</v>
      </c>
      <c r="K209">
        <v>6.98</v>
      </c>
      <c r="L209">
        <v>6.9848999999999997</v>
      </c>
      <c r="M209" s="2">
        <v>46310</v>
      </c>
      <c r="N209">
        <v>68</v>
      </c>
      <c r="O209">
        <v>84079.96</v>
      </c>
      <c r="Q209">
        <v>0</v>
      </c>
      <c r="R209">
        <v>0</v>
      </c>
      <c r="S209">
        <v>84079.96</v>
      </c>
      <c r="T209" t="s">
        <v>121</v>
      </c>
      <c r="U209" t="s">
        <v>26</v>
      </c>
      <c r="W209" s="3">
        <v>3151806</v>
      </c>
    </row>
    <row r="210" spans="1:23">
      <c r="A210" t="s">
        <v>60</v>
      </c>
      <c r="B210" t="s">
        <v>61</v>
      </c>
      <c r="C210" s="2">
        <v>45864</v>
      </c>
      <c r="D210" t="s">
        <v>71</v>
      </c>
      <c r="E210" t="s">
        <v>72</v>
      </c>
      <c r="F210" t="s">
        <v>255</v>
      </c>
      <c r="G210" t="s">
        <v>256</v>
      </c>
      <c r="I210" t="s">
        <v>257</v>
      </c>
      <c r="J210" s="2">
        <v>44412</v>
      </c>
      <c r="K210">
        <v>4.6100000000000003</v>
      </c>
      <c r="L210">
        <v>4.6196999999999999</v>
      </c>
      <c r="M210" s="2">
        <v>46949</v>
      </c>
      <c r="N210">
        <v>154</v>
      </c>
      <c r="O210">
        <v>195532.37</v>
      </c>
      <c r="Q210">
        <v>0</v>
      </c>
      <c r="R210">
        <v>0</v>
      </c>
      <c r="S210">
        <v>195532.37</v>
      </c>
      <c r="T210" t="s">
        <v>121</v>
      </c>
      <c r="U210" t="s">
        <v>26</v>
      </c>
      <c r="W210" s="3">
        <v>15734980</v>
      </c>
    </row>
    <row r="211" spans="1:23">
      <c r="A211" t="s">
        <v>53</v>
      </c>
      <c r="B211" t="s">
        <v>48</v>
      </c>
      <c r="C211" s="2">
        <v>45864</v>
      </c>
      <c r="D211" t="s">
        <v>71</v>
      </c>
      <c r="E211" t="s">
        <v>72</v>
      </c>
      <c r="F211" t="s">
        <v>255</v>
      </c>
      <c r="G211" t="s">
        <v>256</v>
      </c>
      <c r="I211" t="s">
        <v>257</v>
      </c>
      <c r="J211" s="2">
        <v>45393</v>
      </c>
      <c r="K211">
        <v>6.37</v>
      </c>
      <c r="L211">
        <v>6.37</v>
      </c>
      <c r="M211" s="2">
        <v>46949</v>
      </c>
      <c r="N211">
        <v>180</v>
      </c>
      <c r="O211">
        <v>218779.02</v>
      </c>
      <c r="Q211">
        <v>0</v>
      </c>
      <c r="R211">
        <v>0</v>
      </c>
      <c r="S211">
        <v>218779.02</v>
      </c>
      <c r="T211" t="s">
        <v>121</v>
      </c>
      <c r="U211" t="s">
        <v>26</v>
      </c>
      <c r="W211" s="3">
        <v>28521814</v>
      </c>
    </row>
    <row r="212" spans="1:23">
      <c r="A212" t="s">
        <v>60</v>
      </c>
      <c r="B212" t="s">
        <v>61</v>
      </c>
      <c r="C212" s="2">
        <v>45864</v>
      </c>
      <c r="D212" t="s">
        <v>71</v>
      </c>
      <c r="E212" t="s">
        <v>72</v>
      </c>
      <c r="F212" t="s">
        <v>258</v>
      </c>
      <c r="G212" t="s">
        <v>256</v>
      </c>
      <c r="I212" t="s">
        <v>259</v>
      </c>
      <c r="J212" s="2">
        <v>45412</v>
      </c>
      <c r="K212">
        <v>0</v>
      </c>
      <c r="L212">
        <v>99.95</v>
      </c>
      <c r="M212" s="2">
        <v>47224</v>
      </c>
      <c r="N212">
        <v>68</v>
      </c>
      <c r="O212">
        <v>71865.55</v>
      </c>
      <c r="Q212">
        <v>0</v>
      </c>
      <c r="R212">
        <v>0</v>
      </c>
      <c r="S212">
        <v>71865.55</v>
      </c>
      <c r="T212" t="s">
        <v>76</v>
      </c>
      <c r="U212" t="s">
        <v>26</v>
      </c>
      <c r="W212" s="3">
        <v>39307183</v>
      </c>
    </row>
    <row r="213" spans="1:23">
      <c r="A213" t="s">
        <v>58</v>
      </c>
      <c r="B213" t="s">
        <v>59</v>
      </c>
      <c r="C213" s="2">
        <v>45864</v>
      </c>
      <c r="D213" t="s">
        <v>71</v>
      </c>
      <c r="E213" t="s">
        <v>72</v>
      </c>
      <c r="F213" t="s">
        <v>260</v>
      </c>
      <c r="G213" t="s">
        <v>256</v>
      </c>
      <c r="I213" t="s">
        <v>259</v>
      </c>
      <c r="J213" s="2">
        <v>45399</v>
      </c>
      <c r="K213">
        <v>0.55000000000000004</v>
      </c>
      <c r="L213">
        <v>0.55000000000000004</v>
      </c>
      <c r="M213" s="2">
        <v>47224</v>
      </c>
      <c r="N213">
        <v>82</v>
      </c>
      <c r="O213">
        <v>85248.95</v>
      </c>
      <c r="Q213">
        <v>0</v>
      </c>
      <c r="R213">
        <v>0</v>
      </c>
      <c r="S213">
        <v>85248.95</v>
      </c>
      <c r="T213" t="s">
        <v>76</v>
      </c>
      <c r="U213" t="s">
        <v>26</v>
      </c>
      <c r="W213" s="3">
        <v>42249148</v>
      </c>
    </row>
    <row r="214" spans="1:23">
      <c r="A214" t="s">
        <v>58</v>
      </c>
      <c r="B214" t="s">
        <v>59</v>
      </c>
      <c r="C214" s="2">
        <v>45864</v>
      </c>
      <c r="D214" t="s">
        <v>71</v>
      </c>
      <c r="E214" t="s">
        <v>72</v>
      </c>
      <c r="F214" t="s">
        <v>258</v>
      </c>
      <c r="G214" t="s">
        <v>256</v>
      </c>
      <c r="I214" t="s">
        <v>259</v>
      </c>
      <c r="J214" s="2">
        <v>45581</v>
      </c>
      <c r="K214">
        <v>0</v>
      </c>
      <c r="L214">
        <v>102</v>
      </c>
      <c r="M214" s="2">
        <v>47224</v>
      </c>
      <c r="N214">
        <v>113</v>
      </c>
      <c r="O214">
        <v>118754.13</v>
      </c>
      <c r="Q214">
        <v>0</v>
      </c>
      <c r="R214">
        <v>0</v>
      </c>
      <c r="S214">
        <v>118754.13</v>
      </c>
      <c r="T214" t="s">
        <v>76</v>
      </c>
      <c r="U214" t="s">
        <v>26</v>
      </c>
      <c r="W214" s="3">
        <v>18389919</v>
      </c>
    </row>
    <row r="215" spans="1:23">
      <c r="A215" t="s">
        <v>66</v>
      </c>
      <c r="B215" t="s">
        <v>67</v>
      </c>
      <c r="C215" s="2">
        <v>45864</v>
      </c>
      <c r="D215" t="s">
        <v>71</v>
      </c>
      <c r="E215" t="s">
        <v>72</v>
      </c>
      <c r="F215" t="s">
        <v>258</v>
      </c>
      <c r="G215" t="s">
        <v>256</v>
      </c>
      <c r="I215" t="s">
        <v>259</v>
      </c>
      <c r="J215" s="2">
        <v>45581</v>
      </c>
      <c r="K215">
        <v>0</v>
      </c>
      <c r="L215">
        <v>102</v>
      </c>
      <c r="M215" s="2">
        <v>47224</v>
      </c>
      <c r="N215">
        <v>148</v>
      </c>
      <c r="O215">
        <v>155536.38</v>
      </c>
      <c r="Q215">
        <v>0</v>
      </c>
      <c r="R215">
        <v>0</v>
      </c>
      <c r="S215">
        <v>155536.38</v>
      </c>
      <c r="T215" t="s">
        <v>76</v>
      </c>
      <c r="U215" t="s">
        <v>26</v>
      </c>
      <c r="W215" s="3">
        <v>26143300</v>
      </c>
    </row>
    <row r="216" spans="1:23">
      <c r="A216" t="s">
        <v>54</v>
      </c>
      <c r="B216" t="s">
        <v>55</v>
      </c>
      <c r="C216" s="2">
        <v>45864</v>
      </c>
      <c r="D216" t="s">
        <v>71</v>
      </c>
      <c r="E216" t="s">
        <v>72</v>
      </c>
      <c r="F216" t="s">
        <v>258</v>
      </c>
      <c r="G216" t="s">
        <v>256</v>
      </c>
      <c r="I216" t="s">
        <v>259</v>
      </c>
      <c r="J216" s="2">
        <v>45625</v>
      </c>
      <c r="K216">
        <v>0</v>
      </c>
      <c r="L216">
        <v>102</v>
      </c>
      <c r="M216" s="2">
        <v>47224</v>
      </c>
      <c r="N216">
        <v>160</v>
      </c>
      <c r="O216">
        <v>168221.05</v>
      </c>
      <c r="Q216">
        <v>0</v>
      </c>
      <c r="R216">
        <v>0</v>
      </c>
      <c r="S216">
        <v>168221.05</v>
      </c>
      <c r="T216" t="s">
        <v>76</v>
      </c>
      <c r="U216" t="s">
        <v>26</v>
      </c>
      <c r="W216" s="3">
        <v>41757671</v>
      </c>
    </row>
    <row r="217" spans="1:23">
      <c r="A217" t="s">
        <v>31</v>
      </c>
      <c r="B217" t="s">
        <v>32</v>
      </c>
      <c r="C217" s="2">
        <v>45864</v>
      </c>
      <c r="D217" t="s">
        <v>71</v>
      </c>
      <c r="E217" t="s">
        <v>72</v>
      </c>
      <c r="F217" t="s">
        <v>258</v>
      </c>
      <c r="G217" t="s">
        <v>256</v>
      </c>
      <c r="I217" t="s">
        <v>259</v>
      </c>
      <c r="J217" s="2">
        <v>45581</v>
      </c>
      <c r="K217">
        <v>0</v>
      </c>
      <c r="L217">
        <v>102</v>
      </c>
      <c r="M217" s="2">
        <v>47224</v>
      </c>
      <c r="N217">
        <v>246</v>
      </c>
      <c r="O217">
        <v>258526.7</v>
      </c>
      <c r="Q217">
        <v>0</v>
      </c>
      <c r="R217">
        <v>0</v>
      </c>
      <c r="S217">
        <v>258526.7</v>
      </c>
      <c r="T217" t="s">
        <v>76</v>
      </c>
      <c r="U217" t="s">
        <v>26</v>
      </c>
      <c r="W217" s="3">
        <v>47557015</v>
      </c>
    </row>
    <row r="218" spans="1:23">
      <c r="A218" t="s">
        <v>43</v>
      </c>
      <c r="B218" t="s">
        <v>44</v>
      </c>
      <c r="C218" s="2">
        <v>45864</v>
      </c>
      <c r="D218" t="s">
        <v>71</v>
      </c>
      <c r="E218" t="s">
        <v>72</v>
      </c>
      <c r="F218" t="s">
        <v>261</v>
      </c>
      <c r="G218" t="s">
        <v>256</v>
      </c>
      <c r="I218" t="s">
        <v>259</v>
      </c>
      <c r="J218" s="2">
        <v>45399</v>
      </c>
      <c r="K218">
        <v>11.66</v>
      </c>
      <c r="L218">
        <v>11.6686</v>
      </c>
      <c r="M218" s="2">
        <v>47953</v>
      </c>
      <c r="N218">
        <v>500</v>
      </c>
      <c r="O218">
        <v>474764.21</v>
      </c>
      <c r="Q218">
        <v>0</v>
      </c>
      <c r="R218">
        <v>0</v>
      </c>
      <c r="S218">
        <v>474764.21</v>
      </c>
      <c r="T218" t="s">
        <v>94</v>
      </c>
      <c r="U218" t="s">
        <v>26</v>
      </c>
      <c r="W218" s="3">
        <v>51599208</v>
      </c>
    </row>
    <row r="219" spans="1:23">
      <c r="A219" t="s">
        <v>60</v>
      </c>
      <c r="B219" t="s">
        <v>61</v>
      </c>
      <c r="C219" s="2">
        <v>45864</v>
      </c>
      <c r="D219" t="s">
        <v>71</v>
      </c>
      <c r="E219" t="s">
        <v>72</v>
      </c>
      <c r="F219" t="s">
        <v>262</v>
      </c>
      <c r="G219" t="s">
        <v>256</v>
      </c>
      <c r="I219" t="s">
        <v>263</v>
      </c>
      <c r="J219" s="2">
        <v>44495</v>
      </c>
      <c r="K219">
        <v>5.15</v>
      </c>
      <c r="L219">
        <v>5.15</v>
      </c>
      <c r="M219" s="2">
        <v>47042</v>
      </c>
      <c r="N219">
        <v>100</v>
      </c>
      <c r="O219">
        <v>124340.99</v>
      </c>
      <c r="Q219">
        <v>0</v>
      </c>
      <c r="R219">
        <v>0</v>
      </c>
      <c r="S219">
        <v>124340.99</v>
      </c>
      <c r="T219" t="s">
        <v>121</v>
      </c>
      <c r="U219" t="s">
        <v>26</v>
      </c>
      <c r="W219" s="3">
        <v>14078254</v>
      </c>
    </row>
    <row r="220" spans="1:23">
      <c r="A220" t="s">
        <v>53</v>
      </c>
      <c r="B220" t="s">
        <v>48</v>
      </c>
      <c r="C220" s="2">
        <v>45864</v>
      </c>
      <c r="D220" t="s">
        <v>71</v>
      </c>
      <c r="E220" t="s">
        <v>72</v>
      </c>
      <c r="F220" t="s">
        <v>264</v>
      </c>
      <c r="G220" t="s">
        <v>256</v>
      </c>
      <c r="I220" t="s">
        <v>263</v>
      </c>
      <c r="J220" s="2">
        <v>44585</v>
      </c>
      <c r="K220">
        <v>5.83</v>
      </c>
      <c r="L220">
        <v>5.83</v>
      </c>
      <c r="M220" s="2">
        <v>48136</v>
      </c>
      <c r="N220">
        <v>119</v>
      </c>
      <c r="O220">
        <v>143353.19</v>
      </c>
      <c r="Q220">
        <v>0</v>
      </c>
      <c r="R220">
        <v>0</v>
      </c>
      <c r="S220">
        <v>143353.19</v>
      </c>
      <c r="T220" t="s">
        <v>121</v>
      </c>
      <c r="U220" t="s">
        <v>26</v>
      </c>
      <c r="W220" s="3">
        <v>29327459</v>
      </c>
    </row>
    <row r="221" spans="1:23">
      <c r="A221" t="s">
        <v>51</v>
      </c>
      <c r="B221" t="s">
        <v>52</v>
      </c>
      <c r="C221" s="2">
        <v>45864</v>
      </c>
      <c r="D221" t="s">
        <v>71</v>
      </c>
      <c r="E221" t="s">
        <v>72</v>
      </c>
      <c r="F221" t="s">
        <v>265</v>
      </c>
      <c r="G221" t="s">
        <v>256</v>
      </c>
      <c r="I221" t="s">
        <v>266</v>
      </c>
      <c r="J221" s="2">
        <v>44917</v>
      </c>
      <c r="K221">
        <v>0</v>
      </c>
      <c r="L221">
        <v>104</v>
      </c>
      <c r="M221" s="2">
        <v>46402</v>
      </c>
      <c r="N221">
        <v>22</v>
      </c>
      <c r="O221">
        <v>22101.11</v>
      </c>
      <c r="Q221">
        <v>0</v>
      </c>
      <c r="R221">
        <v>0</v>
      </c>
      <c r="S221">
        <v>22101.11</v>
      </c>
      <c r="T221" t="s">
        <v>76</v>
      </c>
      <c r="U221" t="s">
        <v>26</v>
      </c>
      <c r="W221" s="3">
        <v>16620740</v>
      </c>
    </row>
    <row r="222" spans="1:23">
      <c r="A222" t="s">
        <v>31</v>
      </c>
      <c r="B222" t="s">
        <v>32</v>
      </c>
      <c r="C222" s="2">
        <v>45864</v>
      </c>
      <c r="D222" t="s">
        <v>71</v>
      </c>
      <c r="E222" t="s">
        <v>72</v>
      </c>
      <c r="F222" t="s">
        <v>265</v>
      </c>
      <c r="G222" t="s">
        <v>256</v>
      </c>
      <c r="I222" t="s">
        <v>266</v>
      </c>
      <c r="J222" s="2">
        <v>44917</v>
      </c>
      <c r="K222">
        <v>0</v>
      </c>
      <c r="L222">
        <v>104</v>
      </c>
      <c r="M222" s="2">
        <v>46402</v>
      </c>
      <c r="N222">
        <v>54</v>
      </c>
      <c r="O222">
        <v>54248.18</v>
      </c>
      <c r="Q222">
        <v>0</v>
      </c>
      <c r="R222">
        <v>0</v>
      </c>
      <c r="S222">
        <v>54248.18</v>
      </c>
      <c r="T222" t="s">
        <v>76</v>
      </c>
      <c r="U222" t="s">
        <v>26</v>
      </c>
      <c r="W222" s="3">
        <v>73309238</v>
      </c>
    </row>
    <row r="223" spans="1:23">
      <c r="A223" t="s">
        <v>43</v>
      </c>
      <c r="B223" t="s">
        <v>44</v>
      </c>
      <c r="C223" s="2">
        <v>45864</v>
      </c>
      <c r="D223" t="s">
        <v>71</v>
      </c>
      <c r="E223" t="s">
        <v>72</v>
      </c>
      <c r="F223" t="s">
        <v>265</v>
      </c>
      <c r="G223" t="s">
        <v>256</v>
      </c>
      <c r="I223" t="s">
        <v>266</v>
      </c>
      <c r="J223" s="2">
        <v>44917</v>
      </c>
      <c r="K223">
        <v>0</v>
      </c>
      <c r="L223">
        <v>104</v>
      </c>
      <c r="M223" s="2">
        <v>46402</v>
      </c>
      <c r="N223">
        <v>97</v>
      </c>
      <c r="O223">
        <v>98493.26</v>
      </c>
      <c r="P223" s="4"/>
      <c r="Q223">
        <v>0</v>
      </c>
      <c r="R223">
        <v>0</v>
      </c>
      <c r="S223">
        <v>98493.26</v>
      </c>
      <c r="T223" t="s">
        <v>76</v>
      </c>
      <c r="U223" t="s">
        <v>26</v>
      </c>
      <c r="W223" s="3">
        <v>76164345</v>
      </c>
    </row>
    <row r="224" spans="1:23">
      <c r="A224" t="s">
        <v>43</v>
      </c>
      <c r="B224" t="s">
        <v>44</v>
      </c>
      <c r="C224" s="2">
        <v>45864</v>
      </c>
      <c r="D224" t="s">
        <v>71</v>
      </c>
      <c r="E224" t="s">
        <v>72</v>
      </c>
      <c r="F224" t="s">
        <v>265</v>
      </c>
      <c r="G224" t="s">
        <v>256</v>
      </c>
      <c r="I224" t="s">
        <v>266</v>
      </c>
      <c r="J224" s="2">
        <v>45751</v>
      </c>
      <c r="K224">
        <v>0</v>
      </c>
      <c r="L224">
        <v>95.9</v>
      </c>
      <c r="M224" s="2">
        <v>46402</v>
      </c>
      <c r="N224">
        <v>156</v>
      </c>
      <c r="O224">
        <v>158401.54</v>
      </c>
      <c r="Q224">
        <v>0</v>
      </c>
      <c r="R224">
        <v>0</v>
      </c>
      <c r="S224">
        <v>158401.54</v>
      </c>
      <c r="T224" t="s">
        <v>76</v>
      </c>
      <c r="U224" t="s">
        <v>26</v>
      </c>
      <c r="W224" s="3">
        <v>83431467</v>
      </c>
    </row>
    <row r="225" spans="1:23">
      <c r="A225" t="s">
        <v>53</v>
      </c>
      <c r="B225" t="s">
        <v>48</v>
      </c>
      <c r="C225" s="2">
        <v>45864</v>
      </c>
      <c r="D225" t="s">
        <v>71</v>
      </c>
      <c r="E225" t="s">
        <v>72</v>
      </c>
      <c r="F225" t="s">
        <v>265</v>
      </c>
      <c r="G225" t="s">
        <v>256</v>
      </c>
      <c r="I225" t="s">
        <v>266</v>
      </c>
      <c r="J225" s="2">
        <v>45296</v>
      </c>
      <c r="K225">
        <v>0</v>
      </c>
      <c r="L225">
        <v>99</v>
      </c>
      <c r="M225" s="2">
        <v>46402</v>
      </c>
      <c r="N225">
        <v>239</v>
      </c>
      <c r="O225">
        <v>241492.55</v>
      </c>
      <c r="Q225">
        <v>0</v>
      </c>
      <c r="R225">
        <v>0</v>
      </c>
      <c r="S225">
        <v>241492.55</v>
      </c>
      <c r="T225" t="s">
        <v>76</v>
      </c>
      <c r="U225" t="s">
        <v>26</v>
      </c>
      <c r="W225" s="3">
        <v>36705323</v>
      </c>
    </row>
    <row r="226" spans="1:23">
      <c r="A226" t="s">
        <v>43</v>
      </c>
      <c r="B226" t="s">
        <v>44</v>
      </c>
      <c r="C226" s="2">
        <v>45864</v>
      </c>
      <c r="D226" t="s">
        <v>71</v>
      </c>
      <c r="E226" t="s">
        <v>72</v>
      </c>
      <c r="F226" t="s">
        <v>265</v>
      </c>
      <c r="G226" t="s">
        <v>256</v>
      </c>
      <c r="I226" t="s">
        <v>266</v>
      </c>
      <c r="J226" s="2">
        <v>45681</v>
      </c>
      <c r="K226">
        <v>0</v>
      </c>
      <c r="L226">
        <v>96.9</v>
      </c>
      <c r="M226" s="2">
        <v>46402</v>
      </c>
      <c r="N226">
        <v>241</v>
      </c>
      <c r="O226">
        <v>244710.08</v>
      </c>
      <c r="Q226">
        <v>0</v>
      </c>
      <c r="R226">
        <v>0</v>
      </c>
      <c r="S226">
        <v>244710.08</v>
      </c>
      <c r="T226" t="s">
        <v>76</v>
      </c>
      <c r="U226" t="s">
        <v>26</v>
      </c>
      <c r="W226" s="3">
        <v>76026931</v>
      </c>
    </row>
    <row r="227" spans="1:23">
      <c r="A227" t="s">
        <v>43</v>
      </c>
      <c r="B227" t="s">
        <v>44</v>
      </c>
      <c r="C227" s="2">
        <v>45864</v>
      </c>
      <c r="D227" t="s">
        <v>71</v>
      </c>
      <c r="E227" t="s">
        <v>72</v>
      </c>
      <c r="F227" t="s">
        <v>267</v>
      </c>
      <c r="G227" t="s">
        <v>256</v>
      </c>
      <c r="I227" t="s">
        <v>266</v>
      </c>
      <c r="J227" s="2">
        <v>44917</v>
      </c>
      <c r="K227">
        <v>12.99</v>
      </c>
      <c r="L227">
        <v>12.99</v>
      </c>
      <c r="M227" s="2">
        <v>46769</v>
      </c>
      <c r="N227">
        <v>42</v>
      </c>
      <c r="O227">
        <v>56794.33</v>
      </c>
      <c r="Q227">
        <v>0</v>
      </c>
      <c r="R227">
        <v>0</v>
      </c>
      <c r="S227">
        <v>56794.33</v>
      </c>
      <c r="T227" t="s">
        <v>94</v>
      </c>
      <c r="U227" t="s">
        <v>26</v>
      </c>
      <c r="W227" s="3">
        <v>76605983</v>
      </c>
    </row>
    <row r="228" spans="1:23">
      <c r="A228" t="s">
        <v>62</v>
      </c>
      <c r="B228" t="s">
        <v>63</v>
      </c>
      <c r="C228" s="2">
        <v>45864</v>
      </c>
      <c r="D228" t="s">
        <v>71</v>
      </c>
      <c r="E228" t="s">
        <v>72</v>
      </c>
      <c r="F228" t="s">
        <v>268</v>
      </c>
      <c r="G228" t="s">
        <v>256</v>
      </c>
      <c r="I228" t="s">
        <v>269</v>
      </c>
      <c r="J228" s="2">
        <v>45665</v>
      </c>
      <c r="K228">
        <v>1.1399999999999999</v>
      </c>
      <c r="L228">
        <v>1.1399999999999999</v>
      </c>
      <c r="M228" s="2">
        <v>46587</v>
      </c>
      <c r="N228">
        <v>40</v>
      </c>
      <c r="O228">
        <v>39951.230000000003</v>
      </c>
      <c r="Q228">
        <v>0</v>
      </c>
      <c r="R228">
        <v>0</v>
      </c>
      <c r="S228">
        <v>39951.230000000003</v>
      </c>
      <c r="T228" t="s">
        <v>76</v>
      </c>
      <c r="U228" t="s">
        <v>26</v>
      </c>
      <c r="W228" s="3">
        <v>75218601</v>
      </c>
    </row>
    <row r="229" spans="1:23">
      <c r="A229" t="s">
        <v>58</v>
      </c>
      <c r="B229" t="s">
        <v>59</v>
      </c>
      <c r="C229" s="2">
        <v>45864</v>
      </c>
      <c r="D229" t="s">
        <v>71</v>
      </c>
      <c r="E229" t="s">
        <v>72</v>
      </c>
      <c r="F229" t="s">
        <v>268</v>
      </c>
      <c r="G229" t="s">
        <v>256</v>
      </c>
      <c r="I229" t="s">
        <v>269</v>
      </c>
      <c r="J229" s="2">
        <v>45665</v>
      </c>
      <c r="K229">
        <v>1.1399999999999999</v>
      </c>
      <c r="L229">
        <v>1.1399999999999999</v>
      </c>
      <c r="M229" s="2">
        <v>46587</v>
      </c>
      <c r="N229">
        <v>100</v>
      </c>
      <c r="O229">
        <v>99878.09</v>
      </c>
      <c r="Q229">
        <v>0</v>
      </c>
      <c r="R229">
        <v>0</v>
      </c>
      <c r="S229">
        <v>99878.09</v>
      </c>
      <c r="T229" t="s">
        <v>76</v>
      </c>
      <c r="U229" t="s">
        <v>26</v>
      </c>
      <c r="W229" s="3">
        <v>44789332</v>
      </c>
    </row>
    <row r="230" spans="1:23">
      <c r="A230" t="s">
        <v>31</v>
      </c>
      <c r="B230" t="s">
        <v>32</v>
      </c>
      <c r="C230" s="2">
        <v>45864</v>
      </c>
      <c r="D230" t="s">
        <v>71</v>
      </c>
      <c r="E230" t="s">
        <v>72</v>
      </c>
      <c r="F230" t="s">
        <v>268</v>
      </c>
      <c r="G230" t="s">
        <v>256</v>
      </c>
      <c r="I230" t="s">
        <v>269</v>
      </c>
      <c r="J230" s="2">
        <v>45665</v>
      </c>
      <c r="K230">
        <v>1.1399999999999999</v>
      </c>
      <c r="L230">
        <v>1.1399999999999999</v>
      </c>
      <c r="M230" s="2">
        <v>46587</v>
      </c>
      <c r="N230">
        <v>210</v>
      </c>
      <c r="O230">
        <v>209743.99</v>
      </c>
      <c r="Q230">
        <v>0</v>
      </c>
      <c r="R230">
        <v>0</v>
      </c>
      <c r="S230">
        <v>209743.99</v>
      </c>
      <c r="T230" t="s">
        <v>76</v>
      </c>
      <c r="U230" t="s">
        <v>26</v>
      </c>
      <c r="W230" s="3">
        <v>59680554</v>
      </c>
    </row>
    <row r="231" spans="1:23">
      <c r="A231" t="s">
        <v>58</v>
      </c>
      <c r="B231" t="s">
        <v>59</v>
      </c>
      <c r="C231" s="2">
        <v>45864</v>
      </c>
      <c r="D231" t="s">
        <v>71</v>
      </c>
      <c r="E231" t="s">
        <v>72</v>
      </c>
      <c r="F231" t="s">
        <v>270</v>
      </c>
      <c r="G231" t="s">
        <v>256</v>
      </c>
      <c r="I231" t="s">
        <v>271</v>
      </c>
      <c r="J231" s="2">
        <v>45671</v>
      </c>
      <c r="K231">
        <v>0</v>
      </c>
      <c r="L231">
        <v>96.5</v>
      </c>
      <c r="M231" s="2">
        <v>46980</v>
      </c>
      <c r="N231">
        <v>237</v>
      </c>
      <c r="O231">
        <v>252932.12</v>
      </c>
      <c r="Q231">
        <v>0</v>
      </c>
      <c r="R231">
        <v>0</v>
      </c>
      <c r="S231">
        <v>252932.12</v>
      </c>
      <c r="T231" t="s">
        <v>76</v>
      </c>
      <c r="U231" t="s">
        <v>26</v>
      </c>
      <c r="W231" s="3">
        <v>27417059</v>
      </c>
    </row>
    <row r="232" spans="1:23">
      <c r="A232" t="s">
        <v>62</v>
      </c>
      <c r="B232" t="s">
        <v>63</v>
      </c>
      <c r="C232" s="2">
        <v>45864</v>
      </c>
      <c r="D232" t="s">
        <v>71</v>
      </c>
      <c r="E232" t="s">
        <v>72</v>
      </c>
      <c r="F232" t="s">
        <v>270</v>
      </c>
      <c r="G232" t="s">
        <v>256</v>
      </c>
      <c r="I232" t="s">
        <v>271</v>
      </c>
      <c r="J232" s="2">
        <v>45671</v>
      </c>
      <c r="K232">
        <v>0</v>
      </c>
      <c r="L232">
        <v>96.5</v>
      </c>
      <c r="M232" s="2">
        <v>46980</v>
      </c>
      <c r="N232">
        <v>237</v>
      </c>
      <c r="O232">
        <v>252932.12</v>
      </c>
      <c r="Q232">
        <v>0</v>
      </c>
      <c r="R232">
        <v>0</v>
      </c>
      <c r="S232">
        <v>252932.12</v>
      </c>
      <c r="T232" t="s">
        <v>76</v>
      </c>
      <c r="U232" t="s">
        <v>26</v>
      </c>
      <c r="W232" s="3">
        <v>72751840</v>
      </c>
    </row>
    <row r="233" spans="1:23">
      <c r="A233" t="s">
        <v>43</v>
      </c>
      <c r="B233" t="s">
        <v>44</v>
      </c>
      <c r="C233" s="2">
        <v>45864</v>
      </c>
      <c r="D233" t="s">
        <v>71</v>
      </c>
      <c r="E233" t="s">
        <v>72</v>
      </c>
      <c r="F233" t="s">
        <v>272</v>
      </c>
      <c r="G233" t="s">
        <v>256</v>
      </c>
      <c r="I233" t="s">
        <v>273</v>
      </c>
      <c r="J233" s="2">
        <v>45154</v>
      </c>
      <c r="K233">
        <v>1.4</v>
      </c>
      <c r="L233">
        <v>1.4</v>
      </c>
      <c r="M233" s="2">
        <v>46745</v>
      </c>
      <c r="N233">
        <v>241</v>
      </c>
      <c r="O233">
        <v>241631.25</v>
      </c>
      <c r="Q233">
        <v>0</v>
      </c>
      <c r="R233">
        <v>0</v>
      </c>
      <c r="S233">
        <v>241631.25</v>
      </c>
      <c r="T233" t="s">
        <v>76</v>
      </c>
      <c r="U233" t="s">
        <v>26</v>
      </c>
      <c r="W233" s="3">
        <v>77640761</v>
      </c>
    </row>
    <row r="234" spans="1:23">
      <c r="A234" t="s">
        <v>60</v>
      </c>
      <c r="B234" t="s">
        <v>61</v>
      </c>
      <c r="C234" s="2">
        <v>45864</v>
      </c>
      <c r="D234" t="s">
        <v>71</v>
      </c>
      <c r="E234" t="s">
        <v>72</v>
      </c>
      <c r="F234" t="s">
        <v>274</v>
      </c>
      <c r="G234" t="s">
        <v>256</v>
      </c>
      <c r="I234" t="s">
        <v>275</v>
      </c>
      <c r="J234" s="2">
        <v>45807</v>
      </c>
      <c r="K234">
        <v>8.2100000000000009</v>
      </c>
      <c r="L234">
        <v>8.2100000000000009</v>
      </c>
      <c r="M234" s="2">
        <v>48351</v>
      </c>
      <c r="N234">
        <v>200000</v>
      </c>
      <c r="O234">
        <v>203596.52</v>
      </c>
      <c r="Q234">
        <v>0</v>
      </c>
      <c r="R234">
        <v>0</v>
      </c>
      <c r="S234">
        <v>203596.52</v>
      </c>
      <c r="T234" t="s">
        <v>121</v>
      </c>
      <c r="U234" t="s">
        <v>26</v>
      </c>
      <c r="W234" s="3">
        <v>7778138</v>
      </c>
    </row>
    <row r="235" spans="1:23">
      <c r="A235" t="s">
        <v>66</v>
      </c>
      <c r="B235" t="s">
        <v>67</v>
      </c>
      <c r="C235" s="2">
        <v>45864</v>
      </c>
      <c r="D235" t="s">
        <v>71</v>
      </c>
      <c r="E235" t="s">
        <v>72</v>
      </c>
      <c r="F235" t="s">
        <v>274</v>
      </c>
      <c r="G235" t="s">
        <v>256</v>
      </c>
      <c r="I235" t="s">
        <v>275</v>
      </c>
      <c r="J235" s="2">
        <v>45807</v>
      </c>
      <c r="K235">
        <v>8.2100000000000009</v>
      </c>
      <c r="L235">
        <v>8.2100000000000009</v>
      </c>
      <c r="M235" s="2">
        <v>48351</v>
      </c>
      <c r="N235">
        <v>350000</v>
      </c>
      <c r="O235">
        <v>356293.92</v>
      </c>
      <c r="Q235">
        <v>0</v>
      </c>
      <c r="R235">
        <v>0</v>
      </c>
      <c r="S235">
        <v>356293.92</v>
      </c>
      <c r="T235" t="s">
        <v>121</v>
      </c>
      <c r="U235" t="s">
        <v>26</v>
      </c>
      <c r="W235" s="3">
        <v>13045233</v>
      </c>
    </row>
    <row r="236" spans="1:23">
      <c r="A236" t="s">
        <v>66</v>
      </c>
      <c r="B236" t="s">
        <v>67</v>
      </c>
      <c r="C236" s="2">
        <v>45864</v>
      </c>
      <c r="D236" t="s">
        <v>71</v>
      </c>
      <c r="E236" t="s">
        <v>72</v>
      </c>
      <c r="F236" t="s">
        <v>276</v>
      </c>
      <c r="G236" t="s">
        <v>256</v>
      </c>
      <c r="I236" t="s">
        <v>277</v>
      </c>
      <c r="J236" s="2">
        <v>44957</v>
      </c>
      <c r="K236">
        <v>1.05</v>
      </c>
      <c r="L236">
        <v>1.05</v>
      </c>
      <c r="M236" s="2">
        <v>46583</v>
      </c>
      <c r="N236">
        <v>50</v>
      </c>
      <c r="O236">
        <v>50548.58</v>
      </c>
      <c r="Q236">
        <v>0</v>
      </c>
      <c r="R236">
        <v>0</v>
      </c>
      <c r="S236">
        <v>50548.58</v>
      </c>
      <c r="T236" t="s">
        <v>76</v>
      </c>
      <c r="U236" t="s">
        <v>26</v>
      </c>
      <c r="W236" s="3">
        <v>40177069</v>
      </c>
    </row>
    <row r="237" spans="1:23">
      <c r="A237" t="s">
        <v>66</v>
      </c>
      <c r="B237" t="s">
        <v>67</v>
      </c>
      <c r="C237" s="2">
        <v>45864</v>
      </c>
      <c r="D237" t="s">
        <v>71</v>
      </c>
      <c r="E237" t="s">
        <v>72</v>
      </c>
      <c r="F237" t="s">
        <v>276</v>
      </c>
      <c r="G237" t="s">
        <v>256</v>
      </c>
      <c r="I237" t="s">
        <v>277</v>
      </c>
      <c r="J237" s="2">
        <v>45111</v>
      </c>
      <c r="K237">
        <v>1.05</v>
      </c>
      <c r="L237">
        <v>1</v>
      </c>
      <c r="M237" s="2">
        <v>46583</v>
      </c>
      <c r="N237">
        <v>50</v>
      </c>
      <c r="O237">
        <v>50588.11</v>
      </c>
      <c r="P237" s="4"/>
      <c r="Q237">
        <v>0</v>
      </c>
      <c r="R237">
        <v>0</v>
      </c>
      <c r="S237">
        <v>50588.11</v>
      </c>
      <c r="T237" t="s">
        <v>76</v>
      </c>
      <c r="U237" t="s">
        <v>26</v>
      </c>
      <c r="W237" s="3">
        <v>3724380</v>
      </c>
    </row>
    <row r="238" spans="1:23">
      <c r="A238" t="s">
        <v>60</v>
      </c>
      <c r="B238" t="s">
        <v>61</v>
      </c>
      <c r="C238" s="2">
        <v>45864</v>
      </c>
      <c r="D238" t="s">
        <v>71</v>
      </c>
      <c r="E238" t="s">
        <v>72</v>
      </c>
      <c r="F238" t="s">
        <v>278</v>
      </c>
      <c r="G238" t="s">
        <v>256</v>
      </c>
      <c r="I238" t="s">
        <v>279</v>
      </c>
      <c r="J238" s="2">
        <v>45188</v>
      </c>
      <c r="K238">
        <v>1.5</v>
      </c>
      <c r="L238">
        <v>1.5</v>
      </c>
      <c r="M238" s="2">
        <v>46587</v>
      </c>
      <c r="N238">
        <v>250</v>
      </c>
      <c r="O238">
        <v>250917.03</v>
      </c>
      <c r="Q238">
        <v>0</v>
      </c>
      <c r="R238">
        <v>0</v>
      </c>
      <c r="S238">
        <v>250917.03</v>
      </c>
      <c r="T238" t="s">
        <v>76</v>
      </c>
      <c r="U238" t="s">
        <v>26</v>
      </c>
      <c r="W238" s="3">
        <v>7155363</v>
      </c>
    </row>
    <row r="239" spans="1:23">
      <c r="A239" t="s">
        <v>66</v>
      </c>
      <c r="B239" t="s">
        <v>67</v>
      </c>
      <c r="C239" s="2">
        <v>45864</v>
      </c>
      <c r="D239" t="s">
        <v>71</v>
      </c>
      <c r="E239" t="s">
        <v>72</v>
      </c>
      <c r="F239" t="s">
        <v>280</v>
      </c>
      <c r="G239" t="s">
        <v>256</v>
      </c>
      <c r="I239" t="s">
        <v>281</v>
      </c>
      <c r="J239" s="2">
        <v>45198</v>
      </c>
      <c r="K239">
        <v>1.7</v>
      </c>
      <c r="L239">
        <v>1.8</v>
      </c>
      <c r="M239" s="2">
        <v>47196</v>
      </c>
      <c r="N239">
        <v>50</v>
      </c>
      <c r="O239">
        <v>53256.7</v>
      </c>
      <c r="Q239">
        <v>0</v>
      </c>
      <c r="R239">
        <v>0</v>
      </c>
      <c r="S239">
        <v>53256.7</v>
      </c>
      <c r="T239" t="s">
        <v>76</v>
      </c>
      <c r="U239" t="s">
        <v>26</v>
      </c>
      <c r="W239" s="3">
        <v>43485989</v>
      </c>
    </row>
    <row r="240" spans="1:23">
      <c r="A240" t="s">
        <v>66</v>
      </c>
      <c r="B240" t="s">
        <v>67</v>
      </c>
      <c r="C240" s="2">
        <v>45864</v>
      </c>
      <c r="D240" t="s">
        <v>71</v>
      </c>
      <c r="E240" t="s">
        <v>72</v>
      </c>
      <c r="F240" t="s">
        <v>280</v>
      </c>
      <c r="G240" t="s">
        <v>256</v>
      </c>
      <c r="I240" t="s">
        <v>281</v>
      </c>
      <c r="J240" s="2">
        <v>45111</v>
      </c>
      <c r="K240">
        <v>1.7</v>
      </c>
      <c r="L240">
        <v>1.7</v>
      </c>
      <c r="M240" s="2">
        <v>47196</v>
      </c>
      <c r="N240">
        <v>70</v>
      </c>
      <c r="O240">
        <v>74697.42</v>
      </c>
      <c r="Q240">
        <v>0</v>
      </c>
      <c r="R240">
        <v>0</v>
      </c>
      <c r="S240">
        <v>74697.42</v>
      </c>
      <c r="T240" t="s">
        <v>76</v>
      </c>
      <c r="U240" t="s">
        <v>26</v>
      </c>
      <c r="W240" s="3">
        <v>15423695</v>
      </c>
    </row>
    <row r="241" spans="1:23">
      <c r="A241" t="s">
        <v>66</v>
      </c>
      <c r="B241" t="s">
        <v>67</v>
      </c>
      <c r="C241" s="2">
        <v>45864</v>
      </c>
      <c r="D241" t="s">
        <v>71</v>
      </c>
      <c r="E241" t="s">
        <v>72</v>
      </c>
      <c r="F241" t="s">
        <v>282</v>
      </c>
      <c r="G241" t="s">
        <v>256</v>
      </c>
      <c r="I241" t="s">
        <v>283</v>
      </c>
      <c r="J241" s="2">
        <v>45387</v>
      </c>
      <c r="K241">
        <v>6.7</v>
      </c>
      <c r="L241">
        <v>6.7</v>
      </c>
      <c r="M241" s="2">
        <v>50754</v>
      </c>
      <c r="N241">
        <v>45</v>
      </c>
      <c r="O241">
        <v>50377.49</v>
      </c>
      <c r="Q241">
        <v>0</v>
      </c>
      <c r="R241">
        <v>0</v>
      </c>
      <c r="S241">
        <v>50377.49</v>
      </c>
      <c r="T241" t="s">
        <v>121</v>
      </c>
      <c r="U241" t="s">
        <v>26</v>
      </c>
      <c r="W241" s="3">
        <v>26853564</v>
      </c>
    </row>
    <row r="242" spans="1:23">
      <c r="A242" t="s">
        <v>62</v>
      </c>
      <c r="B242" t="s">
        <v>63</v>
      </c>
      <c r="C242" s="2">
        <v>45864</v>
      </c>
      <c r="D242" t="s">
        <v>71</v>
      </c>
      <c r="E242" t="s">
        <v>72</v>
      </c>
      <c r="F242" t="s">
        <v>282</v>
      </c>
      <c r="G242" t="s">
        <v>256</v>
      </c>
      <c r="I242" t="s">
        <v>283</v>
      </c>
      <c r="J242" s="2">
        <v>45280</v>
      </c>
      <c r="K242">
        <v>7.57</v>
      </c>
      <c r="L242">
        <v>7.5701999999999998</v>
      </c>
      <c r="M242" s="2">
        <v>50754</v>
      </c>
      <c r="N242">
        <v>200</v>
      </c>
      <c r="O242">
        <v>215224.32000000001</v>
      </c>
      <c r="Q242">
        <v>0</v>
      </c>
      <c r="R242">
        <v>0</v>
      </c>
      <c r="S242">
        <v>215224.32000000001</v>
      </c>
      <c r="T242" t="s">
        <v>121</v>
      </c>
      <c r="U242" t="s">
        <v>26</v>
      </c>
      <c r="W242" s="3">
        <v>62858013</v>
      </c>
    </row>
    <row r="243" spans="1:23">
      <c r="A243" t="s">
        <v>43</v>
      </c>
      <c r="B243" t="s">
        <v>44</v>
      </c>
      <c r="C243" s="2">
        <v>45864</v>
      </c>
      <c r="D243" t="s">
        <v>71</v>
      </c>
      <c r="E243" t="s">
        <v>72</v>
      </c>
      <c r="F243" t="s">
        <v>282</v>
      </c>
      <c r="G243" t="s">
        <v>256</v>
      </c>
      <c r="I243" t="s">
        <v>283</v>
      </c>
      <c r="J243" s="2">
        <v>45302</v>
      </c>
      <c r="K243">
        <v>6.9</v>
      </c>
      <c r="L243">
        <v>6.9</v>
      </c>
      <c r="M243" s="2">
        <v>50754</v>
      </c>
      <c r="N243">
        <v>351</v>
      </c>
      <c r="O243">
        <v>352850.02</v>
      </c>
      <c r="Q243">
        <v>0</v>
      </c>
      <c r="R243">
        <v>0</v>
      </c>
      <c r="S243">
        <v>352850.02</v>
      </c>
      <c r="T243" t="s">
        <v>121</v>
      </c>
      <c r="U243" t="s">
        <v>26</v>
      </c>
      <c r="W243" s="3">
        <v>78806436</v>
      </c>
    </row>
    <row r="244" spans="1:23">
      <c r="A244" t="s">
        <v>66</v>
      </c>
      <c r="B244" t="s">
        <v>67</v>
      </c>
      <c r="C244" s="2">
        <v>45864</v>
      </c>
      <c r="D244" t="s">
        <v>71</v>
      </c>
      <c r="E244" t="s">
        <v>72</v>
      </c>
      <c r="F244" t="s">
        <v>284</v>
      </c>
      <c r="G244" t="s">
        <v>256</v>
      </c>
      <c r="I244" t="s">
        <v>285</v>
      </c>
      <c r="J244" s="2">
        <v>44894</v>
      </c>
      <c r="K244">
        <v>6.84</v>
      </c>
      <c r="L244">
        <v>6.84</v>
      </c>
      <c r="M244" s="2">
        <v>50047</v>
      </c>
      <c r="N244">
        <v>50</v>
      </c>
      <c r="O244">
        <v>53160.57</v>
      </c>
      <c r="Q244">
        <v>0</v>
      </c>
      <c r="R244">
        <v>0</v>
      </c>
      <c r="S244">
        <v>53160.57</v>
      </c>
      <c r="T244" t="s">
        <v>121</v>
      </c>
      <c r="U244" t="s">
        <v>26</v>
      </c>
      <c r="W244" s="3">
        <v>21962837</v>
      </c>
    </row>
    <row r="245" spans="1:23">
      <c r="A245" t="s">
        <v>60</v>
      </c>
      <c r="B245" t="s">
        <v>61</v>
      </c>
      <c r="C245" s="2">
        <v>45864</v>
      </c>
      <c r="D245" t="s">
        <v>71</v>
      </c>
      <c r="E245" t="s">
        <v>72</v>
      </c>
      <c r="F245" t="s">
        <v>286</v>
      </c>
      <c r="G245" t="s">
        <v>256</v>
      </c>
      <c r="I245" t="s">
        <v>287</v>
      </c>
      <c r="J245" s="2">
        <v>44551</v>
      </c>
      <c r="K245">
        <v>5.75</v>
      </c>
      <c r="L245">
        <v>5.75</v>
      </c>
      <c r="M245" s="2">
        <v>48197</v>
      </c>
      <c r="N245">
        <v>50</v>
      </c>
      <c r="O245">
        <v>60531.16</v>
      </c>
      <c r="Q245">
        <v>0</v>
      </c>
      <c r="R245">
        <v>0</v>
      </c>
      <c r="S245">
        <v>60531.16</v>
      </c>
      <c r="T245" t="s">
        <v>121</v>
      </c>
      <c r="U245" t="s">
        <v>26</v>
      </c>
      <c r="W245" s="3">
        <v>38764459</v>
      </c>
    </row>
    <row r="246" spans="1:23">
      <c r="A246" t="s">
        <v>66</v>
      </c>
      <c r="B246" t="s">
        <v>67</v>
      </c>
      <c r="C246" s="2">
        <v>45864</v>
      </c>
      <c r="D246" t="s">
        <v>71</v>
      </c>
      <c r="E246" t="s">
        <v>72</v>
      </c>
      <c r="F246" t="s">
        <v>288</v>
      </c>
      <c r="G246" t="s">
        <v>256</v>
      </c>
      <c r="I246" t="s">
        <v>289</v>
      </c>
      <c r="J246" s="2">
        <v>45205</v>
      </c>
      <c r="K246">
        <v>0.5</v>
      </c>
      <c r="L246">
        <v>0.9</v>
      </c>
      <c r="M246" s="2">
        <v>46736</v>
      </c>
      <c r="N246">
        <v>40</v>
      </c>
      <c r="O246">
        <v>40541.279999999999</v>
      </c>
      <c r="Q246">
        <v>0</v>
      </c>
      <c r="R246">
        <v>0</v>
      </c>
      <c r="S246">
        <v>40541.279999999999</v>
      </c>
      <c r="T246" t="s">
        <v>76</v>
      </c>
      <c r="U246" t="s">
        <v>26</v>
      </c>
      <c r="W246" s="3">
        <v>24486963</v>
      </c>
    </row>
    <row r="247" spans="1:23">
      <c r="A247" t="s">
        <v>66</v>
      </c>
      <c r="B247" t="s">
        <v>67</v>
      </c>
      <c r="C247" s="2">
        <v>45864</v>
      </c>
      <c r="D247" t="s">
        <v>71</v>
      </c>
      <c r="E247" t="s">
        <v>72</v>
      </c>
      <c r="F247" t="s">
        <v>288</v>
      </c>
      <c r="G247" t="s">
        <v>256</v>
      </c>
      <c r="I247" t="s">
        <v>289</v>
      </c>
      <c r="J247" s="2">
        <v>44957</v>
      </c>
      <c r="K247">
        <v>0.5</v>
      </c>
      <c r="L247">
        <v>0.5</v>
      </c>
      <c r="M247" s="2">
        <v>46736</v>
      </c>
      <c r="N247">
        <v>50</v>
      </c>
      <c r="O247">
        <v>51047.73</v>
      </c>
      <c r="Q247">
        <v>0</v>
      </c>
      <c r="R247">
        <v>0</v>
      </c>
      <c r="S247">
        <v>51047.73</v>
      </c>
      <c r="T247" t="s">
        <v>76</v>
      </c>
      <c r="U247" t="s">
        <v>26</v>
      </c>
      <c r="W247" s="3">
        <v>4818425</v>
      </c>
    </row>
    <row r="248" spans="1:23">
      <c r="A248" t="s">
        <v>66</v>
      </c>
      <c r="B248" t="s">
        <v>67</v>
      </c>
      <c r="C248" s="2">
        <v>45864</v>
      </c>
      <c r="D248" t="s">
        <v>71</v>
      </c>
      <c r="E248" t="s">
        <v>72</v>
      </c>
      <c r="F248" t="s">
        <v>290</v>
      </c>
      <c r="G248" t="s">
        <v>256</v>
      </c>
      <c r="I248" t="s">
        <v>289</v>
      </c>
      <c r="J248" s="2">
        <v>45113</v>
      </c>
      <c r="K248">
        <v>6.56</v>
      </c>
      <c r="L248">
        <v>6.56</v>
      </c>
      <c r="M248" s="2">
        <v>47469</v>
      </c>
      <c r="N248">
        <v>97</v>
      </c>
      <c r="O248">
        <v>112961.25</v>
      </c>
      <c r="Q248">
        <v>0</v>
      </c>
      <c r="R248">
        <v>0</v>
      </c>
      <c r="S248">
        <v>112961.25</v>
      </c>
      <c r="T248" t="s">
        <v>121</v>
      </c>
      <c r="U248" t="s">
        <v>26</v>
      </c>
      <c r="W248" s="3">
        <v>43217963</v>
      </c>
    </row>
    <row r="249" spans="1:23">
      <c r="A249" t="s">
        <v>43</v>
      </c>
      <c r="B249" t="s">
        <v>44</v>
      </c>
      <c r="C249" s="2">
        <v>45864</v>
      </c>
      <c r="D249" t="s">
        <v>71</v>
      </c>
      <c r="E249" t="s">
        <v>72</v>
      </c>
      <c r="F249" t="s">
        <v>290</v>
      </c>
      <c r="G249" t="s">
        <v>256</v>
      </c>
      <c r="I249" t="s">
        <v>289</v>
      </c>
      <c r="J249" s="2">
        <v>44923</v>
      </c>
      <c r="K249">
        <v>7.09</v>
      </c>
      <c r="L249">
        <v>7.0913000000000004</v>
      </c>
      <c r="M249" s="2">
        <v>47469</v>
      </c>
      <c r="N249">
        <v>200</v>
      </c>
      <c r="O249">
        <v>216559.72</v>
      </c>
      <c r="Q249">
        <v>0</v>
      </c>
      <c r="R249">
        <v>0</v>
      </c>
      <c r="S249">
        <v>216559.72</v>
      </c>
      <c r="T249" t="s">
        <v>121</v>
      </c>
      <c r="U249" t="s">
        <v>26</v>
      </c>
      <c r="W249" s="3">
        <v>48495276</v>
      </c>
    </row>
    <row r="250" spans="1:23">
      <c r="A250" t="s">
        <v>31</v>
      </c>
      <c r="B250" t="s">
        <v>32</v>
      </c>
      <c r="C250" s="2">
        <v>45864</v>
      </c>
      <c r="D250" t="s">
        <v>71</v>
      </c>
      <c r="E250" t="s">
        <v>72</v>
      </c>
      <c r="F250" t="s">
        <v>291</v>
      </c>
      <c r="G250" t="s">
        <v>256</v>
      </c>
      <c r="I250" t="s">
        <v>292</v>
      </c>
      <c r="J250" s="2">
        <v>45755</v>
      </c>
      <c r="K250">
        <v>7.95</v>
      </c>
      <c r="L250">
        <v>7.95</v>
      </c>
      <c r="M250" s="2">
        <v>47345</v>
      </c>
      <c r="N250">
        <v>128</v>
      </c>
      <c r="O250">
        <v>141818.72</v>
      </c>
      <c r="Q250">
        <v>0</v>
      </c>
      <c r="R250">
        <v>0</v>
      </c>
      <c r="S250">
        <v>141818.72</v>
      </c>
      <c r="T250" t="s">
        <v>121</v>
      </c>
      <c r="U250" t="s">
        <v>26</v>
      </c>
      <c r="W250" s="3">
        <v>56198903</v>
      </c>
    </row>
    <row r="251" spans="1:23">
      <c r="A251" t="s">
        <v>51</v>
      </c>
      <c r="B251" t="s">
        <v>52</v>
      </c>
      <c r="C251" s="2">
        <v>45864</v>
      </c>
      <c r="D251" t="s">
        <v>71</v>
      </c>
      <c r="E251" t="s">
        <v>72</v>
      </c>
      <c r="F251" t="s">
        <v>293</v>
      </c>
      <c r="G251" t="s">
        <v>256</v>
      </c>
      <c r="I251" t="s">
        <v>294</v>
      </c>
      <c r="J251" s="2">
        <v>45079</v>
      </c>
      <c r="K251">
        <v>1</v>
      </c>
      <c r="L251">
        <v>1</v>
      </c>
      <c r="M251" s="2">
        <v>45987</v>
      </c>
      <c r="N251">
        <v>196</v>
      </c>
      <c r="O251">
        <v>201539.78</v>
      </c>
      <c r="Q251">
        <v>0</v>
      </c>
      <c r="R251">
        <v>0</v>
      </c>
      <c r="S251">
        <v>201539.78</v>
      </c>
      <c r="T251" t="s">
        <v>76</v>
      </c>
      <c r="U251" t="s">
        <v>26</v>
      </c>
      <c r="W251" s="3">
        <v>36487604</v>
      </c>
    </row>
    <row r="252" spans="1:23">
      <c r="A252" t="s">
        <v>60</v>
      </c>
      <c r="B252" t="s">
        <v>61</v>
      </c>
      <c r="C252" s="2">
        <v>45864</v>
      </c>
      <c r="D252" t="s">
        <v>71</v>
      </c>
      <c r="E252" t="s">
        <v>72</v>
      </c>
      <c r="F252" t="s">
        <v>295</v>
      </c>
      <c r="G252" t="s">
        <v>256</v>
      </c>
      <c r="I252" t="s">
        <v>296</v>
      </c>
      <c r="J252" s="2">
        <v>45464</v>
      </c>
      <c r="K252">
        <v>0</v>
      </c>
      <c r="L252">
        <v>103</v>
      </c>
      <c r="M252" s="2">
        <v>48380</v>
      </c>
      <c r="N252">
        <v>150</v>
      </c>
      <c r="O252">
        <v>152396.54999999999</v>
      </c>
      <c r="Q252">
        <v>0</v>
      </c>
      <c r="R252">
        <v>0</v>
      </c>
      <c r="S252">
        <v>152396.54999999999</v>
      </c>
      <c r="T252" t="s">
        <v>76</v>
      </c>
      <c r="U252" t="s">
        <v>26</v>
      </c>
      <c r="W252" s="3">
        <v>28693411</v>
      </c>
    </row>
    <row r="253" spans="1:23">
      <c r="A253" t="s">
        <v>43</v>
      </c>
      <c r="B253" t="s">
        <v>44</v>
      </c>
      <c r="C253" s="2">
        <v>45864</v>
      </c>
      <c r="D253" t="s">
        <v>71</v>
      </c>
      <c r="E253" t="s">
        <v>72</v>
      </c>
      <c r="F253" t="s">
        <v>297</v>
      </c>
      <c r="G253" t="s">
        <v>256</v>
      </c>
      <c r="I253" t="s">
        <v>298</v>
      </c>
      <c r="J253" s="2">
        <v>45504</v>
      </c>
      <c r="K253">
        <v>7.01</v>
      </c>
      <c r="L253">
        <v>7.0163000000000002</v>
      </c>
      <c r="M253" s="2">
        <v>49142</v>
      </c>
      <c r="N253">
        <v>350</v>
      </c>
      <c r="O253">
        <v>318093.74</v>
      </c>
      <c r="Q253">
        <v>0</v>
      </c>
      <c r="R253">
        <v>0</v>
      </c>
      <c r="S253">
        <v>318093.74</v>
      </c>
      <c r="T253" t="s">
        <v>121</v>
      </c>
      <c r="U253" t="s">
        <v>26</v>
      </c>
      <c r="W253" s="3">
        <v>79630602</v>
      </c>
    </row>
    <row r="254" spans="1:23">
      <c r="A254" t="s">
        <v>66</v>
      </c>
      <c r="B254" t="s">
        <v>67</v>
      </c>
      <c r="C254" s="2">
        <v>45864</v>
      </c>
      <c r="D254" t="s">
        <v>71</v>
      </c>
      <c r="E254" t="s">
        <v>72</v>
      </c>
      <c r="F254" t="s">
        <v>299</v>
      </c>
      <c r="G254" t="s">
        <v>256</v>
      </c>
      <c r="I254" t="s">
        <v>300</v>
      </c>
      <c r="J254" s="2">
        <v>45189</v>
      </c>
      <c r="K254">
        <v>0.85</v>
      </c>
      <c r="L254">
        <v>0.85</v>
      </c>
      <c r="M254" s="2">
        <v>47553</v>
      </c>
      <c r="N254">
        <v>50</v>
      </c>
      <c r="O254">
        <v>53855.44</v>
      </c>
      <c r="Q254">
        <v>0</v>
      </c>
      <c r="R254">
        <v>0</v>
      </c>
      <c r="S254">
        <v>53855.44</v>
      </c>
      <c r="T254" t="s">
        <v>76</v>
      </c>
      <c r="U254" t="s">
        <v>26</v>
      </c>
      <c r="W254" s="3">
        <v>28518851</v>
      </c>
    </row>
    <row r="255" spans="1:23">
      <c r="A255" t="s">
        <v>66</v>
      </c>
      <c r="B255" t="s">
        <v>67</v>
      </c>
      <c r="C255" s="2">
        <v>45864</v>
      </c>
      <c r="D255" t="s">
        <v>71</v>
      </c>
      <c r="E255" t="s">
        <v>72</v>
      </c>
      <c r="F255" t="s">
        <v>301</v>
      </c>
      <c r="G255" t="s">
        <v>256</v>
      </c>
      <c r="I255" t="s">
        <v>302</v>
      </c>
      <c r="J255" s="2">
        <v>45205</v>
      </c>
      <c r="K255">
        <v>0.95</v>
      </c>
      <c r="L255">
        <v>0.95</v>
      </c>
      <c r="M255" s="2">
        <v>46461</v>
      </c>
      <c r="N255">
        <v>40</v>
      </c>
      <c r="O255">
        <v>28134.06</v>
      </c>
      <c r="Q255">
        <v>0</v>
      </c>
      <c r="R255">
        <v>0</v>
      </c>
      <c r="S255">
        <v>28134.06</v>
      </c>
      <c r="T255" t="s">
        <v>76</v>
      </c>
      <c r="U255" t="s">
        <v>26</v>
      </c>
      <c r="W255" s="3">
        <v>4843624</v>
      </c>
    </row>
    <row r="256" spans="1:23">
      <c r="A256" t="s">
        <v>53</v>
      </c>
      <c r="B256" t="s">
        <v>48</v>
      </c>
      <c r="C256" s="2">
        <v>45864</v>
      </c>
      <c r="D256" t="s">
        <v>71</v>
      </c>
      <c r="E256" t="s">
        <v>72</v>
      </c>
      <c r="F256" t="s">
        <v>303</v>
      </c>
      <c r="G256" t="s">
        <v>256</v>
      </c>
      <c r="I256" t="s">
        <v>304</v>
      </c>
      <c r="J256" s="2">
        <v>45296</v>
      </c>
      <c r="K256">
        <v>1.55</v>
      </c>
      <c r="L256">
        <v>1.55</v>
      </c>
      <c r="M256" s="2">
        <v>46930</v>
      </c>
      <c r="N256">
        <v>200</v>
      </c>
      <c r="O256">
        <v>203175.08</v>
      </c>
      <c r="Q256">
        <v>0</v>
      </c>
      <c r="R256">
        <v>0</v>
      </c>
      <c r="S256">
        <v>203175.08</v>
      </c>
      <c r="T256" t="s">
        <v>76</v>
      </c>
      <c r="U256" t="s">
        <v>26</v>
      </c>
      <c r="W256" s="3">
        <v>40426019</v>
      </c>
    </row>
    <row r="257" spans="1:23">
      <c r="A257" t="s">
        <v>58</v>
      </c>
      <c r="B257" t="s">
        <v>59</v>
      </c>
      <c r="C257" s="2">
        <v>45864</v>
      </c>
      <c r="D257" t="s">
        <v>71</v>
      </c>
      <c r="E257" t="s">
        <v>72</v>
      </c>
      <c r="F257" t="s">
        <v>303</v>
      </c>
      <c r="G257" t="s">
        <v>256</v>
      </c>
      <c r="I257" t="s">
        <v>304</v>
      </c>
      <c r="J257" s="2">
        <v>45266</v>
      </c>
      <c r="K257">
        <v>1.65</v>
      </c>
      <c r="L257">
        <v>1.65</v>
      </c>
      <c r="M257" s="2">
        <v>46930</v>
      </c>
      <c r="N257">
        <v>244</v>
      </c>
      <c r="O257">
        <v>247410.31</v>
      </c>
      <c r="Q257">
        <v>0</v>
      </c>
      <c r="R257">
        <v>0</v>
      </c>
      <c r="S257">
        <v>247410.31</v>
      </c>
      <c r="T257" t="s">
        <v>76</v>
      </c>
      <c r="U257" t="s">
        <v>26</v>
      </c>
      <c r="W257" s="3">
        <v>31401674</v>
      </c>
    </row>
    <row r="258" spans="1:23">
      <c r="A258" t="s">
        <v>60</v>
      </c>
      <c r="B258" t="s">
        <v>61</v>
      </c>
      <c r="C258" s="2">
        <v>45864</v>
      </c>
      <c r="D258" t="s">
        <v>71</v>
      </c>
      <c r="E258" t="s">
        <v>72</v>
      </c>
      <c r="F258" t="s">
        <v>305</v>
      </c>
      <c r="G258" t="s">
        <v>256</v>
      </c>
      <c r="I258" t="s">
        <v>306</v>
      </c>
      <c r="J258" s="2">
        <v>45113</v>
      </c>
      <c r="K258">
        <v>1.3</v>
      </c>
      <c r="L258">
        <v>1.3</v>
      </c>
      <c r="M258" s="2">
        <v>46188</v>
      </c>
      <c r="N258">
        <v>100</v>
      </c>
      <c r="O258">
        <v>101696.66</v>
      </c>
      <c r="Q258">
        <v>0</v>
      </c>
      <c r="R258">
        <v>0</v>
      </c>
      <c r="S258">
        <v>101696.66</v>
      </c>
      <c r="T258" t="s">
        <v>76</v>
      </c>
      <c r="U258" t="s">
        <v>26</v>
      </c>
      <c r="W258" s="3">
        <v>8768246</v>
      </c>
    </row>
    <row r="259" spans="1:23">
      <c r="A259" t="s">
        <v>60</v>
      </c>
      <c r="B259" t="s">
        <v>61</v>
      </c>
      <c r="C259" s="2">
        <v>45864</v>
      </c>
      <c r="D259" t="s">
        <v>71</v>
      </c>
      <c r="E259" t="s">
        <v>72</v>
      </c>
      <c r="F259" t="s">
        <v>307</v>
      </c>
      <c r="G259" t="s">
        <v>256</v>
      </c>
      <c r="I259" t="s">
        <v>308</v>
      </c>
      <c r="J259" s="2">
        <v>45352</v>
      </c>
      <c r="K259">
        <v>11.07</v>
      </c>
      <c r="L259">
        <v>11.07</v>
      </c>
      <c r="M259" s="2">
        <v>47102</v>
      </c>
      <c r="N259">
        <v>100</v>
      </c>
      <c r="O259">
        <v>105062.68</v>
      </c>
      <c r="Q259">
        <v>0</v>
      </c>
      <c r="R259">
        <v>0</v>
      </c>
      <c r="S259">
        <v>105062.68</v>
      </c>
      <c r="T259" t="s">
        <v>94</v>
      </c>
      <c r="U259" t="s">
        <v>26</v>
      </c>
      <c r="W259" s="3">
        <v>13176671</v>
      </c>
    </row>
    <row r="260" spans="1:23">
      <c r="A260" t="s">
        <v>66</v>
      </c>
      <c r="B260" t="s">
        <v>67</v>
      </c>
      <c r="C260" s="2">
        <v>45864</v>
      </c>
      <c r="D260" t="s">
        <v>71</v>
      </c>
      <c r="E260" t="s">
        <v>72</v>
      </c>
      <c r="F260" t="s">
        <v>309</v>
      </c>
      <c r="G260" t="s">
        <v>256</v>
      </c>
      <c r="I260" t="s">
        <v>310</v>
      </c>
      <c r="J260" s="2">
        <v>45826</v>
      </c>
      <c r="K260">
        <v>0</v>
      </c>
      <c r="L260">
        <v>99</v>
      </c>
      <c r="M260" s="2">
        <v>47863</v>
      </c>
      <c r="N260">
        <v>181</v>
      </c>
      <c r="O260">
        <v>187202.26</v>
      </c>
      <c r="P260" s="4"/>
      <c r="Q260">
        <v>0</v>
      </c>
      <c r="R260">
        <v>0</v>
      </c>
      <c r="S260">
        <v>187202.26</v>
      </c>
      <c r="T260" t="s">
        <v>76</v>
      </c>
      <c r="U260" t="s">
        <v>26</v>
      </c>
      <c r="W260" s="3">
        <v>11924847</v>
      </c>
    </row>
    <row r="261" spans="1:23">
      <c r="A261" t="s">
        <v>60</v>
      </c>
      <c r="B261" t="s">
        <v>61</v>
      </c>
      <c r="C261" s="2">
        <v>45864</v>
      </c>
      <c r="D261" t="s">
        <v>71</v>
      </c>
      <c r="E261" t="s">
        <v>72</v>
      </c>
      <c r="F261" t="s">
        <v>311</v>
      </c>
      <c r="G261" t="s">
        <v>256</v>
      </c>
      <c r="I261" t="s">
        <v>312</v>
      </c>
      <c r="J261" s="2">
        <v>45253</v>
      </c>
      <c r="K261">
        <v>1.9</v>
      </c>
      <c r="L261">
        <v>1.9</v>
      </c>
      <c r="M261" s="2">
        <v>47046</v>
      </c>
      <c r="N261">
        <v>99</v>
      </c>
      <c r="O261">
        <v>103348.74</v>
      </c>
      <c r="Q261">
        <v>0</v>
      </c>
      <c r="R261">
        <v>0</v>
      </c>
      <c r="S261">
        <v>103348.74</v>
      </c>
      <c r="T261" t="s">
        <v>76</v>
      </c>
      <c r="U261" t="s">
        <v>26</v>
      </c>
      <c r="W261" s="3">
        <v>22561527</v>
      </c>
    </row>
    <row r="262" spans="1:23">
      <c r="A262" t="s">
        <v>51</v>
      </c>
      <c r="B262" t="s">
        <v>52</v>
      </c>
      <c r="C262" s="2">
        <v>45864</v>
      </c>
      <c r="D262" t="s">
        <v>71</v>
      </c>
      <c r="E262" t="s">
        <v>72</v>
      </c>
      <c r="F262" t="s">
        <v>313</v>
      </c>
      <c r="G262" t="s">
        <v>256</v>
      </c>
      <c r="I262" t="s">
        <v>314</v>
      </c>
      <c r="J262" s="2">
        <v>45453</v>
      </c>
      <c r="K262">
        <v>6.25</v>
      </c>
      <c r="L262">
        <v>6.25</v>
      </c>
      <c r="M262" s="2">
        <v>47588</v>
      </c>
      <c r="N262">
        <v>138</v>
      </c>
      <c r="O262">
        <v>159996.71</v>
      </c>
      <c r="Q262">
        <v>0</v>
      </c>
      <c r="R262">
        <v>0</v>
      </c>
      <c r="S262">
        <v>159996.71</v>
      </c>
      <c r="T262" t="s">
        <v>121</v>
      </c>
      <c r="U262" t="s">
        <v>26</v>
      </c>
      <c r="W262" s="3">
        <v>23378468</v>
      </c>
    </row>
    <row r="263" spans="1:23">
      <c r="A263" t="s">
        <v>53</v>
      </c>
      <c r="B263" t="s">
        <v>48</v>
      </c>
      <c r="C263" s="2">
        <v>45864</v>
      </c>
      <c r="D263" t="s">
        <v>71</v>
      </c>
      <c r="E263" t="s">
        <v>72</v>
      </c>
      <c r="F263" t="s">
        <v>313</v>
      </c>
      <c r="G263" t="s">
        <v>256</v>
      </c>
      <c r="I263" t="s">
        <v>314</v>
      </c>
      <c r="J263" s="2">
        <v>45453</v>
      </c>
      <c r="K263">
        <v>6.25</v>
      </c>
      <c r="L263">
        <v>6.25</v>
      </c>
      <c r="M263" s="2">
        <v>47588</v>
      </c>
      <c r="N263">
        <v>277</v>
      </c>
      <c r="O263">
        <v>321152.83</v>
      </c>
      <c r="Q263">
        <v>0</v>
      </c>
      <c r="R263">
        <v>0</v>
      </c>
      <c r="S263">
        <v>321152.83</v>
      </c>
      <c r="T263" t="s">
        <v>121</v>
      </c>
      <c r="U263" t="s">
        <v>26</v>
      </c>
      <c r="W263" s="3">
        <v>24003159</v>
      </c>
    </row>
    <row r="264" spans="1:23">
      <c r="A264" t="s">
        <v>43</v>
      </c>
      <c r="B264" t="s">
        <v>44</v>
      </c>
      <c r="C264" s="2">
        <v>45864</v>
      </c>
      <c r="D264" t="s">
        <v>71</v>
      </c>
      <c r="E264" t="s">
        <v>72</v>
      </c>
      <c r="F264" t="s">
        <v>315</v>
      </c>
      <c r="G264" t="s">
        <v>256</v>
      </c>
      <c r="I264" t="s">
        <v>314</v>
      </c>
      <c r="J264" s="2">
        <v>45061</v>
      </c>
      <c r="K264">
        <v>6.45</v>
      </c>
      <c r="L264">
        <v>6.45</v>
      </c>
      <c r="M264" s="2">
        <v>50360</v>
      </c>
      <c r="N264">
        <v>377</v>
      </c>
      <c r="O264">
        <v>406315</v>
      </c>
      <c r="Q264">
        <v>0</v>
      </c>
      <c r="R264">
        <v>0</v>
      </c>
      <c r="S264">
        <v>406315</v>
      </c>
      <c r="T264" t="s">
        <v>121</v>
      </c>
      <c r="U264" t="s">
        <v>26</v>
      </c>
      <c r="W264" s="3">
        <v>54647408</v>
      </c>
    </row>
    <row r="265" spans="1:23">
      <c r="A265" t="s">
        <v>53</v>
      </c>
      <c r="B265" t="s">
        <v>48</v>
      </c>
      <c r="C265" s="2">
        <v>45864</v>
      </c>
      <c r="D265" t="s">
        <v>71</v>
      </c>
      <c r="E265" t="s">
        <v>72</v>
      </c>
      <c r="F265" t="s">
        <v>316</v>
      </c>
      <c r="G265" t="s">
        <v>256</v>
      </c>
      <c r="I265" t="s">
        <v>317</v>
      </c>
      <c r="J265" s="2">
        <v>45282</v>
      </c>
      <c r="K265">
        <v>0.2</v>
      </c>
      <c r="L265">
        <v>0.2</v>
      </c>
      <c r="M265" s="2">
        <v>45915</v>
      </c>
      <c r="N265">
        <v>193</v>
      </c>
      <c r="O265">
        <v>202763.16</v>
      </c>
      <c r="Q265">
        <v>0</v>
      </c>
      <c r="R265">
        <v>0</v>
      </c>
      <c r="S265">
        <v>202763.16</v>
      </c>
      <c r="T265" t="s">
        <v>76</v>
      </c>
      <c r="U265" t="s">
        <v>26</v>
      </c>
      <c r="W265" s="3">
        <v>25087138</v>
      </c>
    </row>
    <row r="266" spans="1:23">
      <c r="A266" t="s">
        <v>58</v>
      </c>
      <c r="B266" t="s">
        <v>59</v>
      </c>
      <c r="C266" s="2">
        <v>45864</v>
      </c>
      <c r="D266" t="s">
        <v>71</v>
      </c>
      <c r="E266" t="s">
        <v>72</v>
      </c>
      <c r="F266" t="s">
        <v>316</v>
      </c>
      <c r="G266" t="s">
        <v>256</v>
      </c>
      <c r="I266" t="s">
        <v>317</v>
      </c>
      <c r="J266" s="2">
        <v>45282</v>
      </c>
      <c r="K266">
        <v>0.2</v>
      </c>
      <c r="L266">
        <v>0.2</v>
      </c>
      <c r="M266" s="2">
        <v>45915</v>
      </c>
      <c r="N266">
        <v>193</v>
      </c>
      <c r="O266">
        <v>202763.16</v>
      </c>
      <c r="Q266">
        <v>0</v>
      </c>
      <c r="R266">
        <v>0</v>
      </c>
      <c r="S266">
        <v>202763.16</v>
      </c>
      <c r="T266" t="s">
        <v>76</v>
      </c>
      <c r="U266" t="s">
        <v>26</v>
      </c>
      <c r="W266" s="3">
        <v>38480057</v>
      </c>
    </row>
    <row r="267" spans="1:23">
      <c r="A267" t="s">
        <v>66</v>
      </c>
      <c r="B267" t="s">
        <v>67</v>
      </c>
      <c r="C267" s="2">
        <v>45864</v>
      </c>
      <c r="D267" t="s">
        <v>71</v>
      </c>
      <c r="E267" t="s">
        <v>72</v>
      </c>
      <c r="F267" t="s">
        <v>318</v>
      </c>
      <c r="G267" t="s">
        <v>256</v>
      </c>
      <c r="I267" t="s">
        <v>317</v>
      </c>
      <c r="J267" s="2">
        <v>44861</v>
      </c>
      <c r="K267">
        <v>0.5</v>
      </c>
      <c r="L267">
        <v>0.5</v>
      </c>
      <c r="M267" s="2">
        <v>47295</v>
      </c>
      <c r="N267">
        <v>10</v>
      </c>
      <c r="O267">
        <v>10186.370000000001</v>
      </c>
      <c r="Q267">
        <v>0</v>
      </c>
      <c r="R267">
        <v>0</v>
      </c>
      <c r="S267">
        <v>10186.370000000001</v>
      </c>
      <c r="T267" t="s">
        <v>76</v>
      </c>
      <c r="U267" t="s">
        <v>26</v>
      </c>
      <c r="W267" s="3">
        <v>34905258</v>
      </c>
    </row>
    <row r="268" spans="1:23">
      <c r="A268" t="s">
        <v>53</v>
      </c>
      <c r="B268" t="s">
        <v>48</v>
      </c>
      <c r="C268" s="2">
        <v>45864</v>
      </c>
      <c r="D268" t="s">
        <v>71</v>
      </c>
      <c r="E268" t="s">
        <v>72</v>
      </c>
      <c r="F268" t="s">
        <v>319</v>
      </c>
      <c r="G268" t="s">
        <v>256</v>
      </c>
      <c r="I268" t="s">
        <v>320</v>
      </c>
      <c r="J268" s="2">
        <v>45377</v>
      </c>
      <c r="K268">
        <v>0.65</v>
      </c>
      <c r="L268">
        <v>0.65</v>
      </c>
      <c r="M268" s="2">
        <v>46980</v>
      </c>
      <c r="N268">
        <v>195</v>
      </c>
      <c r="O268">
        <v>209082.3</v>
      </c>
      <c r="Q268">
        <v>0</v>
      </c>
      <c r="R268">
        <v>0</v>
      </c>
      <c r="S268">
        <v>209082.3</v>
      </c>
      <c r="T268" t="s">
        <v>76</v>
      </c>
      <c r="U268" t="s">
        <v>26</v>
      </c>
      <c r="W268" s="3">
        <v>34487189</v>
      </c>
    </row>
    <row r="269" spans="1:23">
      <c r="A269" t="s">
        <v>53</v>
      </c>
      <c r="B269" t="s">
        <v>48</v>
      </c>
      <c r="C269" s="2">
        <v>45864</v>
      </c>
      <c r="D269" t="s">
        <v>71</v>
      </c>
      <c r="E269" t="s">
        <v>72</v>
      </c>
      <c r="F269" t="s">
        <v>319</v>
      </c>
      <c r="G269" t="s">
        <v>256</v>
      </c>
      <c r="I269" t="s">
        <v>320</v>
      </c>
      <c r="J269" s="2">
        <v>45379</v>
      </c>
      <c r="K269">
        <v>0.65</v>
      </c>
      <c r="L269">
        <v>0.65</v>
      </c>
      <c r="M269" s="2">
        <v>46980</v>
      </c>
      <c r="N269">
        <v>195</v>
      </c>
      <c r="O269">
        <v>209143.13</v>
      </c>
      <c r="Q269">
        <v>0</v>
      </c>
      <c r="R269">
        <v>0</v>
      </c>
      <c r="S269">
        <v>209143.13</v>
      </c>
      <c r="T269" t="s">
        <v>76</v>
      </c>
      <c r="U269" t="s">
        <v>26</v>
      </c>
      <c r="W269" s="3">
        <v>2682949</v>
      </c>
    </row>
    <row r="270" spans="1:23">
      <c r="A270" t="s">
        <v>51</v>
      </c>
      <c r="B270" t="s">
        <v>52</v>
      </c>
      <c r="C270" s="2">
        <v>45864</v>
      </c>
      <c r="D270" t="s">
        <v>71</v>
      </c>
      <c r="E270" t="s">
        <v>72</v>
      </c>
      <c r="F270" t="s">
        <v>319</v>
      </c>
      <c r="G270" t="s">
        <v>256</v>
      </c>
      <c r="I270" t="s">
        <v>320</v>
      </c>
      <c r="J270" s="2">
        <v>45379</v>
      </c>
      <c r="K270">
        <v>0.65</v>
      </c>
      <c r="L270">
        <v>0.65</v>
      </c>
      <c r="M270" s="2">
        <v>46980</v>
      </c>
      <c r="N270">
        <v>195</v>
      </c>
      <c r="O270">
        <v>209143.13</v>
      </c>
      <c r="Q270">
        <v>0</v>
      </c>
      <c r="R270">
        <v>0</v>
      </c>
      <c r="S270">
        <v>209143.13</v>
      </c>
      <c r="T270" t="s">
        <v>76</v>
      </c>
      <c r="U270" t="s">
        <v>26</v>
      </c>
      <c r="W270" s="3">
        <v>43097233</v>
      </c>
    </row>
    <row r="271" spans="1:23">
      <c r="A271" t="s">
        <v>43</v>
      </c>
      <c r="B271" t="s">
        <v>44</v>
      </c>
      <c r="C271" s="2">
        <v>45864</v>
      </c>
      <c r="D271" t="s">
        <v>71</v>
      </c>
      <c r="E271" t="s">
        <v>72</v>
      </c>
      <c r="F271" t="s">
        <v>321</v>
      </c>
      <c r="G271" t="s">
        <v>256</v>
      </c>
      <c r="I271" t="s">
        <v>320</v>
      </c>
      <c r="J271" s="2">
        <v>45162</v>
      </c>
      <c r="K271">
        <v>6.2</v>
      </c>
      <c r="L271">
        <v>6.2</v>
      </c>
      <c r="M271" s="2">
        <v>47710</v>
      </c>
      <c r="N271">
        <v>400</v>
      </c>
      <c r="O271">
        <v>416797.53</v>
      </c>
      <c r="Q271">
        <v>0</v>
      </c>
      <c r="R271">
        <v>0</v>
      </c>
      <c r="S271">
        <v>416797.53</v>
      </c>
      <c r="T271" t="s">
        <v>121</v>
      </c>
      <c r="U271" t="s">
        <v>26</v>
      </c>
      <c r="W271" s="3">
        <v>68490513</v>
      </c>
    </row>
    <row r="272" spans="1:23">
      <c r="A272" t="s">
        <v>66</v>
      </c>
      <c r="B272" t="s">
        <v>67</v>
      </c>
      <c r="C272" s="2">
        <v>45864</v>
      </c>
      <c r="D272" t="s">
        <v>71</v>
      </c>
      <c r="E272" t="s">
        <v>72</v>
      </c>
      <c r="F272" t="s">
        <v>322</v>
      </c>
      <c r="G272" t="s">
        <v>256</v>
      </c>
      <c r="I272" t="s">
        <v>320</v>
      </c>
      <c r="J272" s="2">
        <v>45189</v>
      </c>
      <c r="K272">
        <v>6.26</v>
      </c>
      <c r="L272">
        <v>6.26</v>
      </c>
      <c r="M272" s="2">
        <v>48806</v>
      </c>
      <c r="N272">
        <v>50</v>
      </c>
      <c r="O272">
        <v>57232.15</v>
      </c>
      <c r="Q272">
        <v>0</v>
      </c>
      <c r="R272">
        <v>0</v>
      </c>
      <c r="S272">
        <v>57232.15</v>
      </c>
      <c r="T272" t="s">
        <v>121</v>
      </c>
      <c r="U272" t="s">
        <v>26</v>
      </c>
      <c r="W272" s="3">
        <v>28531101</v>
      </c>
    </row>
    <row r="273" spans="1:23">
      <c r="A273" t="s">
        <v>43</v>
      </c>
      <c r="B273" t="s">
        <v>44</v>
      </c>
      <c r="C273" s="2">
        <v>45864</v>
      </c>
      <c r="D273" t="s">
        <v>71</v>
      </c>
      <c r="E273" t="s">
        <v>72</v>
      </c>
      <c r="F273" t="s">
        <v>323</v>
      </c>
      <c r="G273" t="s">
        <v>256</v>
      </c>
      <c r="I273" t="s">
        <v>324</v>
      </c>
      <c r="J273" s="2">
        <v>45425</v>
      </c>
      <c r="K273">
        <v>7</v>
      </c>
      <c r="L273">
        <v>7</v>
      </c>
      <c r="M273" s="2">
        <v>49045</v>
      </c>
      <c r="N273">
        <v>500</v>
      </c>
      <c r="O273">
        <v>446293.32</v>
      </c>
      <c r="Q273">
        <v>0</v>
      </c>
      <c r="R273">
        <v>0</v>
      </c>
      <c r="S273">
        <v>446293.32</v>
      </c>
      <c r="T273" t="s">
        <v>121</v>
      </c>
      <c r="U273" t="s">
        <v>26</v>
      </c>
      <c r="W273" s="3">
        <v>60294142</v>
      </c>
    </row>
    <row r="274" spans="1:23">
      <c r="A274" t="s">
        <v>66</v>
      </c>
      <c r="B274" t="s">
        <v>67</v>
      </c>
      <c r="C274" s="2">
        <v>45864</v>
      </c>
      <c r="D274" t="s">
        <v>71</v>
      </c>
      <c r="E274" t="s">
        <v>72</v>
      </c>
      <c r="F274" t="s">
        <v>325</v>
      </c>
      <c r="G274" t="s">
        <v>256</v>
      </c>
      <c r="I274" t="s">
        <v>326</v>
      </c>
      <c r="J274" s="2">
        <v>45189</v>
      </c>
      <c r="K274">
        <v>0.99</v>
      </c>
      <c r="L274">
        <v>0.99</v>
      </c>
      <c r="M274" s="2">
        <v>47406</v>
      </c>
      <c r="N274">
        <v>30</v>
      </c>
      <c r="O274">
        <v>31678.17</v>
      </c>
      <c r="P274" s="4"/>
      <c r="Q274">
        <v>0</v>
      </c>
      <c r="R274">
        <v>0</v>
      </c>
      <c r="S274">
        <v>31678.17</v>
      </c>
      <c r="T274" t="s">
        <v>76</v>
      </c>
      <c r="U274" t="s">
        <v>26</v>
      </c>
      <c r="W274" s="3">
        <v>18230418</v>
      </c>
    </row>
    <row r="275" spans="1:23">
      <c r="A275" t="s">
        <v>58</v>
      </c>
      <c r="B275" t="s">
        <v>59</v>
      </c>
      <c r="C275" s="2">
        <v>45864</v>
      </c>
      <c r="D275" t="s">
        <v>71</v>
      </c>
      <c r="E275" t="s">
        <v>72</v>
      </c>
      <c r="F275" t="s">
        <v>327</v>
      </c>
      <c r="G275" t="s">
        <v>256</v>
      </c>
      <c r="I275" t="s">
        <v>328</v>
      </c>
      <c r="J275" s="2">
        <v>45679</v>
      </c>
      <c r="K275">
        <v>0.95</v>
      </c>
      <c r="L275">
        <v>0.95</v>
      </c>
      <c r="M275" s="2">
        <v>46555</v>
      </c>
      <c r="N275">
        <v>100</v>
      </c>
      <c r="O275">
        <v>102495.95</v>
      </c>
      <c r="Q275">
        <v>0</v>
      </c>
      <c r="R275">
        <v>0</v>
      </c>
      <c r="S275">
        <v>102495.95</v>
      </c>
      <c r="T275" t="s">
        <v>76</v>
      </c>
      <c r="U275" t="s">
        <v>26</v>
      </c>
      <c r="W275" s="3">
        <v>36633025</v>
      </c>
    </row>
    <row r="276" spans="1:23">
      <c r="A276" t="s">
        <v>62</v>
      </c>
      <c r="B276" t="s">
        <v>63</v>
      </c>
      <c r="C276" s="2">
        <v>45864</v>
      </c>
      <c r="D276" t="s">
        <v>71</v>
      </c>
      <c r="E276" t="s">
        <v>72</v>
      </c>
      <c r="F276" t="s">
        <v>327</v>
      </c>
      <c r="G276" t="s">
        <v>256</v>
      </c>
      <c r="I276" t="s">
        <v>328</v>
      </c>
      <c r="J276" s="2">
        <v>45679</v>
      </c>
      <c r="K276">
        <v>0.95</v>
      </c>
      <c r="L276">
        <v>0.95</v>
      </c>
      <c r="M276" s="2">
        <v>46555</v>
      </c>
      <c r="N276">
        <v>130</v>
      </c>
      <c r="O276">
        <v>133244.74</v>
      </c>
      <c r="Q276">
        <v>0</v>
      </c>
      <c r="R276">
        <v>0</v>
      </c>
      <c r="S276">
        <v>133244.74</v>
      </c>
      <c r="T276" t="s">
        <v>76</v>
      </c>
      <c r="U276" t="s">
        <v>26</v>
      </c>
      <c r="W276" s="3">
        <v>53400481</v>
      </c>
    </row>
    <row r="277" spans="1:23">
      <c r="A277" t="s">
        <v>53</v>
      </c>
      <c r="B277" t="s">
        <v>48</v>
      </c>
      <c r="C277" s="2">
        <v>45864</v>
      </c>
      <c r="D277" t="s">
        <v>71</v>
      </c>
      <c r="E277" t="s">
        <v>72</v>
      </c>
      <c r="F277" t="s">
        <v>329</v>
      </c>
      <c r="G277" t="s">
        <v>256</v>
      </c>
      <c r="I277" t="s">
        <v>330</v>
      </c>
      <c r="J277" s="2">
        <v>45665</v>
      </c>
      <c r="K277">
        <v>1.1399999999999999</v>
      </c>
      <c r="L277">
        <v>1.1399999999999999</v>
      </c>
      <c r="M277" s="2">
        <v>46496</v>
      </c>
      <c r="N277">
        <v>113</v>
      </c>
      <c r="O277">
        <v>118437.77</v>
      </c>
      <c r="Q277">
        <v>0</v>
      </c>
      <c r="R277">
        <v>0</v>
      </c>
      <c r="S277">
        <v>118437.77</v>
      </c>
      <c r="T277" t="s">
        <v>76</v>
      </c>
      <c r="U277" t="s">
        <v>26</v>
      </c>
      <c r="W277" s="3">
        <v>11750761</v>
      </c>
    </row>
    <row r="278" spans="1:23">
      <c r="A278" t="s">
        <v>58</v>
      </c>
      <c r="B278" t="s">
        <v>59</v>
      </c>
      <c r="C278" s="2">
        <v>45864</v>
      </c>
      <c r="D278" t="s">
        <v>71</v>
      </c>
      <c r="E278" t="s">
        <v>72</v>
      </c>
      <c r="F278" t="s">
        <v>331</v>
      </c>
      <c r="G278" t="s">
        <v>256</v>
      </c>
      <c r="I278" t="s">
        <v>332</v>
      </c>
      <c r="J278" s="2">
        <v>45665</v>
      </c>
      <c r="K278">
        <v>1.1399999999999999</v>
      </c>
      <c r="L278">
        <v>1.1399999999999999</v>
      </c>
      <c r="M278" s="2">
        <v>46496</v>
      </c>
      <c r="N278">
        <v>95</v>
      </c>
      <c r="O278">
        <v>99572.75</v>
      </c>
      <c r="Q278">
        <v>0</v>
      </c>
      <c r="R278">
        <v>0</v>
      </c>
      <c r="S278">
        <v>99572.75</v>
      </c>
      <c r="T278" t="s">
        <v>76</v>
      </c>
      <c r="U278" t="s">
        <v>26</v>
      </c>
      <c r="W278" s="3">
        <v>39732160</v>
      </c>
    </row>
    <row r="279" spans="1:23">
      <c r="A279" t="s">
        <v>53</v>
      </c>
      <c r="B279" t="s">
        <v>48</v>
      </c>
      <c r="C279" s="2">
        <v>45864</v>
      </c>
      <c r="D279" t="s">
        <v>71</v>
      </c>
      <c r="E279" t="s">
        <v>72</v>
      </c>
      <c r="F279" t="s">
        <v>333</v>
      </c>
      <c r="G279" t="s">
        <v>256</v>
      </c>
      <c r="I279" t="s">
        <v>334</v>
      </c>
      <c r="J279" s="2">
        <v>45665</v>
      </c>
      <c r="K279">
        <v>1.1399999999999999</v>
      </c>
      <c r="L279">
        <v>1.1399999999999999</v>
      </c>
      <c r="M279" s="2">
        <v>46496</v>
      </c>
      <c r="N279">
        <v>68</v>
      </c>
      <c r="O279">
        <v>71273.149999999994</v>
      </c>
      <c r="Q279">
        <v>0</v>
      </c>
      <c r="R279">
        <v>0</v>
      </c>
      <c r="S279">
        <v>71273.149999999994</v>
      </c>
      <c r="T279" t="s">
        <v>76</v>
      </c>
      <c r="U279" t="s">
        <v>26</v>
      </c>
      <c r="W279" s="3">
        <v>7469264</v>
      </c>
    </row>
    <row r="280" spans="1:23">
      <c r="A280" t="s">
        <v>60</v>
      </c>
      <c r="B280" t="s">
        <v>61</v>
      </c>
      <c r="C280" s="2">
        <v>45864</v>
      </c>
      <c r="D280" t="s">
        <v>71</v>
      </c>
      <c r="E280" t="s">
        <v>72</v>
      </c>
      <c r="F280" t="s">
        <v>335</v>
      </c>
      <c r="G280" t="s">
        <v>256</v>
      </c>
      <c r="I280" t="s">
        <v>246</v>
      </c>
      <c r="J280" s="2">
        <v>45322</v>
      </c>
      <c r="K280">
        <v>1.7</v>
      </c>
      <c r="L280">
        <v>1.7</v>
      </c>
      <c r="M280" s="2">
        <v>47102</v>
      </c>
      <c r="N280">
        <v>295</v>
      </c>
      <c r="O280">
        <v>300136.55</v>
      </c>
      <c r="Q280">
        <v>0</v>
      </c>
      <c r="R280">
        <v>0</v>
      </c>
      <c r="S280">
        <v>300136.55</v>
      </c>
      <c r="T280" t="s">
        <v>76</v>
      </c>
      <c r="U280" t="s">
        <v>26</v>
      </c>
      <c r="W280" s="3">
        <v>28113758</v>
      </c>
    </row>
    <row r="281" spans="1:23">
      <c r="A281" t="s">
        <v>66</v>
      </c>
      <c r="B281" t="s">
        <v>67</v>
      </c>
      <c r="C281" s="2">
        <v>45864</v>
      </c>
      <c r="D281" t="s">
        <v>71</v>
      </c>
      <c r="E281" t="s">
        <v>72</v>
      </c>
      <c r="F281" t="s">
        <v>336</v>
      </c>
      <c r="G281" t="s">
        <v>256</v>
      </c>
      <c r="I281" t="s">
        <v>246</v>
      </c>
      <c r="J281" s="2">
        <v>45387</v>
      </c>
      <c r="K281">
        <v>6.59</v>
      </c>
      <c r="L281">
        <v>6.59</v>
      </c>
      <c r="M281" s="2">
        <v>47833</v>
      </c>
      <c r="N281">
        <v>46</v>
      </c>
      <c r="O281">
        <v>52104.21</v>
      </c>
      <c r="Q281">
        <v>0</v>
      </c>
      <c r="R281">
        <v>0</v>
      </c>
      <c r="S281">
        <v>52104.21</v>
      </c>
      <c r="T281" t="s">
        <v>121</v>
      </c>
      <c r="U281" t="s">
        <v>26</v>
      </c>
      <c r="W281" s="3">
        <v>7152788</v>
      </c>
    </row>
    <row r="282" spans="1:23">
      <c r="A282" t="s">
        <v>62</v>
      </c>
      <c r="B282" t="s">
        <v>63</v>
      </c>
      <c r="C282" s="2">
        <v>45864</v>
      </c>
      <c r="D282" t="s">
        <v>71</v>
      </c>
      <c r="E282" t="s">
        <v>72</v>
      </c>
      <c r="F282" t="s">
        <v>337</v>
      </c>
      <c r="G282" t="s">
        <v>256</v>
      </c>
      <c r="I282" t="s">
        <v>338</v>
      </c>
      <c r="J282" s="2">
        <v>45849</v>
      </c>
      <c r="K282">
        <v>7.7</v>
      </c>
      <c r="L282">
        <v>7.7</v>
      </c>
      <c r="M282" s="2">
        <v>48625</v>
      </c>
      <c r="N282">
        <v>100</v>
      </c>
      <c r="O282">
        <v>112532.61</v>
      </c>
      <c r="Q282">
        <v>0</v>
      </c>
      <c r="R282">
        <v>0</v>
      </c>
      <c r="S282">
        <v>112532.61</v>
      </c>
      <c r="T282" t="s">
        <v>121</v>
      </c>
      <c r="U282" t="s">
        <v>26</v>
      </c>
      <c r="W282" s="3">
        <v>59215761</v>
      </c>
    </row>
    <row r="283" spans="1:23">
      <c r="A283" t="s">
        <v>66</v>
      </c>
      <c r="B283" t="s">
        <v>67</v>
      </c>
      <c r="C283" s="2">
        <v>45864</v>
      </c>
      <c r="D283" t="s">
        <v>71</v>
      </c>
      <c r="E283" t="s">
        <v>72</v>
      </c>
      <c r="F283" t="s">
        <v>337</v>
      </c>
      <c r="G283" t="s">
        <v>256</v>
      </c>
      <c r="I283" t="s">
        <v>338</v>
      </c>
      <c r="J283" s="2">
        <v>45826</v>
      </c>
      <c r="K283">
        <v>7.65</v>
      </c>
      <c r="L283">
        <v>7.65</v>
      </c>
      <c r="M283" s="2">
        <v>48625</v>
      </c>
      <c r="N283">
        <v>178</v>
      </c>
      <c r="O283">
        <v>200775.4</v>
      </c>
      <c r="Q283">
        <v>0</v>
      </c>
      <c r="R283">
        <v>0</v>
      </c>
      <c r="S283">
        <v>200775.4</v>
      </c>
      <c r="T283" t="s">
        <v>121</v>
      </c>
      <c r="U283" t="s">
        <v>26</v>
      </c>
      <c r="W283" s="3">
        <v>35430341</v>
      </c>
    </row>
    <row r="284" spans="1:23">
      <c r="A284" t="s">
        <v>66</v>
      </c>
      <c r="B284" t="s">
        <v>67</v>
      </c>
      <c r="C284" s="2">
        <v>45864</v>
      </c>
      <c r="D284" t="s">
        <v>71</v>
      </c>
      <c r="E284" t="s">
        <v>72</v>
      </c>
      <c r="F284" t="s">
        <v>339</v>
      </c>
      <c r="G284" t="s">
        <v>256</v>
      </c>
      <c r="I284" t="s">
        <v>340</v>
      </c>
      <c r="J284" s="2">
        <v>45841</v>
      </c>
      <c r="K284">
        <v>7.8</v>
      </c>
      <c r="L284">
        <v>7.8</v>
      </c>
      <c r="M284" s="2">
        <v>47470</v>
      </c>
      <c r="N284">
        <v>117</v>
      </c>
      <c r="O284">
        <v>148001.60000000001</v>
      </c>
      <c r="Q284">
        <v>0</v>
      </c>
      <c r="R284">
        <v>0</v>
      </c>
      <c r="S284">
        <v>148001.60000000001</v>
      </c>
      <c r="T284" t="s">
        <v>121</v>
      </c>
      <c r="U284" t="s">
        <v>26</v>
      </c>
      <c r="W284" s="3">
        <v>41767812</v>
      </c>
    </row>
    <row r="285" spans="1:23">
      <c r="A285" t="s">
        <v>66</v>
      </c>
      <c r="B285" t="s">
        <v>67</v>
      </c>
      <c r="C285" s="2">
        <v>45864</v>
      </c>
      <c r="D285" t="s">
        <v>71</v>
      </c>
      <c r="E285" t="s">
        <v>72</v>
      </c>
      <c r="F285" t="s">
        <v>339</v>
      </c>
      <c r="G285" t="s">
        <v>256</v>
      </c>
      <c r="I285" t="s">
        <v>340</v>
      </c>
      <c r="J285" s="2">
        <v>45841</v>
      </c>
      <c r="K285">
        <v>7.8</v>
      </c>
      <c r="L285">
        <v>7.8</v>
      </c>
      <c r="M285" s="2">
        <v>47470</v>
      </c>
      <c r="N285">
        <v>273</v>
      </c>
      <c r="O285">
        <v>345193.98</v>
      </c>
      <c r="Q285">
        <v>0</v>
      </c>
      <c r="R285">
        <v>0</v>
      </c>
      <c r="S285">
        <v>345193.98</v>
      </c>
      <c r="T285" t="s">
        <v>121</v>
      </c>
      <c r="U285" t="s">
        <v>26</v>
      </c>
      <c r="W285" s="3">
        <v>19332432</v>
      </c>
    </row>
    <row r="286" spans="1:23">
      <c r="A286" t="s">
        <v>66</v>
      </c>
      <c r="B286" t="s">
        <v>67</v>
      </c>
      <c r="C286" s="2">
        <v>45864</v>
      </c>
      <c r="D286" t="s">
        <v>71</v>
      </c>
      <c r="E286" t="s">
        <v>72</v>
      </c>
      <c r="F286" t="s">
        <v>341</v>
      </c>
      <c r="G286" t="s">
        <v>342</v>
      </c>
      <c r="I286" t="s">
        <v>343</v>
      </c>
      <c r="J286" s="2">
        <v>45596</v>
      </c>
      <c r="K286">
        <v>6.89</v>
      </c>
      <c r="L286">
        <v>6.89</v>
      </c>
      <c r="M286" s="2">
        <v>47192</v>
      </c>
      <c r="N286">
        <v>103</v>
      </c>
      <c r="O286">
        <v>140431.26</v>
      </c>
      <c r="Q286">
        <v>0</v>
      </c>
      <c r="R286">
        <v>0</v>
      </c>
      <c r="S286">
        <v>140431.26</v>
      </c>
      <c r="T286" t="s">
        <v>121</v>
      </c>
      <c r="U286" t="s">
        <v>26</v>
      </c>
      <c r="W286" s="3">
        <v>4171590</v>
      </c>
    </row>
    <row r="287" spans="1:23">
      <c r="A287" t="s">
        <v>53</v>
      </c>
      <c r="B287" t="s">
        <v>48</v>
      </c>
      <c r="C287" s="2">
        <v>45864</v>
      </c>
      <c r="D287" t="s">
        <v>71</v>
      </c>
      <c r="E287" t="s">
        <v>72</v>
      </c>
      <c r="F287" t="s">
        <v>344</v>
      </c>
      <c r="G287" t="s">
        <v>342</v>
      </c>
      <c r="I287" t="s">
        <v>343</v>
      </c>
      <c r="J287" s="2">
        <v>44173</v>
      </c>
      <c r="K287">
        <v>3.44</v>
      </c>
      <c r="L287">
        <v>3.44</v>
      </c>
      <c r="M287" s="2">
        <v>47192</v>
      </c>
      <c r="N287">
        <v>105</v>
      </c>
      <c r="O287">
        <v>153718.66</v>
      </c>
      <c r="Q287">
        <v>0</v>
      </c>
      <c r="R287">
        <v>0</v>
      </c>
      <c r="S287">
        <v>153718.66</v>
      </c>
      <c r="T287" t="s">
        <v>121</v>
      </c>
      <c r="U287" t="s">
        <v>26</v>
      </c>
      <c r="W287" s="3">
        <v>44015545</v>
      </c>
    </row>
    <row r="288" spans="1:23">
      <c r="A288" t="s">
        <v>60</v>
      </c>
      <c r="B288" t="s">
        <v>61</v>
      </c>
      <c r="C288" s="2">
        <v>45864</v>
      </c>
      <c r="D288" t="s">
        <v>71</v>
      </c>
      <c r="E288" t="s">
        <v>72</v>
      </c>
      <c r="F288" t="s">
        <v>341</v>
      </c>
      <c r="G288" t="s">
        <v>342</v>
      </c>
      <c r="I288" t="s">
        <v>343</v>
      </c>
      <c r="J288" s="2">
        <v>45596</v>
      </c>
      <c r="K288">
        <v>6.89</v>
      </c>
      <c r="L288">
        <v>6.89</v>
      </c>
      <c r="M288" s="2">
        <v>47192</v>
      </c>
      <c r="N288">
        <v>144</v>
      </c>
      <c r="O288">
        <v>196331.09</v>
      </c>
      <c r="Q288">
        <v>0</v>
      </c>
      <c r="R288">
        <v>0</v>
      </c>
      <c r="S288">
        <v>196331.09</v>
      </c>
      <c r="T288" t="s">
        <v>121</v>
      </c>
      <c r="U288" t="s">
        <v>26</v>
      </c>
      <c r="W288" s="3">
        <v>9657028</v>
      </c>
    </row>
    <row r="289" spans="1:23">
      <c r="A289" t="s">
        <v>31</v>
      </c>
      <c r="B289" t="s">
        <v>32</v>
      </c>
      <c r="C289" s="2">
        <v>45864</v>
      </c>
      <c r="D289" t="s">
        <v>71</v>
      </c>
      <c r="E289" t="s">
        <v>72</v>
      </c>
      <c r="F289" t="s">
        <v>341</v>
      </c>
      <c r="G289" t="s">
        <v>342</v>
      </c>
      <c r="I289" t="s">
        <v>343</v>
      </c>
      <c r="J289" s="2">
        <v>45596</v>
      </c>
      <c r="K289">
        <v>6.89</v>
      </c>
      <c r="L289">
        <v>6.89</v>
      </c>
      <c r="M289" s="2">
        <v>47192</v>
      </c>
      <c r="N289">
        <v>144</v>
      </c>
      <c r="O289">
        <v>196331.09</v>
      </c>
      <c r="Q289">
        <v>0</v>
      </c>
      <c r="R289">
        <v>0</v>
      </c>
      <c r="S289">
        <v>196331.09</v>
      </c>
      <c r="T289" t="s">
        <v>121</v>
      </c>
      <c r="U289" t="s">
        <v>26</v>
      </c>
      <c r="W289" s="3">
        <v>49489396</v>
      </c>
    </row>
    <row r="290" spans="1:23">
      <c r="A290" t="s">
        <v>54</v>
      </c>
      <c r="B290" t="s">
        <v>55</v>
      </c>
      <c r="C290" s="2">
        <v>45864</v>
      </c>
      <c r="D290" t="s">
        <v>71</v>
      </c>
      <c r="E290" t="s">
        <v>72</v>
      </c>
      <c r="F290" t="s">
        <v>341</v>
      </c>
      <c r="G290" t="s">
        <v>342</v>
      </c>
      <c r="I290" t="s">
        <v>343</v>
      </c>
      <c r="J290" s="2">
        <v>45609</v>
      </c>
      <c r="K290">
        <v>6.95</v>
      </c>
      <c r="L290">
        <v>6.95</v>
      </c>
      <c r="M290" s="2">
        <v>47192</v>
      </c>
      <c r="N290">
        <v>148</v>
      </c>
      <c r="O290">
        <v>201530.48</v>
      </c>
      <c r="Q290">
        <v>0</v>
      </c>
      <c r="R290">
        <v>0</v>
      </c>
      <c r="S290">
        <v>201530.48</v>
      </c>
      <c r="T290" t="s">
        <v>121</v>
      </c>
      <c r="U290" t="s">
        <v>26</v>
      </c>
      <c r="W290" s="3">
        <v>41805766</v>
      </c>
    </row>
    <row r="291" spans="1:23">
      <c r="A291" t="s">
        <v>53</v>
      </c>
      <c r="B291" t="s">
        <v>48</v>
      </c>
      <c r="C291" s="2">
        <v>45864</v>
      </c>
      <c r="D291" t="s">
        <v>71</v>
      </c>
      <c r="E291" t="s">
        <v>72</v>
      </c>
      <c r="F291" t="s">
        <v>345</v>
      </c>
      <c r="G291" t="s">
        <v>342</v>
      </c>
      <c r="I291" t="s">
        <v>346</v>
      </c>
      <c r="J291" s="2">
        <v>45306</v>
      </c>
      <c r="K291">
        <v>6.61</v>
      </c>
      <c r="L291">
        <v>6.61</v>
      </c>
      <c r="M291" s="2">
        <v>48959</v>
      </c>
      <c r="N291">
        <v>19367</v>
      </c>
      <c r="O291">
        <v>216128.02</v>
      </c>
      <c r="Q291">
        <v>0</v>
      </c>
      <c r="R291">
        <v>0</v>
      </c>
      <c r="S291">
        <v>216128.02</v>
      </c>
      <c r="T291" t="s">
        <v>121</v>
      </c>
      <c r="U291" t="s">
        <v>26</v>
      </c>
      <c r="W291" s="3">
        <v>5862938</v>
      </c>
    </row>
    <row r="292" spans="1:23">
      <c r="A292" t="s">
        <v>56</v>
      </c>
      <c r="B292" t="s">
        <v>57</v>
      </c>
      <c r="C292" s="2">
        <v>45864</v>
      </c>
      <c r="D292" t="s">
        <v>71</v>
      </c>
      <c r="E292" t="s">
        <v>72</v>
      </c>
      <c r="F292" t="s">
        <v>347</v>
      </c>
      <c r="G292" t="s">
        <v>342</v>
      </c>
      <c r="I292" t="s">
        <v>346</v>
      </c>
      <c r="J292" s="2">
        <v>45665</v>
      </c>
      <c r="K292">
        <v>8.75</v>
      </c>
      <c r="L292">
        <v>8.75</v>
      </c>
      <c r="M292" s="2">
        <v>51881</v>
      </c>
      <c r="N292">
        <v>20535</v>
      </c>
      <c r="O292">
        <v>200903.12</v>
      </c>
      <c r="Q292">
        <v>0</v>
      </c>
      <c r="R292">
        <v>0</v>
      </c>
      <c r="S292">
        <v>200903.12</v>
      </c>
      <c r="T292" t="s">
        <v>121</v>
      </c>
      <c r="U292" t="s">
        <v>26</v>
      </c>
      <c r="W292" s="3">
        <v>6843985</v>
      </c>
    </row>
    <row r="293" spans="1:23">
      <c r="A293" t="s">
        <v>56</v>
      </c>
      <c r="B293" t="s">
        <v>57</v>
      </c>
      <c r="C293" s="2">
        <v>45864</v>
      </c>
      <c r="D293" t="s">
        <v>71</v>
      </c>
      <c r="E293" t="s">
        <v>72</v>
      </c>
      <c r="F293" t="s">
        <v>348</v>
      </c>
      <c r="G293" t="s">
        <v>342</v>
      </c>
      <c r="I293" t="s">
        <v>349</v>
      </c>
      <c r="J293" s="2">
        <v>45665</v>
      </c>
      <c r="K293">
        <v>8.73</v>
      </c>
      <c r="L293">
        <v>8.73</v>
      </c>
      <c r="M293" s="2">
        <v>49202</v>
      </c>
      <c r="N293">
        <v>203091</v>
      </c>
      <c r="O293">
        <v>208039.07</v>
      </c>
      <c r="Q293">
        <v>0</v>
      </c>
      <c r="R293">
        <v>0</v>
      </c>
      <c r="S293">
        <v>208039.07</v>
      </c>
      <c r="T293" t="s">
        <v>121</v>
      </c>
      <c r="U293" t="s">
        <v>26</v>
      </c>
      <c r="W293" s="3">
        <v>3526071</v>
      </c>
    </row>
    <row r="294" spans="1:23">
      <c r="A294" t="s">
        <v>31</v>
      </c>
      <c r="B294" t="s">
        <v>32</v>
      </c>
      <c r="C294" s="2">
        <v>45864</v>
      </c>
      <c r="D294" t="s">
        <v>71</v>
      </c>
      <c r="E294" t="s">
        <v>72</v>
      </c>
      <c r="F294" t="s">
        <v>348</v>
      </c>
      <c r="G294" t="s">
        <v>342</v>
      </c>
      <c r="I294" t="s">
        <v>349</v>
      </c>
      <c r="J294" s="2">
        <v>45588</v>
      </c>
      <c r="K294">
        <v>7.53</v>
      </c>
      <c r="L294">
        <v>7.53</v>
      </c>
      <c r="M294" s="2">
        <v>49202</v>
      </c>
      <c r="N294">
        <v>196000</v>
      </c>
      <c r="O294">
        <v>212611.42</v>
      </c>
      <c r="Q294">
        <v>0</v>
      </c>
      <c r="R294">
        <v>0</v>
      </c>
      <c r="S294">
        <v>212611.42</v>
      </c>
      <c r="T294" t="s">
        <v>121</v>
      </c>
      <c r="U294" t="s">
        <v>26</v>
      </c>
      <c r="W294" s="3">
        <v>16080857</v>
      </c>
    </row>
    <row r="295" spans="1:23">
      <c r="A295" t="s">
        <v>60</v>
      </c>
      <c r="B295" t="s">
        <v>61</v>
      </c>
      <c r="C295" s="2">
        <v>45864</v>
      </c>
      <c r="D295" t="s">
        <v>71</v>
      </c>
      <c r="E295" t="s">
        <v>72</v>
      </c>
      <c r="F295" t="s">
        <v>348</v>
      </c>
      <c r="G295" t="s">
        <v>342</v>
      </c>
      <c r="I295" t="s">
        <v>349</v>
      </c>
      <c r="J295" s="2">
        <v>45588</v>
      </c>
      <c r="K295">
        <v>7.53</v>
      </c>
      <c r="L295">
        <v>7.53</v>
      </c>
      <c r="M295" s="2">
        <v>49202</v>
      </c>
      <c r="N295">
        <v>196000</v>
      </c>
      <c r="O295">
        <v>212611.42</v>
      </c>
      <c r="Q295">
        <v>0</v>
      </c>
      <c r="R295">
        <v>0</v>
      </c>
      <c r="S295">
        <v>212611.42</v>
      </c>
      <c r="T295" t="s">
        <v>121</v>
      </c>
      <c r="U295" t="s">
        <v>26</v>
      </c>
      <c r="W295" s="3">
        <v>43809092</v>
      </c>
    </row>
    <row r="296" spans="1:23">
      <c r="A296" t="s">
        <v>66</v>
      </c>
      <c r="B296" t="s">
        <v>67</v>
      </c>
      <c r="C296" s="2">
        <v>45864</v>
      </c>
      <c r="D296" t="s">
        <v>71</v>
      </c>
      <c r="E296" t="s">
        <v>72</v>
      </c>
      <c r="F296" t="s">
        <v>350</v>
      </c>
      <c r="G296" t="s">
        <v>342</v>
      </c>
      <c r="I296" t="s">
        <v>351</v>
      </c>
      <c r="J296" s="2">
        <v>45589</v>
      </c>
      <c r="K296">
        <v>7.17</v>
      </c>
      <c r="L296">
        <v>7.1790000000000003</v>
      </c>
      <c r="M296" s="2">
        <v>48106</v>
      </c>
      <c r="N296">
        <v>186</v>
      </c>
      <c r="O296">
        <v>212871.32</v>
      </c>
      <c r="Q296">
        <v>0</v>
      </c>
      <c r="R296">
        <v>0</v>
      </c>
      <c r="S296">
        <v>212871.32</v>
      </c>
      <c r="T296" t="s">
        <v>121</v>
      </c>
      <c r="U296" t="s">
        <v>26</v>
      </c>
      <c r="W296" s="3">
        <v>26713709</v>
      </c>
    </row>
    <row r="297" spans="1:23">
      <c r="A297" t="s">
        <v>60</v>
      </c>
      <c r="B297" t="s">
        <v>61</v>
      </c>
      <c r="C297" s="2">
        <v>45864</v>
      </c>
      <c r="D297" t="s">
        <v>71</v>
      </c>
      <c r="E297" t="s">
        <v>72</v>
      </c>
      <c r="F297" t="s">
        <v>350</v>
      </c>
      <c r="G297" t="s">
        <v>342</v>
      </c>
      <c r="I297" t="s">
        <v>351</v>
      </c>
      <c r="J297" s="2">
        <v>45589</v>
      </c>
      <c r="K297">
        <v>7.17</v>
      </c>
      <c r="L297">
        <v>7.1790000000000003</v>
      </c>
      <c r="M297" s="2">
        <v>48106</v>
      </c>
      <c r="N297">
        <v>187</v>
      </c>
      <c r="O297">
        <v>214015.79</v>
      </c>
      <c r="P297" s="4"/>
      <c r="Q297">
        <v>0</v>
      </c>
      <c r="R297">
        <v>0</v>
      </c>
      <c r="S297">
        <v>214015.79</v>
      </c>
      <c r="T297" t="s">
        <v>121</v>
      </c>
      <c r="U297" t="s">
        <v>26</v>
      </c>
      <c r="W297" s="3">
        <v>38329671</v>
      </c>
    </row>
    <row r="298" spans="1:23">
      <c r="A298" t="s">
        <v>31</v>
      </c>
      <c r="B298" t="s">
        <v>32</v>
      </c>
      <c r="C298" s="2">
        <v>45864</v>
      </c>
      <c r="D298" t="s">
        <v>71</v>
      </c>
      <c r="E298" t="s">
        <v>72</v>
      </c>
      <c r="F298" t="s">
        <v>350</v>
      </c>
      <c r="G298" t="s">
        <v>342</v>
      </c>
      <c r="I298" t="s">
        <v>351</v>
      </c>
      <c r="J298" s="2">
        <v>45589</v>
      </c>
      <c r="K298">
        <v>7.17</v>
      </c>
      <c r="L298">
        <v>7.1790000000000003</v>
      </c>
      <c r="M298" s="2">
        <v>48106</v>
      </c>
      <c r="N298">
        <v>187</v>
      </c>
      <c r="O298">
        <v>214015.79</v>
      </c>
      <c r="Q298">
        <v>0</v>
      </c>
      <c r="R298">
        <v>0</v>
      </c>
      <c r="S298">
        <v>214015.79</v>
      </c>
      <c r="T298" t="s">
        <v>121</v>
      </c>
      <c r="U298" t="s">
        <v>26</v>
      </c>
      <c r="W298" s="3">
        <v>64943013</v>
      </c>
    </row>
    <row r="299" spans="1:23">
      <c r="A299" t="s">
        <v>43</v>
      </c>
      <c r="B299" t="s">
        <v>44</v>
      </c>
      <c r="C299" s="2">
        <v>45864</v>
      </c>
      <c r="D299" t="s">
        <v>71</v>
      </c>
      <c r="E299" t="s">
        <v>72</v>
      </c>
      <c r="F299" t="s">
        <v>352</v>
      </c>
      <c r="G299" t="s">
        <v>342</v>
      </c>
      <c r="I299" t="s">
        <v>353</v>
      </c>
      <c r="J299" s="2">
        <v>45198</v>
      </c>
      <c r="K299">
        <v>13.96</v>
      </c>
      <c r="L299">
        <v>13.966200000000001</v>
      </c>
      <c r="M299" s="2">
        <v>47378</v>
      </c>
      <c r="N299">
        <v>300</v>
      </c>
      <c r="O299">
        <v>308773.31</v>
      </c>
      <c r="Q299">
        <v>0</v>
      </c>
      <c r="R299">
        <v>0</v>
      </c>
      <c r="S299">
        <v>308773.31</v>
      </c>
      <c r="T299" t="s">
        <v>94</v>
      </c>
      <c r="U299" t="s">
        <v>26</v>
      </c>
      <c r="W299" s="3">
        <v>84185588</v>
      </c>
    </row>
    <row r="300" spans="1:23">
      <c r="A300" t="s">
        <v>66</v>
      </c>
      <c r="B300" t="s">
        <v>67</v>
      </c>
      <c r="C300" s="2">
        <v>45864</v>
      </c>
      <c r="D300" t="s">
        <v>71</v>
      </c>
      <c r="E300" t="s">
        <v>72</v>
      </c>
      <c r="F300" t="s">
        <v>354</v>
      </c>
      <c r="G300" t="s">
        <v>342</v>
      </c>
      <c r="I300" t="s">
        <v>353</v>
      </c>
      <c r="J300" s="2">
        <v>45111</v>
      </c>
      <c r="K300">
        <v>7.94</v>
      </c>
      <c r="L300">
        <v>7.94</v>
      </c>
      <c r="M300" s="2">
        <v>47467</v>
      </c>
      <c r="N300">
        <v>70</v>
      </c>
      <c r="O300">
        <v>84170.63</v>
      </c>
      <c r="Q300">
        <v>0</v>
      </c>
      <c r="R300">
        <v>0</v>
      </c>
      <c r="S300">
        <v>84170.63</v>
      </c>
      <c r="T300" t="s">
        <v>121</v>
      </c>
      <c r="U300" t="s">
        <v>26</v>
      </c>
      <c r="W300" s="3">
        <v>27744480</v>
      </c>
    </row>
    <row r="301" spans="1:23">
      <c r="A301" t="s">
        <v>54</v>
      </c>
      <c r="B301" t="s">
        <v>55</v>
      </c>
      <c r="C301" s="2">
        <v>45864</v>
      </c>
      <c r="D301" t="s">
        <v>71</v>
      </c>
      <c r="E301" t="s">
        <v>72</v>
      </c>
      <c r="F301" t="s">
        <v>355</v>
      </c>
      <c r="G301" t="s">
        <v>342</v>
      </c>
      <c r="I301" t="s">
        <v>356</v>
      </c>
      <c r="J301" s="2">
        <v>45614</v>
      </c>
      <c r="K301">
        <v>6.9</v>
      </c>
      <c r="L301">
        <v>6.9</v>
      </c>
      <c r="M301" s="2">
        <v>47253</v>
      </c>
      <c r="N301">
        <v>156</v>
      </c>
      <c r="O301">
        <v>212109.82</v>
      </c>
      <c r="Q301">
        <v>0</v>
      </c>
      <c r="R301">
        <v>0</v>
      </c>
      <c r="S301">
        <v>212109.82</v>
      </c>
      <c r="T301" t="s">
        <v>121</v>
      </c>
      <c r="U301" t="s">
        <v>26</v>
      </c>
      <c r="W301" s="3">
        <v>44910091</v>
      </c>
    </row>
    <row r="302" spans="1:23">
      <c r="A302" t="s">
        <v>66</v>
      </c>
      <c r="B302" t="s">
        <v>67</v>
      </c>
      <c r="C302" s="2">
        <v>45864</v>
      </c>
      <c r="D302" t="s">
        <v>71</v>
      </c>
      <c r="E302" t="s">
        <v>72</v>
      </c>
      <c r="F302" t="s">
        <v>357</v>
      </c>
      <c r="G302" t="s">
        <v>342</v>
      </c>
      <c r="I302" t="s">
        <v>356</v>
      </c>
      <c r="J302" s="2">
        <v>45112</v>
      </c>
      <c r="K302">
        <v>5.36</v>
      </c>
      <c r="L302">
        <v>5.5</v>
      </c>
      <c r="M302" s="2">
        <v>47953</v>
      </c>
      <c r="N302">
        <v>150</v>
      </c>
      <c r="O302">
        <v>190501.62</v>
      </c>
      <c r="Q302">
        <v>0</v>
      </c>
      <c r="R302">
        <v>0</v>
      </c>
      <c r="S302">
        <v>190501.62</v>
      </c>
      <c r="T302" t="s">
        <v>121</v>
      </c>
      <c r="U302" t="s">
        <v>26</v>
      </c>
      <c r="W302" s="3">
        <v>44251296</v>
      </c>
    </row>
    <row r="303" spans="1:23">
      <c r="A303" t="s">
        <v>66</v>
      </c>
      <c r="B303" t="s">
        <v>67</v>
      </c>
      <c r="C303" s="2">
        <v>45864</v>
      </c>
      <c r="D303" t="s">
        <v>71</v>
      </c>
      <c r="E303" t="s">
        <v>72</v>
      </c>
      <c r="F303" t="s">
        <v>357</v>
      </c>
      <c r="G303" t="s">
        <v>342</v>
      </c>
      <c r="I303" t="s">
        <v>356</v>
      </c>
      <c r="J303" s="2">
        <v>45117</v>
      </c>
      <c r="K303">
        <v>5.36</v>
      </c>
      <c r="L303">
        <v>5.36</v>
      </c>
      <c r="M303" s="2">
        <v>47953</v>
      </c>
      <c r="N303">
        <v>150</v>
      </c>
      <c r="O303">
        <v>191686.76</v>
      </c>
      <c r="Q303">
        <v>0</v>
      </c>
      <c r="R303">
        <v>0</v>
      </c>
      <c r="S303">
        <v>191686.76</v>
      </c>
      <c r="T303" t="s">
        <v>121</v>
      </c>
      <c r="U303" t="s">
        <v>26</v>
      </c>
      <c r="W303" s="3">
        <v>34481176</v>
      </c>
    </row>
    <row r="304" spans="1:23">
      <c r="A304" t="s">
        <v>60</v>
      </c>
      <c r="B304" t="s">
        <v>61</v>
      </c>
      <c r="C304" s="2">
        <v>45864</v>
      </c>
      <c r="D304" t="s">
        <v>71</v>
      </c>
      <c r="E304" t="s">
        <v>72</v>
      </c>
      <c r="F304" t="s">
        <v>357</v>
      </c>
      <c r="G304" t="s">
        <v>342</v>
      </c>
      <c r="I304" t="s">
        <v>356</v>
      </c>
      <c r="J304" s="2">
        <v>45677</v>
      </c>
      <c r="K304">
        <v>7.7</v>
      </c>
      <c r="L304">
        <v>7.7</v>
      </c>
      <c r="M304" s="2">
        <v>47953</v>
      </c>
      <c r="N304">
        <v>169</v>
      </c>
      <c r="O304">
        <v>194197.12</v>
      </c>
      <c r="Q304">
        <v>0</v>
      </c>
      <c r="R304">
        <v>0</v>
      </c>
      <c r="S304">
        <v>194197.12</v>
      </c>
      <c r="T304" t="s">
        <v>121</v>
      </c>
      <c r="U304" t="s">
        <v>26</v>
      </c>
      <c r="W304" s="3">
        <v>3955375</v>
      </c>
    </row>
    <row r="305" spans="1:23">
      <c r="A305" t="s">
        <v>66</v>
      </c>
      <c r="B305" t="s">
        <v>67</v>
      </c>
      <c r="C305" s="2">
        <v>45864</v>
      </c>
      <c r="D305" t="s">
        <v>71</v>
      </c>
      <c r="E305" t="s">
        <v>72</v>
      </c>
      <c r="F305" t="s">
        <v>358</v>
      </c>
      <c r="G305" t="s">
        <v>342</v>
      </c>
      <c r="I305" t="s">
        <v>356</v>
      </c>
      <c r="J305" s="2">
        <v>45824</v>
      </c>
      <c r="K305">
        <v>7.19</v>
      </c>
      <c r="L305">
        <v>7.19</v>
      </c>
      <c r="M305" s="2">
        <v>48106</v>
      </c>
      <c r="N305">
        <v>151</v>
      </c>
      <c r="O305">
        <v>163076.42000000001</v>
      </c>
      <c r="Q305">
        <v>0</v>
      </c>
      <c r="R305">
        <v>0</v>
      </c>
      <c r="S305">
        <v>163076.42000000001</v>
      </c>
      <c r="T305" t="s">
        <v>121</v>
      </c>
      <c r="U305" t="s">
        <v>26</v>
      </c>
      <c r="W305" s="3">
        <v>30488913</v>
      </c>
    </row>
    <row r="306" spans="1:23">
      <c r="A306" t="s">
        <v>51</v>
      </c>
      <c r="B306" t="s">
        <v>52</v>
      </c>
      <c r="C306" s="2">
        <v>45864</v>
      </c>
      <c r="D306" t="s">
        <v>71</v>
      </c>
      <c r="E306" t="s">
        <v>72</v>
      </c>
      <c r="F306" t="s">
        <v>358</v>
      </c>
      <c r="G306" t="s">
        <v>342</v>
      </c>
      <c r="I306" t="s">
        <v>356</v>
      </c>
      <c r="J306" s="2">
        <v>45264</v>
      </c>
      <c r="K306">
        <v>6</v>
      </c>
      <c r="L306">
        <v>6</v>
      </c>
      <c r="M306" s="2">
        <v>48106</v>
      </c>
      <c r="N306">
        <v>386</v>
      </c>
      <c r="O306">
        <v>437714.51</v>
      </c>
      <c r="Q306">
        <v>0</v>
      </c>
      <c r="R306">
        <v>0</v>
      </c>
      <c r="S306">
        <v>437714.51</v>
      </c>
      <c r="T306" t="s">
        <v>121</v>
      </c>
      <c r="U306" t="s">
        <v>26</v>
      </c>
      <c r="W306" s="3">
        <v>4161706</v>
      </c>
    </row>
    <row r="307" spans="1:23">
      <c r="A307" t="s">
        <v>43</v>
      </c>
      <c r="B307" t="s">
        <v>44</v>
      </c>
      <c r="C307" s="2">
        <v>45864</v>
      </c>
      <c r="D307" t="s">
        <v>71</v>
      </c>
      <c r="E307" t="s">
        <v>72</v>
      </c>
      <c r="F307" t="s">
        <v>358</v>
      </c>
      <c r="G307" t="s">
        <v>342</v>
      </c>
      <c r="I307" t="s">
        <v>356</v>
      </c>
      <c r="J307" s="2">
        <v>45190</v>
      </c>
      <c r="K307">
        <v>6.31</v>
      </c>
      <c r="L307">
        <v>6.3170000000000002</v>
      </c>
      <c r="M307" s="2">
        <v>48106</v>
      </c>
      <c r="N307">
        <v>443</v>
      </c>
      <c r="O307">
        <v>472662.63</v>
      </c>
      <c r="Q307">
        <v>0</v>
      </c>
      <c r="R307">
        <v>0</v>
      </c>
      <c r="S307">
        <v>472662.63</v>
      </c>
      <c r="T307" t="s">
        <v>121</v>
      </c>
      <c r="U307" t="s">
        <v>26</v>
      </c>
      <c r="W307" s="3">
        <v>73668684</v>
      </c>
    </row>
    <row r="308" spans="1:23">
      <c r="A308" t="s">
        <v>58</v>
      </c>
      <c r="B308" t="s">
        <v>59</v>
      </c>
      <c r="C308" s="2">
        <v>45864</v>
      </c>
      <c r="D308" t="s">
        <v>71</v>
      </c>
      <c r="E308" t="s">
        <v>72</v>
      </c>
      <c r="F308" t="s">
        <v>359</v>
      </c>
      <c r="G308" t="s">
        <v>342</v>
      </c>
      <c r="I308" t="s">
        <v>360</v>
      </c>
      <c r="J308" s="2">
        <v>45412</v>
      </c>
      <c r="K308">
        <v>6.44</v>
      </c>
      <c r="L308">
        <v>6.4484000000000004</v>
      </c>
      <c r="M308" s="2">
        <v>47953</v>
      </c>
      <c r="N308">
        <v>170</v>
      </c>
      <c r="O308">
        <v>183056.84</v>
      </c>
      <c r="Q308">
        <v>0</v>
      </c>
      <c r="R308">
        <v>0</v>
      </c>
      <c r="S308">
        <v>183056.84</v>
      </c>
      <c r="T308" t="s">
        <v>121</v>
      </c>
      <c r="U308" t="s">
        <v>26</v>
      </c>
      <c r="W308" s="3">
        <v>4930037</v>
      </c>
    </row>
    <row r="309" spans="1:23">
      <c r="A309" t="s">
        <v>53</v>
      </c>
      <c r="B309" t="s">
        <v>48</v>
      </c>
      <c r="C309" s="2">
        <v>45864</v>
      </c>
      <c r="D309" t="s">
        <v>71</v>
      </c>
      <c r="E309" t="s">
        <v>72</v>
      </c>
      <c r="F309" t="s">
        <v>359</v>
      </c>
      <c r="G309" t="s">
        <v>342</v>
      </c>
      <c r="I309" t="s">
        <v>360</v>
      </c>
      <c r="J309" s="2">
        <v>45412</v>
      </c>
      <c r="K309">
        <v>6.44</v>
      </c>
      <c r="L309">
        <v>6.4484000000000004</v>
      </c>
      <c r="M309" s="2">
        <v>47953</v>
      </c>
      <c r="N309">
        <v>200</v>
      </c>
      <c r="O309">
        <v>215360.98</v>
      </c>
      <c r="Q309">
        <v>0</v>
      </c>
      <c r="R309">
        <v>0</v>
      </c>
      <c r="S309">
        <v>215360.98</v>
      </c>
      <c r="T309" t="s">
        <v>121</v>
      </c>
      <c r="U309" t="s">
        <v>26</v>
      </c>
      <c r="W309" s="3">
        <v>15409816</v>
      </c>
    </row>
    <row r="310" spans="1:23">
      <c r="A310" t="s">
        <v>31</v>
      </c>
      <c r="B310" t="s">
        <v>32</v>
      </c>
      <c r="C310" s="2">
        <v>45864</v>
      </c>
      <c r="D310" t="s">
        <v>71</v>
      </c>
      <c r="E310" t="s">
        <v>72</v>
      </c>
      <c r="F310" t="s">
        <v>359</v>
      </c>
      <c r="G310" t="s">
        <v>342</v>
      </c>
      <c r="I310" t="s">
        <v>360</v>
      </c>
      <c r="J310" s="2">
        <v>45492</v>
      </c>
      <c r="K310">
        <v>6.46</v>
      </c>
      <c r="L310">
        <v>6.46</v>
      </c>
      <c r="M310" s="2">
        <v>47953</v>
      </c>
      <c r="N310">
        <v>350</v>
      </c>
      <c r="O310">
        <v>376703.15</v>
      </c>
      <c r="Q310">
        <v>0</v>
      </c>
      <c r="R310">
        <v>0</v>
      </c>
      <c r="S310">
        <v>376703.15</v>
      </c>
      <c r="T310" t="s">
        <v>121</v>
      </c>
      <c r="U310" t="s">
        <v>26</v>
      </c>
      <c r="W310" s="3">
        <v>52962047</v>
      </c>
    </row>
    <row r="311" spans="1:23">
      <c r="A311" t="s">
        <v>51</v>
      </c>
      <c r="B311" t="s">
        <v>52</v>
      </c>
      <c r="C311" s="2">
        <v>45864</v>
      </c>
      <c r="D311" t="s">
        <v>71</v>
      </c>
      <c r="E311" t="s">
        <v>72</v>
      </c>
      <c r="F311" t="s">
        <v>361</v>
      </c>
      <c r="G311" t="s">
        <v>342</v>
      </c>
      <c r="I311" t="s">
        <v>362</v>
      </c>
      <c r="J311" s="2">
        <v>45644</v>
      </c>
      <c r="K311">
        <v>7.72</v>
      </c>
      <c r="L311">
        <v>7.726</v>
      </c>
      <c r="M311" s="2">
        <v>47192</v>
      </c>
      <c r="N311">
        <v>50</v>
      </c>
      <c r="O311">
        <v>51337.29</v>
      </c>
      <c r="P311" s="4"/>
      <c r="Q311">
        <v>0</v>
      </c>
      <c r="R311">
        <v>0</v>
      </c>
      <c r="S311">
        <v>51337.29</v>
      </c>
      <c r="T311" t="s">
        <v>121</v>
      </c>
      <c r="U311" t="s">
        <v>26</v>
      </c>
      <c r="W311" s="3">
        <v>23334376</v>
      </c>
    </row>
    <row r="312" spans="1:23">
      <c r="A312" t="s">
        <v>54</v>
      </c>
      <c r="B312" t="s">
        <v>55</v>
      </c>
      <c r="C312" s="2">
        <v>45864</v>
      </c>
      <c r="D312" t="s">
        <v>71</v>
      </c>
      <c r="E312" t="s">
        <v>72</v>
      </c>
      <c r="F312" t="s">
        <v>361</v>
      </c>
      <c r="G312" t="s">
        <v>342</v>
      </c>
      <c r="I312" t="s">
        <v>362</v>
      </c>
      <c r="J312" s="2">
        <v>45644</v>
      </c>
      <c r="K312">
        <v>7.72</v>
      </c>
      <c r="L312">
        <v>7.726</v>
      </c>
      <c r="M312" s="2">
        <v>47192</v>
      </c>
      <c r="N312">
        <v>50</v>
      </c>
      <c r="O312">
        <v>51337.29</v>
      </c>
      <c r="Q312">
        <v>0</v>
      </c>
      <c r="R312">
        <v>0</v>
      </c>
      <c r="S312">
        <v>51337.29</v>
      </c>
      <c r="T312" t="s">
        <v>121</v>
      </c>
      <c r="U312" t="s">
        <v>26</v>
      </c>
      <c r="W312" s="3">
        <v>32240462</v>
      </c>
    </row>
    <row r="313" spans="1:23">
      <c r="A313" t="s">
        <v>66</v>
      </c>
      <c r="B313" t="s">
        <v>67</v>
      </c>
      <c r="C313" s="2">
        <v>45864</v>
      </c>
      <c r="D313" t="s">
        <v>71</v>
      </c>
      <c r="E313" t="s">
        <v>72</v>
      </c>
      <c r="F313" t="s">
        <v>361</v>
      </c>
      <c r="G313" t="s">
        <v>342</v>
      </c>
      <c r="I313" t="s">
        <v>362</v>
      </c>
      <c r="J313" s="2">
        <v>45644</v>
      </c>
      <c r="K313">
        <v>7.72</v>
      </c>
      <c r="L313">
        <v>7.726</v>
      </c>
      <c r="M313" s="2">
        <v>47192</v>
      </c>
      <c r="N313">
        <v>100</v>
      </c>
      <c r="O313">
        <v>102674.59</v>
      </c>
      <c r="Q313">
        <v>0</v>
      </c>
      <c r="R313">
        <v>0</v>
      </c>
      <c r="S313">
        <v>102674.59</v>
      </c>
      <c r="T313" t="s">
        <v>121</v>
      </c>
      <c r="U313" t="s">
        <v>26</v>
      </c>
      <c r="W313" s="3">
        <v>40239019</v>
      </c>
    </row>
    <row r="314" spans="1:23">
      <c r="A314" t="s">
        <v>66</v>
      </c>
      <c r="B314" t="s">
        <v>67</v>
      </c>
      <c r="C314" s="2">
        <v>45864</v>
      </c>
      <c r="D314" t="s">
        <v>71</v>
      </c>
      <c r="E314" t="s">
        <v>72</v>
      </c>
      <c r="F314" t="s">
        <v>363</v>
      </c>
      <c r="G314" t="s">
        <v>342</v>
      </c>
      <c r="I314" t="s">
        <v>364</v>
      </c>
      <c r="J314" s="2">
        <v>45824</v>
      </c>
      <c r="K314">
        <v>7.39</v>
      </c>
      <c r="L314">
        <v>7.39</v>
      </c>
      <c r="M314" s="2">
        <v>47679</v>
      </c>
      <c r="N314">
        <v>95</v>
      </c>
      <c r="O314">
        <v>101256.28</v>
      </c>
      <c r="Q314">
        <v>0</v>
      </c>
      <c r="R314">
        <v>0</v>
      </c>
      <c r="S314">
        <v>101256.28</v>
      </c>
      <c r="T314" t="s">
        <v>121</v>
      </c>
      <c r="U314" t="s">
        <v>26</v>
      </c>
      <c r="W314" s="3">
        <v>43560482</v>
      </c>
    </row>
    <row r="315" spans="1:23">
      <c r="A315" t="s">
        <v>56</v>
      </c>
      <c r="B315" t="s">
        <v>57</v>
      </c>
      <c r="C315" s="2">
        <v>45864</v>
      </c>
      <c r="D315" t="s">
        <v>71</v>
      </c>
      <c r="E315" t="s">
        <v>72</v>
      </c>
      <c r="F315" t="s">
        <v>365</v>
      </c>
      <c r="G315" t="s">
        <v>342</v>
      </c>
      <c r="I315" t="s">
        <v>366</v>
      </c>
      <c r="J315" s="2">
        <v>45664</v>
      </c>
      <c r="K315">
        <v>7.24</v>
      </c>
      <c r="L315">
        <v>7.24</v>
      </c>
      <c r="M315" s="2">
        <v>48197</v>
      </c>
      <c r="N315">
        <v>116</v>
      </c>
      <c r="O315">
        <v>132137.60999999999</v>
      </c>
      <c r="Q315">
        <v>0</v>
      </c>
      <c r="R315">
        <v>0</v>
      </c>
      <c r="S315">
        <v>132137.60999999999</v>
      </c>
      <c r="T315" t="s">
        <v>121</v>
      </c>
      <c r="U315" t="s">
        <v>26</v>
      </c>
      <c r="W315" s="3">
        <v>37067972</v>
      </c>
    </row>
    <row r="316" spans="1:23">
      <c r="A316" t="s">
        <v>51</v>
      </c>
      <c r="B316" t="s">
        <v>52</v>
      </c>
      <c r="C316" s="2">
        <v>45864</v>
      </c>
      <c r="D316" t="s">
        <v>71</v>
      </c>
      <c r="E316" t="s">
        <v>72</v>
      </c>
      <c r="F316" t="s">
        <v>367</v>
      </c>
      <c r="G316" t="s">
        <v>342</v>
      </c>
      <c r="I316" t="s">
        <v>366</v>
      </c>
      <c r="J316" s="2">
        <v>45695</v>
      </c>
      <c r="K316">
        <v>7.49</v>
      </c>
      <c r="L316">
        <v>7.49</v>
      </c>
      <c r="M316" s="2">
        <v>49324</v>
      </c>
      <c r="N316">
        <v>199</v>
      </c>
      <c r="O316">
        <v>212777.67</v>
      </c>
      <c r="Q316">
        <v>0</v>
      </c>
      <c r="R316">
        <v>0</v>
      </c>
      <c r="S316">
        <v>212777.67</v>
      </c>
      <c r="T316" t="s">
        <v>121</v>
      </c>
      <c r="U316" t="s">
        <v>26</v>
      </c>
      <c r="W316" s="3">
        <v>25109705</v>
      </c>
    </row>
    <row r="317" spans="1:23">
      <c r="A317" t="s">
        <v>66</v>
      </c>
      <c r="B317" t="s">
        <v>67</v>
      </c>
      <c r="C317" s="2">
        <v>45864</v>
      </c>
      <c r="D317" t="s">
        <v>71</v>
      </c>
      <c r="E317" t="s">
        <v>72</v>
      </c>
      <c r="F317" t="s">
        <v>367</v>
      </c>
      <c r="G317" t="s">
        <v>342</v>
      </c>
      <c r="I317" t="s">
        <v>366</v>
      </c>
      <c r="J317" s="2">
        <v>45695</v>
      </c>
      <c r="K317">
        <v>7.49</v>
      </c>
      <c r="L317">
        <v>7.49</v>
      </c>
      <c r="M317" s="2">
        <v>49324</v>
      </c>
      <c r="N317">
        <v>199</v>
      </c>
      <c r="O317">
        <v>212777.67</v>
      </c>
      <c r="Q317">
        <v>0</v>
      </c>
      <c r="R317">
        <v>0</v>
      </c>
      <c r="S317">
        <v>212777.67</v>
      </c>
      <c r="T317" t="s">
        <v>121</v>
      </c>
      <c r="U317" t="s">
        <v>26</v>
      </c>
      <c r="W317" s="3">
        <v>25770650</v>
      </c>
    </row>
    <row r="318" spans="1:23">
      <c r="A318" t="s">
        <v>43</v>
      </c>
      <c r="B318" t="s">
        <v>44</v>
      </c>
      <c r="C318" s="2">
        <v>45864</v>
      </c>
      <c r="D318" t="s">
        <v>71</v>
      </c>
      <c r="E318" t="s">
        <v>72</v>
      </c>
      <c r="F318" t="s">
        <v>368</v>
      </c>
      <c r="G318" t="s">
        <v>342</v>
      </c>
      <c r="I318" t="s">
        <v>369</v>
      </c>
      <c r="J318" s="2">
        <v>43966</v>
      </c>
      <c r="K318">
        <v>6</v>
      </c>
      <c r="L318">
        <v>6</v>
      </c>
      <c r="M318" s="2">
        <v>48380</v>
      </c>
      <c r="N318">
        <v>179</v>
      </c>
      <c r="O318">
        <v>217571.27</v>
      </c>
      <c r="Q318">
        <v>0</v>
      </c>
      <c r="R318">
        <v>0</v>
      </c>
      <c r="S318">
        <v>217571.27</v>
      </c>
      <c r="T318" t="s">
        <v>121</v>
      </c>
      <c r="U318" t="s">
        <v>26</v>
      </c>
      <c r="W318" s="3">
        <v>79234807</v>
      </c>
    </row>
    <row r="319" spans="1:23">
      <c r="A319" t="s">
        <v>53</v>
      </c>
      <c r="B319" t="s">
        <v>48</v>
      </c>
      <c r="C319" s="2">
        <v>45864</v>
      </c>
      <c r="D319" t="s">
        <v>71</v>
      </c>
      <c r="E319" t="s">
        <v>72</v>
      </c>
      <c r="F319" t="s">
        <v>370</v>
      </c>
      <c r="G319" t="s">
        <v>342</v>
      </c>
      <c r="I319" t="s">
        <v>371</v>
      </c>
      <c r="J319" s="2">
        <v>45447</v>
      </c>
      <c r="K319">
        <v>6.45</v>
      </c>
      <c r="L319">
        <v>6.45</v>
      </c>
      <c r="M319" s="2">
        <v>47467</v>
      </c>
      <c r="N319">
        <v>175</v>
      </c>
      <c r="O319">
        <v>205079.82</v>
      </c>
      <c r="Q319">
        <v>0</v>
      </c>
      <c r="R319">
        <v>0</v>
      </c>
      <c r="S319">
        <v>205079.82</v>
      </c>
      <c r="T319" t="s">
        <v>121</v>
      </c>
      <c r="U319" t="s">
        <v>26</v>
      </c>
      <c r="W319" s="3">
        <v>10243703</v>
      </c>
    </row>
    <row r="320" spans="1:23">
      <c r="A320" t="s">
        <v>31</v>
      </c>
      <c r="B320" t="s">
        <v>32</v>
      </c>
      <c r="C320" s="2">
        <v>45864</v>
      </c>
      <c r="D320" t="s">
        <v>71</v>
      </c>
      <c r="E320" t="s">
        <v>72</v>
      </c>
      <c r="F320" t="s">
        <v>372</v>
      </c>
      <c r="G320" t="s">
        <v>342</v>
      </c>
      <c r="I320" t="s">
        <v>373</v>
      </c>
      <c r="J320" s="2">
        <v>45489</v>
      </c>
      <c r="K320">
        <v>6.62</v>
      </c>
      <c r="L320">
        <v>6.62</v>
      </c>
      <c r="M320" s="2">
        <v>47679</v>
      </c>
      <c r="N320">
        <v>339</v>
      </c>
      <c r="O320">
        <v>371323.85</v>
      </c>
      <c r="Q320">
        <v>0</v>
      </c>
      <c r="R320">
        <v>0</v>
      </c>
      <c r="S320">
        <v>371323.85</v>
      </c>
      <c r="T320" t="s">
        <v>121</v>
      </c>
      <c r="U320" t="s">
        <v>26</v>
      </c>
      <c r="W320" s="3">
        <v>82857148</v>
      </c>
    </row>
    <row r="321" spans="1:23">
      <c r="A321" t="s">
        <v>56</v>
      </c>
      <c r="B321" t="s">
        <v>57</v>
      </c>
      <c r="C321" s="2">
        <v>45864</v>
      </c>
      <c r="D321" t="s">
        <v>71</v>
      </c>
      <c r="E321" t="s">
        <v>72</v>
      </c>
      <c r="F321" t="s">
        <v>374</v>
      </c>
      <c r="G321" t="s">
        <v>342</v>
      </c>
      <c r="I321" t="s">
        <v>375</v>
      </c>
      <c r="J321" s="2">
        <v>45646</v>
      </c>
      <c r="K321">
        <v>7.7</v>
      </c>
      <c r="L321">
        <v>7.7</v>
      </c>
      <c r="M321" s="2">
        <v>48014</v>
      </c>
      <c r="N321">
        <v>163</v>
      </c>
      <c r="O321">
        <v>166407.18</v>
      </c>
      <c r="Q321">
        <v>0</v>
      </c>
      <c r="R321">
        <v>0</v>
      </c>
      <c r="S321">
        <v>166407.18</v>
      </c>
      <c r="T321" t="s">
        <v>121</v>
      </c>
      <c r="U321" t="s">
        <v>26</v>
      </c>
      <c r="W321" s="3">
        <v>19731180</v>
      </c>
    </row>
    <row r="322" spans="1:23">
      <c r="A322" t="s">
        <v>53</v>
      </c>
      <c r="B322" t="s">
        <v>48</v>
      </c>
      <c r="C322" s="2">
        <v>45864</v>
      </c>
      <c r="D322" t="s">
        <v>71</v>
      </c>
      <c r="E322" t="s">
        <v>72</v>
      </c>
      <c r="F322" t="s">
        <v>376</v>
      </c>
      <c r="G322" t="s">
        <v>342</v>
      </c>
      <c r="I322" t="s">
        <v>377</v>
      </c>
      <c r="J322" s="2">
        <v>45348</v>
      </c>
      <c r="K322">
        <v>3.35</v>
      </c>
      <c r="L322">
        <v>3.35</v>
      </c>
      <c r="M322" s="2">
        <v>47067</v>
      </c>
      <c r="N322">
        <v>205</v>
      </c>
      <c r="O322">
        <v>203938.18</v>
      </c>
      <c r="Q322">
        <v>1793.51</v>
      </c>
      <c r="R322">
        <v>0</v>
      </c>
      <c r="S322">
        <v>202144.67</v>
      </c>
      <c r="T322" t="s">
        <v>76</v>
      </c>
      <c r="U322" t="s">
        <v>26</v>
      </c>
      <c r="W322" s="3">
        <v>24425066</v>
      </c>
    </row>
    <row r="323" spans="1:23">
      <c r="A323" t="s">
        <v>66</v>
      </c>
      <c r="B323" t="s">
        <v>67</v>
      </c>
      <c r="C323" s="2">
        <v>45864</v>
      </c>
      <c r="D323" t="s">
        <v>71</v>
      </c>
      <c r="E323" t="s">
        <v>72</v>
      </c>
      <c r="F323" t="s">
        <v>378</v>
      </c>
      <c r="G323" t="s">
        <v>342</v>
      </c>
      <c r="I323" t="s">
        <v>377</v>
      </c>
      <c r="J323" s="2">
        <v>45125</v>
      </c>
      <c r="K323">
        <v>7</v>
      </c>
      <c r="L323">
        <v>7</v>
      </c>
      <c r="M323" s="2">
        <v>50601</v>
      </c>
      <c r="N323">
        <v>160</v>
      </c>
      <c r="O323">
        <v>176270.06</v>
      </c>
      <c r="Q323">
        <v>0</v>
      </c>
      <c r="R323">
        <v>0</v>
      </c>
      <c r="S323">
        <v>176270.06</v>
      </c>
      <c r="T323" t="s">
        <v>121</v>
      </c>
      <c r="U323" t="s">
        <v>26</v>
      </c>
      <c r="W323" s="3">
        <v>22570743</v>
      </c>
    </row>
    <row r="324" spans="1:23">
      <c r="A324" t="s">
        <v>60</v>
      </c>
      <c r="B324" t="s">
        <v>61</v>
      </c>
      <c r="C324" s="2">
        <v>45864</v>
      </c>
      <c r="D324" t="s">
        <v>71</v>
      </c>
      <c r="E324" t="s">
        <v>72</v>
      </c>
      <c r="F324" t="s">
        <v>379</v>
      </c>
      <c r="G324" t="s">
        <v>342</v>
      </c>
      <c r="I324" t="s">
        <v>380</v>
      </c>
      <c r="J324" s="2">
        <v>45026</v>
      </c>
      <c r="K324">
        <v>8.15</v>
      </c>
      <c r="L324">
        <v>8.15</v>
      </c>
      <c r="M324" s="2">
        <v>49383</v>
      </c>
      <c r="N324">
        <v>50</v>
      </c>
      <c r="O324">
        <v>57050.89</v>
      </c>
      <c r="Q324">
        <v>0</v>
      </c>
      <c r="R324">
        <v>0</v>
      </c>
      <c r="S324">
        <v>57050.89</v>
      </c>
      <c r="T324" t="s">
        <v>121</v>
      </c>
      <c r="U324" t="s">
        <v>26</v>
      </c>
      <c r="W324" s="3">
        <v>8113952</v>
      </c>
    </row>
    <row r="325" spans="1:23">
      <c r="A325" t="s">
        <v>43</v>
      </c>
      <c r="B325" t="s">
        <v>44</v>
      </c>
      <c r="C325" s="2">
        <v>45864</v>
      </c>
      <c r="D325" t="s">
        <v>71</v>
      </c>
      <c r="E325" t="s">
        <v>72</v>
      </c>
      <c r="F325" t="s">
        <v>379</v>
      </c>
      <c r="G325" t="s">
        <v>342</v>
      </c>
      <c r="I325" t="s">
        <v>380</v>
      </c>
      <c r="J325" s="2">
        <v>45026</v>
      </c>
      <c r="K325">
        <v>8.15</v>
      </c>
      <c r="L325">
        <v>8.15</v>
      </c>
      <c r="M325" s="2">
        <v>49383</v>
      </c>
      <c r="N325">
        <v>500</v>
      </c>
      <c r="O325">
        <v>574151.74</v>
      </c>
      <c r="Q325">
        <v>0</v>
      </c>
      <c r="R325">
        <v>0</v>
      </c>
      <c r="S325">
        <v>574151.74</v>
      </c>
      <c r="T325" t="s">
        <v>121</v>
      </c>
      <c r="U325" t="s">
        <v>26</v>
      </c>
      <c r="W325" s="3">
        <v>64658453</v>
      </c>
    </row>
    <row r="326" spans="1:23">
      <c r="A326" t="s">
        <v>60</v>
      </c>
      <c r="B326" t="s">
        <v>61</v>
      </c>
      <c r="C326" s="2">
        <v>45864</v>
      </c>
      <c r="D326" t="s">
        <v>71</v>
      </c>
      <c r="E326" t="s">
        <v>72</v>
      </c>
      <c r="F326" t="s">
        <v>381</v>
      </c>
      <c r="G326" t="s">
        <v>342</v>
      </c>
      <c r="I326" t="s">
        <v>382</v>
      </c>
      <c r="J326" s="2">
        <v>45743</v>
      </c>
      <c r="K326">
        <v>7.76</v>
      </c>
      <c r="L326">
        <v>7.7619999999999996</v>
      </c>
      <c r="M326" s="2">
        <v>47529</v>
      </c>
      <c r="N326">
        <v>195</v>
      </c>
      <c r="O326">
        <v>203941.73</v>
      </c>
      <c r="Q326">
        <v>0</v>
      </c>
      <c r="R326">
        <v>0</v>
      </c>
      <c r="S326">
        <v>203941.73</v>
      </c>
      <c r="T326" t="s">
        <v>121</v>
      </c>
      <c r="U326" t="s">
        <v>26</v>
      </c>
      <c r="W326" s="3">
        <v>42862334</v>
      </c>
    </row>
    <row r="327" spans="1:23">
      <c r="A327" t="s">
        <v>66</v>
      </c>
      <c r="B327" t="s">
        <v>67</v>
      </c>
      <c r="C327" s="2">
        <v>45864</v>
      </c>
      <c r="D327" t="s">
        <v>71</v>
      </c>
      <c r="E327" t="s">
        <v>72</v>
      </c>
      <c r="F327" t="s">
        <v>381</v>
      </c>
      <c r="G327" t="s">
        <v>342</v>
      </c>
      <c r="I327" t="s">
        <v>382</v>
      </c>
      <c r="J327" s="2">
        <v>45743</v>
      </c>
      <c r="K327">
        <v>7.76</v>
      </c>
      <c r="L327">
        <v>7.7619999999999996</v>
      </c>
      <c r="M327" s="2">
        <v>47529</v>
      </c>
      <c r="N327">
        <v>200</v>
      </c>
      <c r="O327">
        <v>209171.01</v>
      </c>
      <c r="Q327">
        <v>0</v>
      </c>
      <c r="R327">
        <v>0</v>
      </c>
      <c r="S327">
        <v>209171.01</v>
      </c>
      <c r="T327" t="s">
        <v>121</v>
      </c>
      <c r="U327" t="s">
        <v>26</v>
      </c>
      <c r="W327" s="3">
        <v>4822066</v>
      </c>
    </row>
    <row r="328" spans="1:23">
      <c r="A328" t="s">
        <v>51</v>
      </c>
      <c r="B328" t="s">
        <v>52</v>
      </c>
      <c r="C328" s="2">
        <v>45864</v>
      </c>
      <c r="D328" t="s">
        <v>71</v>
      </c>
      <c r="E328" t="s">
        <v>72</v>
      </c>
      <c r="F328" t="s">
        <v>381</v>
      </c>
      <c r="G328" t="s">
        <v>342</v>
      </c>
      <c r="I328" t="s">
        <v>382</v>
      </c>
      <c r="J328" s="2">
        <v>45743</v>
      </c>
      <c r="K328">
        <v>7.76</v>
      </c>
      <c r="L328">
        <v>7.7619999999999996</v>
      </c>
      <c r="M328" s="2">
        <v>47529</v>
      </c>
      <c r="N328">
        <v>200</v>
      </c>
      <c r="O328">
        <v>209171.01</v>
      </c>
      <c r="Q328">
        <v>0</v>
      </c>
      <c r="R328">
        <v>0</v>
      </c>
      <c r="S328">
        <v>209171.01</v>
      </c>
      <c r="T328" t="s">
        <v>121</v>
      </c>
      <c r="U328" t="s">
        <v>26</v>
      </c>
      <c r="W328" s="3">
        <v>4922580</v>
      </c>
    </row>
    <row r="329" spans="1:23">
      <c r="A329" t="s">
        <v>58</v>
      </c>
      <c r="B329" t="s">
        <v>59</v>
      </c>
      <c r="C329" s="2">
        <v>45864</v>
      </c>
      <c r="D329" t="s">
        <v>71</v>
      </c>
      <c r="E329" t="s">
        <v>72</v>
      </c>
      <c r="F329" t="s">
        <v>381</v>
      </c>
      <c r="G329" t="s">
        <v>342</v>
      </c>
      <c r="I329" t="s">
        <v>382</v>
      </c>
      <c r="J329" s="2">
        <v>45743</v>
      </c>
      <c r="K329">
        <v>7.76</v>
      </c>
      <c r="L329">
        <v>7.7619999999999996</v>
      </c>
      <c r="M329" s="2">
        <v>47529</v>
      </c>
      <c r="N329">
        <v>200</v>
      </c>
      <c r="O329">
        <v>209171.01</v>
      </c>
      <c r="Q329">
        <v>0</v>
      </c>
      <c r="R329">
        <v>0</v>
      </c>
      <c r="S329">
        <v>209171.01</v>
      </c>
      <c r="T329" t="s">
        <v>121</v>
      </c>
      <c r="U329" t="s">
        <v>26</v>
      </c>
      <c r="W329" s="3">
        <v>33442033</v>
      </c>
    </row>
    <row r="330" spans="1:23">
      <c r="A330" t="s">
        <v>31</v>
      </c>
      <c r="B330" t="s">
        <v>32</v>
      </c>
      <c r="C330" s="2">
        <v>45864</v>
      </c>
      <c r="D330" t="s">
        <v>71</v>
      </c>
      <c r="E330" t="s">
        <v>72</v>
      </c>
      <c r="F330" t="s">
        <v>381</v>
      </c>
      <c r="G330" t="s">
        <v>342</v>
      </c>
      <c r="I330" t="s">
        <v>382</v>
      </c>
      <c r="J330" s="2">
        <v>45743</v>
      </c>
      <c r="K330">
        <v>7.76</v>
      </c>
      <c r="L330">
        <v>7.7619999999999996</v>
      </c>
      <c r="M330" s="2">
        <v>47529</v>
      </c>
      <c r="N330">
        <v>205</v>
      </c>
      <c r="O330">
        <v>214400.28</v>
      </c>
      <c r="Q330">
        <v>0</v>
      </c>
      <c r="R330">
        <v>0</v>
      </c>
      <c r="S330">
        <v>214400.28</v>
      </c>
      <c r="T330" t="s">
        <v>121</v>
      </c>
      <c r="U330" t="s">
        <v>26</v>
      </c>
      <c r="W330" s="3">
        <v>57150890</v>
      </c>
    </row>
    <row r="331" spans="1:23">
      <c r="A331" t="s">
        <v>43</v>
      </c>
      <c r="B331" t="s">
        <v>44</v>
      </c>
      <c r="C331" s="2">
        <v>45864</v>
      </c>
      <c r="D331" t="s">
        <v>71</v>
      </c>
      <c r="E331" t="s">
        <v>72</v>
      </c>
      <c r="F331" t="s">
        <v>383</v>
      </c>
      <c r="G331" t="s">
        <v>342</v>
      </c>
      <c r="I331" t="s">
        <v>384</v>
      </c>
      <c r="J331" s="2">
        <v>45363</v>
      </c>
      <c r="K331">
        <v>6</v>
      </c>
      <c r="L331">
        <v>6</v>
      </c>
      <c r="M331" s="2">
        <v>49140</v>
      </c>
      <c r="N331">
        <v>220</v>
      </c>
      <c r="O331">
        <v>293475.69</v>
      </c>
      <c r="Q331">
        <v>0</v>
      </c>
      <c r="R331">
        <v>0</v>
      </c>
      <c r="S331">
        <v>293475.69</v>
      </c>
      <c r="T331" t="s">
        <v>121</v>
      </c>
      <c r="U331" t="s">
        <v>26</v>
      </c>
      <c r="W331" s="3">
        <v>54477339</v>
      </c>
    </row>
    <row r="332" spans="1:23">
      <c r="A332" t="s">
        <v>66</v>
      </c>
      <c r="B332" t="s">
        <v>67</v>
      </c>
      <c r="C332" s="2">
        <v>45864</v>
      </c>
      <c r="D332" t="s">
        <v>71</v>
      </c>
      <c r="E332" t="s">
        <v>72</v>
      </c>
      <c r="F332" t="s">
        <v>385</v>
      </c>
      <c r="G332" t="s">
        <v>342</v>
      </c>
      <c r="I332" t="s">
        <v>386</v>
      </c>
      <c r="J332" s="2">
        <v>45708</v>
      </c>
      <c r="K332">
        <v>7.47</v>
      </c>
      <c r="L332">
        <v>7.4770000000000003</v>
      </c>
      <c r="M332" s="2">
        <v>48349</v>
      </c>
      <c r="N332">
        <v>162</v>
      </c>
      <c r="O332">
        <v>176500.68</v>
      </c>
      <c r="Q332">
        <v>0</v>
      </c>
      <c r="R332">
        <v>0</v>
      </c>
      <c r="S332">
        <v>176500.68</v>
      </c>
      <c r="T332" t="s">
        <v>121</v>
      </c>
      <c r="U332" t="s">
        <v>26</v>
      </c>
      <c r="W332" s="3">
        <v>21963119</v>
      </c>
    </row>
    <row r="333" spans="1:23">
      <c r="A333" t="s">
        <v>60</v>
      </c>
      <c r="B333" t="s">
        <v>61</v>
      </c>
      <c r="C333" s="2">
        <v>45864</v>
      </c>
      <c r="D333" t="s">
        <v>71</v>
      </c>
      <c r="E333" t="s">
        <v>72</v>
      </c>
      <c r="F333" t="s">
        <v>385</v>
      </c>
      <c r="G333" t="s">
        <v>342</v>
      </c>
      <c r="I333" t="s">
        <v>386</v>
      </c>
      <c r="J333" s="2">
        <v>45708</v>
      </c>
      <c r="K333">
        <v>7.47</v>
      </c>
      <c r="L333">
        <v>7.4770000000000003</v>
      </c>
      <c r="M333" s="2">
        <v>48349</v>
      </c>
      <c r="N333">
        <v>162</v>
      </c>
      <c r="O333">
        <v>176500.68</v>
      </c>
      <c r="Q333">
        <v>0</v>
      </c>
      <c r="R333">
        <v>0</v>
      </c>
      <c r="S333">
        <v>176500.68</v>
      </c>
      <c r="T333" t="s">
        <v>121</v>
      </c>
      <c r="U333" t="s">
        <v>26</v>
      </c>
      <c r="W333" s="3">
        <v>40563582</v>
      </c>
    </row>
    <row r="334" spans="1:23">
      <c r="A334" t="s">
        <v>31</v>
      </c>
      <c r="B334" t="s">
        <v>32</v>
      </c>
      <c r="C334" s="2">
        <v>45864</v>
      </c>
      <c r="D334" t="s">
        <v>71</v>
      </c>
      <c r="E334" t="s">
        <v>72</v>
      </c>
      <c r="F334" t="s">
        <v>385</v>
      </c>
      <c r="G334" t="s">
        <v>342</v>
      </c>
      <c r="I334" t="s">
        <v>386</v>
      </c>
      <c r="J334" s="2">
        <v>45708</v>
      </c>
      <c r="K334">
        <v>7.47</v>
      </c>
      <c r="L334">
        <v>7.4770000000000003</v>
      </c>
      <c r="M334" s="2">
        <v>48349</v>
      </c>
      <c r="N334">
        <v>162</v>
      </c>
      <c r="O334">
        <v>176500.68</v>
      </c>
      <c r="P334" s="4"/>
      <c r="Q334">
        <v>0</v>
      </c>
      <c r="R334">
        <v>0</v>
      </c>
      <c r="S334">
        <v>176500.68</v>
      </c>
      <c r="T334" t="s">
        <v>121</v>
      </c>
      <c r="U334" t="s">
        <v>26</v>
      </c>
      <c r="W334" s="3">
        <v>56626453</v>
      </c>
    </row>
    <row r="335" spans="1:23">
      <c r="A335" t="s">
        <v>51</v>
      </c>
      <c r="B335" t="s">
        <v>52</v>
      </c>
      <c r="C335" s="2">
        <v>45864</v>
      </c>
      <c r="D335" t="s">
        <v>71</v>
      </c>
      <c r="E335" t="s">
        <v>72</v>
      </c>
      <c r="F335" t="s">
        <v>385</v>
      </c>
      <c r="G335" t="s">
        <v>342</v>
      </c>
      <c r="I335" t="s">
        <v>386</v>
      </c>
      <c r="J335" s="2">
        <v>45708</v>
      </c>
      <c r="K335">
        <v>7.47</v>
      </c>
      <c r="L335">
        <v>7.4770000000000003</v>
      </c>
      <c r="M335" s="2">
        <v>48349</v>
      </c>
      <c r="N335">
        <v>163</v>
      </c>
      <c r="O335">
        <v>177590.19</v>
      </c>
      <c r="Q335">
        <v>0</v>
      </c>
      <c r="R335">
        <v>0</v>
      </c>
      <c r="S335">
        <v>177590.19</v>
      </c>
      <c r="T335" t="s">
        <v>121</v>
      </c>
      <c r="U335" t="s">
        <v>26</v>
      </c>
      <c r="W335" s="3">
        <v>10335797</v>
      </c>
    </row>
    <row r="336" spans="1:23">
      <c r="A336" t="s">
        <v>58</v>
      </c>
      <c r="B336" t="s">
        <v>59</v>
      </c>
      <c r="C336" s="2">
        <v>45864</v>
      </c>
      <c r="D336" t="s">
        <v>71</v>
      </c>
      <c r="E336" t="s">
        <v>72</v>
      </c>
      <c r="F336" t="s">
        <v>385</v>
      </c>
      <c r="G336" t="s">
        <v>342</v>
      </c>
      <c r="I336" t="s">
        <v>386</v>
      </c>
      <c r="J336" s="2">
        <v>45708</v>
      </c>
      <c r="K336">
        <v>7.47</v>
      </c>
      <c r="L336">
        <v>7.4770000000000003</v>
      </c>
      <c r="M336" s="2">
        <v>48349</v>
      </c>
      <c r="N336">
        <v>163</v>
      </c>
      <c r="O336">
        <v>177590.19</v>
      </c>
      <c r="Q336">
        <v>0</v>
      </c>
      <c r="R336">
        <v>0</v>
      </c>
      <c r="S336">
        <v>177590.19</v>
      </c>
      <c r="T336" t="s">
        <v>121</v>
      </c>
      <c r="U336" t="s">
        <v>26</v>
      </c>
      <c r="W336" s="3">
        <v>27436685</v>
      </c>
    </row>
    <row r="337" spans="1:23">
      <c r="A337" t="s">
        <v>56</v>
      </c>
      <c r="B337" t="s">
        <v>57</v>
      </c>
      <c r="C337" s="2">
        <v>45864</v>
      </c>
      <c r="D337" t="s">
        <v>71</v>
      </c>
      <c r="E337" t="s">
        <v>72</v>
      </c>
      <c r="F337" t="s">
        <v>385</v>
      </c>
      <c r="G337" t="s">
        <v>342</v>
      </c>
      <c r="I337" t="s">
        <v>386</v>
      </c>
      <c r="J337" s="2">
        <v>45708</v>
      </c>
      <c r="K337">
        <v>7.47</v>
      </c>
      <c r="L337">
        <v>7.4770000000000003</v>
      </c>
      <c r="M337" s="2">
        <v>48349</v>
      </c>
      <c r="N337">
        <v>188</v>
      </c>
      <c r="O337">
        <v>204827.95</v>
      </c>
      <c r="Q337">
        <v>0</v>
      </c>
      <c r="R337">
        <v>0</v>
      </c>
      <c r="S337">
        <v>204827.95</v>
      </c>
      <c r="T337" t="s">
        <v>121</v>
      </c>
      <c r="U337" t="s">
        <v>26</v>
      </c>
      <c r="W337" s="3">
        <v>21673135</v>
      </c>
    </row>
    <row r="338" spans="1:23">
      <c r="A338" t="s">
        <v>62</v>
      </c>
      <c r="B338" t="s">
        <v>63</v>
      </c>
      <c r="C338" s="2">
        <v>45864</v>
      </c>
      <c r="D338" t="s">
        <v>71</v>
      </c>
      <c r="E338" t="s">
        <v>72</v>
      </c>
      <c r="F338" t="s">
        <v>387</v>
      </c>
      <c r="G338" t="s">
        <v>342</v>
      </c>
      <c r="I338" t="s">
        <v>388</v>
      </c>
      <c r="J338" s="2">
        <v>44559</v>
      </c>
      <c r="K338">
        <v>5.9</v>
      </c>
      <c r="L338">
        <v>5.9</v>
      </c>
      <c r="M338" s="2">
        <v>47649</v>
      </c>
      <c r="N338">
        <v>19</v>
      </c>
      <c r="O338">
        <v>22018.2</v>
      </c>
      <c r="Q338">
        <v>0</v>
      </c>
      <c r="R338">
        <v>0</v>
      </c>
      <c r="S338">
        <v>22018.2</v>
      </c>
      <c r="T338" t="s">
        <v>121</v>
      </c>
      <c r="U338" t="s">
        <v>26</v>
      </c>
      <c r="W338" s="3">
        <v>56029852</v>
      </c>
    </row>
    <row r="339" spans="1:23">
      <c r="A339" t="s">
        <v>51</v>
      </c>
      <c r="B339" t="s">
        <v>52</v>
      </c>
      <c r="C339" s="2">
        <v>45864</v>
      </c>
      <c r="D339" t="s">
        <v>71</v>
      </c>
      <c r="E339" t="s">
        <v>72</v>
      </c>
      <c r="F339" t="s">
        <v>389</v>
      </c>
      <c r="G339" t="s">
        <v>342</v>
      </c>
      <c r="I339" t="s">
        <v>390</v>
      </c>
      <c r="J339" s="2">
        <v>45716</v>
      </c>
      <c r="K339">
        <v>8.01</v>
      </c>
      <c r="L339">
        <v>8.0139999999999993</v>
      </c>
      <c r="M339" s="2">
        <v>48014</v>
      </c>
      <c r="N339">
        <v>240</v>
      </c>
      <c r="O339">
        <v>242166.31</v>
      </c>
      <c r="Q339">
        <v>0</v>
      </c>
      <c r="R339">
        <v>0</v>
      </c>
      <c r="S339">
        <v>242166.31</v>
      </c>
      <c r="T339" t="s">
        <v>121</v>
      </c>
      <c r="U339" t="s">
        <v>26</v>
      </c>
      <c r="W339" s="3">
        <v>42257334</v>
      </c>
    </row>
    <row r="340" spans="1:23">
      <c r="A340" t="s">
        <v>66</v>
      </c>
      <c r="B340" t="s">
        <v>67</v>
      </c>
      <c r="C340" s="2">
        <v>45864</v>
      </c>
      <c r="D340" t="s">
        <v>71</v>
      </c>
      <c r="E340" t="s">
        <v>72</v>
      </c>
      <c r="F340" t="s">
        <v>389</v>
      </c>
      <c r="G340" t="s">
        <v>342</v>
      </c>
      <c r="I340" t="s">
        <v>390</v>
      </c>
      <c r="J340" s="2">
        <v>45716</v>
      </c>
      <c r="K340">
        <v>8.01</v>
      </c>
      <c r="L340">
        <v>8.0139999999999993</v>
      </c>
      <c r="M340" s="2">
        <v>48014</v>
      </c>
      <c r="N340">
        <v>255</v>
      </c>
      <c r="O340">
        <v>257301.71</v>
      </c>
      <c r="Q340">
        <v>0</v>
      </c>
      <c r="R340">
        <v>0</v>
      </c>
      <c r="S340">
        <v>257301.71</v>
      </c>
      <c r="T340" t="s">
        <v>121</v>
      </c>
      <c r="U340" t="s">
        <v>26</v>
      </c>
      <c r="W340" s="3">
        <v>19487293</v>
      </c>
    </row>
    <row r="341" spans="1:23">
      <c r="A341" t="s">
        <v>58</v>
      </c>
      <c r="B341" t="s">
        <v>59</v>
      </c>
      <c r="C341" s="2">
        <v>45864</v>
      </c>
      <c r="D341" t="s">
        <v>71</v>
      </c>
      <c r="E341" t="s">
        <v>72</v>
      </c>
      <c r="F341" t="s">
        <v>389</v>
      </c>
      <c r="G341" t="s">
        <v>342</v>
      </c>
      <c r="I341" t="s">
        <v>390</v>
      </c>
      <c r="J341" s="2">
        <v>45716</v>
      </c>
      <c r="K341">
        <v>8.01</v>
      </c>
      <c r="L341">
        <v>8.0139999999999993</v>
      </c>
      <c r="M341" s="2">
        <v>48014</v>
      </c>
      <c r="N341">
        <v>255</v>
      </c>
      <c r="O341">
        <v>257301.71</v>
      </c>
      <c r="Q341">
        <v>0</v>
      </c>
      <c r="R341">
        <v>0</v>
      </c>
      <c r="S341">
        <v>257301.71</v>
      </c>
      <c r="T341" t="s">
        <v>121</v>
      </c>
      <c r="U341" t="s">
        <v>26</v>
      </c>
      <c r="W341" s="3">
        <v>44494103</v>
      </c>
    </row>
    <row r="342" spans="1:23">
      <c r="A342" t="s">
        <v>31</v>
      </c>
      <c r="B342" t="s">
        <v>32</v>
      </c>
      <c r="C342" s="2">
        <v>45864</v>
      </c>
      <c r="D342" t="s">
        <v>71</v>
      </c>
      <c r="E342" t="s">
        <v>72</v>
      </c>
      <c r="F342" t="s">
        <v>389</v>
      </c>
      <c r="G342" t="s">
        <v>342</v>
      </c>
      <c r="I342" t="s">
        <v>390</v>
      </c>
      <c r="J342" s="2">
        <v>45716</v>
      </c>
      <c r="K342">
        <v>8.01</v>
      </c>
      <c r="L342">
        <v>8.0139999999999993</v>
      </c>
      <c r="M342" s="2">
        <v>48014</v>
      </c>
      <c r="N342">
        <v>260</v>
      </c>
      <c r="O342">
        <v>262346.84000000003</v>
      </c>
      <c r="Q342">
        <v>0</v>
      </c>
      <c r="R342">
        <v>0</v>
      </c>
      <c r="S342">
        <v>262346.84000000003</v>
      </c>
      <c r="T342" t="s">
        <v>121</v>
      </c>
      <c r="U342" t="s">
        <v>26</v>
      </c>
      <c r="W342" s="3">
        <v>59247212</v>
      </c>
    </row>
    <row r="343" spans="1:23">
      <c r="A343" t="s">
        <v>54</v>
      </c>
      <c r="B343" t="s">
        <v>55</v>
      </c>
      <c r="C343" s="2">
        <v>45864</v>
      </c>
      <c r="D343" t="s">
        <v>71</v>
      </c>
      <c r="E343" t="s">
        <v>72</v>
      </c>
      <c r="F343" t="s">
        <v>391</v>
      </c>
      <c r="G343" t="s">
        <v>342</v>
      </c>
      <c r="I343" t="s">
        <v>392</v>
      </c>
      <c r="J343" s="2">
        <v>45614</v>
      </c>
      <c r="K343">
        <v>7.1</v>
      </c>
      <c r="L343">
        <v>7.1</v>
      </c>
      <c r="M343" s="2">
        <v>48837</v>
      </c>
      <c r="N343">
        <v>112</v>
      </c>
      <c r="O343">
        <v>120832.94</v>
      </c>
      <c r="Q343">
        <v>0</v>
      </c>
      <c r="R343">
        <v>0</v>
      </c>
      <c r="S343">
        <v>120832.94</v>
      </c>
      <c r="T343" t="s">
        <v>121</v>
      </c>
      <c r="U343" t="s">
        <v>26</v>
      </c>
      <c r="W343" s="3">
        <v>42172508</v>
      </c>
    </row>
    <row r="344" spans="1:23">
      <c r="A344" t="s">
        <v>62</v>
      </c>
      <c r="B344" t="s">
        <v>63</v>
      </c>
      <c r="C344" s="2">
        <v>45864</v>
      </c>
      <c r="D344" t="s">
        <v>71</v>
      </c>
      <c r="E344" t="s">
        <v>72</v>
      </c>
      <c r="F344" t="s">
        <v>391</v>
      </c>
      <c r="G344" t="s">
        <v>342</v>
      </c>
      <c r="I344" t="s">
        <v>392</v>
      </c>
      <c r="J344" s="2">
        <v>45614</v>
      </c>
      <c r="K344">
        <v>7.1</v>
      </c>
      <c r="L344">
        <v>7.1</v>
      </c>
      <c r="M344" s="2">
        <v>48837</v>
      </c>
      <c r="N344">
        <v>112</v>
      </c>
      <c r="O344">
        <v>120832.94</v>
      </c>
      <c r="Q344">
        <v>0</v>
      </c>
      <c r="R344">
        <v>0</v>
      </c>
      <c r="S344">
        <v>120832.94</v>
      </c>
      <c r="T344" t="s">
        <v>121</v>
      </c>
      <c r="U344" t="s">
        <v>26</v>
      </c>
      <c r="W344" s="3">
        <v>51063327</v>
      </c>
    </row>
    <row r="345" spans="1:23">
      <c r="A345" t="s">
        <v>43</v>
      </c>
      <c r="B345" t="s">
        <v>44</v>
      </c>
      <c r="C345" s="2">
        <v>45864</v>
      </c>
      <c r="D345" t="s">
        <v>71</v>
      </c>
      <c r="E345" t="s">
        <v>72</v>
      </c>
      <c r="F345" t="s">
        <v>393</v>
      </c>
      <c r="G345" t="s">
        <v>342</v>
      </c>
      <c r="I345" t="s">
        <v>392</v>
      </c>
      <c r="J345" s="2">
        <v>45483</v>
      </c>
      <c r="K345">
        <v>6.8</v>
      </c>
      <c r="L345">
        <v>6.8</v>
      </c>
      <c r="M345" s="2">
        <v>50875</v>
      </c>
      <c r="N345">
        <v>305</v>
      </c>
      <c r="O345">
        <v>306664</v>
      </c>
      <c r="Q345">
        <v>0</v>
      </c>
      <c r="R345">
        <v>0</v>
      </c>
      <c r="S345">
        <v>306664</v>
      </c>
      <c r="T345" t="s">
        <v>121</v>
      </c>
      <c r="U345" t="s">
        <v>26</v>
      </c>
      <c r="W345" s="3">
        <v>37459564</v>
      </c>
    </row>
    <row r="346" spans="1:23">
      <c r="A346" t="s">
        <v>43</v>
      </c>
      <c r="B346" t="s">
        <v>44</v>
      </c>
      <c r="C346" s="2">
        <v>45864</v>
      </c>
      <c r="D346" t="s">
        <v>71</v>
      </c>
      <c r="E346" t="s">
        <v>72</v>
      </c>
      <c r="F346" t="s">
        <v>394</v>
      </c>
      <c r="G346" t="s">
        <v>342</v>
      </c>
      <c r="I346" t="s">
        <v>395</v>
      </c>
      <c r="J346" s="2">
        <v>43665</v>
      </c>
      <c r="K346">
        <v>3.29</v>
      </c>
      <c r="L346">
        <v>3.2976999999999999</v>
      </c>
      <c r="M346" s="2">
        <v>47102</v>
      </c>
      <c r="N346">
        <v>252</v>
      </c>
      <c r="O346">
        <v>340007.19</v>
      </c>
      <c r="Q346">
        <v>0</v>
      </c>
      <c r="R346">
        <v>0</v>
      </c>
      <c r="S346">
        <v>340007.19</v>
      </c>
      <c r="T346" t="s">
        <v>121</v>
      </c>
      <c r="U346" t="s">
        <v>26</v>
      </c>
      <c r="W346" s="3">
        <v>53301088</v>
      </c>
    </row>
    <row r="347" spans="1:23">
      <c r="A347" t="s">
        <v>66</v>
      </c>
      <c r="B347" t="s">
        <v>67</v>
      </c>
      <c r="C347" s="2">
        <v>45864</v>
      </c>
      <c r="D347" t="s">
        <v>71</v>
      </c>
      <c r="E347" t="s">
        <v>72</v>
      </c>
      <c r="F347" t="s">
        <v>396</v>
      </c>
      <c r="G347" t="s">
        <v>342</v>
      </c>
      <c r="I347" t="s">
        <v>397</v>
      </c>
      <c r="J347" s="2">
        <v>45792</v>
      </c>
      <c r="K347">
        <v>7.59</v>
      </c>
      <c r="L347">
        <v>7.59</v>
      </c>
      <c r="M347" s="2">
        <v>47649</v>
      </c>
      <c r="N347">
        <v>45</v>
      </c>
      <c r="O347">
        <v>58258.01</v>
      </c>
      <c r="Q347">
        <v>0</v>
      </c>
      <c r="R347">
        <v>0</v>
      </c>
      <c r="S347">
        <v>58258.01</v>
      </c>
      <c r="T347" t="s">
        <v>121</v>
      </c>
      <c r="U347" t="s">
        <v>26</v>
      </c>
      <c r="W347" s="3">
        <v>41985231</v>
      </c>
    </row>
    <row r="348" spans="1:23">
      <c r="A348" t="s">
        <v>54</v>
      </c>
      <c r="B348" t="s">
        <v>55</v>
      </c>
      <c r="C348" s="2">
        <v>45864</v>
      </c>
      <c r="D348" t="s">
        <v>71</v>
      </c>
      <c r="E348" t="s">
        <v>72</v>
      </c>
      <c r="F348" t="s">
        <v>398</v>
      </c>
      <c r="G348" t="s">
        <v>342</v>
      </c>
      <c r="I348" t="s">
        <v>397</v>
      </c>
      <c r="J348" s="2">
        <v>45623</v>
      </c>
      <c r="K348">
        <v>7.15</v>
      </c>
      <c r="L348">
        <v>7.15</v>
      </c>
      <c r="M348" s="2">
        <v>47741</v>
      </c>
      <c r="N348">
        <v>172</v>
      </c>
      <c r="O348">
        <v>213451.73</v>
      </c>
      <c r="P348" s="4"/>
      <c r="Q348">
        <v>0</v>
      </c>
      <c r="R348">
        <v>0</v>
      </c>
      <c r="S348">
        <v>213451.73</v>
      </c>
      <c r="T348" t="s">
        <v>121</v>
      </c>
      <c r="U348" t="s">
        <v>26</v>
      </c>
      <c r="W348" s="3">
        <v>10540230</v>
      </c>
    </row>
    <row r="349" spans="1:23">
      <c r="A349" t="s">
        <v>43</v>
      </c>
      <c r="B349" t="s">
        <v>44</v>
      </c>
      <c r="C349" s="2">
        <v>45864</v>
      </c>
      <c r="D349" t="s">
        <v>71</v>
      </c>
      <c r="E349" t="s">
        <v>72</v>
      </c>
      <c r="F349" t="s">
        <v>399</v>
      </c>
      <c r="G349" t="s">
        <v>342</v>
      </c>
      <c r="I349" t="s">
        <v>397</v>
      </c>
      <c r="J349" s="2">
        <v>45425</v>
      </c>
      <c r="K349">
        <v>6.43</v>
      </c>
      <c r="L349">
        <v>6.43</v>
      </c>
      <c r="M349" s="2">
        <v>47741</v>
      </c>
      <c r="N349">
        <v>411</v>
      </c>
      <c r="O349">
        <v>455943.95</v>
      </c>
      <c r="Q349">
        <v>0</v>
      </c>
      <c r="R349">
        <v>0</v>
      </c>
      <c r="S349">
        <v>455943.95</v>
      </c>
      <c r="T349" t="s">
        <v>121</v>
      </c>
      <c r="U349" t="s">
        <v>26</v>
      </c>
      <c r="W349" s="3">
        <v>1094533</v>
      </c>
    </row>
    <row r="350" spans="1:23">
      <c r="A350" t="s">
        <v>53</v>
      </c>
      <c r="B350" t="s">
        <v>48</v>
      </c>
      <c r="C350" s="2">
        <v>45864</v>
      </c>
      <c r="D350" t="s">
        <v>71</v>
      </c>
      <c r="E350" t="s">
        <v>72</v>
      </c>
      <c r="F350" t="s">
        <v>400</v>
      </c>
      <c r="G350" t="s">
        <v>342</v>
      </c>
      <c r="I350" t="s">
        <v>397</v>
      </c>
      <c r="J350" s="2">
        <v>45441</v>
      </c>
      <c r="K350">
        <v>6.86</v>
      </c>
      <c r="L350">
        <v>6.86</v>
      </c>
      <c r="M350" s="2">
        <v>49049</v>
      </c>
      <c r="N350">
        <v>202</v>
      </c>
      <c r="O350">
        <v>214760.73</v>
      </c>
      <c r="Q350">
        <v>0</v>
      </c>
      <c r="R350">
        <v>0</v>
      </c>
      <c r="S350">
        <v>214760.73</v>
      </c>
      <c r="T350" t="s">
        <v>121</v>
      </c>
      <c r="U350" t="s">
        <v>26</v>
      </c>
      <c r="W350" s="3">
        <v>20022773</v>
      </c>
    </row>
    <row r="351" spans="1:23">
      <c r="A351" t="s">
        <v>66</v>
      </c>
      <c r="B351" t="s">
        <v>67</v>
      </c>
      <c r="C351" s="2">
        <v>45864</v>
      </c>
      <c r="D351" t="s">
        <v>71</v>
      </c>
      <c r="E351" t="s">
        <v>72</v>
      </c>
      <c r="F351" t="s">
        <v>401</v>
      </c>
      <c r="G351" t="s">
        <v>342</v>
      </c>
      <c r="I351" t="s">
        <v>397</v>
      </c>
      <c r="J351" s="2">
        <v>45068</v>
      </c>
      <c r="K351">
        <v>6</v>
      </c>
      <c r="L351">
        <v>6</v>
      </c>
      <c r="M351" s="2">
        <v>49567</v>
      </c>
      <c r="N351">
        <v>47</v>
      </c>
      <c r="O351">
        <v>58812.2</v>
      </c>
      <c r="Q351">
        <v>0</v>
      </c>
      <c r="R351">
        <v>0</v>
      </c>
      <c r="S351">
        <v>58812.2</v>
      </c>
      <c r="T351" t="s">
        <v>121</v>
      </c>
      <c r="U351" t="s">
        <v>26</v>
      </c>
      <c r="W351" s="3">
        <v>4205770</v>
      </c>
    </row>
    <row r="352" spans="1:23">
      <c r="A352" t="s">
        <v>60</v>
      </c>
      <c r="B352" t="s">
        <v>61</v>
      </c>
      <c r="C352" s="2">
        <v>45864</v>
      </c>
      <c r="D352" t="s">
        <v>71</v>
      </c>
      <c r="E352" t="s">
        <v>72</v>
      </c>
      <c r="F352" t="s">
        <v>402</v>
      </c>
      <c r="G352" t="s">
        <v>342</v>
      </c>
      <c r="I352" t="s">
        <v>397</v>
      </c>
      <c r="J352" s="2">
        <v>45196</v>
      </c>
      <c r="K352">
        <v>6.23</v>
      </c>
      <c r="L352">
        <v>6.23</v>
      </c>
      <c r="M352" s="2">
        <v>50298</v>
      </c>
      <c r="N352">
        <v>72</v>
      </c>
      <c r="O352">
        <v>89437.759999999995</v>
      </c>
      <c r="Q352">
        <v>0</v>
      </c>
      <c r="R352">
        <v>0</v>
      </c>
      <c r="S352">
        <v>89437.759999999995</v>
      </c>
      <c r="T352" t="s">
        <v>121</v>
      </c>
      <c r="U352" t="s">
        <v>26</v>
      </c>
      <c r="W352" s="3">
        <v>42804215</v>
      </c>
    </row>
    <row r="353" spans="1:23">
      <c r="A353" t="s">
        <v>43</v>
      </c>
      <c r="B353" t="s">
        <v>44</v>
      </c>
      <c r="C353" s="2">
        <v>45864</v>
      </c>
      <c r="D353" t="s">
        <v>71</v>
      </c>
      <c r="E353" t="s">
        <v>72</v>
      </c>
      <c r="F353" t="s">
        <v>403</v>
      </c>
      <c r="G353" t="s">
        <v>342</v>
      </c>
      <c r="I353" t="s">
        <v>404</v>
      </c>
      <c r="J353" s="2">
        <v>43923</v>
      </c>
      <c r="K353">
        <v>5.05</v>
      </c>
      <c r="L353">
        <v>5.05</v>
      </c>
      <c r="M353" s="2">
        <v>47314</v>
      </c>
      <c r="N353">
        <v>110</v>
      </c>
      <c r="O353">
        <v>138995.21</v>
      </c>
      <c r="Q353">
        <v>0</v>
      </c>
      <c r="R353">
        <v>0</v>
      </c>
      <c r="S353">
        <v>138995.21</v>
      </c>
      <c r="T353" t="s">
        <v>121</v>
      </c>
      <c r="U353" t="s">
        <v>26</v>
      </c>
      <c r="W353" s="3">
        <v>51980731</v>
      </c>
    </row>
    <row r="354" spans="1:23">
      <c r="A354" t="s">
        <v>43</v>
      </c>
      <c r="B354" t="s">
        <v>44</v>
      </c>
      <c r="C354" s="2">
        <v>45864</v>
      </c>
      <c r="D354" t="s">
        <v>71</v>
      </c>
      <c r="E354" t="s">
        <v>72</v>
      </c>
      <c r="F354" t="s">
        <v>405</v>
      </c>
      <c r="G354" t="s">
        <v>342</v>
      </c>
      <c r="I354" t="s">
        <v>404</v>
      </c>
      <c r="J354" s="2">
        <v>45476</v>
      </c>
      <c r="K354">
        <v>12.49</v>
      </c>
      <c r="L354">
        <v>12.497400000000001</v>
      </c>
      <c r="M354" s="2">
        <v>47345</v>
      </c>
      <c r="N354">
        <v>450</v>
      </c>
      <c r="O354">
        <v>444178</v>
      </c>
      <c r="Q354">
        <v>0</v>
      </c>
      <c r="R354">
        <v>0</v>
      </c>
      <c r="S354">
        <v>444178</v>
      </c>
      <c r="T354" t="s">
        <v>94</v>
      </c>
      <c r="U354" t="s">
        <v>26</v>
      </c>
      <c r="W354" s="3">
        <v>1482889</v>
      </c>
    </row>
    <row r="355" spans="1:23">
      <c r="A355" t="s">
        <v>43</v>
      </c>
      <c r="B355" t="s">
        <v>44</v>
      </c>
      <c r="C355" s="2">
        <v>45864</v>
      </c>
      <c r="D355" t="s">
        <v>71</v>
      </c>
      <c r="E355" t="s">
        <v>72</v>
      </c>
      <c r="F355" t="s">
        <v>406</v>
      </c>
      <c r="G355" t="s">
        <v>342</v>
      </c>
      <c r="I355" t="s">
        <v>407</v>
      </c>
      <c r="J355" s="2">
        <v>43532</v>
      </c>
      <c r="K355">
        <v>4.96</v>
      </c>
      <c r="L355">
        <v>4.96</v>
      </c>
      <c r="M355" s="2">
        <v>47832</v>
      </c>
      <c r="N355">
        <v>131</v>
      </c>
      <c r="O355">
        <v>179912.08</v>
      </c>
      <c r="Q355">
        <v>0</v>
      </c>
      <c r="R355">
        <v>0</v>
      </c>
      <c r="S355">
        <v>179912.08</v>
      </c>
      <c r="T355" t="s">
        <v>121</v>
      </c>
      <c r="U355" t="s">
        <v>26</v>
      </c>
      <c r="W355" s="3">
        <v>47930480</v>
      </c>
    </row>
    <row r="356" spans="1:23">
      <c r="A356" t="s">
        <v>43</v>
      </c>
      <c r="B356" t="s">
        <v>44</v>
      </c>
      <c r="C356" s="2">
        <v>45864</v>
      </c>
      <c r="D356" t="s">
        <v>71</v>
      </c>
      <c r="E356" t="s">
        <v>72</v>
      </c>
      <c r="F356" t="s">
        <v>406</v>
      </c>
      <c r="G356" t="s">
        <v>342</v>
      </c>
      <c r="I356" t="s">
        <v>407</v>
      </c>
      <c r="J356" s="2">
        <v>43531</v>
      </c>
      <c r="K356">
        <v>4.96</v>
      </c>
      <c r="L356">
        <v>4.95</v>
      </c>
      <c r="M356" s="2">
        <v>47832</v>
      </c>
      <c r="N356">
        <v>167</v>
      </c>
      <c r="O356">
        <v>229353.56</v>
      </c>
      <c r="Q356">
        <v>0</v>
      </c>
      <c r="R356">
        <v>0</v>
      </c>
      <c r="S356">
        <v>229353.56</v>
      </c>
      <c r="T356" t="s">
        <v>121</v>
      </c>
      <c r="U356" t="s">
        <v>26</v>
      </c>
      <c r="W356" s="3">
        <v>52905292</v>
      </c>
    </row>
    <row r="357" spans="1:23">
      <c r="A357" t="s">
        <v>58</v>
      </c>
      <c r="B357" t="s">
        <v>59</v>
      </c>
      <c r="C357" s="2">
        <v>45864</v>
      </c>
      <c r="D357" t="s">
        <v>71</v>
      </c>
      <c r="E357" t="s">
        <v>72</v>
      </c>
      <c r="F357" t="s">
        <v>408</v>
      </c>
      <c r="G357" t="s">
        <v>342</v>
      </c>
      <c r="I357" t="s">
        <v>409</v>
      </c>
      <c r="J357" s="2">
        <v>45807</v>
      </c>
      <c r="K357">
        <v>7.4</v>
      </c>
      <c r="L357">
        <v>7.4</v>
      </c>
      <c r="M357" s="2">
        <v>47953</v>
      </c>
      <c r="N357">
        <v>182</v>
      </c>
      <c r="O357">
        <v>202076.62</v>
      </c>
      <c r="Q357">
        <v>0</v>
      </c>
      <c r="R357">
        <v>0</v>
      </c>
      <c r="S357">
        <v>202076.62</v>
      </c>
      <c r="T357" t="s">
        <v>121</v>
      </c>
      <c r="U357" t="s">
        <v>26</v>
      </c>
      <c r="W357" s="3">
        <v>33609137</v>
      </c>
    </row>
    <row r="358" spans="1:23">
      <c r="A358" t="s">
        <v>66</v>
      </c>
      <c r="B358" t="s">
        <v>67</v>
      </c>
      <c r="C358" s="2">
        <v>45864</v>
      </c>
      <c r="D358" t="s">
        <v>71</v>
      </c>
      <c r="E358" t="s">
        <v>72</v>
      </c>
      <c r="F358" t="s">
        <v>408</v>
      </c>
      <c r="G358" t="s">
        <v>342</v>
      </c>
      <c r="I358" t="s">
        <v>409</v>
      </c>
      <c r="J358" s="2">
        <v>45807</v>
      </c>
      <c r="K358">
        <v>7.4</v>
      </c>
      <c r="L358">
        <v>7.4</v>
      </c>
      <c r="M358" s="2">
        <v>47953</v>
      </c>
      <c r="N358">
        <v>183</v>
      </c>
      <c r="O358">
        <v>203186.93</v>
      </c>
      <c r="Q358">
        <v>0</v>
      </c>
      <c r="R358">
        <v>0</v>
      </c>
      <c r="S358">
        <v>203186.93</v>
      </c>
      <c r="T358" t="s">
        <v>121</v>
      </c>
      <c r="U358" t="s">
        <v>26</v>
      </c>
      <c r="W358" s="3">
        <v>29377938</v>
      </c>
    </row>
    <row r="359" spans="1:23">
      <c r="A359" t="s">
        <v>66</v>
      </c>
      <c r="B359" t="s">
        <v>67</v>
      </c>
      <c r="C359" s="2">
        <v>45864</v>
      </c>
      <c r="D359" t="s">
        <v>71</v>
      </c>
      <c r="E359" t="s">
        <v>72</v>
      </c>
      <c r="F359" t="s">
        <v>410</v>
      </c>
      <c r="G359" t="s">
        <v>342</v>
      </c>
      <c r="I359" t="s">
        <v>411</v>
      </c>
      <c r="J359" s="2">
        <v>45597</v>
      </c>
      <c r="K359">
        <v>7.26</v>
      </c>
      <c r="L359">
        <v>7.2690000000000001</v>
      </c>
      <c r="M359" s="2">
        <v>49933</v>
      </c>
      <c r="N359">
        <v>130</v>
      </c>
      <c r="O359">
        <v>133911.47</v>
      </c>
      <c r="Q359">
        <v>0</v>
      </c>
      <c r="R359">
        <v>0</v>
      </c>
      <c r="S359">
        <v>133911.47</v>
      </c>
      <c r="T359" t="s">
        <v>121</v>
      </c>
      <c r="U359" t="s">
        <v>26</v>
      </c>
      <c r="W359" s="3">
        <v>7795286</v>
      </c>
    </row>
    <row r="360" spans="1:23">
      <c r="A360" t="s">
        <v>60</v>
      </c>
      <c r="B360" t="s">
        <v>61</v>
      </c>
      <c r="C360" s="2">
        <v>45864</v>
      </c>
      <c r="D360" t="s">
        <v>71</v>
      </c>
      <c r="E360" t="s">
        <v>72</v>
      </c>
      <c r="F360" t="s">
        <v>410</v>
      </c>
      <c r="G360" t="s">
        <v>342</v>
      </c>
      <c r="I360" t="s">
        <v>411</v>
      </c>
      <c r="J360" s="2">
        <v>45597</v>
      </c>
      <c r="K360">
        <v>7.26</v>
      </c>
      <c r="L360">
        <v>7.2690000000000001</v>
      </c>
      <c r="M360" s="2">
        <v>49933</v>
      </c>
      <c r="N360">
        <v>185</v>
      </c>
      <c r="O360">
        <v>190566.32</v>
      </c>
      <c r="Q360">
        <v>0</v>
      </c>
      <c r="R360">
        <v>0</v>
      </c>
      <c r="S360">
        <v>190566.32</v>
      </c>
      <c r="T360" t="s">
        <v>121</v>
      </c>
      <c r="U360" t="s">
        <v>26</v>
      </c>
      <c r="W360" s="3">
        <v>17157389</v>
      </c>
    </row>
    <row r="361" spans="1:23">
      <c r="A361" t="s">
        <v>31</v>
      </c>
      <c r="B361" t="s">
        <v>32</v>
      </c>
      <c r="C361" s="2">
        <v>45864</v>
      </c>
      <c r="D361" t="s">
        <v>71</v>
      </c>
      <c r="E361" t="s">
        <v>72</v>
      </c>
      <c r="F361" t="s">
        <v>410</v>
      </c>
      <c r="G361" t="s">
        <v>342</v>
      </c>
      <c r="I361" t="s">
        <v>411</v>
      </c>
      <c r="J361" s="2">
        <v>45597</v>
      </c>
      <c r="K361">
        <v>7.26</v>
      </c>
      <c r="L361">
        <v>7.2690000000000001</v>
      </c>
      <c r="M361" s="2">
        <v>49933</v>
      </c>
      <c r="N361">
        <v>185</v>
      </c>
      <c r="O361">
        <v>190566.32</v>
      </c>
      <c r="Q361">
        <v>0</v>
      </c>
      <c r="R361">
        <v>0</v>
      </c>
      <c r="S361">
        <v>190566.32</v>
      </c>
      <c r="T361" t="s">
        <v>121</v>
      </c>
      <c r="U361" t="s">
        <v>26</v>
      </c>
      <c r="W361" s="3">
        <v>49432850</v>
      </c>
    </row>
    <row r="362" spans="1:23">
      <c r="A362" t="s">
        <v>43</v>
      </c>
      <c r="B362" t="s">
        <v>44</v>
      </c>
      <c r="C362" s="2">
        <v>45864</v>
      </c>
      <c r="D362" t="s">
        <v>71</v>
      </c>
      <c r="E362" t="s">
        <v>72</v>
      </c>
      <c r="F362" t="s">
        <v>412</v>
      </c>
      <c r="G362" t="s">
        <v>342</v>
      </c>
      <c r="I362" t="s">
        <v>413</v>
      </c>
      <c r="J362" s="2">
        <v>45034</v>
      </c>
      <c r="K362">
        <v>7</v>
      </c>
      <c r="L362">
        <v>7.0046999999999997</v>
      </c>
      <c r="M362" s="2">
        <v>49749</v>
      </c>
      <c r="N362">
        <v>239</v>
      </c>
      <c r="O362">
        <v>255679.99</v>
      </c>
      <c r="Q362">
        <v>0</v>
      </c>
      <c r="R362">
        <v>0</v>
      </c>
      <c r="S362">
        <v>255679.99</v>
      </c>
      <c r="T362" t="s">
        <v>121</v>
      </c>
      <c r="U362" t="s">
        <v>26</v>
      </c>
      <c r="W362" s="3">
        <v>72337859</v>
      </c>
    </row>
    <row r="363" spans="1:23">
      <c r="A363" t="s">
        <v>51</v>
      </c>
      <c r="B363" t="s">
        <v>52</v>
      </c>
      <c r="C363" s="2">
        <v>45864</v>
      </c>
      <c r="D363" t="s">
        <v>71</v>
      </c>
      <c r="E363" t="s">
        <v>72</v>
      </c>
      <c r="F363" t="s">
        <v>414</v>
      </c>
      <c r="G363" t="s">
        <v>342</v>
      </c>
      <c r="I363" t="s">
        <v>415</v>
      </c>
      <c r="J363" s="2">
        <v>45790</v>
      </c>
      <c r="K363">
        <v>7.42</v>
      </c>
      <c r="L363">
        <v>7.42</v>
      </c>
      <c r="M363" s="2">
        <v>47164</v>
      </c>
      <c r="N363">
        <v>134</v>
      </c>
      <c r="O363">
        <v>163076.93</v>
      </c>
      <c r="Q363">
        <v>0</v>
      </c>
      <c r="R363">
        <v>0</v>
      </c>
      <c r="S363">
        <v>163076.93</v>
      </c>
      <c r="T363" t="s">
        <v>121</v>
      </c>
      <c r="U363" t="s">
        <v>26</v>
      </c>
      <c r="W363" s="3">
        <v>7407113</v>
      </c>
    </row>
    <row r="364" spans="1:23">
      <c r="A364" t="s">
        <v>43</v>
      </c>
      <c r="B364" t="s">
        <v>44</v>
      </c>
      <c r="C364" s="2">
        <v>45864</v>
      </c>
      <c r="D364" t="s">
        <v>71</v>
      </c>
      <c r="E364" t="s">
        <v>72</v>
      </c>
      <c r="F364" t="s">
        <v>414</v>
      </c>
      <c r="G364" t="s">
        <v>342</v>
      </c>
      <c r="I364" t="s">
        <v>415</v>
      </c>
      <c r="J364" s="2">
        <v>43965</v>
      </c>
      <c r="K364">
        <v>5</v>
      </c>
      <c r="L364">
        <v>5</v>
      </c>
      <c r="M364" s="2">
        <v>47164</v>
      </c>
      <c r="N364">
        <v>190</v>
      </c>
      <c r="O364">
        <v>228597.56</v>
      </c>
      <c r="Q364">
        <v>0</v>
      </c>
      <c r="R364">
        <v>0</v>
      </c>
      <c r="S364">
        <v>228597.56</v>
      </c>
      <c r="T364" t="s">
        <v>121</v>
      </c>
      <c r="U364" t="s">
        <v>26</v>
      </c>
      <c r="W364" s="3">
        <v>80093035</v>
      </c>
    </row>
    <row r="365" spans="1:23">
      <c r="A365" t="s">
        <v>66</v>
      </c>
      <c r="B365" t="s">
        <v>67</v>
      </c>
      <c r="C365" s="2">
        <v>45864</v>
      </c>
      <c r="D365" t="s">
        <v>71</v>
      </c>
      <c r="E365" t="s">
        <v>72</v>
      </c>
      <c r="F365" t="s">
        <v>414</v>
      </c>
      <c r="G365" t="s">
        <v>342</v>
      </c>
      <c r="I365" t="s">
        <v>415</v>
      </c>
      <c r="J365" s="2">
        <v>45790</v>
      </c>
      <c r="K365">
        <v>7.42</v>
      </c>
      <c r="L365">
        <v>7.42</v>
      </c>
      <c r="M365" s="2">
        <v>47164</v>
      </c>
      <c r="N365">
        <v>209</v>
      </c>
      <c r="O365">
        <v>254351.34</v>
      </c>
      <c r="Q365">
        <v>0</v>
      </c>
      <c r="R365">
        <v>0</v>
      </c>
      <c r="S365">
        <v>254351.34</v>
      </c>
      <c r="T365" t="s">
        <v>121</v>
      </c>
      <c r="U365" t="s">
        <v>26</v>
      </c>
      <c r="W365" s="3">
        <v>23972402</v>
      </c>
    </row>
    <row r="366" spans="1:23">
      <c r="A366" t="s">
        <v>43</v>
      </c>
      <c r="B366" t="s">
        <v>44</v>
      </c>
      <c r="C366" s="2">
        <v>45864</v>
      </c>
      <c r="D366" t="s">
        <v>71</v>
      </c>
      <c r="E366" t="s">
        <v>72</v>
      </c>
      <c r="F366" t="s">
        <v>416</v>
      </c>
      <c r="G366" t="s">
        <v>342</v>
      </c>
      <c r="I366" t="s">
        <v>417</v>
      </c>
      <c r="J366" s="2">
        <v>45370</v>
      </c>
      <c r="K366">
        <v>7</v>
      </c>
      <c r="L366">
        <v>7</v>
      </c>
      <c r="M366" s="2">
        <v>50571</v>
      </c>
      <c r="N366">
        <v>278</v>
      </c>
      <c r="O366">
        <v>351808.1</v>
      </c>
      <c r="Q366">
        <v>0</v>
      </c>
      <c r="R366">
        <v>0</v>
      </c>
      <c r="S366">
        <v>351808.1</v>
      </c>
      <c r="T366" t="s">
        <v>121</v>
      </c>
      <c r="U366" t="s">
        <v>26</v>
      </c>
      <c r="W366" s="3">
        <v>57241387</v>
      </c>
    </row>
    <row r="367" spans="1:23">
      <c r="A367" t="s">
        <v>43</v>
      </c>
      <c r="B367" t="s">
        <v>44</v>
      </c>
      <c r="C367" s="2">
        <v>45864</v>
      </c>
      <c r="D367" t="s">
        <v>71</v>
      </c>
      <c r="E367" t="s">
        <v>72</v>
      </c>
      <c r="F367" t="s">
        <v>418</v>
      </c>
      <c r="G367" t="s">
        <v>342</v>
      </c>
      <c r="I367" t="s">
        <v>419</v>
      </c>
      <c r="J367" s="2">
        <v>45351</v>
      </c>
      <c r="K367">
        <v>8.1999999999999993</v>
      </c>
      <c r="L367">
        <v>7.25</v>
      </c>
      <c r="M367" s="2">
        <v>52366</v>
      </c>
      <c r="N367">
        <v>221</v>
      </c>
      <c r="O367">
        <v>264553.03000000003</v>
      </c>
      <c r="Q367">
        <v>0</v>
      </c>
      <c r="R367">
        <v>0</v>
      </c>
      <c r="S367">
        <v>264553.03000000003</v>
      </c>
      <c r="T367" t="s">
        <v>121</v>
      </c>
      <c r="U367" t="s">
        <v>26</v>
      </c>
      <c r="W367" s="3">
        <v>66776919</v>
      </c>
    </row>
    <row r="368" spans="1:23">
      <c r="A368" t="s">
        <v>62</v>
      </c>
      <c r="B368" t="s">
        <v>63</v>
      </c>
      <c r="C368" s="2">
        <v>45864</v>
      </c>
      <c r="D368" t="s">
        <v>71</v>
      </c>
      <c r="E368" t="s">
        <v>72</v>
      </c>
      <c r="F368" t="s">
        <v>418</v>
      </c>
      <c r="G368" t="s">
        <v>342</v>
      </c>
      <c r="I368" t="s">
        <v>419</v>
      </c>
      <c r="J368" s="2">
        <v>45351</v>
      </c>
      <c r="K368">
        <v>7</v>
      </c>
      <c r="L368">
        <v>7</v>
      </c>
      <c r="M368" s="2">
        <v>52366</v>
      </c>
      <c r="N368">
        <v>220</v>
      </c>
      <c r="O368">
        <v>313430.56</v>
      </c>
      <c r="Q368">
        <v>0</v>
      </c>
      <c r="R368">
        <v>0</v>
      </c>
      <c r="S368">
        <v>313430.56</v>
      </c>
      <c r="T368" t="s">
        <v>121</v>
      </c>
      <c r="U368" t="s">
        <v>26</v>
      </c>
      <c r="W368" s="3">
        <v>64825501</v>
      </c>
    </row>
    <row r="369" spans="1:23">
      <c r="A369" t="s">
        <v>43</v>
      </c>
      <c r="B369" t="s">
        <v>44</v>
      </c>
      <c r="C369" s="2">
        <v>45864</v>
      </c>
      <c r="D369" t="s">
        <v>71</v>
      </c>
      <c r="E369" t="s">
        <v>72</v>
      </c>
      <c r="F369" t="s">
        <v>418</v>
      </c>
      <c r="G369" t="s">
        <v>342</v>
      </c>
      <c r="I369" t="s">
        <v>419</v>
      </c>
      <c r="J369" s="2">
        <v>45100</v>
      </c>
      <c r="K369">
        <v>8.1999999999999993</v>
      </c>
      <c r="L369">
        <v>8.1999999999999993</v>
      </c>
      <c r="M369" s="2">
        <v>52366</v>
      </c>
      <c r="N369">
        <v>265</v>
      </c>
      <c r="O369">
        <v>317224.23</v>
      </c>
      <c r="Q369">
        <v>0</v>
      </c>
      <c r="R369">
        <v>0</v>
      </c>
      <c r="S369">
        <v>317224.23</v>
      </c>
      <c r="T369" t="s">
        <v>121</v>
      </c>
      <c r="U369" t="s">
        <v>26</v>
      </c>
      <c r="W369" s="3">
        <v>67245676</v>
      </c>
    </row>
    <row r="370" spans="1:23">
      <c r="A370" t="s">
        <v>66</v>
      </c>
      <c r="B370" t="s">
        <v>67</v>
      </c>
      <c r="C370" s="2">
        <v>45864</v>
      </c>
      <c r="D370" t="s">
        <v>71</v>
      </c>
      <c r="E370" t="s">
        <v>72</v>
      </c>
      <c r="F370" t="s">
        <v>420</v>
      </c>
      <c r="G370" t="s">
        <v>342</v>
      </c>
      <c r="I370" t="s">
        <v>421</v>
      </c>
      <c r="J370" s="2">
        <v>45821</v>
      </c>
      <c r="K370">
        <v>7.15</v>
      </c>
      <c r="L370">
        <v>7.1559999999999997</v>
      </c>
      <c r="M370" s="2">
        <v>48653</v>
      </c>
      <c r="N370">
        <v>285</v>
      </c>
      <c r="O370">
        <v>299926.08</v>
      </c>
      <c r="Q370">
        <v>0</v>
      </c>
      <c r="R370">
        <v>0</v>
      </c>
      <c r="S370">
        <v>299926.08</v>
      </c>
      <c r="T370" t="s">
        <v>121</v>
      </c>
      <c r="U370" t="s">
        <v>26</v>
      </c>
      <c r="W370" s="3">
        <v>6960250</v>
      </c>
    </row>
    <row r="371" spans="1:23">
      <c r="A371" t="s">
        <v>60</v>
      </c>
      <c r="B371" t="s">
        <v>61</v>
      </c>
      <c r="C371" s="2">
        <v>45864</v>
      </c>
      <c r="D371" t="s">
        <v>71</v>
      </c>
      <c r="E371" t="s">
        <v>72</v>
      </c>
      <c r="F371" t="s">
        <v>422</v>
      </c>
      <c r="G371" t="s">
        <v>342</v>
      </c>
      <c r="I371" t="s">
        <v>421</v>
      </c>
      <c r="J371" s="2">
        <v>45414</v>
      </c>
      <c r="K371">
        <v>5.67</v>
      </c>
      <c r="L371">
        <v>5.67</v>
      </c>
      <c r="M371" s="2">
        <v>50693</v>
      </c>
      <c r="N371">
        <v>46</v>
      </c>
      <c r="O371">
        <v>54331.16</v>
      </c>
      <c r="P371" s="4"/>
      <c r="Q371">
        <v>0</v>
      </c>
      <c r="R371">
        <v>0</v>
      </c>
      <c r="S371">
        <v>54331.16</v>
      </c>
      <c r="T371" t="s">
        <v>121</v>
      </c>
      <c r="U371" t="s">
        <v>26</v>
      </c>
      <c r="W371" s="3">
        <v>8628212</v>
      </c>
    </row>
    <row r="372" spans="1:23">
      <c r="A372" t="s">
        <v>60</v>
      </c>
      <c r="B372" t="s">
        <v>61</v>
      </c>
      <c r="C372" s="2">
        <v>45864</v>
      </c>
      <c r="D372" t="s">
        <v>71</v>
      </c>
      <c r="E372" t="s">
        <v>72</v>
      </c>
      <c r="F372" t="s">
        <v>423</v>
      </c>
      <c r="G372" t="s">
        <v>342</v>
      </c>
      <c r="I372" t="s">
        <v>424</v>
      </c>
      <c r="J372" s="2">
        <v>45253</v>
      </c>
      <c r="K372">
        <v>6.5</v>
      </c>
      <c r="L372">
        <v>6.5</v>
      </c>
      <c r="M372" s="2">
        <v>49994</v>
      </c>
      <c r="N372">
        <v>82</v>
      </c>
      <c r="O372">
        <v>118006.41</v>
      </c>
      <c r="Q372">
        <v>0</v>
      </c>
      <c r="R372">
        <v>0</v>
      </c>
      <c r="S372">
        <v>118006.41</v>
      </c>
      <c r="T372" t="s">
        <v>121</v>
      </c>
      <c r="U372" t="s">
        <v>26</v>
      </c>
      <c r="W372" s="3">
        <v>14951205</v>
      </c>
    </row>
    <row r="373" spans="1:23">
      <c r="A373" t="s">
        <v>54</v>
      </c>
      <c r="B373" t="s">
        <v>55</v>
      </c>
      <c r="C373" s="2">
        <v>45864</v>
      </c>
      <c r="D373" t="s">
        <v>71</v>
      </c>
      <c r="E373" t="s">
        <v>72</v>
      </c>
      <c r="F373" t="s">
        <v>425</v>
      </c>
      <c r="G373" t="s">
        <v>342</v>
      </c>
      <c r="I373" t="s">
        <v>426</v>
      </c>
      <c r="J373" s="2">
        <v>45639</v>
      </c>
      <c r="K373">
        <v>0</v>
      </c>
      <c r="L373">
        <v>0</v>
      </c>
      <c r="M373" s="2">
        <v>46630</v>
      </c>
      <c r="N373">
        <v>2064</v>
      </c>
      <c r="O373">
        <v>25965.119999999999</v>
      </c>
      <c r="Q373">
        <v>0</v>
      </c>
      <c r="R373">
        <v>0</v>
      </c>
      <c r="S373">
        <v>25965.119999999999</v>
      </c>
      <c r="T373" t="s">
        <v>94</v>
      </c>
      <c r="U373" t="s">
        <v>26</v>
      </c>
      <c r="W373" s="3">
        <v>12359303</v>
      </c>
    </row>
    <row r="374" spans="1:23">
      <c r="A374" t="s">
        <v>54</v>
      </c>
      <c r="B374" t="s">
        <v>55</v>
      </c>
      <c r="C374" s="2">
        <v>45864</v>
      </c>
      <c r="D374" t="s">
        <v>71</v>
      </c>
      <c r="E374" t="s">
        <v>72</v>
      </c>
      <c r="F374" t="s">
        <v>427</v>
      </c>
      <c r="G374" t="s">
        <v>342</v>
      </c>
      <c r="I374" t="s">
        <v>428</v>
      </c>
      <c r="J374" s="2">
        <v>45638</v>
      </c>
      <c r="K374">
        <v>5</v>
      </c>
      <c r="L374">
        <v>5</v>
      </c>
      <c r="M374" s="2">
        <v>48531</v>
      </c>
      <c r="N374">
        <v>91</v>
      </c>
      <c r="O374">
        <v>5646.51</v>
      </c>
      <c r="Q374">
        <v>0</v>
      </c>
      <c r="R374">
        <v>0</v>
      </c>
      <c r="S374">
        <v>5646.51</v>
      </c>
      <c r="T374" t="s">
        <v>121</v>
      </c>
      <c r="U374" t="s">
        <v>26</v>
      </c>
      <c r="W374" s="3">
        <v>35255510</v>
      </c>
    </row>
    <row r="375" spans="1:23">
      <c r="A375" t="s">
        <v>54</v>
      </c>
      <c r="B375" t="s">
        <v>55</v>
      </c>
      <c r="C375" s="2">
        <v>45864</v>
      </c>
      <c r="D375" t="s">
        <v>71</v>
      </c>
      <c r="E375" t="s">
        <v>72</v>
      </c>
      <c r="F375" t="s">
        <v>429</v>
      </c>
      <c r="G375" t="s">
        <v>342</v>
      </c>
      <c r="I375" t="s">
        <v>428</v>
      </c>
      <c r="J375" s="2">
        <v>45638</v>
      </c>
      <c r="K375">
        <v>3</v>
      </c>
      <c r="L375">
        <v>3</v>
      </c>
      <c r="M375" s="2">
        <v>50357</v>
      </c>
      <c r="N375">
        <v>40</v>
      </c>
      <c r="O375">
        <v>1642.32</v>
      </c>
      <c r="Q375">
        <v>0</v>
      </c>
      <c r="R375">
        <v>0</v>
      </c>
      <c r="S375">
        <v>1642.32</v>
      </c>
      <c r="T375" t="s">
        <v>121</v>
      </c>
      <c r="U375" t="s">
        <v>26</v>
      </c>
      <c r="W375" s="3">
        <v>35318443</v>
      </c>
    </row>
    <row r="376" spans="1:23">
      <c r="A376" t="s">
        <v>43</v>
      </c>
      <c r="B376" t="s">
        <v>44</v>
      </c>
      <c r="C376" s="2">
        <v>45864</v>
      </c>
      <c r="D376" t="s">
        <v>71</v>
      </c>
      <c r="E376" t="s">
        <v>72</v>
      </c>
      <c r="F376" t="s">
        <v>430</v>
      </c>
      <c r="G376" t="s">
        <v>342</v>
      </c>
      <c r="I376" t="s">
        <v>431</v>
      </c>
      <c r="J376" s="2">
        <v>45168</v>
      </c>
      <c r="K376">
        <v>6.75</v>
      </c>
      <c r="L376">
        <v>6.75</v>
      </c>
      <c r="M376" s="2">
        <v>52793</v>
      </c>
      <c r="N376">
        <v>292</v>
      </c>
      <c r="O376">
        <v>358168.88</v>
      </c>
      <c r="Q376">
        <v>0</v>
      </c>
      <c r="R376">
        <v>0</v>
      </c>
      <c r="S376">
        <v>358168.88</v>
      </c>
      <c r="T376" t="s">
        <v>121</v>
      </c>
      <c r="U376" t="s">
        <v>26</v>
      </c>
      <c r="W376" s="3">
        <v>49350749</v>
      </c>
    </row>
    <row r="377" spans="1:23">
      <c r="A377" t="s">
        <v>43</v>
      </c>
      <c r="B377" t="s">
        <v>44</v>
      </c>
      <c r="C377" s="2">
        <v>45864</v>
      </c>
      <c r="D377" t="s">
        <v>71</v>
      </c>
      <c r="E377" t="s">
        <v>72</v>
      </c>
      <c r="F377" t="s">
        <v>432</v>
      </c>
      <c r="G377" t="s">
        <v>342</v>
      </c>
      <c r="I377" t="s">
        <v>433</v>
      </c>
      <c r="J377" s="2">
        <v>45141</v>
      </c>
      <c r="K377">
        <v>6.15</v>
      </c>
      <c r="L377">
        <v>6.15</v>
      </c>
      <c r="M377" s="2">
        <v>50359</v>
      </c>
      <c r="N377">
        <v>133</v>
      </c>
      <c r="O377">
        <v>138092.81</v>
      </c>
      <c r="Q377">
        <v>0</v>
      </c>
      <c r="R377">
        <v>0</v>
      </c>
      <c r="S377">
        <v>138092.81</v>
      </c>
      <c r="T377" t="s">
        <v>121</v>
      </c>
      <c r="U377" t="s">
        <v>26</v>
      </c>
      <c r="W377" s="3">
        <v>84659906</v>
      </c>
    </row>
    <row r="378" spans="1:23">
      <c r="A378" t="s">
        <v>43</v>
      </c>
      <c r="B378" t="s">
        <v>44</v>
      </c>
      <c r="C378" s="2">
        <v>45864</v>
      </c>
      <c r="D378" t="s">
        <v>71</v>
      </c>
      <c r="E378" t="s">
        <v>72</v>
      </c>
      <c r="F378" t="s">
        <v>432</v>
      </c>
      <c r="G378" t="s">
        <v>342</v>
      </c>
      <c r="I378" t="s">
        <v>433</v>
      </c>
      <c r="J378" s="2">
        <v>45142</v>
      </c>
      <c r="K378">
        <v>6.15</v>
      </c>
      <c r="L378">
        <v>6.15</v>
      </c>
      <c r="M378" s="2">
        <v>50359</v>
      </c>
      <c r="N378">
        <v>144</v>
      </c>
      <c r="O378">
        <v>149514.01999999999</v>
      </c>
      <c r="Q378">
        <v>0</v>
      </c>
      <c r="R378">
        <v>0</v>
      </c>
      <c r="S378">
        <v>149514.01999999999</v>
      </c>
      <c r="T378" t="s">
        <v>121</v>
      </c>
      <c r="U378" t="s">
        <v>26</v>
      </c>
      <c r="W378" s="3">
        <v>80782613</v>
      </c>
    </row>
    <row r="379" spans="1:23">
      <c r="A379" t="s">
        <v>53</v>
      </c>
      <c r="B379" t="s">
        <v>48</v>
      </c>
      <c r="C379" s="2">
        <v>45864</v>
      </c>
      <c r="D379" t="s">
        <v>71</v>
      </c>
      <c r="E379" t="s">
        <v>72</v>
      </c>
      <c r="F379" t="s">
        <v>434</v>
      </c>
      <c r="G379" t="s">
        <v>342</v>
      </c>
      <c r="I379" t="s">
        <v>435</v>
      </c>
      <c r="J379" s="2">
        <v>45447</v>
      </c>
      <c r="K379">
        <v>6.2</v>
      </c>
      <c r="L379">
        <v>6.2</v>
      </c>
      <c r="M379" s="2">
        <v>46280</v>
      </c>
      <c r="N379">
        <v>231</v>
      </c>
      <c r="O379">
        <v>126339.77</v>
      </c>
      <c r="Q379">
        <v>0</v>
      </c>
      <c r="R379">
        <v>0</v>
      </c>
      <c r="S379">
        <v>126339.77</v>
      </c>
      <c r="T379" t="s">
        <v>121</v>
      </c>
      <c r="U379" t="s">
        <v>26</v>
      </c>
      <c r="W379" s="3">
        <v>42804864</v>
      </c>
    </row>
    <row r="380" spans="1:23">
      <c r="A380" t="s">
        <v>62</v>
      </c>
      <c r="B380" t="s">
        <v>63</v>
      </c>
      <c r="C380" s="2">
        <v>45864</v>
      </c>
      <c r="D380" t="s">
        <v>71</v>
      </c>
      <c r="E380" t="s">
        <v>72</v>
      </c>
      <c r="F380" t="s">
        <v>436</v>
      </c>
      <c r="G380" t="s">
        <v>342</v>
      </c>
      <c r="I380" t="s">
        <v>437</v>
      </c>
      <c r="J380" s="2">
        <v>44336</v>
      </c>
      <c r="K380">
        <v>4.6500000000000004</v>
      </c>
      <c r="L380">
        <v>4.6500000000000004</v>
      </c>
      <c r="M380" s="2">
        <v>47679</v>
      </c>
      <c r="N380">
        <v>87</v>
      </c>
      <c r="O380">
        <v>64869.88</v>
      </c>
      <c r="Q380">
        <v>0</v>
      </c>
      <c r="R380">
        <v>0</v>
      </c>
      <c r="S380">
        <v>64869.88</v>
      </c>
      <c r="T380" t="s">
        <v>121</v>
      </c>
      <c r="U380" t="s">
        <v>26</v>
      </c>
      <c r="W380" s="3">
        <v>55138791</v>
      </c>
    </row>
    <row r="381" spans="1:23">
      <c r="A381" t="s">
        <v>53</v>
      </c>
      <c r="B381" t="s">
        <v>48</v>
      </c>
      <c r="C381" s="2">
        <v>45864</v>
      </c>
      <c r="D381" t="s">
        <v>71</v>
      </c>
      <c r="E381" t="s">
        <v>72</v>
      </c>
      <c r="F381" t="s">
        <v>438</v>
      </c>
      <c r="G381" t="s">
        <v>342</v>
      </c>
      <c r="I381" t="s">
        <v>439</v>
      </c>
      <c r="J381" s="2">
        <v>43508</v>
      </c>
      <c r="K381">
        <v>4.22</v>
      </c>
      <c r="L381">
        <v>4.22</v>
      </c>
      <c r="M381" s="2">
        <v>47133</v>
      </c>
      <c r="N381">
        <v>66</v>
      </c>
      <c r="O381">
        <v>94567.27</v>
      </c>
      <c r="Q381">
        <v>0</v>
      </c>
      <c r="R381">
        <v>0</v>
      </c>
      <c r="S381">
        <v>94567.27</v>
      </c>
      <c r="T381" t="s">
        <v>121</v>
      </c>
      <c r="U381" t="s">
        <v>26</v>
      </c>
      <c r="W381" s="3">
        <v>15669531</v>
      </c>
    </row>
    <row r="382" spans="1:23">
      <c r="A382" t="s">
        <v>66</v>
      </c>
      <c r="B382" t="s">
        <v>67</v>
      </c>
      <c r="C382" s="2">
        <v>45864</v>
      </c>
      <c r="D382" t="s">
        <v>71</v>
      </c>
      <c r="E382" t="s">
        <v>72</v>
      </c>
      <c r="F382" t="s">
        <v>438</v>
      </c>
      <c r="G382" t="s">
        <v>342</v>
      </c>
      <c r="I382" t="s">
        <v>439</v>
      </c>
      <c r="J382" s="2">
        <v>45792</v>
      </c>
      <c r="K382">
        <v>6.85</v>
      </c>
      <c r="L382">
        <v>7.23</v>
      </c>
      <c r="M382" s="2">
        <v>47133</v>
      </c>
      <c r="N382">
        <v>78</v>
      </c>
      <c r="O382">
        <v>102120.85</v>
      </c>
      <c r="Q382">
        <v>0</v>
      </c>
      <c r="R382">
        <v>0</v>
      </c>
      <c r="S382">
        <v>102120.85</v>
      </c>
      <c r="T382" t="s">
        <v>121</v>
      </c>
      <c r="U382" t="s">
        <v>26</v>
      </c>
      <c r="W382" s="3">
        <v>5345151</v>
      </c>
    </row>
    <row r="383" spans="1:23">
      <c r="A383" t="s">
        <v>66</v>
      </c>
      <c r="B383" t="s">
        <v>67</v>
      </c>
      <c r="C383" s="2">
        <v>45864</v>
      </c>
      <c r="D383" t="s">
        <v>71</v>
      </c>
      <c r="E383" t="s">
        <v>72</v>
      </c>
      <c r="F383" t="s">
        <v>438</v>
      </c>
      <c r="G383" t="s">
        <v>342</v>
      </c>
      <c r="I383" t="s">
        <v>439</v>
      </c>
      <c r="J383" s="2">
        <v>45630</v>
      </c>
      <c r="K383">
        <v>6.85</v>
      </c>
      <c r="L383">
        <v>6.85</v>
      </c>
      <c r="M383" s="2">
        <v>47133</v>
      </c>
      <c r="N383">
        <v>78</v>
      </c>
      <c r="O383">
        <v>103338.55</v>
      </c>
      <c r="Q383">
        <v>0</v>
      </c>
      <c r="R383">
        <v>0</v>
      </c>
      <c r="S383">
        <v>103338.55</v>
      </c>
      <c r="T383" t="s">
        <v>121</v>
      </c>
      <c r="U383" t="s">
        <v>26</v>
      </c>
      <c r="W383" s="3">
        <v>8154976</v>
      </c>
    </row>
    <row r="384" spans="1:23">
      <c r="A384" t="s">
        <v>54</v>
      </c>
      <c r="B384" t="s">
        <v>55</v>
      </c>
      <c r="C384" s="2">
        <v>45864</v>
      </c>
      <c r="D384" t="s">
        <v>71</v>
      </c>
      <c r="E384" t="s">
        <v>72</v>
      </c>
      <c r="F384" t="s">
        <v>438</v>
      </c>
      <c r="G384" t="s">
        <v>342</v>
      </c>
      <c r="I384" t="s">
        <v>439</v>
      </c>
      <c r="J384" s="2">
        <v>45615</v>
      </c>
      <c r="K384">
        <v>6.65</v>
      </c>
      <c r="L384">
        <v>6.65</v>
      </c>
      <c r="M384" s="2">
        <v>47133</v>
      </c>
      <c r="N384">
        <v>147</v>
      </c>
      <c r="O384">
        <v>196080.21</v>
      </c>
      <c r="Q384">
        <v>0</v>
      </c>
      <c r="R384">
        <v>0</v>
      </c>
      <c r="S384">
        <v>196080.21</v>
      </c>
      <c r="T384" t="s">
        <v>121</v>
      </c>
      <c r="U384" t="s">
        <v>26</v>
      </c>
      <c r="W384" s="3">
        <v>36836526</v>
      </c>
    </row>
    <row r="385" spans="1:23">
      <c r="A385" t="s">
        <v>43</v>
      </c>
      <c r="B385" t="s">
        <v>44</v>
      </c>
      <c r="C385" s="2">
        <v>45864</v>
      </c>
      <c r="D385" t="s">
        <v>71</v>
      </c>
      <c r="E385" t="s">
        <v>72</v>
      </c>
      <c r="F385" t="s">
        <v>440</v>
      </c>
      <c r="G385" t="s">
        <v>342</v>
      </c>
      <c r="I385" t="s">
        <v>439</v>
      </c>
      <c r="J385" s="2">
        <v>43747</v>
      </c>
      <c r="K385">
        <v>3.6</v>
      </c>
      <c r="L385">
        <v>3.6</v>
      </c>
      <c r="M385" s="2">
        <v>47376</v>
      </c>
      <c r="N385">
        <v>200</v>
      </c>
      <c r="O385">
        <v>249230.37</v>
      </c>
      <c r="P385" s="4"/>
      <c r="Q385">
        <v>0</v>
      </c>
      <c r="R385">
        <v>0</v>
      </c>
      <c r="S385">
        <v>249230.37</v>
      </c>
      <c r="T385" t="s">
        <v>121</v>
      </c>
      <c r="U385" t="s">
        <v>26</v>
      </c>
      <c r="W385" s="3">
        <v>70305099</v>
      </c>
    </row>
    <row r="386" spans="1:23">
      <c r="A386" t="s">
        <v>54</v>
      </c>
      <c r="B386" t="s">
        <v>55</v>
      </c>
      <c r="C386" s="2">
        <v>45864</v>
      </c>
      <c r="D386" t="s">
        <v>71</v>
      </c>
      <c r="E386" t="s">
        <v>72</v>
      </c>
      <c r="F386" t="s">
        <v>441</v>
      </c>
      <c r="G386" t="s">
        <v>342</v>
      </c>
      <c r="I386" t="s">
        <v>439</v>
      </c>
      <c r="J386" s="2">
        <v>45614</v>
      </c>
      <c r="K386">
        <v>6.65</v>
      </c>
      <c r="L386">
        <v>6.65</v>
      </c>
      <c r="M386" s="2">
        <v>49202</v>
      </c>
      <c r="N386">
        <v>70</v>
      </c>
      <c r="O386">
        <v>81896.539999999994</v>
      </c>
      <c r="Q386">
        <v>0</v>
      </c>
      <c r="R386">
        <v>0</v>
      </c>
      <c r="S386">
        <v>81896.539999999994</v>
      </c>
      <c r="T386" t="s">
        <v>121</v>
      </c>
      <c r="U386" t="s">
        <v>26</v>
      </c>
      <c r="W386" s="3">
        <v>18412609</v>
      </c>
    </row>
    <row r="387" spans="1:23">
      <c r="A387" t="s">
        <v>62</v>
      </c>
      <c r="B387" t="s">
        <v>63</v>
      </c>
      <c r="C387" s="2">
        <v>45864</v>
      </c>
      <c r="D387" t="s">
        <v>71</v>
      </c>
      <c r="E387" t="s">
        <v>72</v>
      </c>
      <c r="F387" t="s">
        <v>441</v>
      </c>
      <c r="G387" t="s">
        <v>342</v>
      </c>
      <c r="I387" t="s">
        <v>439</v>
      </c>
      <c r="J387" s="2">
        <v>45614</v>
      </c>
      <c r="K387">
        <v>6.65</v>
      </c>
      <c r="L387">
        <v>6.65</v>
      </c>
      <c r="M387" s="2">
        <v>49202</v>
      </c>
      <c r="N387">
        <v>70</v>
      </c>
      <c r="O387">
        <v>81896.539999999994</v>
      </c>
      <c r="Q387">
        <v>0</v>
      </c>
      <c r="R387">
        <v>0</v>
      </c>
      <c r="S387">
        <v>81896.539999999994</v>
      </c>
      <c r="T387" t="s">
        <v>121</v>
      </c>
      <c r="U387" t="s">
        <v>26</v>
      </c>
      <c r="W387" s="3">
        <v>77069661</v>
      </c>
    </row>
    <row r="388" spans="1:23">
      <c r="A388" t="s">
        <v>66</v>
      </c>
      <c r="B388" t="s">
        <v>67</v>
      </c>
      <c r="C388" s="2">
        <v>45864</v>
      </c>
      <c r="D388" t="s">
        <v>71</v>
      </c>
      <c r="E388" t="s">
        <v>72</v>
      </c>
      <c r="F388" t="s">
        <v>441</v>
      </c>
      <c r="G388" t="s">
        <v>342</v>
      </c>
      <c r="I388" t="s">
        <v>439</v>
      </c>
      <c r="J388" s="2">
        <v>44267</v>
      </c>
      <c r="K388">
        <v>3.85</v>
      </c>
      <c r="L388">
        <v>3.85</v>
      </c>
      <c r="M388" s="2">
        <v>49202</v>
      </c>
      <c r="N388">
        <v>98</v>
      </c>
      <c r="O388">
        <v>139553.12</v>
      </c>
      <c r="Q388">
        <v>0</v>
      </c>
      <c r="R388">
        <v>0</v>
      </c>
      <c r="S388">
        <v>139553.12</v>
      </c>
      <c r="T388" t="s">
        <v>121</v>
      </c>
      <c r="U388" t="s">
        <v>26</v>
      </c>
      <c r="W388" s="3">
        <v>12460881</v>
      </c>
    </row>
    <row r="389" spans="1:23">
      <c r="A389" t="s">
        <v>66</v>
      </c>
      <c r="B389" t="s">
        <v>67</v>
      </c>
      <c r="C389" s="2">
        <v>45864</v>
      </c>
      <c r="D389" t="s">
        <v>71</v>
      </c>
      <c r="E389" t="s">
        <v>72</v>
      </c>
      <c r="F389" t="s">
        <v>442</v>
      </c>
      <c r="G389" t="s">
        <v>342</v>
      </c>
      <c r="I389" t="s">
        <v>443</v>
      </c>
      <c r="J389" s="2">
        <v>45111</v>
      </c>
      <c r="K389">
        <v>6.37</v>
      </c>
      <c r="L389">
        <v>6.37</v>
      </c>
      <c r="M389" s="2">
        <v>48441</v>
      </c>
      <c r="N389">
        <v>100</v>
      </c>
      <c r="O389">
        <v>122603.76</v>
      </c>
      <c r="Q389">
        <v>0</v>
      </c>
      <c r="R389">
        <v>0</v>
      </c>
      <c r="S389">
        <v>122603.76</v>
      </c>
      <c r="T389" t="s">
        <v>121</v>
      </c>
      <c r="U389" t="s">
        <v>26</v>
      </c>
      <c r="W389" s="3">
        <v>45923729</v>
      </c>
    </row>
    <row r="390" spans="1:23">
      <c r="A390" t="s">
        <v>60</v>
      </c>
      <c r="B390" t="s">
        <v>61</v>
      </c>
      <c r="C390" s="2">
        <v>45864</v>
      </c>
      <c r="D390" t="s">
        <v>71</v>
      </c>
      <c r="E390" t="s">
        <v>72</v>
      </c>
      <c r="F390" t="s">
        <v>442</v>
      </c>
      <c r="G390" t="s">
        <v>342</v>
      </c>
      <c r="I390" t="s">
        <v>443</v>
      </c>
      <c r="J390" s="2">
        <v>45210</v>
      </c>
      <c r="K390">
        <v>6.75</v>
      </c>
      <c r="L390">
        <v>6.75</v>
      </c>
      <c r="M390" s="2">
        <v>48441</v>
      </c>
      <c r="N390">
        <v>183</v>
      </c>
      <c r="O390">
        <v>221166.43</v>
      </c>
      <c r="Q390">
        <v>0</v>
      </c>
      <c r="R390">
        <v>0</v>
      </c>
      <c r="S390">
        <v>221166.43</v>
      </c>
      <c r="T390" t="s">
        <v>121</v>
      </c>
      <c r="U390" t="s">
        <v>26</v>
      </c>
      <c r="W390" s="3">
        <v>11367406</v>
      </c>
    </row>
    <row r="391" spans="1:23">
      <c r="A391" t="s">
        <v>43</v>
      </c>
      <c r="B391" t="s">
        <v>44</v>
      </c>
      <c r="C391" s="2">
        <v>45864</v>
      </c>
      <c r="D391" t="s">
        <v>71</v>
      </c>
      <c r="E391" t="s">
        <v>72</v>
      </c>
      <c r="F391" t="s">
        <v>442</v>
      </c>
      <c r="G391" t="s">
        <v>342</v>
      </c>
      <c r="I391" t="s">
        <v>443</v>
      </c>
      <c r="J391" s="2">
        <v>45525</v>
      </c>
      <c r="K391">
        <v>6.5</v>
      </c>
      <c r="L391">
        <v>6.5</v>
      </c>
      <c r="M391" s="2">
        <v>48441</v>
      </c>
      <c r="N391">
        <v>301</v>
      </c>
      <c r="O391">
        <v>348193.61</v>
      </c>
      <c r="Q391">
        <v>0</v>
      </c>
      <c r="R391">
        <v>0</v>
      </c>
      <c r="S391">
        <v>348193.61</v>
      </c>
      <c r="T391" t="s">
        <v>121</v>
      </c>
      <c r="U391" t="s">
        <v>26</v>
      </c>
      <c r="W391" s="3">
        <v>54730139</v>
      </c>
    </row>
    <row r="392" spans="1:23">
      <c r="A392" t="s">
        <v>60</v>
      </c>
      <c r="B392" t="s">
        <v>61</v>
      </c>
      <c r="C392" s="2">
        <v>45864</v>
      </c>
      <c r="D392" t="s">
        <v>71</v>
      </c>
      <c r="E392" t="s">
        <v>72</v>
      </c>
      <c r="F392" t="s">
        <v>444</v>
      </c>
      <c r="G392" t="s">
        <v>342</v>
      </c>
      <c r="I392" t="s">
        <v>445</v>
      </c>
      <c r="J392" s="2">
        <v>44664</v>
      </c>
      <c r="K392">
        <v>5.92</v>
      </c>
      <c r="L392">
        <v>5.92</v>
      </c>
      <c r="M392" s="2">
        <v>47192</v>
      </c>
      <c r="N392">
        <v>269</v>
      </c>
      <c r="O392">
        <v>318762.23</v>
      </c>
      <c r="Q392">
        <v>0</v>
      </c>
      <c r="R392">
        <v>0</v>
      </c>
      <c r="S392">
        <v>318762.23</v>
      </c>
      <c r="T392" t="s">
        <v>121</v>
      </c>
      <c r="U392" t="s">
        <v>26</v>
      </c>
      <c r="W392" s="3">
        <v>13756162</v>
      </c>
    </row>
    <row r="393" spans="1:23">
      <c r="A393" t="s">
        <v>54</v>
      </c>
      <c r="B393" t="s">
        <v>55</v>
      </c>
      <c r="C393" s="2">
        <v>45864</v>
      </c>
      <c r="D393" t="s">
        <v>71</v>
      </c>
      <c r="E393" t="s">
        <v>72</v>
      </c>
      <c r="F393" t="s">
        <v>446</v>
      </c>
      <c r="G393" t="s">
        <v>342</v>
      </c>
      <c r="I393" t="s">
        <v>445</v>
      </c>
      <c r="J393" s="2">
        <v>45614</v>
      </c>
      <c r="K393">
        <v>6.95</v>
      </c>
      <c r="L393">
        <v>6.95</v>
      </c>
      <c r="M393" s="2">
        <v>48288</v>
      </c>
      <c r="N393">
        <v>127</v>
      </c>
      <c r="O393">
        <v>144140.57</v>
      </c>
      <c r="Q393">
        <v>0</v>
      </c>
      <c r="R393">
        <v>0</v>
      </c>
      <c r="S393">
        <v>144140.57</v>
      </c>
      <c r="T393" t="s">
        <v>121</v>
      </c>
      <c r="U393" t="s">
        <v>26</v>
      </c>
      <c r="W393" s="3">
        <v>2883182</v>
      </c>
    </row>
    <row r="394" spans="1:23">
      <c r="A394" t="s">
        <v>62</v>
      </c>
      <c r="B394" t="s">
        <v>63</v>
      </c>
      <c r="C394" s="2">
        <v>45864</v>
      </c>
      <c r="D394" t="s">
        <v>71</v>
      </c>
      <c r="E394" t="s">
        <v>72</v>
      </c>
      <c r="F394" t="s">
        <v>446</v>
      </c>
      <c r="G394" t="s">
        <v>342</v>
      </c>
      <c r="I394" t="s">
        <v>445</v>
      </c>
      <c r="J394" s="2">
        <v>45614</v>
      </c>
      <c r="K394">
        <v>6.95</v>
      </c>
      <c r="L394">
        <v>6.95</v>
      </c>
      <c r="M394" s="2">
        <v>48288</v>
      </c>
      <c r="N394">
        <v>127</v>
      </c>
      <c r="O394">
        <v>144140.57</v>
      </c>
      <c r="Q394">
        <v>0</v>
      </c>
      <c r="R394">
        <v>0</v>
      </c>
      <c r="S394">
        <v>144140.57</v>
      </c>
      <c r="T394" t="s">
        <v>121</v>
      </c>
      <c r="U394" t="s">
        <v>26</v>
      </c>
      <c r="W394" s="3">
        <v>82563556</v>
      </c>
    </row>
    <row r="395" spans="1:23">
      <c r="A395" t="s">
        <v>51</v>
      </c>
      <c r="B395" t="s">
        <v>52</v>
      </c>
      <c r="C395" s="2">
        <v>45864</v>
      </c>
      <c r="D395" t="s">
        <v>71</v>
      </c>
      <c r="E395" t="s">
        <v>72</v>
      </c>
      <c r="F395" t="s">
        <v>447</v>
      </c>
      <c r="G395" t="s">
        <v>342</v>
      </c>
      <c r="I395" t="s">
        <v>448</v>
      </c>
      <c r="J395" s="2">
        <v>45393</v>
      </c>
      <c r="K395">
        <v>6</v>
      </c>
      <c r="L395">
        <v>6</v>
      </c>
      <c r="M395" s="2">
        <v>47164</v>
      </c>
      <c r="N395">
        <v>107</v>
      </c>
      <c r="O395">
        <v>149659.42000000001</v>
      </c>
      <c r="Q395">
        <v>0</v>
      </c>
      <c r="R395">
        <v>0</v>
      </c>
      <c r="S395">
        <v>149659.42000000001</v>
      </c>
      <c r="T395" t="s">
        <v>121</v>
      </c>
      <c r="U395" t="s">
        <v>26</v>
      </c>
      <c r="W395" s="3">
        <v>20492059</v>
      </c>
    </row>
    <row r="396" spans="1:23">
      <c r="A396" t="s">
        <v>31</v>
      </c>
      <c r="B396" t="s">
        <v>32</v>
      </c>
      <c r="C396" s="2">
        <v>45864</v>
      </c>
      <c r="D396" t="s">
        <v>71</v>
      </c>
      <c r="E396" t="s">
        <v>72</v>
      </c>
      <c r="F396" t="s">
        <v>447</v>
      </c>
      <c r="G396" t="s">
        <v>342</v>
      </c>
      <c r="I396" t="s">
        <v>448</v>
      </c>
      <c r="J396" s="2">
        <v>45491</v>
      </c>
      <c r="K396">
        <v>6.2</v>
      </c>
      <c r="L396">
        <v>6.2</v>
      </c>
      <c r="M396" s="2">
        <v>47164</v>
      </c>
      <c r="N396">
        <v>270</v>
      </c>
      <c r="O396">
        <v>376197.64</v>
      </c>
      <c r="Q396">
        <v>0</v>
      </c>
      <c r="R396">
        <v>0</v>
      </c>
      <c r="S396">
        <v>376197.64</v>
      </c>
      <c r="T396" t="s">
        <v>121</v>
      </c>
      <c r="U396" t="s">
        <v>26</v>
      </c>
      <c r="W396" s="3">
        <v>76170774</v>
      </c>
    </row>
    <row r="397" spans="1:23">
      <c r="A397" t="s">
        <v>54</v>
      </c>
      <c r="B397" t="s">
        <v>55</v>
      </c>
      <c r="C397" s="2">
        <v>45864</v>
      </c>
      <c r="D397" t="s">
        <v>71</v>
      </c>
      <c r="E397" t="s">
        <v>72</v>
      </c>
      <c r="F397" t="s">
        <v>449</v>
      </c>
      <c r="G397" t="s">
        <v>342</v>
      </c>
      <c r="I397" t="s">
        <v>448</v>
      </c>
      <c r="J397" s="2">
        <v>45614</v>
      </c>
      <c r="K397">
        <v>6.9</v>
      </c>
      <c r="L397">
        <v>6.9</v>
      </c>
      <c r="M397" s="2">
        <v>47588</v>
      </c>
      <c r="N397">
        <v>98</v>
      </c>
      <c r="O397">
        <v>136502.28</v>
      </c>
      <c r="Q397">
        <v>0</v>
      </c>
      <c r="R397">
        <v>0</v>
      </c>
      <c r="S397">
        <v>136502.28</v>
      </c>
      <c r="T397" t="s">
        <v>121</v>
      </c>
      <c r="U397" t="s">
        <v>26</v>
      </c>
      <c r="W397" s="3">
        <v>33914401</v>
      </c>
    </row>
    <row r="398" spans="1:23">
      <c r="A398" t="s">
        <v>66</v>
      </c>
      <c r="B398" t="s">
        <v>67</v>
      </c>
      <c r="C398" s="2">
        <v>45864</v>
      </c>
      <c r="D398" t="s">
        <v>71</v>
      </c>
      <c r="E398" t="s">
        <v>72</v>
      </c>
      <c r="F398" t="s">
        <v>449</v>
      </c>
      <c r="G398" t="s">
        <v>342</v>
      </c>
      <c r="I398" t="s">
        <v>448</v>
      </c>
      <c r="J398" s="2">
        <v>45792</v>
      </c>
      <c r="K398">
        <v>7.29</v>
      </c>
      <c r="L398">
        <v>7.29</v>
      </c>
      <c r="M398" s="2">
        <v>47588</v>
      </c>
      <c r="N398">
        <v>135</v>
      </c>
      <c r="O398">
        <v>185787.62</v>
      </c>
      <c r="Q398">
        <v>0</v>
      </c>
      <c r="R398">
        <v>0</v>
      </c>
      <c r="S398">
        <v>185787.62</v>
      </c>
      <c r="T398" t="s">
        <v>121</v>
      </c>
      <c r="U398" t="s">
        <v>26</v>
      </c>
      <c r="W398" s="3">
        <v>23603380</v>
      </c>
    </row>
    <row r="399" spans="1:23">
      <c r="A399" t="s">
        <v>60</v>
      </c>
      <c r="B399" t="s">
        <v>61</v>
      </c>
      <c r="C399" s="2">
        <v>45864</v>
      </c>
      <c r="D399" t="s">
        <v>71</v>
      </c>
      <c r="E399" t="s">
        <v>72</v>
      </c>
      <c r="F399" t="s">
        <v>449</v>
      </c>
      <c r="G399" t="s">
        <v>342</v>
      </c>
      <c r="I399" t="s">
        <v>448</v>
      </c>
      <c r="J399" s="2">
        <v>44000</v>
      </c>
      <c r="K399">
        <v>4.75</v>
      </c>
      <c r="L399">
        <v>4.75</v>
      </c>
      <c r="M399" s="2">
        <v>47588</v>
      </c>
      <c r="N399">
        <v>253</v>
      </c>
      <c r="O399">
        <v>378367.41</v>
      </c>
      <c r="Q399">
        <v>0</v>
      </c>
      <c r="R399">
        <v>0</v>
      </c>
      <c r="S399">
        <v>378367.41</v>
      </c>
      <c r="T399" t="s">
        <v>121</v>
      </c>
      <c r="U399" t="s">
        <v>26</v>
      </c>
      <c r="W399" s="3">
        <v>32427115</v>
      </c>
    </row>
    <row r="400" spans="1:23">
      <c r="A400" t="s">
        <v>62</v>
      </c>
      <c r="B400" t="s">
        <v>63</v>
      </c>
      <c r="C400" s="2">
        <v>45864</v>
      </c>
      <c r="D400" t="s">
        <v>71</v>
      </c>
      <c r="E400" t="s">
        <v>72</v>
      </c>
      <c r="F400" t="s">
        <v>450</v>
      </c>
      <c r="G400" t="s">
        <v>342</v>
      </c>
      <c r="I400" t="s">
        <v>451</v>
      </c>
      <c r="J400" s="2">
        <v>45539</v>
      </c>
      <c r="K400">
        <v>6.39</v>
      </c>
      <c r="L400">
        <v>6.3936000000000002</v>
      </c>
      <c r="M400" s="2">
        <v>49171</v>
      </c>
      <c r="N400">
        <v>180</v>
      </c>
      <c r="O400">
        <v>194185.8</v>
      </c>
      <c r="Q400">
        <v>0</v>
      </c>
      <c r="R400">
        <v>0</v>
      </c>
      <c r="S400">
        <v>194185.8</v>
      </c>
      <c r="T400" t="s">
        <v>121</v>
      </c>
      <c r="U400" t="s">
        <v>26</v>
      </c>
      <c r="W400" s="3">
        <v>49881036</v>
      </c>
    </row>
    <row r="401" spans="1:23">
      <c r="A401" t="s">
        <v>43</v>
      </c>
      <c r="B401" t="s">
        <v>44</v>
      </c>
      <c r="C401" s="2">
        <v>45864</v>
      </c>
      <c r="D401" t="s">
        <v>71</v>
      </c>
      <c r="E401" t="s">
        <v>72</v>
      </c>
      <c r="F401" t="s">
        <v>450</v>
      </c>
      <c r="G401" t="s">
        <v>342</v>
      </c>
      <c r="I401" t="s">
        <v>451</v>
      </c>
      <c r="J401" s="2">
        <v>45539</v>
      </c>
      <c r="K401">
        <v>6.39</v>
      </c>
      <c r="L401">
        <v>6.3936000000000002</v>
      </c>
      <c r="M401" s="2">
        <v>49171</v>
      </c>
      <c r="N401">
        <v>484</v>
      </c>
      <c r="O401">
        <v>487657.23</v>
      </c>
      <c r="Q401">
        <v>0</v>
      </c>
      <c r="R401">
        <v>0</v>
      </c>
      <c r="S401">
        <v>487657.23</v>
      </c>
      <c r="T401" t="s">
        <v>121</v>
      </c>
      <c r="U401" t="s">
        <v>26</v>
      </c>
      <c r="W401" s="3">
        <v>71724488</v>
      </c>
    </row>
    <row r="402" spans="1:23">
      <c r="A402" t="s">
        <v>43</v>
      </c>
      <c r="B402" t="s">
        <v>44</v>
      </c>
      <c r="C402" s="2">
        <v>45864</v>
      </c>
      <c r="D402" t="s">
        <v>71</v>
      </c>
      <c r="E402" t="s">
        <v>72</v>
      </c>
      <c r="F402" t="s">
        <v>452</v>
      </c>
      <c r="G402" t="s">
        <v>342</v>
      </c>
      <c r="I402" t="s">
        <v>453</v>
      </c>
      <c r="J402" s="2">
        <v>43532</v>
      </c>
      <c r="K402">
        <v>4.59</v>
      </c>
      <c r="L402">
        <v>4.59</v>
      </c>
      <c r="M402" s="2">
        <v>48563</v>
      </c>
      <c r="N402">
        <v>144</v>
      </c>
      <c r="O402">
        <v>115156.82</v>
      </c>
      <c r="Q402">
        <v>0</v>
      </c>
      <c r="R402">
        <v>0</v>
      </c>
      <c r="S402">
        <v>115156.82</v>
      </c>
      <c r="T402" t="s">
        <v>121</v>
      </c>
      <c r="U402" t="s">
        <v>26</v>
      </c>
      <c r="W402" s="3">
        <v>55999167</v>
      </c>
    </row>
    <row r="403" spans="1:23">
      <c r="A403" t="s">
        <v>43</v>
      </c>
      <c r="B403" t="s">
        <v>44</v>
      </c>
      <c r="C403" s="2">
        <v>45864</v>
      </c>
      <c r="D403" t="s">
        <v>71</v>
      </c>
      <c r="E403" t="s">
        <v>72</v>
      </c>
      <c r="F403" t="s">
        <v>452</v>
      </c>
      <c r="G403" t="s">
        <v>342</v>
      </c>
      <c r="I403" t="s">
        <v>453</v>
      </c>
      <c r="J403" s="2">
        <v>43531</v>
      </c>
      <c r="K403">
        <v>4.59</v>
      </c>
      <c r="L403">
        <v>4.59</v>
      </c>
      <c r="M403" s="2">
        <v>48563</v>
      </c>
      <c r="N403">
        <v>184</v>
      </c>
      <c r="O403">
        <v>147144.82999999999</v>
      </c>
      <c r="Q403">
        <v>0</v>
      </c>
      <c r="R403">
        <v>0</v>
      </c>
      <c r="S403">
        <v>147144.82999999999</v>
      </c>
      <c r="T403" t="s">
        <v>121</v>
      </c>
      <c r="U403" t="s">
        <v>26</v>
      </c>
      <c r="W403" s="3">
        <v>50066291</v>
      </c>
    </row>
    <row r="404" spans="1:23">
      <c r="A404" t="s">
        <v>60</v>
      </c>
      <c r="B404" t="s">
        <v>61</v>
      </c>
      <c r="C404" s="2">
        <v>45864</v>
      </c>
      <c r="D404" t="s">
        <v>71</v>
      </c>
      <c r="E404" t="s">
        <v>72</v>
      </c>
      <c r="F404" t="s">
        <v>454</v>
      </c>
      <c r="G404" t="s">
        <v>342</v>
      </c>
      <c r="I404" t="s">
        <v>455</v>
      </c>
      <c r="J404" s="2">
        <v>45414</v>
      </c>
      <c r="K404">
        <v>5.79</v>
      </c>
      <c r="L404">
        <v>5.79</v>
      </c>
      <c r="M404" s="2">
        <v>50663</v>
      </c>
      <c r="N404">
        <v>47</v>
      </c>
      <c r="O404">
        <v>54344.91</v>
      </c>
      <c r="Q404">
        <v>0</v>
      </c>
      <c r="R404">
        <v>0</v>
      </c>
      <c r="S404">
        <v>54344.91</v>
      </c>
      <c r="T404" t="s">
        <v>121</v>
      </c>
      <c r="U404" t="s">
        <v>26</v>
      </c>
      <c r="W404" s="3">
        <v>11511823</v>
      </c>
    </row>
    <row r="405" spans="1:23">
      <c r="A405" t="s">
        <v>43</v>
      </c>
      <c r="B405" t="s">
        <v>44</v>
      </c>
      <c r="C405" s="2">
        <v>45864</v>
      </c>
      <c r="D405" t="s">
        <v>71</v>
      </c>
      <c r="E405" t="s">
        <v>72</v>
      </c>
      <c r="F405" t="s">
        <v>456</v>
      </c>
      <c r="G405" t="s">
        <v>342</v>
      </c>
      <c r="I405" t="s">
        <v>457</v>
      </c>
      <c r="J405" s="2">
        <v>43615</v>
      </c>
      <c r="K405">
        <v>4.0999999999999996</v>
      </c>
      <c r="L405">
        <v>4.0999999999999996</v>
      </c>
      <c r="M405" s="2">
        <v>47011</v>
      </c>
      <c r="N405">
        <v>118</v>
      </c>
      <c r="O405">
        <v>133335.82</v>
      </c>
      <c r="Q405">
        <v>0</v>
      </c>
      <c r="R405">
        <v>0</v>
      </c>
      <c r="S405">
        <v>133335.82</v>
      </c>
      <c r="T405" t="s">
        <v>121</v>
      </c>
      <c r="U405" t="s">
        <v>26</v>
      </c>
      <c r="W405" s="3">
        <v>64533734</v>
      </c>
    </row>
    <row r="406" spans="1:23">
      <c r="A406" t="s">
        <v>60</v>
      </c>
      <c r="B406" t="s">
        <v>61</v>
      </c>
      <c r="C406" s="2">
        <v>45864</v>
      </c>
      <c r="D406" t="s">
        <v>71</v>
      </c>
      <c r="E406" t="s">
        <v>72</v>
      </c>
      <c r="F406" t="s">
        <v>458</v>
      </c>
      <c r="G406" t="s">
        <v>342</v>
      </c>
      <c r="I406" t="s">
        <v>459</v>
      </c>
      <c r="J406" s="2">
        <v>45196</v>
      </c>
      <c r="K406">
        <v>5.87</v>
      </c>
      <c r="L406">
        <v>5.87</v>
      </c>
      <c r="M406" s="2">
        <v>48837</v>
      </c>
      <c r="N406">
        <v>173</v>
      </c>
      <c r="O406">
        <v>193158.85</v>
      </c>
      <c r="Q406">
        <v>0</v>
      </c>
      <c r="R406">
        <v>0</v>
      </c>
      <c r="S406">
        <v>193158.85</v>
      </c>
      <c r="T406" t="s">
        <v>121</v>
      </c>
      <c r="U406" t="s">
        <v>26</v>
      </c>
      <c r="W406" s="3">
        <v>12707053</v>
      </c>
    </row>
    <row r="407" spans="1:23">
      <c r="A407" t="s">
        <v>53</v>
      </c>
      <c r="B407" t="s">
        <v>48</v>
      </c>
      <c r="C407" s="2">
        <v>45864</v>
      </c>
      <c r="D407" t="s">
        <v>71</v>
      </c>
      <c r="E407" t="s">
        <v>72</v>
      </c>
      <c r="F407" t="s">
        <v>460</v>
      </c>
      <c r="G407" t="s">
        <v>342</v>
      </c>
      <c r="I407" t="s">
        <v>461</v>
      </c>
      <c r="J407" s="2">
        <v>44173</v>
      </c>
      <c r="K407">
        <v>5.38</v>
      </c>
      <c r="L407">
        <v>5.38</v>
      </c>
      <c r="M407" s="2">
        <v>46858</v>
      </c>
      <c r="N407">
        <v>118</v>
      </c>
      <c r="O407">
        <v>95157.79</v>
      </c>
      <c r="Q407">
        <v>0</v>
      </c>
      <c r="R407">
        <v>0</v>
      </c>
      <c r="S407">
        <v>95157.79</v>
      </c>
      <c r="T407" t="s">
        <v>121</v>
      </c>
      <c r="U407" t="s">
        <v>26</v>
      </c>
      <c r="W407" s="3">
        <v>43509536</v>
      </c>
    </row>
    <row r="408" spans="1:23">
      <c r="A408" t="s">
        <v>66</v>
      </c>
      <c r="B408" t="s">
        <v>67</v>
      </c>
      <c r="C408" s="2">
        <v>45864</v>
      </c>
      <c r="D408" t="s">
        <v>71</v>
      </c>
      <c r="E408" t="s">
        <v>72</v>
      </c>
      <c r="F408" t="s">
        <v>462</v>
      </c>
      <c r="G408" t="s">
        <v>342</v>
      </c>
      <c r="I408" t="s">
        <v>461</v>
      </c>
      <c r="J408" s="2">
        <v>45169</v>
      </c>
      <c r="K408">
        <v>6.18</v>
      </c>
      <c r="L408">
        <v>6.18</v>
      </c>
      <c r="M408" s="2">
        <v>49963</v>
      </c>
      <c r="N408">
        <v>50</v>
      </c>
      <c r="O408">
        <v>66652.42</v>
      </c>
      <c r="P408" s="4"/>
      <c r="Q408">
        <v>0</v>
      </c>
      <c r="R408">
        <v>0</v>
      </c>
      <c r="S408">
        <v>66652.42</v>
      </c>
      <c r="T408" t="s">
        <v>121</v>
      </c>
      <c r="U408" t="s">
        <v>26</v>
      </c>
      <c r="W408" s="3">
        <v>40768958</v>
      </c>
    </row>
    <row r="409" spans="1:23">
      <c r="A409" t="s">
        <v>66</v>
      </c>
      <c r="B409" t="s">
        <v>67</v>
      </c>
      <c r="C409" s="2">
        <v>45864</v>
      </c>
      <c r="D409" t="s">
        <v>71</v>
      </c>
      <c r="E409" t="s">
        <v>72</v>
      </c>
      <c r="F409" t="s">
        <v>463</v>
      </c>
      <c r="G409" t="s">
        <v>342</v>
      </c>
      <c r="I409" t="s">
        <v>461</v>
      </c>
      <c r="J409" s="2">
        <v>45111</v>
      </c>
      <c r="K409">
        <v>6.54</v>
      </c>
      <c r="L409">
        <v>6.54</v>
      </c>
      <c r="M409" s="2">
        <v>49963</v>
      </c>
      <c r="N409">
        <v>50</v>
      </c>
      <c r="O409">
        <v>73417.52</v>
      </c>
      <c r="Q409">
        <v>0</v>
      </c>
      <c r="R409">
        <v>0</v>
      </c>
      <c r="S409">
        <v>73417.52</v>
      </c>
      <c r="T409" t="s">
        <v>121</v>
      </c>
      <c r="U409" t="s">
        <v>26</v>
      </c>
      <c r="W409" s="3">
        <v>31189430</v>
      </c>
    </row>
    <row r="410" spans="1:23">
      <c r="A410" t="s">
        <v>54</v>
      </c>
      <c r="B410" t="s">
        <v>55</v>
      </c>
      <c r="C410" s="2">
        <v>45864</v>
      </c>
      <c r="D410" t="s">
        <v>71</v>
      </c>
      <c r="E410" t="s">
        <v>72</v>
      </c>
      <c r="F410" t="s">
        <v>464</v>
      </c>
      <c r="G410" t="s">
        <v>342</v>
      </c>
      <c r="I410" t="s">
        <v>465</v>
      </c>
      <c r="J410" s="2">
        <v>45791</v>
      </c>
      <c r="K410">
        <v>8.27</v>
      </c>
      <c r="L410">
        <v>8.27</v>
      </c>
      <c r="M410" s="2">
        <v>48319</v>
      </c>
      <c r="N410">
        <v>100</v>
      </c>
      <c r="O410">
        <v>102277.12</v>
      </c>
      <c r="Q410">
        <v>0</v>
      </c>
      <c r="R410">
        <v>0</v>
      </c>
      <c r="S410">
        <v>102277.12</v>
      </c>
      <c r="T410" t="s">
        <v>121</v>
      </c>
      <c r="U410" t="s">
        <v>26</v>
      </c>
      <c r="W410" s="3">
        <v>24551092</v>
      </c>
    </row>
    <row r="411" spans="1:23">
      <c r="A411" t="s">
        <v>51</v>
      </c>
      <c r="B411" t="s">
        <v>52</v>
      </c>
      <c r="C411" s="2">
        <v>45864</v>
      </c>
      <c r="D411" t="s">
        <v>71</v>
      </c>
      <c r="E411" t="s">
        <v>72</v>
      </c>
      <c r="F411" t="s">
        <v>464</v>
      </c>
      <c r="G411" t="s">
        <v>342</v>
      </c>
      <c r="I411" t="s">
        <v>465</v>
      </c>
      <c r="J411" s="2">
        <v>45791</v>
      </c>
      <c r="K411">
        <v>8.27</v>
      </c>
      <c r="L411">
        <v>8.27</v>
      </c>
      <c r="M411" s="2">
        <v>48319</v>
      </c>
      <c r="N411">
        <v>150</v>
      </c>
      <c r="O411">
        <v>153415.69</v>
      </c>
      <c r="Q411">
        <v>0</v>
      </c>
      <c r="R411">
        <v>0</v>
      </c>
      <c r="S411">
        <v>153415.69</v>
      </c>
      <c r="T411" t="s">
        <v>121</v>
      </c>
      <c r="U411" t="s">
        <v>26</v>
      </c>
      <c r="W411" s="3">
        <v>18315142</v>
      </c>
    </row>
    <row r="412" spans="1:23">
      <c r="A412" t="s">
        <v>56</v>
      </c>
      <c r="B412" t="s">
        <v>57</v>
      </c>
      <c r="C412" s="2">
        <v>45864</v>
      </c>
      <c r="D412" t="s">
        <v>71</v>
      </c>
      <c r="E412" t="s">
        <v>72</v>
      </c>
      <c r="F412" t="s">
        <v>466</v>
      </c>
      <c r="G412" t="s">
        <v>342</v>
      </c>
      <c r="I412" t="s">
        <v>467</v>
      </c>
      <c r="J412" s="2">
        <v>45649</v>
      </c>
      <c r="K412">
        <v>7.24</v>
      </c>
      <c r="L412">
        <v>7.24</v>
      </c>
      <c r="M412" s="2">
        <v>49232</v>
      </c>
      <c r="N412">
        <v>167</v>
      </c>
      <c r="O412">
        <v>167545.93</v>
      </c>
      <c r="Q412">
        <v>0</v>
      </c>
      <c r="R412">
        <v>0</v>
      </c>
      <c r="S412">
        <v>167545.93</v>
      </c>
      <c r="T412" t="s">
        <v>121</v>
      </c>
      <c r="U412" t="s">
        <v>26</v>
      </c>
      <c r="W412" s="3">
        <v>21707733</v>
      </c>
    </row>
    <row r="413" spans="1:23">
      <c r="A413" t="s">
        <v>43</v>
      </c>
      <c r="B413" t="s">
        <v>44</v>
      </c>
      <c r="C413" s="2">
        <v>45864</v>
      </c>
      <c r="D413" t="s">
        <v>71</v>
      </c>
      <c r="E413" t="s">
        <v>72</v>
      </c>
      <c r="F413" t="s">
        <v>468</v>
      </c>
      <c r="G413" t="s">
        <v>342</v>
      </c>
      <c r="I413" t="s">
        <v>467</v>
      </c>
      <c r="J413" s="2">
        <v>45820</v>
      </c>
      <c r="K413">
        <v>0</v>
      </c>
      <c r="L413">
        <v>100</v>
      </c>
      <c r="M413" s="2">
        <v>73050</v>
      </c>
      <c r="N413">
        <v>5800</v>
      </c>
      <c r="O413">
        <v>206497.33</v>
      </c>
      <c r="Q413">
        <v>917.39</v>
      </c>
      <c r="R413">
        <v>0</v>
      </c>
      <c r="S413">
        <v>205579.94</v>
      </c>
      <c r="T413" t="s">
        <v>121</v>
      </c>
      <c r="U413" t="s">
        <v>26</v>
      </c>
      <c r="W413" s="3">
        <v>50193625</v>
      </c>
    </row>
    <row r="414" spans="1:23">
      <c r="A414" t="s">
        <v>43</v>
      </c>
      <c r="B414" t="s">
        <v>44</v>
      </c>
      <c r="C414" s="2">
        <v>45864</v>
      </c>
      <c r="D414" t="s">
        <v>71</v>
      </c>
      <c r="E414" t="s">
        <v>72</v>
      </c>
      <c r="F414" t="s">
        <v>469</v>
      </c>
      <c r="G414" t="s">
        <v>342</v>
      </c>
      <c r="I414" t="s">
        <v>470</v>
      </c>
      <c r="J414" s="2">
        <v>45376</v>
      </c>
      <c r="K414">
        <v>12.8</v>
      </c>
      <c r="L414">
        <v>12.8018</v>
      </c>
      <c r="M414" s="2">
        <v>47922</v>
      </c>
      <c r="N414">
        <v>250</v>
      </c>
      <c r="O414">
        <v>238640.85</v>
      </c>
      <c r="Q414">
        <v>0</v>
      </c>
      <c r="R414">
        <v>0</v>
      </c>
      <c r="S414">
        <v>238640.85</v>
      </c>
      <c r="T414" t="s">
        <v>94</v>
      </c>
      <c r="U414" t="s">
        <v>26</v>
      </c>
      <c r="W414" s="3">
        <v>2021965</v>
      </c>
    </row>
    <row r="415" spans="1:23">
      <c r="A415" t="s">
        <v>43</v>
      </c>
      <c r="B415" t="s">
        <v>44</v>
      </c>
      <c r="C415" s="2">
        <v>45864</v>
      </c>
      <c r="D415" t="s">
        <v>71</v>
      </c>
      <c r="E415" t="s">
        <v>72</v>
      </c>
      <c r="F415" t="s">
        <v>471</v>
      </c>
      <c r="G415" t="s">
        <v>342</v>
      </c>
      <c r="I415" t="s">
        <v>470</v>
      </c>
      <c r="J415" s="2">
        <v>45376</v>
      </c>
      <c r="K415">
        <v>8.4</v>
      </c>
      <c r="L415">
        <v>8.4040999999999997</v>
      </c>
      <c r="M415" s="2">
        <v>47922</v>
      </c>
      <c r="N415">
        <v>250</v>
      </c>
      <c r="O415">
        <v>264099.65999999997</v>
      </c>
      <c r="Q415">
        <v>0</v>
      </c>
      <c r="R415">
        <v>0</v>
      </c>
      <c r="S415">
        <v>264099.65999999997</v>
      </c>
      <c r="T415" t="s">
        <v>121</v>
      </c>
      <c r="U415" t="s">
        <v>26</v>
      </c>
      <c r="W415" s="3">
        <v>65486823</v>
      </c>
    </row>
    <row r="416" spans="1:23">
      <c r="A416" t="s">
        <v>58</v>
      </c>
      <c r="B416" t="s">
        <v>59</v>
      </c>
      <c r="C416" s="2">
        <v>45864</v>
      </c>
      <c r="D416" t="s">
        <v>71</v>
      </c>
      <c r="E416" t="s">
        <v>72</v>
      </c>
      <c r="F416" t="s">
        <v>472</v>
      </c>
      <c r="G416" t="s">
        <v>342</v>
      </c>
      <c r="I416" t="s">
        <v>473</v>
      </c>
      <c r="J416" s="2">
        <v>45414</v>
      </c>
      <c r="K416">
        <v>6.35</v>
      </c>
      <c r="L416">
        <v>6.35</v>
      </c>
      <c r="M416" s="2">
        <v>47953</v>
      </c>
      <c r="N416">
        <v>101</v>
      </c>
      <c r="O416">
        <v>108164.62</v>
      </c>
      <c r="Q416">
        <v>0</v>
      </c>
      <c r="R416">
        <v>0</v>
      </c>
      <c r="S416">
        <v>108164.62</v>
      </c>
      <c r="T416" t="s">
        <v>121</v>
      </c>
      <c r="U416" t="s">
        <v>26</v>
      </c>
      <c r="W416" s="3">
        <v>34958997</v>
      </c>
    </row>
    <row r="417" spans="1:23">
      <c r="A417" t="s">
        <v>51</v>
      </c>
      <c r="B417" t="s">
        <v>52</v>
      </c>
      <c r="C417" s="2">
        <v>45864</v>
      </c>
      <c r="D417" t="s">
        <v>71</v>
      </c>
      <c r="E417" t="s">
        <v>72</v>
      </c>
      <c r="F417" t="s">
        <v>472</v>
      </c>
      <c r="G417" t="s">
        <v>342</v>
      </c>
      <c r="I417" t="s">
        <v>473</v>
      </c>
      <c r="J417" s="2">
        <v>45414</v>
      </c>
      <c r="K417">
        <v>6.35</v>
      </c>
      <c r="L417">
        <v>6.35</v>
      </c>
      <c r="M417" s="2">
        <v>47953</v>
      </c>
      <c r="N417">
        <v>202</v>
      </c>
      <c r="O417">
        <v>216329.24</v>
      </c>
      <c r="Q417">
        <v>0</v>
      </c>
      <c r="R417">
        <v>0</v>
      </c>
      <c r="S417">
        <v>216329.24</v>
      </c>
      <c r="T417" t="s">
        <v>121</v>
      </c>
      <c r="U417" t="s">
        <v>26</v>
      </c>
      <c r="W417" s="3">
        <v>18358872</v>
      </c>
    </row>
    <row r="418" spans="1:23">
      <c r="A418" t="s">
        <v>53</v>
      </c>
      <c r="B418" t="s">
        <v>48</v>
      </c>
      <c r="C418" s="2">
        <v>45864</v>
      </c>
      <c r="D418" t="s">
        <v>71</v>
      </c>
      <c r="E418" t="s">
        <v>72</v>
      </c>
      <c r="F418" t="s">
        <v>472</v>
      </c>
      <c r="G418" t="s">
        <v>342</v>
      </c>
      <c r="I418" t="s">
        <v>473</v>
      </c>
      <c r="J418" s="2">
        <v>45414</v>
      </c>
      <c r="K418">
        <v>6.35</v>
      </c>
      <c r="L418">
        <v>6.35</v>
      </c>
      <c r="M418" s="2">
        <v>47953</v>
      </c>
      <c r="N418">
        <v>252</v>
      </c>
      <c r="O418">
        <v>269876.08</v>
      </c>
      <c r="Q418">
        <v>0</v>
      </c>
      <c r="R418">
        <v>0</v>
      </c>
      <c r="S418">
        <v>269876.08</v>
      </c>
      <c r="T418" t="s">
        <v>121</v>
      </c>
      <c r="U418" t="s">
        <v>26</v>
      </c>
      <c r="W418" s="3">
        <v>28963722</v>
      </c>
    </row>
    <row r="419" spans="1:23">
      <c r="A419" t="s">
        <v>31</v>
      </c>
      <c r="B419" t="s">
        <v>32</v>
      </c>
      <c r="C419" s="2">
        <v>45864</v>
      </c>
      <c r="D419" t="s">
        <v>71</v>
      </c>
      <c r="E419" t="s">
        <v>72</v>
      </c>
      <c r="F419" t="s">
        <v>474</v>
      </c>
      <c r="G419" t="s">
        <v>342</v>
      </c>
      <c r="I419" t="s">
        <v>475</v>
      </c>
      <c r="J419" s="2">
        <v>45687</v>
      </c>
      <c r="K419">
        <v>8.1999999999999993</v>
      </c>
      <c r="L419">
        <v>8.1999999999999993</v>
      </c>
      <c r="M419" s="2">
        <v>49293</v>
      </c>
      <c r="N419">
        <v>105</v>
      </c>
      <c r="O419">
        <v>105945.67</v>
      </c>
      <c r="Q419">
        <v>0</v>
      </c>
      <c r="R419">
        <v>0</v>
      </c>
      <c r="S419">
        <v>105945.67</v>
      </c>
      <c r="T419" t="s">
        <v>121</v>
      </c>
      <c r="U419" t="s">
        <v>26</v>
      </c>
      <c r="W419" s="3">
        <v>9252837</v>
      </c>
    </row>
    <row r="420" spans="1:23">
      <c r="A420" t="s">
        <v>53</v>
      </c>
      <c r="B420" t="s">
        <v>48</v>
      </c>
      <c r="C420" s="2">
        <v>45864</v>
      </c>
      <c r="D420" t="s">
        <v>71</v>
      </c>
      <c r="E420" t="s">
        <v>72</v>
      </c>
      <c r="F420" t="s">
        <v>476</v>
      </c>
      <c r="G420" t="s">
        <v>477</v>
      </c>
      <c r="I420" t="s">
        <v>478</v>
      </c>
      <c r="J420" s="2">
        <v>45588</v>
      </c>
      <c r="K420">
        <v>0</v>
      </c>
      <c r="L420">
        <v>95</v>
      </c>
      <c r="M420" s="2">
        <v>45950</v>
      </c>
      <c r="N420">
        <v>200</v>
      </c>
      <c r="O420">
        <v>218291.67</v>
      </c>
      <c r="Q420">
        <v>0</v>
      </c>
      <c r="R420">
        <v>0</v>
      </c>
      <c r="S420">
        <v>218291.67</v>
      </c>
      <c r="T420" t="s">
        <v>76</v>
      </c>
      <c r="U420" t="s">
        <v>26</v>
      </c>
      <c r="W420" s="3">
        <v>35010823</v>
      </c>
    </row>
    <row r="421" spans="1:23">
      <c r="A421" t="s">
        <v>58</v>
      </c>
      <c r="B421" t="s">
        <v>59</v>
      </c>
      <c r="C421" s="2">
        <v>45864</v>
      </c>
      <c r="D421" t="s">
        <v>71</v>
      </c>
      <c r="E421" t="s">
        <v>72</v>
      </c>
      <c r="F421" t="s">
        <v>476</v>
      </c>
      <c r="G421" t="s">
        <v>477</v>
      </c>
      <c r="I421" t="s">
        <v>478</v>
      </c>
      <c r="J421" s="2">
        <v>45588</v>
      </c>
      <c r="K421">
        <v>0</v>
      </c>
      <c r="L421">
        <v>95</v>
      </c>
      <c r="M421" s="2">
        <v>45950</v>
      </c>
      <c r="N421">
        <v>300</v>
      </c>
      <c r="O421">
        <v>327437.5</v>
      </c>
      <c r="Q421">
        <v>0</v>
      </c>
      <c r="R421">
        <v>0</v>
      </c>
      <c r="S421">
        <v>327437.5</v>
      </c>
      <c r="T421" t="s">
        <v>76</v>
      </c>
      <c r="U421" t="s">
        <v>26</v>
      </c>
      <c r="W421" s="3">
        <v>22208923</v>
      </c>
    </row>
    <row r="422" spans="1:23">
      <c r="A422" t="s">
        <v>60</v>
      </c>
      <c r="B422" t="s">
        <v>61</v>
      </c>
      <c r="C422" s="2">
        <v>45864</v>
      </c>
      <c r="D422" t="s">
        <v>71</v>
      </c>
      <c r="E422" t="s">
        <v>72</v>
      </c>
      <c r="F422" t="s">
        <v>479</v>
      </c>
      <c r="G422" t="s">
        <v>477</v>
      </c>
      <c r="I422" t="s">
        <v>480</v>
      </c>
      <c r="J422" s="2">
        <v>45428</v>
      </c>
      <c r="K422">
        <v>0</v>
      </c>
      <c r="L422">
        <v>99</v>
      </c>
      <c r="M422" s="2">
        <v>46148</v>
      </c>
      <c r="N422">
        <v>100</v>
      </c>
      <c r="O422">
        <v>114492</v>
      </c>
      <c r="P422" s="4"/>
      <c r="Q422">
        <v>0</v>
      </c>
      <c r="R422">
        <v>0</v>
      </c>
      <c r="S422">
        <v>114492</v>
      </c>
      <c r="T422" t="s">
        <v>76</v>
      </c>
      <c r="U422" t="s">
        <v>26</v>
      </c>
      <c r="W422" s="3">
        <v>36393753</v>
      </c>
    </row>
    <row r="423" spans="1:23">
      <c r="A423" t="s">
        <v>53</v>
      </c>
      <c r="B423" t="s">
        <v>48</v>
      </c>
      <c r="C423" s="2">
        <v>45864</v>
      </c>
      <c r="D423" t="s">
        <v>71</v>
      </c>
      <c r="E423" t="s">
        <v>72</v>
      </c>
      <c r="F423" t="s">
        <v>481</v>
      </c>
      <c r="G423" t="s">
        <v>477</v>
      </c>
      <c r="I423" t="s">
        <v>480</v>
      </c>
      <c r="J423" s="2">
        <v>45421</v>
      </c>
      <c r="K423">
        <v>0</v>
      </c>
      <c r="L423">
        <v>99</v>
      </c>
      <c r="M423" s="2">
        <v>46148</v>
      </c>
      <c r="N423">
        <v>250</v>
      </c>
      <c r="O423">
        <v>286786.82</v>
      </c>
      <c r="Q423">
        <v>0</v>
      </c>
      <c r="R423">
        <v>0</v>
      </c>
      <c r="S423">
        <v>286786.82</v>
      </c>
      <c r="T423" t="s">
        <v>76</v>
      </c>
      <c r="U423" t="s">
        <v>26</v>
      </c>
      <c r="W423" s="3">
        <v>28123262</v>
      </c>
    </row>
    <row r="424" spans="1:23">
      <c r="A424" t="s">
        <v>58</v>
      </c>
      <c r="B424" t="s">
        <v>59</v>
      </c>
      <c r="C424" s="2">
        <v>45864</v>
      </c>
      <c r="D424" t="s">
        <v>71</v>
      </c>
      <c r="E424" t="s">
        <v>72</v>
      </c>
      <c r="F424" t="s">
        <v>481</v>
      </c>
      <c r="G424" t="s">
        <v>477</v>
      </c>
      <c r="I424" t="s">
        <v>480</v>
      </c>
      <c r="J424" s="2">
        <v>45421</v>
      </c>
      <c r="K424">
        <v>0</v>
      </c>
      <c r="L424">
        <v>99</v>
      </c>
      <c r="M424" s="2">
        <v>46148</v>
      </c>
      <c r="N424">
        <v>300</v>
      </c>
      <c r="O424">
        <v>344144.19</v>
      </c>
      <c r="Q424">
        <v>0</v>
      </c>
      <c r="R424">
        <v>0</v>
      </c>
      <c r="S424">
        <v>344144.19</v>
      </c>
      <c r="T424" t="s">
        <v>76</v>
      </c>
      <c r="U424" t="s">
        <v>26</v>
      </c>
      <c r="W424" s="3">
        <v>15864964</v>
      </c>
    </row>
    <row r="425" spans="1:23">
      <c r="A425" t="s">
        <v>54</v>
      </c>
      <c r="B425" t="s">
        <v>55</v>
      </c>
      <c r="C425" s="2">
        <v>45864</v>
      </c>
      <c r="D425" t="s">
        <v>71</v>
      </c>
      <c r="E425" t="s">
        <v>72</v>
      </c>
      <c r="F425" t="s">
        <v>482</v>
      </c>
      <c r="G425" t="s">
        <v>477</v>
      </c>
      <c r="I425" t="s">
        <v>480</v>
      </c>
      <c r="J425" s="2">
        <v>45644</v>
      </c>
      <c r="K425">
        <v>0</v>
      </c>
      <c r="L425">
        <v>97</v>
      </c>
      <c r="M425" s="2">
        <v>46741</v>
      </c>
      <c r="N425">
        <v>150</v>
      </c>
      <c r="O425">
        <v>161512.51999999999</v>
      </c>
      <c r="Q425">
        <v>0</v>
      </c>
      <c r="R425">
        <v>0</v>
      </c>
      <c r="S425">
        <v>161512.51999999999</v>
      </c>
      <c r="T425" t="s">
        <v>76</v>
      </c>
      <c r="U425" t="s">
        <v>26</v>
      </c>
      <c r="W425" s="3">
        <v>12035428</v>
      </c>
    </row>
    <row r="426" spans="1:23">
      <c r="A426" t="s">
        <v>62</v>
      </c>
      <c r="B426" t="s">
        <v>63</v>
      </c>
      <c r="C426" s="2">
        <v>45864</v>
      </c>
      <c r="D426" t="s">
        <v>71</v>
      </c>
      <c r="E426" t="s">
        <v>72</v>
      </c>
      <c r="F426" t="s">
        <v>482</v>
      </c>
      <c r="G426" t="s">
        <v>477</v>
      </c>
      <c r="I426" t="s">
        <v>480</v>
      </c>
      <c r="J426" s="2">
        <v>45644</v>
      </c>
      <c r="K426">
        <v>0</v>
      </c>
      <c r="L426">
        <v>97</v>
      </c>
      <c r="M426" s="2">
        <v>46741</v>
      </c>
      <c r="N426">
        <v>150</v>
      </c>
      <c r="O426">
        <v>161512.51999999999</v>
      </c>
      <c r="Q426">
        <v>0</v>
      </c>
      <c r="R426">
        <v>0</v>
      </c>
      <c r="S426">
        <v>161512.51999999999</v>
      </c>
      <c r="T426" t="s">
        <v>76</v>
      </c>
      <c r="U426" t="s">
        <v>26</v>
      </c>
      <c r="W426" s="3">
        <v>73127702</v>
      </c>
    </row>
    <row r="427" spans="1:23">
      <c r="A427" t="s">
        <v>31</v>
      </c>
      <c r="B427" t="s">
        <v>32</v>
      </c>
      <c r="C427" s="2">
        <v>45864</v>
      </c>
      <c r="D427" t="s">
        <v>71</v>
      </c>
      <c r="E427" t="s">
        <v>72</v>
      </c>
      <c r="F427" t="s">
        <v>482</v>
      </c>
      <c r="G427" t="s">
        <v>477</v>
      </c>
      <c r="I427" t="s">
        <v>480</v>
      </c>
      <c r="J427" s="2">
        <v>45644</v>
      </c>
      <c r="K427">
        <v>0</v>
      </c>
      <c r="L427">
        <v>97</v>
      </c>
      <c r="M427" s="2">
        <v>46741</v>
      </c>
      <c r="N427">
        <v>150</v>
      </c>
      <c r="O427">
        <v>161512.51999999999</v>
      </c>
      <c r="Q427">
        <v>0</v>
      </c>
      <c r="R427">
        <v>0</v>
      </c>
      <c r="S427">
        <v>161512.51999999999</v>
      </c>
      <c r="T427" t="s">
        <v>76</v>
      </c>
      <c r="U427" t="s">
        <v>26</v>
      </c>
      <c r="W427" s="3">
        <v>82779642</v>
      </c>
    </row>
    <row r="428" spans="1:23">
      <c r="A428" t="s">
        <v>53</v>
      </c>
      <c r="B428" t="s">
        <v>48</v>
      </c>
      <c r="C428" s="2">
        <v>45864</v>
      </c>
      <c r="D428" t="s">
        <v>71</v>
      </c>
      <c r="E428" t="s">
        <v>72</v>
      </c>
      <c r="F428" t="s">
        <v>482</v>
      </c>
      <c r="G428" t="s">
        <v>477</v>
      </c>
      <c r="I428" t="s">
        <v>480</v>
      </c>
      <c r="J428" s="2">
        <v>45644</v>
      </c>
      <c r="K428">
        <v>0</v>
      </c>
      <c r="L428">
        <v>97</v>
      </c>
      <c r="M428" s="2">
        <v>46741</v>
      </c>
      <c r="N428">
        <v>250</v>
      </c>
      <c r="O428">
        <v>269187.53999999998</v>
      </c>
      <c r="Q428">
        <v>0</v>
      </c>
      <c r="R428">
        <v>0</v>
      </c>
      <c r="S428">
        <v>269187.53999999998</v>
      </c>
      <c r="T428" t="s">
        <v>76</v>
      </c>
      <c r="U428" t="s">
        <v>26</v>
      </c>
      <c r="W428" s="3">
        <v>7009695</v>
      </c>
    </row>
    <row r="429" spans="1:23">
      <c r="A429" t="s">
        <v>62</v>
      </c>
      <c r="B429" t="s">
        <v>63</v>
      </c>
      <c r="C429" s="2">
        <v>45864</v>
      </c>
      <c r="D429" t="s">
        <v>71</v>
      </c>
      <c r="E429" t="s">
        <v>72</v>
      </c>
      <c r="F429" t="s">
        <v>483</v>
      </c>
      <c r="G429" t="s">
        <v>477</v>
      </c>
      <c r="I429" t="s">
        <v>480</v>
      </c>
      <c r="J429" s="2">
        <v>45649</v>
      </c>
      <c r="K429">
        <v>0</v>
      </c>
      <c r="L429">
        <v>97</v>
      </c>
      <c r="M429" s="2">
        <v>46744</v>
      </c>
      <c r="N429">
        <v>110</v>
      </c>
      <c r="O429">
        <v>118285.78</v>
      </c>
      <c r="Q429">
        <v>0</v>
      </c>
      <c r="R429">
        <v>0</v>
      </c>
      <c r="S429">
        <v>118285.78</v>
      </c>
      <c r="T429" t="s">
        <v>76</v>
      </c>
      <c r="U429" t="s">
        <v>26</v>
      </c>
      <c r="W429" s="3">
        <v>68624023</v>
      </c>
    </row>
    <row r="430" spans="1:23">
      <c r="A430" t="s">
        <v>53</v>
      </c>
      <c r="B430" t="s">
        <v>48</v>
      </c>
      <c r="C430" s="2">
        <v>45864</v>
      </c>
      <c r="D430" t="s">
        <v>71</v>
      </c>
      <c r="E430" t="s">
        <v>72</v>
      </c>
      <c r="F430" t="s">
        <v>483</v>
      </c>
      <c r="G430" t="s">
        <v>477</v>
      </c>
      <c r="I430" t="s">
        <v>480</v>
      </c>
      <c r="J430" s="2">
        <v>45649</v>
      </c>
      <c r="K430">
        <v>0</v>
      </c>
      <c r="L430">
        <v>97</v>
      </c>
      <c r="M430" s="2">
        <v>46744</v>
      </c>
      <c r="N430">
        <v>164</v>
      </c>
      <c r="O430">
        <v>176353.35</v>
      </c>
      <c r="Q430">
        <v>0</v>
      </c>
      <c r="R430">
        <v>0</v>
      </c>
      <c r="S430">
        <v>176353.35</v>
      </c>
      <c r="T430" t="s">
        <v>76</v>
      </c>
      <c r="U430" t="s">
        <v>26</v>
      </c>
      <c r="W430" s="3">
        <v>21528398</v>
      </c>
    </row>
    <row r="431" spans="1:23">
      <c r="A431" t="s">
        <v>66</v>
      </c>
      <c r="B431" t="s">
        <v>67</v>
      </c>
      <c r="C431" s="2">
        <v>45864</v>
      </c>
      <c r="D431" t="s">
        <v>71</v>
      </c>
      <c r="E431" t="s">
        <v>72</v>
      </c>
      <c r="F431" t="s">
        <v>484</v>
      </c>
      <c r="G431" t="s">
        <v>477</v>
      </c>
      <c r="I431" t="s">
        <v>485</v>
      </c>
      <c r="J431" s="2">
        <v>45548</v>
      </c>
      <c r="K431">
        <v>0</v>
      </c>
      <c r="L431">
        <v>99</v>
      </c>
      <c r="M431" s="2">
        <v>47008</v>
      </c>
      <c r="N431">
        <v>94</v>
      </c>
      <c r="O431">
        <v>104124.8</v>
      </c>
      <c r="Q431">
        <v>0</v>
      </c>
      <c r="R431">
        <v>0</v>
      </c>
      <c r="S431">
        <v>104124.8</v>
      </c>
      <c r="T431" t="s">
        <v>76</v>
      </c>
      <c r="U431" t="s">
        <v>26</v>
      </c>
      <c r="W431" s="3">
        <v>21024588</v>
      </c>
    </row>
    <row r="432" spans="1:23">
      <c r="A432" t="s">
        <v>58</v>
      </c>
      <c r="B432" t="s">
        <v>59</v>
      </c>
      <c r="C432" s="2">
        <v>45864</v>
      </c>
      <c r="D432" t="s">
        <v>71</v>
      </c>
      <c r="E432" t="s">
        <v>72</v>
      </c>
      <c r="F432" t="s">
        <v>484</v>
      </c>
      <c r="G432" t="s">
        <v>477</v>
      </c>
      <c r="I432" t="s">
        <v>485</v>
      </c>
      <c r="J432" s="2">
        <v>45548</v>
      </c>
      <c r="K432">
        <v>0</v>
      </c>
      <c r="L432">
        <v>99</v>
      </c>
      <c r="M432" s="2">
        <v>47008</v>
      </c>
      <c r="N432">
        <v>300</v>
      </c>
      <c r="O432">
        <v>332313.21000000002</v>
      </c>
      <c r="Q432">
        <v>0</v>
      </c>
      <c r="R432">
        <v>0</v>
      </c>
      <c r="S432">
        <v>332313.21000000002</v>
      </c>
      <c r="T432" t="s">
        <v>76</v>
      </c>
      <c r="U432" t="s">
        <v>26</v>
      </c>
      <c r="W432" s="3">
        <v>34456376</v>
      </c>
    </row>
    <row r="433" spans="1:23">
      <c r="A433" t="s">
        <v>66</v>
      </c>
      <c r="B433" t="s">
        <v>67</v>
      </c>
      <c r="C433" s="2">
        <v>45864</v>
      </c>
      <c r="D433" t="s">
        <v>71</v>
      </c>
      <c r="E433" t="s">
        <v>72</v>
      </c>
      <c r="F433" t="s">
        <v>486</v>
      </c>
      <c r="G433" t="s">
        <v>487</v>
      </c>
      <c r="I433" t="s">
        <v>485</v>
      </c>
      <c r="J433" s="2">
        <v>45775</v>
      </c>
      <c r="K433">
        <v>0</v>
      </c>
      <c r="L433">
        <v>98</v>
      </c>
      <c r="M433" s="2">
        <v>46048</v>
      </c>
      <c r="N433">
        <v>88</v>
      </c>
      <c r="O433">
        <v>103743.89</v>
      </c>
      <c r="Q433">
        <v>0</v>
      </c>
      <c r="R433">
        <v>0</v>
      </c>
      <c r="S433">
        <v>103743.89</v>
      </c>
      <c r="T433" t="s">
        <v>76</v>
      </c>
      <c r="U433" t="s">
        <v>26</v>
      </c>
      <c r="W433" s="3">
        <v>26070980</v>
      </c>
    </row>
    <row r="434" spans="1:23">
      <c r="A434" t="s">
        <v>31</v>
      </c>
      <c r="B434" t="s">
        <v>32</v>
      </c>
      <c r="C434" s="2">
        <v>45864</v>
      </c>
      <c r="D434" t="s">
        <v>71</v>
      </c>
      <c r="E434" t="s">
        <v>72</v>
      </c>
      <c r="F434" t="s">
        <v>486</v>
      </c>
      <c r="G434" t="s">
        <v>487</v>
      </c>
      <c r="I434" t="s">
        <v>485</v>
      </c>
      <c r="J434" s="2">
        <v>45316</v>
      </c>
      <c r="K434">
        <v>0</v>
      </c>
      <c r="L434">
        <v>98</v>
      </c>
      <c r="M434" s="2">
        <v>46048</v>
      </c>
      <c r="N434">
        <v>155</v>
      </c>
      <c r="O434">
        <v>182730.73</v>
      </c>
      <c r="Q434">
        <v>0</v>
      </c>
      <c r="R434">
        <v>0</v>
      </c>
      <c r="S434">
        <v>182730.73</v>
      </c>
      <c r="T434" t="s">
        <v>76</v>
      </c>
      <c r="U434" t="s">
        <v>26</v>
      </c>
      <c r="W434" s="3">
        <v>83160171</v>
      </c>
    </row>
    <row r="435" spans="1:23">
      <c r="A435" t="s">
        <v>66</v>
      </c>
      <c r="B435" t="s">
        <v>67</v>
      </c>
      <c r="C435" s="2">
        <v>45864</v>
      </c>
      <c r="D435" t="s">
        <v>71</v>
      </c>
      <c r="E435" t="s">
        <v>72</v>
      </c>
      <c r="F435" t="s">
        <v>486</v>
      </c>
      <c r="G435" t="s">
        <v>487</v>
      </c>
      <c r="I435" t="s">
        <v>485</v>
      </c>
      <c r="J435" s="2">
        <v>45792</v>
      </c>
      <c r="K435">
        <v>0</v>
      </c>
      <c r="L435">
        <v>98</v>
      </c>
      <c r="M435" s="2">
        <v>46048</v>
      </c>
      <c r="N435">
        <v>157</v>
      </c>
      <c r="O435">
        <v>185088.54</v>
      </c>
      <c r="Q435">
        <v>0</v>
      </c>
      <c r="R435">
        <v>0</v>
      </c>
      <c r="S435">
        <v>185088.54</v>
      </c>
      <c r="T435" t="s">
        <v>76</v>
      </c>
      <c r="U435" t="s">
        <v>26</v>
      </c>
      <c r="W435" s="3">
        <v>12454797</v>
      </c>
    </row>
    <row r="436" spans="1:23">
      <c r="A436" t="s">
        <v>66</v>
      </c>
      <c r="B436" t="s">
        <v>67</v>
      </c>
      <c r="C436" s="2">
        <v>45864</v>
      </c>
      <c r="D436" t="s">
        <v>71</v>
      </c>
      <c r="E436" t="s">
        <v>72</v>
      </c>
      <c r="F436" t="s">
        <v>488</v>
      </c>
      <c r="G436" t="s">
        <v>487</v>
      </c>
      <c r="I436" t="s">
        <v>489</v>
      </c>
      <c r="J436" s="2">
        <v>45652</v>
      </c>
      <c r="K436">
        <v>0</v>
      </c>
      <c r="L436">
        <v>99</v>
      </c>
      <c r="M436" s="2">
        <v>46002</v>
      </c>
      <c r="N436">
        <v>218</v>
      </c>
      <c r="O436">
        <v>235611.43</v>
      </c>
      <c r="Q436">
        <v>0</v>
      </c>
      <c r="R436">
        <v>0</v>
      </c>
      <c r="S436">
        <v>235611.43</v>
      </c>
      <c r="T436" t="s">
        <v>76</v>
      </c>
      <c r="U436" t="s">
        <v>26</v>
      </c>
      <c r="W436" s="3">
        <v>9103517</v>
      </c>
    </row>
    <row r="437" spans="1:23">
      <c r="A437" t="s">
        <v>62</v>
      </c>
      <c r="B437" t="s">
        <v>63</v>
      </c>
      <c r="C437" s="2">
        <v>45864</v>
      </c>
      <c r="D437" t="s">
        <v>71</v>
      </c>
      <c r="E437" t="s">
        <v>72</v>
      </c>
      <c r="F437" t="s">
        <v>488</v>
      </c>
      <c r="G437" t="s">
        <v>487</v>
      </c>
      <c r="I437" t="s">
        <v>489</v>
      </c>
      <c r="J437" s="2">
        <v>45637</v>
      </c>
      <c r="K437">
        <v>0</v>
      </c>
      <c r="L437">
        <v>99</v>
      </c>
      <c r="M437" s="2">
        <v>46002</v>
      </c>
      <c r="N437">
        <v>218</v>
      </c>
      <c r="O437">
        <v>235611.43</v>
      </c>
      <c r="Q437">
        <v>0</v>
      </c>
      <c r="R437">
        <v>0</v>
      </c>
      <c r="S437">
        <v>235611.43</v>
      </c>
      <c r="T437" t="s">
        <v>76</v>
      </c>
      <c r="U437" t="s">
        <v>26</v>
      </c>
      <c r="W437" s="3">
        <v>61182795</v>
      </c>
    </row>
    <row r="438" spans="1:23">
      <c r="A438" t="s">
        <v>31</v>
      </c>
      <c r="B438" t="s">
        <v>32</v>
      </c>
      <c r="C438" s="2">
        <v>45864</v>
      </c>
      <c r="D438" t="s">
        <v>71</v>
      </c>
      <c r="E438" t="s">
        <v>72</v>
      </c>
      <c r="F438" t="s">
        <v>488</v>
      </c>
      <c r="G438" t="s">
        <v>487</v>
      </c>
      <c r="I438" t="s">
        <v>489</v>
      </c>
      <c r="J438" s="2">
        <v>45637</v>
      </c>
      <c r="K438">
        <v>0</v>
      </c>
      <c r="L438">
        <v>99</v>
      </c>
      <c r="M438" s="2">
        <v>46002</v>
      </c>
      <c r="N438">
        <v>218</v>
      </c>
      <c r="O438">
        <v>235611.43</v>
      </c>
      <c r="Q438">
        <v>0</v>
      </c>
      <c r="R438">
        <v>0</v>
      </c>
      <c r="S438">
        <v>235611.43</v>
      </c>
      <c r="T438" t="s">
        <v>76</v>
      </c>
      <c r="U438" t="s">
        <v>26</v>
      </c>
      <c r="W438" s="3">
        <v>76600984</v>
      </c>
    </row>
    <row r="439" spans="1:23">
      <c r="A439" t="s">
        <v>43</v>
      </c>
      <c r="B439" t="s">
        <v>44</v>
      </c>
      <c r="C439" s="2">
        <v>45864</v>
      </c>
      <c r="D439" t="s">
        <v>71</v>
      </c>
      <c r="E439" t="s">
        <v>72</v>
      </c>
      <c r="F439" t="s">
        <v>490</v>
      </c>
      <c r="G439" t="s">
        <v>487</v>
      </c>
      <c r="I439" t="s">
        <v>491</v>
      </c>
      <c r="J439" s="2">
        <v>45590</v>
      </c>
      <c r="K439">
        <v>11.79</v>
      </c>
      <c r="L439">
        <v>11.79</v>
      </c>
      <c r="M439" s="2">
        <v>46321</v>
      </c>
      <c r="N439">
        <v>1</v>
      </c>
      <c r="O439">
        <v>271794.87</v>
      </c>
      <c r="Q439">
        <v>0</v>
      </c>
      <c r="R439">
        <v>0</v>
      </c>
      <c r="S439">
        <v>271794.87</v>
      </c>
      <c r="T439" t="s">
        <v>94</v>
      </c>
      <c r="U439" t="s">
        <v>26</v>
      </c>
      <c r="W439" s="3">
        <v>75732130</v>
      </c>
    </row>
    <row r="440" spans="1:23">
      <c r="A440" t="s">
        <v>66</v>
      </c>
      <c r="B440" t="s">
        <v>67</v>
      </c>
      <c r="C440" s="2">
        <v>45864</v>
      </c>
      <c r="D440" t="s">
        <v>71</v>
      </c>
      <c r="E440" t="s">
        <v>72</v>
      </c>
      <c r="F440" t="s">
        <v>492</v>
      </c>
      <c r="G440" t="s">
        <v>487</v>
      </c>
      <c r="I440" t="s">
        <v>491</v>
      </c>
      <c r="J440" s="2">
        <v>45824</v>
      </c>
      <c r="K440">
        <v>0</v>
      </c>
      <c r="L440">
        <v>96.5</v>
      </c>
      <c r="M440" s="2">
        <v>46349</v>
      </c>
      <c r="N440">
        <v>1</v>
      </c>
      <c r="O440">
        <v>1084799.08</v>
      </c>
      <c r="Q440">
        <v>0</v>
      </c>
      <c r="R440">
        <v>0</v>
      </c>
      <c r="S440">
        <v>1084799.08</v>
      </c>
      <c r="T440" t="s">
        <v>76</v>
      </c>
      <c r="U440" t="s">
        <v>26</v>
      </c>
      <c r="W440" s="3">
        <v>20526126</v>
      </c>
    </row>
    <row r="441" spans="1:23">
      <c r="A441" t="s">
        <v>54</v>
      </c>
      <c r="B441" t="s">
        <v>55</v>
      </c>
      <c r="C441" s="2">
        <v>45864</v>
      </c>
      <c r="D441" t="s">
        <v>71</v>
      </c>
      <c r="E441" t="s">
        <v>72</v>
      </c>
      <c r="F441" t="s">
        <v>492</v>
      </c>
      <c r="G441" t="s">
        <v>487</v>
      </c>
      <c r="I441" t="s">
        <v>491</v>
      </c>
      <c r="J441" s="2">
        <v>45617</v>
      </c>
      <c r="K441">
        <v>0</v>
      </c>
      <c r="L441">
        <v>95.5</v>
      </c>
      <c r="M441" s="2">
        <v>46349</v>
      </c>
      <c r="N441">
        <v>1</v>
      </c>
      <c r="O441">
        <v>1086595.92</v>
      </c>
      <c r="Q441">
        <v>0</v>
      </c>
      <c r="R441">
        <v>0</v>
      </c>
      <c r="S441">
        <v>1086595.92</v>
      </c>
      <c r="T441" t="s">
        <v>76</v>
      </c>
      <c r="U441" t="s">
        <v>26</v>
      </c>
      <c r="W441" s="3">
        <v>11919067</v>
      </c>
    </row>
    <row r="442" spans="1:23">
      <c r="A442" t="s">
        <v>66</v>
      </c>
      <c r="B442" t="s">
        <v>67</v>
      </c>
      <c r="C442" s="2">
        <v>45864</v>
      </c>
      <c r="D442" t="s">
        <v>71</v>
      </c>
      <c r="E442" t="s">
        <v>72</v>
      </c>
      <c r="F442" t="s">
        <v>492</v>
      </c>
      <c r="G442" t="s">
        <v>487</v>
      </c>
      <c r="I442" t="s">
        <v>491</v>
      </c>
      <c r="J442" s="2">
        <v>45617</v>
      </c>
      <c r="K442">
        <v>0</v>
      </c>
      <c r="L442">
        <v>95.5</v>
      </c>
      <c r="M442" s="2">
        <v>46349</v>
      </c>
      <c r="N442">
        <v>1</v>
      </c>
      <c r="O442">
        <v>1086595.92</v>
      </c>
      <c r="Q442">
        <v>0</v>
      </c>
      <c r="R442">
        <v>0</v>
      </c>
      <c r="S442">
        <v>1086595.92</v>
      </c>
      <c r="T442" t="s">
        <v>76</v>
      </c>
      <c r="U442" t="s">
        <v>26</v>
      </c>
      <c r="W442" s="3">
        <v>38196047</v>
      </c>
    </row>
    <row r="443" spans="1:23">
      <c r="A443" t="s">
        <v>56</v>
      </c>
      <c r="B443" t="s">
        <v>57</v>
      </c>
      <c r="C443" s="2">
        <v>45864</v>
      </c>
      <c r="D443" t="s">
        <v>71</v>
      </c>
      <c r="E443" t="s">
        <v>72</v>
      </c>
      <c r="F443" t="s">
        <v>493</v>
      </c>
      <c r="G443" t="s">
        <v>487</v>
      </c>
      <c r="I443" t="s">
        <v>491</v>
      </c>
      <c r="J443" s="2">
        <v>45686</v>
      </c>
      <c r="K443">
        <v>0</v>
      </c>
      <c r="L443">
        <v>95</v>
      </c>
      <c r="M443" s="2">
        <v>46406</v>
      </c>
      <c r="N443">
        <v>1</v>
      </c>
      <c r="O443">
        <v>266269.59999999998</v>
      </c>
      <c r="Q443">
        <v>0</v>
      </c>
      <c r="R443">
        <v>0</v>
      </c>
      <c r="S443">
        <v>266269.59999999998</v>
      </c>
      <c r="T443" t="s">
        <v>76</v>
      </c>
      <c r="U443" t="s">
        <v>26</v>
      </c>
      <c r="W443" s="3">
        <v>10187118</v>
      </c>
    </row>
    <row r="444" spans="1:23">
      <c r="A444" t="s">
        <v>56</v>
      </c>
      <c r="B444" t="s">
        <v>57</v>
      </c>
      <c r="C444" s="2">
        <v>45864</v>
      </c>
      <c r="D444" t="s">
        <v>71</v>
      </c>
      <c r="E444" t="s">
        <v>72</v>
      </c>
      <c r="F444" t="s">
        <v>494</v>
      </c>
      <c r="G444" t="s">
        <v>487</v>
      </c>
      <c r="I444" t="s">
        <v>491</v>
      </c>
      <c r="J444" s="2">
        <v>45693</v>
      </c>
      <c r="K444">
        <v>0</v>
      </c>
      <c r="L444">
        <v>95</v>
      </c>
      <c r="M444" s="2">
        <v>46422</v>
      </c>
      <c r="N444">
        <v>1</v>
      </c>
      <c r="O444">
        <v>265653.81</v>
      </c>
      <c r="Q444">
        <v>0</v>
      </c>
      <c r="R444">
        <v>0</v>
      </c>
      <c r="S444">
        <v>265653.81</v>
      </c>
      <c r="T444" t="s">
        <v>76</v>
      </c>
      <c r="U444" t="s">
        <v>26</v>
      </c>
      <c r="W444" s="3">
        <v>3358831</v>
      </c>
    </row>
    <row r="445" spans="1:23">
      <c r="A445" t="s">
        <v>31</v>
      </c>
      <c r="B445" t="s">
        <v>32</v>
      </c>
      <c r="C445" s="2">
        <v>45864</v>
      </c>
      <c r="D445" t="s">
        <v>71</v>
      </c>
      <c r="E445" t="s">
        <v>72</v>
      </c>
      <c r="F445" t="s">
        <v>495</v>
      </c>
      <c r="G445" t="s">
        <v>496</v>
      </c>
      <c r="I445" t="s">
        <v>497</v>
      </c>
      <c r="J445" s="2">
        <v>44152</v>
      </c>
      <c r="K445">
        <v>2.13</v>
      </c>
      <c r="L445">
        <v>2.13</v>
      </c>
      <c r="M445" s="2">
        <v>45978</v>
      </c>
      <c r="N445">
        <v>1</v>
      </c>
      <c r="O445">
        <v>378697.7</v>
      </c>
      <c r="P445" s="4"/>
      <c r="Q445">
        <v>17804.650000000001</v>
      </c>
      <c r="R445">
        <v>0</v>
      </c>
      <c r="S445">
        <v>360893.05</v>
      </c>
      <c r="T445" t="s">
        <v>121</v>
      </c>
      <c r="U445" t="s">
        <v>26</v>
      </c>
      <c r="W445" s="3">
        <v>52486889</v>
      </c>
    </row>
    <row r="446" spans="1:23">
      <c r="A446" t="s">
        <v>29</v>
      </c>
      <c r="B446" t="s">
        <v>30</v>
      </c>
      <c r="C446" s="2">
        <v>45864</v>
      </c>
      <c r="D446" t="s">
        <v>71</v>
      </c>
      <c r="E446" t="s">
        <v>72</v>
      </c>
      <c r="F446" t="s">
        <v>498</v>
      </c>
      <c r="G446" t="s">
        <v>498</v>
      </c>
      <c r="I446" t="s">
        <v>499</v>
      </c>
      <c r="J446" s="2">
        <v>45426</v>
      </c>
      <c r="K446">
        <v>11.2</v>
      </c>
      <c r="L446">
        <v>11.2</v>
      </c>
      <c r="M446" s="2">
        <v>46753</v>
      </c>
      <c r="N446">
        <v>367</v>
      </c>
      <c r="O446">
        <v>269250.38</v>
      </c>
      <c r="Q446">
        <v>3418.68</v>
      </c>
      <c r="R446">
        <v>0</v>
      </c>
      <c r="S446">
        <v>265831.7</v>
      </c>
      <c r="T446" t="s">
        <v>94</v>
      </c>
      <c r="U446" t="s">
        <v>26</v>
      </c>
      <c r="W446" s="3">
        <v>12066856</v>
      </c>
    </row>
    <row r="447" spans="1:23">
      <c r="A447" t="s">
        <v>53</v>
      </c>
      <c r="B447" t="s">
        <v>48</v>
      </c>
      <c r="C447" s="2">
        <v>45864</v>
      </c>
      <c r="D447" t="s">
        <v>71</v>
      </c>
      <c r="E447" t="s">
        <v>72</v>
      </c>
      <c r="F447" t="s">
        <v>500</v>
      </c>
      <c r="G447" t="s">
        <v>500</v>
      </c>
      <c r="I447" t="s">
        <v>499</v>
      </c>
      <c r="J447" s="2">
        <v>44039</v>
      </c>
      <c r="K447">
        <v>2.5099999999999998</v>
      </c>
      <c r="L447">
        <v>2.512</v>
      </c>
      <c r="M447" s="2">
        <v>46980</v>
      </c>
      <c r="N447">
        <v>23</v>
      </c>
      <c r="O447">
        <v>116449.13</v>
      </c>
      <c r="Q447">
        <v>3536.68</v>
      </c>
      <c r="R447">
        <v>0</v>
      </c>
      <c r="S447">
        <v>112912.45</v>
      </c>
      <c r="T447" t="s">
        <v>121</v>
      </c>
      <c r="U447" t="s">
        <v>26</v>
      </c>
      <c r="W447" s="3">
        <v>2652516</v>
      </c>
    </row>
    <row r="448" spans="1:23">
      <c r="A448" t="s">
        <v>56</v>
      </c>
      <c r="B448" t="s">
        <v>57</v>
      </c>
      <c r="C448" s="2">
        <v>45864</v>
      </c>
      <c r="D448" t="s">
        <v>71</v>
      </c>
      <c r="E448" t="s">
        <v>72</v>
      </c>
      <c r="F448" t="s">
        <v>500</v>
      </c>
      <c r="G448" t="s">
        <v>500</v>
      </c>
      <c r="I448" t="s">
        <v>499</v>
      </c>
      <c r="J448" s="2">
        <v>45646</v>
      </c>
      <c r="K448">
        <v>8</v>
      </c>
      <c r="L448">
        <v>8</v>
      </c>
      <c r="M448" s="2">
        <v>46980</v>
      </c>
      <c r="N448">
        <v>151</v>
      </c>
      <c r="O448">
        <v>667851.98</v>
      </c>
      <c r="Q448">
        <v>9065.4500000000007</v>
      </c>
      <c r="R448">
        <v>0</v>
      </c>
      <c r="S448">
        <v>658786.53</v>
      </c>
      <c r="T448" t="s">
        <v>121</v>
      </c>
      <c r="U448" t="s">
        <v>26</v>
      </c>
      <c r="W448" s="3">
        <v>31186752</v>
      </c>
    </row>
    <row r="449" spans="1:23">
      <c r="A449" t="s">
        <v>43</v>
      </c>
      <c r="B449" t="s">
        <v>44</v>
      </c>
      <c r="C449" s="2">
        <v>45864</v>
      </c>
      <c r="D449" t="s">
        <v>71</v>
      </c>
      <c r="E449" t="s">
        <v>72</v>
      </c>
      <c r="F449" t="s">
        <v>500</v>
      </c>
      <c r="G449" t="s">
        <v>500</v>
      </c>
      <c r="I449" t="s">
        <v>499</v>
      </c>
      <c r="J449" s="2">
        <v>44691</v>
      </c>
      <c r="K449">
        <v>6</v>
      </c>
      <c r="L449">
        <v>6</v>
      </c>
      <c r="M449" s="2">
        <v>46980</v>
      </c>
      <c r="N449">
        <v>240</v>
      </c>
      <c r="O449">
        <v>1054594.17</v>
      </c>
      <c r="Q449">
        <v>10183.67</v>
      </c>
      <c r="R449">
        <v>0</v>
      </c>
      <c r="S449">
        <v>1044410.5</v>
      </c>
      <c r="T449" t="s">
        <v>121</v>
      </c>
      <c r="U449" t="s">
        <v>26</v>
      </c>
      <c r="W449" s="3">
        <v>46286314</v>
      </c>
    </row>
    <row r="450" spans="1:23">
      <c r="A450" t="s">
        <v>66</v>
      </c>
      <c r="B450" t="s">
        <v>67</v>
      </c>
      <c r="C450" s="2">
        <v>45864</v>
      </c>
      <c r="D450" t="s">
        <v>71</v>
      </c>
      <c r="E450" t="s">
        <v>72</v>
      </c>
      <c r="F450" t="s">
        <v>500</v>
      </c>
      <c r="G450" t="s">
        <v>500</v>
      </c>
      <c r="I450" t="s">
        <v>499</v>
      </c>
      <c r="J450" s="2">
        <v>45803</v>
      </c>
      <c r="K450">
        <v>7.25</v>
      </c>
      <c r="L450">
        <v>7.25</v>
      </c>
      <c r="M450" s="2">
        <v>48441</v>
      </c>
      <c r="N450">
        <v>93</v>
      </c>
      <c r="O450">
        <v>405664.33</v>
      </c>
      <c r="Q450">
        <v>1536.53</v>
      </c>
      <c r="R450">
        <v>0</v>
      </c>
      <c r="S450">
        <v>404127.8</v>
      </c>
      <c r="T450" t="s">
        <v>121</v>
      </c>
      <c r="U450" t="s">
        <v>26</v>
      </c>
      <c r="W450" s="3">
        <v>8935255</v>
      </c>
    </row>
    <row r="451" spans="1:23">
      <c r="A451" t="s">
        <v>58</v>
      </c>
      <c r="B451" t="s">
        <v>59</v>
      </c>
      <c r="C451" s="2">
        <v>45864</v>
      </c>
      <c r="D451" t="s">
        <v>71</v>
      </c>
      <c r="E451" t="s">
        <v>72</v>
      </c>
      <c r="F451" t="s">
        <v>500</v>
      </c>
      <c r="G451" t="s">
        <v>500</v>
      </c>
      <c r="I451" t="s">
        <v>499</v>
      </c>
      <c r="J451" s="2">
        <v>45427</v>
      </c>
      <c r="K451">
        <v>6.07</v>
      </c>
      <c r="L451">
        <v>6.07</v>
      </c>
      <c r="M451" s="2">
        <v>49444</v>
      </c>
      <c r="N451">
        <v>43</v>
      </c>
      <c r="O451">
        <v>196781</v>
      </c>
      <c r="Q451">
        <v>2393.46</v>
      </c>
      <c r="R451">
        <v>0</v>
      </c>
      <c r="S451">
        <v>194387.54</v>
      </c>
      <c r="T451" t="s">
        <v>121</v>
      </c>
      <c r="U451" t="s">
        <v>26</v>
      </c>
      <c r="W451" s="3">
        <v>39283855</v>
      </c>
    </row>
    <row r="452" spans="1:23">
      <c r="A452" t="s">
        <v>29</v>
      </c>
      <c r="B452" t="s">
        <v>30</v>
      </c>
      <c r="C452" s="2">
        <v>45864</v>
      </c>
      <c r="D452" t="s">
        <v>71</v>
      </c>
      <c r="E452" t="s">
        <v>72</v>
      </c>
      <c r="F452" t="s">
        <v>500</v>
      </c>
      <c r="G452" t="s">
        <v>500</v>
      </c>
      <c r="I452" t="s">
        <v>499</v>
      </c>
      <c r="J452" s="2">
        <v>45426</v>
      </c>
      <c r="K452">
        <v>6.07</v>
      </c>
      <c r="L452">
        <v>6.07</v>
      </c>
      <c r="M452" s="2">
        <v>49444</v>
      </c>
      <c r="N452">
        <v>57</v>
      </c>
      <c r="O452">
        <v>236029</v>
      </c>
      <c r="Q452">
        <v>0</v>
      </c>
      <c r="R452">
        <v>0</v>
      </c>
      <c r="S452">
        <v>236029</v>
      </c>
      <c r="T452" t="s">
        <v>121</v>
      </c>
      <c r="U452" t="s">
        <v>26</v>
      </c>
      <c r="W452" s="3">
        <v>19188293</v>
      </c>
    </row>
    <row r="453" spans="1:23">
      <c r="A453" t="s">
        <v>51</v>
      </c>
      <c r="B453" t="s">
        <v>52</v>
      </c>
      <c r="C453" s="2">
        <v>45864</v>
      </c>
      <c r="D453" t="s">
        <v>71</v>
      </c>
      <c r="E453" t="s">
        <v>72</v>
      </c>
      <c r="F453" t="s">
        <v>500</v>
      </c>
      <c r="G453" t="s">
        <v>500</v>
      </c>
      <c r="I453" t="s">
        <v>499</v>
      </c>
      <c r="J453" s="2">
        <v>45426</v>
      </c>
      <c r="K453">
        <v>6.07</v>
      </c>
      <c r="L453">
        <v>6.07</v>
      </c>
      <c r="M453" s="2">
        <v>49444</v>
      </c>
      <c r="N453">
        <v>68</v>
      </c>
      <c r="O453">
        <v>311188.56</v>
      </c>
      <c r="Q453">
        <v>3794.31</v>
      </c>
      <c r="R453">
        <v>0</v>
      </c>
      <c r="S453">
        <v>307394.25</v>
      </c>
      <c r="T453" t="s">
        <v>121</v>
      </c>
      <c r="U453" t="s">
        <v>26</v>
      </c>
      <c r="W453" s="3">
        <v>10378469</v>
      </c>
    </row>
    <row r="454" spans="1:23">
      <c r="A454" t="s">
        <v>43</v>
      </c>
      <c r="B454" t="s">
        <v>44</v>
      </c>
      <c r="C454" s="2">
        <v>45864</v>
      </c>
      <c r="D454" t="s">
        <v>71</v>
      </c>
      <c r="E454" t="s">
        <v>72</v>
      </c>
      <c r="F454" t="s">
        <v>500</v>
      </c>
      <c r="G454" t="s">
        <v>500</v>
      </c>
      <c r="I454" t="s">
        <v>499</v>
      </c>
      <c r="J454" s="2">
        <v>44761</v>
      </c>
      <c r="K454">
        <v>6</v>
      </c>
      <c r="L454">
        <v>6</v>
      </c>
      <c r="M454" s="2">
        <v>49444</v>
      </c>
      <c r="N454">
        <v>91</v>
      </c>
      <c r="O454">
        <v>376818.23</v>
      </c>
      <c r="Q454">
        <v>1887.5</v>
      </c>
      <c r="R454">
        <v>0</v>
      </c>
      <c r="S454">
        <v>374930.73</v>
      </c>
      <c r="T454" t="s">
        <v>121</v>
      </c>
      <c r="U454" t="s">
        <v>26</v>
      </c>
      <c r="W454" s="3">
        <v>84723457</v>
      </c>
    </row>
    <row r="455" spans="1:23">
      <c r="A455" t="s">
        <v>66</v>
      </c>
      <c r="B455" t="s">
        <v>67</v>
      </c>
      <c r="C455" s="2">
        <v>45864</v>
      </c>
      <c r="D455" t="s">
        <v>71</v>
      </c>
      <c r="E455" t="s">
        <v>72</v>
      </c>
      <c r="F455" t="s">
        <v>500</v>
      </c>
      <c r="G455" t="s">
        <v>500</v>
      </c>
      <c r="I455" t="s">
        <v>499</v>
      </c>
      <c r="J455" s="2">
        <v>44861</v>
      </c>
      <c r="K455">
        <v>5.55</v>
      </c>
      <c r="L455">
        <v>5.55</v>
      </c>
      <c r="M455" s="2">
        <v>53097</v>
      </c>
      <c r="N455">
        <v>18</v>
      </c>
      <c r="O455">
        <v>87027.21</v>
      </c>
      <c r="Q455">
        <v>1756.06</v>
      </c>
      <c r="R455">
        <v>0</v>
      </c>
      <c r="S455">
        <v>85271.15</v>
      </c>
      <c r="T455" t="s">
        <v>121</v>
      </c>
      <c r="U455" t="s">
        <v>26</v>
      </c>
      <c r="W455" s="3">
        <v>39333664</v>
      </c>
    </row>
    <row r="456" spans="1:23">
      <c r="A456" t="s">
        <v>66</v>
      </c>
      <c r="B456" t="s">
        <v>67</v>
      </c>
      <c r="C456" s="2">
        <v>45864</v>
      </c>
      <c r="D456" t="s">
        <v>71</v>
      </c>
      <c r="E456" t="s">
        <v>72</v>
      </c>
      <c r="F456" t="s">
        <v>500</v>
      </c>
      <c r="G456" t="s">
        <v>500</v>
      </c>
      <c r="I456" t="s">
        <v>499</v>
      </c>
      <c r="J456" s="2">
        <v>44960</v>
      </c>
      <c r="K456">
        <v>5.55</v>
      </c>
      <c r="L456">
        <v>6.19</v>
      </c>
      <c r="M456" s="2">
        <v>53097</v>
      </c>
      <c r="N456">
        <v>20</v>
      </c>
      <c r="O456">
        <v>90023.87</v>
      </c>
      <c r="Q456">
        <v>1673.95</v>
      </c>
      <c r="R456">
        <v>0</v>
      </c>
      <c r="S456">
        <v>88349.92</v>
      </c>
      <c r="T456" t="s">
        <v>121</v>
      </c>
      <c r="U456" t="s">
        <v>26</v>
      </c>
      <c r="W456" s="3">
        <v>3558804</v>
      </c>
    </row>
    <row r="457" spans="1:23">
      <c r="A457" t="s">
        <v>43</v>
      </c>
      <c r="B457" t="s">
        <v>44</v>
      </c>
      <c r="C457" s="2">
        <v>45864</v>
      </c>
      <c r="D457" t="s">
        <v>71</v>
      </c>
      <c r="E457" t="s">
        <v>72</v>
      </c>
      <c r="F457" t="s">
        <v>500</v>
      </c>
      <c r="G457" t="s">
        <v>500</v>
      </c>
      <c r="I457" t="s">
        <v>499</v>
      </c>
      <c r="J457" s="2">
        <v>44991</v>
      </c>
      <c r="K457">
        <v>6.1</v>
      </c>
      <c r="L457">
        <v>6.25</v>
      </c>
      <c r="M457" s="2">
        <v>55015</v>
      </c>
      <c r="N457">
        <v>89</v>
      </c>
      <c r="O457">
        <v>359218.81</v>
      </c>
      <c r="Q457">
        <v>1384.25</v>
      </c>
      <c r="R457">
        <v>0</v>
      </c>
      <c r="S457">
        <v>357834.56</v>
      </c>
      <c r="T457" t="s">
        <v>121</v>
      </c>
      <c r="U457" t="s">
        <v>26</v>
      </c>
      <c r="W457" s="3">
        <v>52674366</v>
      </c>
    </row>
    <row r="458" spans="1:23">
      <c r="A458" t="s">
        <v>43</v>
      </c>
      <c r="B458" t="s">
        <v>44</v>
      </c>
      <c r="C458" s="2">
        <v>45864</v>
      </c>
      <c r="D458" t="s">
        <v>71</v>
      </c>
      <c r="E458" t="s">
        <v>72</v>
      </c>
      <c r="F458" t="s">
        <v>500</v>
      </c>
      <c r="G458" t="s">
        <v>500</v>
      </c>
      <c r="I458" t="s">
        <v>499</v>
      </c>
      <c r="J458" s="2">
        <v>44974</v>
      </c>
      <c r="K458">
        <v>6.1</v>
      </c>
      <c r="L458">
        <v>6.1</v>
      </c>
      <c r="M458" s="2">
        <v>55015</v>
      </c>
      <c r="N458">
        <v>163</v>
      </c>
      <c r="O458">
        <v>657895.13</v>
      </c>
      <c r="Q458">
        <v>1026.25</v>
      </c>
      <c r="R458">
        <v>0</v>
      </c>
      <c r="S458">
        <v>656868.88</v>
      </c>
      <c r="T458" t="s">
        <v>121</v>
      </c>
      <c r="U458" t="s">
        <v>26</v>
      </c>
      <c r="W458" s="3">
        <v>57505904</v>
      </c>
    </row>
    <row r="459" spans="1:23">
      <c r="A459" t="s">
        <v>53</v>
      </c>
      <c r="B459" t="s">
        <v>48</v>
      </c>
      <c r="C459" s="2">
        <v>45864</v>
      </c>
      <c r="D459" t="s">
        <v>71</v>
      </c>
      <c r="E459" t="s">
        <v>72</v>
      </c>
      <c r="F459" t="s">
        <v>500</v>
      </c>
      <c r="G459" t="s">
        <v>500</v>
      </c>
      <c r="I459" t="s">
        <v>499</v>
      </c>
      <c r="J459" s="2">
        <v>43889</v>
      </c>
      <c r="K459">
        <v>3.47</v>
      </c>
      <c r="L459">
        <v>3.58</v>
      </c>
      <c r="M459" s="2">
        <v>56749</v>
      </c>
      <c r="N459">
        <v>10</v>
      </c>
      <c r="O459">
        <v>64946.05</v>
      </c>
      <c r="P459" s="4"/>
      <c r="Q459">
        <v>2508.58</v>
      </c>
      <c r="R459">
        <v>0</v>
      </c>
      <c r="S459">
        <v>62437.47</v>
      </c>
      <c r="T459" t="s">
        <v>121</v>
      </c>
      <c r="U459" t="s">
        <v>26</v>
      </c>
      <c r="W459" s="3">
        <v>25050778</v>
      </c>
    </row>
    <row r="460" spans="1:23">
      <c r="A460" t="s">
        <v>53</v>
      </c>
      <c r="B460" t="s">
        <v>48</v>
      </c>
      <c r="C460" s="2">
        <v>45864</v>
      </c>
      <c r="D460" t="s">
        <v>71</v>
      </c>
      <c r="E460" t="s">
        <v>72</v>
      </c>
      <c r="F460" t="s">
        <v>500</v>
      </c>
      <c r="G460" t="s">
        <v>500</v>
      </c>
      <c r="I460" t="s">
        <v>499</v>
      </c>
      <c r="J460" s="2">
        <v>43871</v>
      </c>
      <c r="K460">
        <v>3.47</v>
      </c>
      <c r="L460">
        <v>3.47</v>
      </c>
      <c r="M460" s="2">
        <v>56749</v>
      </c>
      <c r="N460">
        <v>18</v>
      </c>
      <c r="O460">
        <v>119229.79</v>
      </c>
      <c r="Q460">
        <v>4588.59</v>
      </c>
      <c r="R460">
        <v>0</v>
      </c>
      <c r="S460">
        <v>114641.2</v>
      </c>
      <c r="T460" t="s">
        <v>121</v>
      </c>
      <c r="U460" t="s">
        <v>26</v>
      </c>
      <c r="W460" s="3">
        <v>25459154</v>
      </c>
    </row>
    <row r="461" spans="1:23">
      <c r="A461" t="s">
        <v>31</v>
      </c>
      <c r="B461" t="s">
        <v>32</v>
      </c>
      <c r="C461" s="2">
        <v>45864</v>
      </c>
      <c r="D461" t="s">
        <v>71</v>
      </c>
      <c r="E461" t="s">
        <v>72</v>
      </c>
      <c r="F461" t="s">
        <v>501</v>
      </c>
      <c r="G461" t="s">
        <v>501</v>
      </c>
      <c r="I461" t="s">
        <v>499</v>
      </c>
      <c r="J461" s="2">
        <v>45481</v>
      </c>
      <c r="K461">
        <v>11.41</v>
      </c>
      <c r="L461">
        <v>11.41</v>
      </c>
      <c r="M461" s="2">
        <v>46388</v>
      </c>
      <c r="N461">
        <v>513</v>
      </c>
      <c r="O461">
        <v>507399.09</v>
      </c>
      <c r="Q461">
        <v>1574.7</v>
      </c>
      <c r="R461">
        <v>0</v>
      </c>
      <c r="S461">
        <v>505824.39</v>
      </c>
      <c r="T461" t="s">
        <v>94</v>
      </c>
      <c r="U461" t="s">
        <v>26</v>
      </c>
      <c r="W461" s="3">
        <v>65627266</v>
      </c>
    </row>
    <row r="462" spans="1:23">
      <c r="A462" t="s">
        <v>29</v>
      </c>
      <c r="B462" t="s">
        <v>30</v>
      </c>
      <c r="C462" s="2">
        <v>45864</v>
      </c>
      <c r="D462" t="s">
        <v>71</v>
      </c>
      <c r="E462" t="s">
        <v>72</v>
      </c>
      <c r="F462" t="s">
        <v>500</v>
      </c>
      <c r="G462" t="s">
        <v>502</v>
      </c>
      <c r="I462" t="s">
        <v>499</v>
      </c>
      <c r="J462" s="2">
        <v>44447</v>
      </c>
      <c r="K462">
        <v>4.7</v>
      </c>
      <c r="L462">
        <v>4.7</v>
      </c>
      <c r="M462" s="2">
        <v>47710</v>
      </c>
      <c r="N462">
        <v>25.13</v>
      </c>
      <c r="O462">
        <v>108291.45</v>
      </c>
      <c r="Q462">
        <v>1298.93</v>
      </c>
      <c r="R462">
        <v>0</v>
      </c>
      <c r="S462">
        <v>106992.52</v>
      </c>
      <c r="T462" t="s">
        <v>121</v>
      </c>
      <c r="U462" t="s">
        <v>26</v>
      </c>
      <c r="W462" s="3">
        <v>34634532</v>
      </c>
    </row>
    <row r="463" spans="1:23">
      <c r="A463" t="s">
        <v>31</v>
      </c>
      <c r="B463" t="s">
        <v>32</v>
      </c>
      <c r="C463" s="2">
        <v>45864</v>
      </c>
      <c r="D463" t="s">
        <v>71</v>
      </c>
      <c r="E463" t="s">
        <v>72</v>
      </c>
      <c r="F463" t="s">
        <v>503</v>
      </c>
      <c r="G463" t="s">
        <v>504</v>
      </c>
      <c r="I463" t="s">
        <v>499</v>
      </c>
      <c r="J463" s="2">
        <v>44375</v>
      </c>
      <c r="K463">
        <v>4.13</v>
      </c>
      <c r="L463">
        <v>4.13</v>
      </c>
      <c r="M463" s="2">
        <v>49444</v>
      </c>
      <c r="N463">
        <v>325.08999999999997</v>
      </c>
      <c r="O463">
        <v>732645.58</v>
      </c>
      <c r="Q463">
        <v>10598.74</v>
      </c>
      <c r="R463">
        <v>0</v>
      </c>
      <c r="S463">
        <v>722046.84</v>
      </c>
      <c r="T463" t="s">
        <v>121</v>
      </c>
      <c r="U463" t="s">
        <v>26</v>
      </c>
      <c r="W463" s="3">
        <v>61178126</v>
      </c>
    </row>
    <row r="464" spans="1:23">
      <c r="A464" t="s">
        <v>29</v>
      </c>
      <c r="B464" t="s">
        <v>30</v>
      </c>
      <c r="C464" s="2">
        <v>45864</v>
      </c>
      <c r="D464" t="s">
        <v>505</v>
      </c>
      <c r="E464" t="s">
        <v>506</v>
      </c>
      <c r="F464" t="s">
        <v>507</v>
      </c>
      <c r="G464" t="s">
        <v>507</v>
      </c>
      <c r="J464" s="2"/>
      <c r="M464" s="2"/>
      <c r="N464">
        <v>5860</v>
      </c>
      <c r="O464">
        <v>172635.6</v>
      </c>
      <c r="Q464">
        <v>0</v>
      </c>
      <c r="S464">
        <v>172635.6</v>
      </c>
      <c r="T464" t="s">
        <v>505</v>
      </c>
      <c r="U464" t="s">
        <v>26</v>
      </c>
      <c r="W464" s="3">
        <v>43527359</v>
      </c>
    </row>
    <row r="465" spans="1:23">
      <c r="A465" t="s">
        <v>62</v>
      </c>
      <c r="B465" t="s">
        <v>63</v>
      </c>
      <c r="C465" s="2">
        <v>45864</v>
      </c>
      <c r="D465" t="s">
        <v>505</v>
      </c>
      <c r="E465" t="s">
        <v>506</v>
      </c>
      <c r="F465" t="s">
        <v>508</v>
      </c>
      <c r="G465" t="s">
        <v>508</v>
      </c>
      <c r="J465" s="2"/>
      <c r="M465" s="2"/>
      <c r="N465">
        <v>136</v>
      </c>
      <c r="O465">
        <v>711.28</v>
      </c>
      <c r="Q465">
        <v>0</v>
      </c>
      <c r="S465">
        <v>711.28</v>
      </c>
      <c r="T465" t="s">
        <v>505</v>
      </c>
      <c r="U465" t="s">
        <v>26</v>
      </c>
      <c r="W465" s="3">
        <v>74041085</v>
      </c>
    </row>
    <row r="466" spans="1:23">
      <c r="A466" t="s">
        <v>29</v>
      </c>
      <c r="B466" t="s">
        <v>30</v>
      </c>
      <c r="C466" s="2">
        <v>45864</v>
      </c>
      <c r="D466" t="s">
        <v>505</v>
      </c>
      <c r="E466" t="s">
        <v>506</v>
      </c>
      <c r="F466" t="s">
        <v>509</v>
      </c>
      <c r="G466" t="s">
        <v>509</v>
      </c>
      <c r="J466" s="2"/>
      <c r="M466" s="2"/>
      <c r="N466">
        <v>9600</v>
      </c>
      <c r="O466">
        <v>194304</v>
      </c>
      <c r="Q466">
        <v>0</v>
      </c>
      <c r="S466">
        <v>194304</v>
      </c>
      <c r="T466" t="s">
        <v>505</v>
      </c>
      <c r="U466" t="s">
        <v>26</v>
      </c>
      <c r="W466" s="3">
        <v>16810241</v>
      </c>
    </row>
    <row r="467" spans="1:23">
      <c r="A467" t="s">
        <v>29</v>
      </c>
      <c r="B467" t="s">
        <v>30</v>
      </c>
      <c r="C467" s="2">
        <v>45864</v>
      </c>
      <c r="D467" t="s">
        <v>505</v>
      </c>
      <c r="E467" t="s">
        <v>510</v>
      </c>
      <c r="F467" t="s">
        <v>511</v>
      </c>
      <c r="G467" t="s">
        <v>511</v>
      </c>
      <c r="J467" s="2"/>
      <c r="M467" s="2"/>
      <c r="N467">
        <v>-9600</v>
      </c>
      <c r="O467">
        <v>-98.99</v>
      </c>
      <c r="S467">
        <v>-98.99</v>
      </c>
      <c r="T467" t="s">
        <v>505</v>
      </c>
      <c r="U467" t="s">
        <v>26</v>
      </c>
      <c r="W467" s="3">
        <v>32688594</v>
      </c>
    </row>
    <row r="468" spans="1:23">
      <c r="A468" t="s">
        <v>29</v>
      </c>
      <c r="B468" t="s">
        <v>30</v>
      </c>
      <c r="C468" s="2">
        <v>45864</v>
      </c>
      <c r="D468" t="s">
        <v>505</v>
      </c>
      <c r="E468" t="s">
        <v>506</v>
      </c>
      <c r="F468" t="s">
        <v>512</v>
      </c>
      <c r="G468" t="s">
        <v>512</v>
      </c>
      <c r="J468" s="2"/>
      <c r="M468" s="2"/>
      <c r="N468">
        <v>8500</v>
      </c>
      <c r="O468">
        <v>285005</v>
      </c>
      <c r="Q468">
        <v>0</v>
      </c>
      <c r="S468">
        <v>285005</v>
      </c>
      <c r="T468" t="s">
        <v>505</v>
      </c>
      <c r="U468" t="s">
        <v>26</v>
      </c>
      <c r="W468" s="3">
        <v>23951793</v>
      </c>
    </row>
    <row r="469" spans="1:23">
      <c r="A469" t="s">
        <v>29</v>
      </c>
      <c r="B469" t="s">
        <v>30</v>
      </c>
      <c r="C469" s="2">
        <v>45864</v>
      </c>
      <c r="D469" t="s">
        <v>505</v>
      </c>
      <c r="E469" t="s">
        <v>513</v>
      </c>
      <c r="F469" t="s">
        <v>514</v>
      </c>
      <c r="G469" t="s">
        <v>514</v>
      </c>
      <c r="J469" s="2"/>
      <c r="M469" s="2"/>
      <c r="N469">
        <v>2623</v>
      </c>
      <c r="O469">
        <v>193079.03</v>
      </c>
      <c r="Q469">
        <v>0</v>
      </c>
      <c r="S469">
        <v>193079.03</v>
      </c>
      <c r="T469" t="s">
        <v>125</v>
      </c>
      <c r="U469" t="s">
        <v>26</v>
      </c>
      <c r="W469" s="3">
        <v>27221238</v>
      </c>
    </row>
    <row r="470" spans="1:23">
      <c r="A470" t="s">
        <v>29</v>
      </c>
      <c r="B470" t="s">
        <v>30</v>
      </c>
      <c r="C470" s="2">
        <v>45864</v>
      </c>
      <c r="D470" t="s">
        <v>505</v>
      </c>
      <c r="E470" t="s">
        <v>513</v>
      </c>
      <c r="F470" t="s">
        <v>515</v>
      </c>
      <c r="G470" t="s">
        <v>515</v>
      </c>
      <c r="J470" s="2"/>
      <c r="M470" s="2"/>
      <c r="N470">
        <v>2079</v>
      </c>
      <c r="O470">
        <v>81039.42</v>
      </c>
      <c r="Q470">
        <v>0</v>
      </c>
      <c r="S470">
        <v>81039.42</v>
      </c>
      <c r="T470" t="s">
        <v>125</v>
      </c>
      <c r="U470" t="s">
        <v>26</v>
      </c>
      <c r="W470" s="3">
        <v>15820497</v>
      </c>
    </row>
    <row r="471" spans="1:23">
      <c r="A471" t="s">
        <v>29</v>
      </c>
      <c r="B471" t="s">
        <v>30</v>
      </c>
      <c r="C471" s="2">
        <v>45864</v>
      </c>
      <c r="D471" t="s">
        <v>505</v>
      </c>
      <c r="E471" t="s">
        <v>513</v>
      </c>
      <c r="F471" t="s">
        <v>516</v>
      </c>
      <c r="G471" t="s">
        <v>516</v>
      </c>
      <c r="J471" s="2"/>
      <c r="M471" s="2"/>
      <c r="N471">
        <v>19338</v>
      </c>
      <c r="O471">
        <v>176555.94</v>
      </c>
      <c r="Q471">
        <v>0</v>
      </c>
      <c r="S471">
        <v>176555.94</v>
      </c>
      <c r="T471" t="s">
        <v>125</v>
      </c>
      <c r="U471" t="s">
        <v>26</v>
      </c>
      <c r="W471" s="3">
        <v>5711966</v>
      </c>
    </row>
    <row r="472" spans="1:23">
      <c r="A472" t="s">
        <v>43</v>
      </c>
      <c r="B472" t="s">
        <v>44</v>
      </c>
      <c r="C472" s="2">
        <v>45864</v>
      </c>
      <c r="D472" t="s">
        <v>505</v>
      </c>
      <c r="E472" t="s">
        <v>513</v>
      </c>
      <c r="F472" t="s">
        <v>517</v>
      </c>
      <c r="G472" t="s">
        <v>517</v>
      </c>
      <c r="J472" s="2"/>
      <c r="M472" s="2"/>
      <c r="N472">
        <v>20858</v>
      </c>
      <c r="O472">
        <v>176041.52</v>
      </c>
      <c r="Q472">
        <v>0</v>
      </c>
      <c r="S472">
        <v>176041.52</v>
      </c>
      <c r="T472" t="s">
        <v>125</v>
      </c>
      <c r="U472" t="s">
        <v>26</v>
      </c>
      <c r="W472" s="3">
        <v>72640919</v>
      </c>
    </row>
    <row r="473" spans="1:23">
      <c r="A473" t="s">
        <v>29</v>
      </c>
      <c r="B473" t="s">
        <v>30</v>
      </c>
      <c r="C473" s="2">
        <v>45864</v>
      </c>
      <c r="D473" t="s">
        <v>505</v>
      </c>
      <c r="E473" t="s">
        <v>513</v>
      </c>
      <c r="F473" t="s">
        <v>518</v>
      </c>
      <c r="G473" t="s">
        <v>518</v>
      </c>
      <c r="J473" s="2"/>
      <c r="M473" s="2"/>
      <c r="N473">
        <v>1759</v>
      </c>
      <c r="O473">
        <v>175108.45</v>
      </c>
      <c r="Q473">
        <v>0</v>
      </c>
      <c r="S473">
        <v>175108.45</v>
      </c>
      <c r="T473" t="s">
        <v>125</v>
      </c>
      <c r="U473" t="s">
        <v>26</v>
      </c>
      <c r="W473" s="3">
        <v>30666636</v>
      </c>
    </row>
    <row r="474" spans="1:23">
      <c r="A474" t="s">
        <v>43</v>
      </c>
      <c r="B474" t="s">
        <v>44</v>
      </c>
      <c r="C474" s="2">
        <v>45864</v>
      </c>
      <c r="D474" t="s">
        <v>505</v>
      </c>
      <c r="E474" t="s">
        <v>513</v>
      </c>
      <c r="F474" t="s">
        <v>518</v>
      </c>
      <c r="G474" t="s">
        <v>518</v>
      </c>
      <c r="J474" s="2"/>
      <c r="M474" s="2"/>
      <c r="N474">
        <v>1829</v>
      </c>
      <c r="O474">
        <v>182076.95</v>
      </c>
      <c r="Q474">
        <v>0</v>
      </c>
      <c r="S474">
        <v>182076.95</v>
      </c>
      <c r="T474" t="s">
        <v>125</v>
      </c>
      <c r="U474" t="s">
        <v>26</v>
      </c>
      <c r="W474" s="3">
        <v>75748603</v>
      </c>
    </row>
    <row r="475" spans="1:23">
      <c r="A475" t="s">
        <v>29</v>
      </c>
      <c r="B475" t="s">
        <v>30</v>
      </c>
      <c r="C475" s="2">
        <v>45864</v>
      </c>
      <c r="D475" t="s">
        <v>505</v>
      </c>
      <c r="E475" t="s">
        <v>506</v>
      </c>
      <c r="F475" t="s">
        <v>519</v>
      </c>
      <c r="G475" t="s">
        <v>519</v>
      </c>
      <c r="J475" s="2"/>
      <c r="M475" s="2"/>
      <c r="N475">
        <v>1450</v>
      </c>
      <c r="O475">
        <v>154077</v>
      </c>
      <c r="Q475">
        <v>0</v>
      </c>
      <c r="S475">
        <v>154077</v>
      </c>
      <c r="T475" t="s">
        <v>505</v>
      </c>
      <c r="U475" t="s">
        <v>26</v>
      </c>
      <c r="W475" s="3">
        <v>8461692</v>
      </c>
    </row>
    <row r="476" spans="1:23">
      <c r="A476" t="s">
        <v>29</v>
      </c>
      <c r="B476" t="s">
        <v>30</v>
      </c>
      <c r="C476" s="2">
        <v>45864</v>
      </c>
      <c r="D476" t="s">
        <v>505</v>
      </c>
      <c r="E476" t="s">
        <v>506</v>
      </c>
      <c r="F476" t="s">
        <v>520</v>
      </c>
      <c r="G476" t="s">
        <v>520</v>
      </c>
      <c r="J476" s="2"/>
      <c r="M476" s="2"/>
      <c r="N476">
        <v>23700</v>
      </c>
      <c r="O476">
        <v>276579</v>
      </c>
      <c r="Q476">
        <v>0</v>
      </c>
      <c r="S476">
        <v>276579</v>
      </c>
      <c r="T476" t="s">
        <v>505</v>
      </c>
      <c r="U476" t="s">
        <v>26</v>
      </c>
      <c r="W476" s="3">
        <v>27296755</v>
      </c>
    </row>
    <row r="477" spans="1:23">
      <c r="A477" t="s">
        <v>29</v>
      </c>
      <c r="B477" t="s">
        <v>30</v>
      </c>
      <c r="C477" s="2">
        <v>45864</v>
      </c>
      <c r="D477" t="s">
        <v>505</v>
      </c>
      <c r="E477" t="s">
        <v>510</v>
      </c>
      <c r="F477" t="s">
        <v>521</v>
      </c>
      <c r="G477" t="s">
        <v>521</v>
      </c>
      <c r="J477" s="2"/>
      <c r="M477" s="2"/>
      <c r="N477">
        <v>-22300</v>
      </c>
      <c r="O477">
        <v>-394.06</v>
      </c>
      <c r="S477">
        <v>-394.06</v>
      </c>
      <c r="T477" t="s">
        <v>505</v>
      </c>
      <c r="U477" t="s">
        <v>26</v>
      </c>
      <c r="W477" s="3">
        <v>35512359</v>
      </c>
    </row>
    <row r="478" spans="1:23">
      <c r="A478" t="s">
        <v>29</v>
      </c>
      <c r="B478" t="s">
        <v>30</v>
      </c>
      <c r="C478" s="2">
        <v>45864</v>
      </c>
      <c r="D478" t="s">
        <v>505</v>
      </c>
      <c r="E478" t="s">
        <v>513</v>
      </c>
      <c r="F478" t="s">
        <v>522</v>
      </c>
      <c r="G478" t="s">
        <v>522</v>
      </c>
      <c r="J478" s="2"/>
      <c r="M478" s="2"/>
      <c r="N478">
        <v>17683</v>
      </c>
      <c r="O478">
        <v>128909.07</v>
      </c>
      <c r="Q478">
        <v>0</v>
      </c>
      <c r="S478">
        <v>128909.07</v>
      </c>
      <c r="T478" t="s">
        <v>125</v>
      </c>
      <c r="U478" t="s">
        <v>26</v>
      </c>
      <c r="W478" s="3">
        <v>42813327</v>
      </c>
    </row>
    <row r="479" spans="1:23">
      <c r="A479" t="s">
        <v>29</v>
      </c>
      <c r="B479" t="s">
        <v>30</v>
      </c>
      <c r="C479" s="2">
        <v>45864</v>
      </c>
      <c r="D479" t="s">
        <v>505</v>
      </c>
      <c r="E479" t="s">
        <v>506</v>
      </c>
      <c r="F479" t="s">
        <v>523</v>
      </c>
      <c r="G479" t="s">
        <v>523</v>
      </c>
      <c r="J479" s="2"/>
      <c r="M479" s="2"/>
      <c r="N479">
        <v>5400</v>
      </c>
      <c r="O479">
        <v>224046</v>
      </c>
      <c r="Q479">
        <v>0</v>
      </c>
      <c r="S479">
        <v>224046</v>
      </c>
      <c r="T479" t="s">
        <v>505</v>
      </c>
      <c r="U479" t="s">
        <v>26</v>
      </c>
      <c r="W479" s="3">
        <v>26515829</v>
      </c>
    </row>
    <row r="480" spans="1:23">
      <c r="A480" t="s">
        <v>29</v>
      </c>
      <c r="B480" t="s">
        <v>30</v>
      </c>
      <c r="C480" s="2">
        <v>45864</v>
      </c>
      <c r="D480" t="s">
        <v>505</v>
      </c>
      <c r="E480" t="s">
        <v>510</v>
      </c>
      <c r="F480" t="s">
        <v>524</v>
      </c>
      <c r="G480" t="s">
        <v>524</v>
      </c>
      <c r="J480" s="2"/>
      <c r="M480" s="2"/>
      <c r="N480">
        <v>-5400</v>
      </c>
      <c r="O480">
        <v>-596.26</v>
      </c>
      <c r="S480">
        <v>-596.26</v>
      </c>
      <c r="T480" t="s">
        <v>505</v>
      </c>
      <c r="U480" t="s">
        <v>26</v>
      </c>
      <c r="W480" s="3">
        <v>29052767</v>
      </c>
    </row>
    <row r="481" spans="1:23">
      <c r="A481" t="s">
        <v>29</v>
      </c>
      <c r="B481" t="s">
        <v>30</v>
      </c>
      <c r="C481" s="2">
        <v>45864</v>
      </c>
      <c r="D481" t="s">
        <v>505</v>
      </c>
      <c r="E481" t="s">
        <v>506</v>
      </c>
      <c r="F481" t="s">
        <v>525</v>
      </c>
      <c r="G481" t="s">
        <v>525</v>
      </c>
      <c r="J481" s="2"/>
      <c r="M481" s="2"/>
      <c r="N481">
        <v>2290</v>
      </c>
      <c r="O481">
        <v>242785.8</v>
      </c>
      <c r="Q481">
        <v>0</v>
      </c>
      <c r="S481">
        <v>242785.8</v>
      </c>
      <c r="T481" t="s">
        <v>125</v>
      </c>
      <c r="U481" t="s">
        <v>26</v>
      </c>
      <c r="W481" s="3">
        <v>22465446</v>
      </c>
    </row>
    <row r="482" spans="1:23">
      <c r="A482" t="s">
        <v>29</v>
      </c>
      <c r="B482" t="s">
        <v>30</v>
      </c>
      <c r="C482" s="2">
        <v>45864</v>
      </c>
      <c r="D482" t="s">
        <v>505</v>
      </c>
      <c r="E482" t="s">
        <v>506</v>
      </c>
      <c r="F482" t="s">
        <v>526</v>
      </c>
      <c r="G482" t="s">
        <v>526</v>
      </c>
      <c r="J482" s="2"/>
      <c r="M482" s="2"/>
      <c r="N482">
        <v>13636</v>
      </c>
      <c r="O482">
        <v>234266.48</v>
      </c>
      <c r="P482" s="4"/>
      <c r="Q482">
        <v>0</v>
      </c>
      <c r="S482">
        <v>234266.48</v>
      </c>
      <c r="T482" t="s">
        <v>505</v>
      </c>
      <c r="U482" t="s">
        <v>26</v>
      </c>
      <c r="W482" s="3">
        <v>36981769</v>
      </c>
    </row>
    <row r="483" spans="1:23">
      <c r="A483" t="s">
        <v>29</v>
      </c>
      <c r="B483" t="s">
        <v>30</v>
      </c>
      <c r="C483" s="2">
        <v>45864</v>
      </c>
      <c r="D483" t="s">
        <v>505</v>
      </c>
      <c r="E483" t="s">
        <v>510</v>
      </c>
      <c r="F483" t="s">
        <v>527</v>
      </c>
      <c r="G483" t="s">
        <v>527</v>
      </c>
      <c r="J483" s="2"/>
      <c r="M483" s="2"/>
      <c r="N483">
        <v>-13600</v>
      </c>
      <c r="O483">
        <v>-2959.59</v>
      </c>
      <c r="S483">
        <v>-2959.59</v>
      </c>
      <c r="T483" t="s">
        <v>505</v>
      </c>
      <c r="U483" t="s">
        <v>26</v>
      </c>
      <c r="W483" s="3">
        <v>34679612</v>
      </c>
    </row>
    <row r="484" spans="1:23">
      <c r="A484" t="s">
        <v>43</v>
      </c>
      <c r="B484" t="s">
        <v>44</v>
      </c>
      <c r="C484" s="2">
        <v>45864</v>
      </c>
      <c r="D484" t="s">
        <v>505</v>
      </c>
      <c r="E484" t="s">
        <v>513</v>
      </c>
      <c r="F484" t="s">
        <v>528</v>
      </c>
      <c r="G484" t="s">
        <v>528</v>
      </c>
      <c r="J484" s="2"/>
      <c r="M484" s="2"/>
      <c r="N484">
        <v>29780</v>
      </c>
      <c r="O484">
        <v>171235</v>
      </c>
      <c r="Q484">
        <v>0</v>
      </c>
      <c r="S484">
        <v>171235</v>
      </c>
      <c r="T484" t="s">
        <v>125</v>
      </c>
      <c r="U484" t="s">
        <v>26</v>
      </c>
      <c r="W484" s="3">
        <v>59504430</v>
      </c>
    </row>
    <row r="485" spans="1:23">
      <c r="A485" t="s">
        <v>29</v>
      </c>
      <c r="B485" t="s">
        <v>30</v>
      </c>
      <c r="C485" s="2">
        <v>45864</v>
      </c>
      <c r="D485" t="s">
        <v>505</v>
      </c>
      <c r="E485" t="s">
        <v>513</v>
      </c>
      <c r="F485" t="s">
        <v>529</v>
      </c>
      <c r="G485" t="s">
        <v>529</v>
      </c>
      <c r="J485" s="2"/>
      <c r="M485" s="2"/>
      <c r="N485">
        <v>2249</v>
      </c>
      <c r="O485">
        <v>211113.63</v>
      </c>
      <c r="Q485">
        <v>0</v>
      </c>
      <c r="S485">
        <v>211113.63</v>
      </c>
      <c r="T485" t="s">
        <v>125</v>
      </c>
      <c r="U485" t="s">
        <v>26</v>
      </c>
      <c r="W485" s="3">
        <v>20928094</v>
      </c>
    </row>
    <row r="486" spans="1:23">
      <c r="A486" t="s">
        <v>60</v>
      </c>
      <c r="B486" t="s">
        <v>61</v>
      </c>
      <c r="C486" s="2">
        <v>45864</v>
      </c>
      <c r="D486" t="s">
        <v>505</v>
      </c>
      <c r="E486" t="s">
        <v>513</v>
      </c>
      <c r="F486" t="s">
        <v>530</v>
      </c>
      <c r="G486" t="s">
        <v>530</v>
      </c>
      <c r="J486" s="2"/>
      <c r="M486" s="2"/>
      <c r="N486">
        <v>100</v>
      </c>
      <c r="O486">
        <v>9850</v>
      </c>
      <c r="Q486">
        <v>0</v>
      </c>
      <c r="S486">
        <v>9850</v>
      </c>
      <c r="T486" t="s">
        <v>125</v>
      </c>
      <c r="U486" t="s">
        <v>26</v>
      </c>
      <c r="W486" s="3">
        <v>10612750</v>
      </c>
    </row>
    <row r="487" spans="1:23">
      <c r="A487" t="s">
        <v>29</v>
      </c>
      <c r="B487" t="s">
        <v>30</v>
      </c>
      <c r="C487" s="2">
        <v>45864</v>
      </c>
      <c r="D487" t="s">
        <v>505</v>
      </c>
      <c r="E487" t="s">
        <v>506</v>
      </c>
      <c r="F487" t="s">
        <v>531</v>
      </c>
      <c r="G487" t="s">
        <v>531</v>
      </c>
      <c r="J487" s="2"/>
      <c r="M487" s="2"/>
      <c r="N487">
        <v>8401</v>
      </c>
      <c r="O487">
        <v>159450.98000000001</v>
      </c>
      <c r="Q487">
        <v>0</v>
      </c>
      <c r="S487">
        <v>159450.98000000001</v>
      </c>
      <c r="T487" t="s">
        <v>505</v>
      </c>
      <c r="U487" t="s">
        <v>26</v>
      </c>
      <c r="W487" s="3">
        <v>12592921</v>
      </c>
    </row>
    <row r="488" spans="1:23">
      <c r="A488" t="s">
        <v>29</v>
      </c>
      <c r="B488" t="s">
        <v>30</v>
      </c>
      <c r="C488" s="2">
        <v>45864</v>
      </c>
      <c r="D488" t="s">
        <v>505</v>
      </c>
      <c r="E488" t="s">
        <v>506</v>
      </c>
      <c r="F488" t="s">
        <v>532</v>
      </c>
      <c r="G488" t="s">
        <v>532</v>
      </c>
      <c r="J488" s="2"/>
      <c r="M488" s="2"/>
      <c r="N488">
        <v>2</v>
      </c>
      <c r="O488">
        <v>7.48</v>
      </c>
      <c r="Q488">
        <v>0</v>
      </c>
      <c r="S488">
        <v>7.48</v>
      </c>
      <c r="T488" t="s">
        <v>505</v>
      </c>
      <c r="U488" t="s">
        <v>26</v>
      </c>
      <c r="W488" s="3">
        <v>37352096</v>
      </c>
    </row>
    <row r="489" spans="1:23">
      <c r="A489" t="s">
        <v>29</v>
      </c>
      <c r="B489" t="s">
        <v>30</v>
      </c>
      <c r="C489" s="2">
        <v>45864</v>
      </c>
      <c r="D489" t="s">
        <v>505</v>
      </c>
      <c r="E489" t="s">
        <v>513</v>
      </c>
      <c r="F489" t="s">
        <v>533</v>
      </c>
      <c r="G489" t="s">
        <v>533</v>
      </c>
      <c r="J489" s="2"/>
      <c r="M489" s="2"/>
      <c r="N489">
        <v>1719</v>
      </c>
      <c r="O489">
        <v>179291.7</v>
      </c>
      <c r="Q489">
        <v>0</v>
      </c>
      <c r="S489">
        <v>179291.7</v>
      </c>
      <c r="T489" t="s">
        <v>125</v>
      </c>
      <c r="U489" t="s">
        <v>26</v>
      </c>
      <c r="W489" s="3">
        <v>34290474</v>
      </c>
    </row>
    <row r="490" spans="1:23">
      <c r="A490" t="s">
        <v>43</v>
      </c>
      <c r="B490" t="s">
        <v>44</v>
      </c>
      <c r="C490" s="2">
        <v>45864</v>
      </c>
      <c r="D490" t="s">
        <v>505</v>
      </c>
      <c r="E490" t="s">
        <v>513</v>
      </c>
      <c r="F490" t="s">
        <v>533</v>
      </c>
      <c r="G490" t="s">
        <v>533</v>
      </c>
      <c r="J490" s="2"/>
      <c r="M490" s="2"/>
      <c r="N490">
        <v>3000</v>
      </c>
      <c r="O490">
        <v>312900</v>
      </c>
      <c r="Q490">
        <v>0</v>
      </c>
      <c r="S490">
        <v>312900</v>
      </c>
      <c r="T490" t="s">
        <v>125</v>
      </c>
      <c r="U490" t="s">
        <v>26</v>
      </c>
      <c r="W490" s="3">
        <v>78827033</v>
      </c>
    </row>
    <row r="491" spans="1:23">
      <c r="A491" t="s">
        <v>29</v>
      </c>
      <c r="B491" t="s">
        <v>30</v>
      </c>
      <c r="C491" s="2">
        <v>45864</v>
      </c>
      <c r="D491" t="s">
        <v>505</v>
      </c>
      <c r="E491" t="s">
        <v>513</v>
      </c>
      <c r="F491" t="s">
        <v>534</v>
      </c>
      <c r="G491" t="s">
        <v>534</v>
      </c>
      <c r="J491" s="2"/>
      <c r="M491" s="2"/>
      <c r="N491">
        <v>2580</v>
      </c>
      <c r="O491">
        <v>225414.6</v>
      </c>
      <c r="Q491">
        <v>0</v>
      </c>
      <c r="S491">
        <v>225414.6</v>
      </c>
      <c r="T491" t="s">
        <v>125</v>
      </c>
      <c r="U491" t="s">
        <v>26</v>
      </c>
      <c r="W491" s="3">
        <v>31503330</v>
      </c>
    </row>
    <row r="492" spans="1:23">
      <c r="A492" t="s">
        <v>62</v>
      </c>
      <c r="B492" t="s">
        <v>63</v>
      </c>
      <c r="C492" s="2">
        <v>45864</v>
      </c>
      <c r="D492" t="s">
        <v>505</v>
      </c>
      <c r="E492" t="s">
        <v>506</v>
      </c>
      <c r="F492" t="s">
        <v>70</v>
      </c>
      <c r="G492" t="s">
        <v>70</v>
      </c>
      <c r="J492" s="2"/>
      <c r="M492" s="2"/>
      <c r="N492">
        <v>7106</v>
      </c>
      <c r="O492">
        <v>118812.32</v>
      </c>
      <c r="Q492">
        <v>0</v>
      </c>
      <c r="S492">
        <v>118812.32</v>
      </c>
      <c r="T492" t="s">
        <v>505</v>
      </c>
      <c r="U492" t="s">
        <v>26</v>
      </c>
      <c r="W492" s="3">
        <v>77518469</v>
      </c>
    </row>
    <row r="493" spans="1:23">
      <c r="A493" t="s">
        <v>29</v>
      </c>
      <c r="B493" t="s">
        <v>30</v>
      </c>
      <c r="C493" s="2">
        <v>45864</v>
      </c>
      <c r="D493" t="s">
        <v>505</v>
      </c>
      <c r="E493" t="s">
        <v>506</v>
      </c>
      <c r="F493" t="s">
        <v>535</v>
      </c>
      <c r="G493" t="s">
        <v>535</v>
      </c>
      <c r="J493" s="2"/>
      <c r="M493" s="2"/>
      <c r="N493">
        <v>7400</v>
      </c>
      <c r="O493">
        <v>379620</v>
      </c>
      <c r="Q493">
        <v>0</v>
      </c>
      <c r="S493">
        <v>379620</v>
      </c>
      <c r="T493" t="s">
        <v>505</v>
      </c>
      <c r="U493" t="s">
        <v>26</v>
      </c>
      <c r="W493" s="3">
        <v>30851055</v>
      </c>
    </row>
    <row r="494" spans="1:23">
      <c r="A494" t="s">
        <v>29</v>
      </c>
      <c r="B494" t="s">
        <v>30</v>
      </c>
      <c r="C494" s="2">
        <v>45864</v>
      </c>
      <c r="D494" t="s">
        <v>505</v>
      </c>
      <c r="E494" t="s">
        <v>510</v>
      </c>
      <c r="F494" t="s">
        <v>536</v>
      </c>
      <c r="G494" t="s">
        <v>536</v>
      </c>
      <c r="J494" s="2"/>
      <c r="M494" s="2"/>
      <c r="N494">
        <v>-1400</v>
      </c>
      <c r="O494">
        <v>-6972.86</v>
      </c>
      <c r="S494">
        <v>-6972.86</v>
      </c>
      <c r="T494" t="s">
        <v>505</v>
      </c>
      <c r="U494" t="s">
        <v>26</v>
      </c>
      <c r="W494" s="3">
        <v>3117642</v>
      </c>
    </row>
    <row r="495" spans="1:23">
      <c r="A495" t="s">
        <v>29</v>
      </c>
      <c r="B495" t="s">
        <v>30</v>
      </c>
      <c r="C495" s="2">
        <v>45864</v>
      </c>
      <c r="D495" t="s">
        <v>505</v>
      </c>
      <c r="E495" t="s">
        <v>510</v>
      </c>
      <c r="F495" t="s">
        <v>537</v>
      </c>
      <c r="G495" t="s">
        <v>537</v>
      </c>
      <c r="J495" s="2"/>
      <c r="M495" s="2"/>
      <c r="N495">
        <v>-6000</v>
      </c>
      <c r="O495">
        <v>-27506.89</v>
      </c>
      <c r="S495">
        <v>-27506.89</v>
      </c>
      <c r="T495" t="s">
        <v>505</v>
      </c>
      <c r="U495" t="s">
        <v>26</v>
      </c>
      <c r="W495" s="3">
        <v>37454995</v>
      </c>
    </row>
    <row r="496" spans="1:23">
      <c r="A496" t="s">
        <v>29</v>
      </c>
      <c r="B496" t="s">
        <v>30</v>
      </c>
      <c r="C496" s="2">
        <v>45864</v>
      </c>
      <c r="D496" t="s">
        <v>505</v>
      </c>
      <c r="E496" t="s">
        <v>513</v>
      </c>
      <c r="F496" t="s">
        <v>538</v>
      </c>
      <c r="G496" t="s">
        <v>538</v>
      </c>
      <c r="J496" s="2"/>
      <c r="M496" s="2"/>
      <c r="N496">
        <v>2438</v>
      </c>
      <c r="O496">
        <v>215397.3</v>
      </c>
      <c r="P496" s="4"/>
      <c r="Q496">
        <v>0</v>
      </c>
      <c r="S496">
        <v>215397.3</v>
      </c>
      <c r="T496" t="s">
        <v>125</v>
      </c>
      <c r="U496" t="s">
        <v>26</v>
      </c>
      <c r="W496" s="3">
        <v>10695964</v>
      </c>
    </row>
    <row r="497" spans="1:23">
      <c r="A497" t="s">
        <v>29</v>
      </c>
      <c r="B497" t="s">
        <v>30</v>
      </c>
      <c r="C497" s="2">
        <v>45864</v>
      </c>
      <c r="D497" t="s">
        <v>505</v>
      </c>
      <c r="E497" t="s">
        <v>506</v>
      </c>
      <c r="F497" t="s">
        <v>539</v>
      </c>
      <c r="G497" t="s">
        <v>539</v>
      </c>
      <c r="J497" s="2"/>
      <c r="M497" s="2"/>
      <c r="N497">
        <v>14200</v>
      </c>
      <c r="O497">
        <v>189570</v>
      </c>
      <c r="Q497">
        <v>0</v>
      </c>
      <c r="S497">
        <v>189570</v>
      </c>
      <c r="T497" t="s">
        <v>505</v>
      </c>
      <c r="U497" t="s">
        <v>26</v>
      </c>
      <c r="W497" s="3">
        <v>16853550</v>
      </c>
    </row>
    <row r="498" spans="1:23">
      <c r="A498" t="s">
        <v>29</v>
      </c>
      <c r="B498" t="s">
        <v>30</v>
      </c>
      <c r="C498" s="2">
        <v>45864</v>
      </c>
      <c r="D498" t="s">
        <v>505</v>
      </c>
      <c r="E498" t="s">
        <v>506</v>
      </c>
      <c r="F498" t="s">
        <v>540</v>
      </c>
      <c r="G498" t="s">
        <v>540</v>
      </c>
      <c r="J498" s="2"/>
      <c r="M498" s="2"/>
      <c r="N498">
        <v>9900</v>
      </c>
      <c r="O498">
        <v>178101</v>
      </c>
      <c r="Q498">
        <v>0</v>
      </c>
      <c r="S498">
        <v>178101</v>
      </c>
      <c r="T498" t="s">
        <v>505</v>
      </c>
      <c r="U498" t="s">
        <v>26</v>
      </c>
      <c r="W498" s="3">
        <v>18354103</v>
      </c>
    </row>
    <row r="499" spans="1:23">
      <c r="A499" t="s">
        <v>29</v>
      </c>
      <c r="B499" t="s">
        <v>30</v>
      </c>
      <c r="C499" s="2">
        <v>45864</v>
      </c>
      <c r="D499" t="s">
        <v>505</v>
      </c>
      <c r="E499" t="s">
        <v>510</v>
      </c>
      <c r="F499" t="s">
        <v>541</v>
      </c>
      <c r="G499" t="s">
        <v>541</v>
      </c>
      <c r="J499" s="2"/>
      <c r="M499" s="2"/>
      <c r="N499">
        <v>-9900</v>
      </c>
      <c r="O499">
        <v>-2148.0500000000002</v>
      </c>
      <c r="S499">
        <v>-2148.0500000000002</v>
      </c>
      <c r="T499" t="s">
        <v>505</v>
      </c>
      <c r="U499" t="s">
        <v>26</v>
      </c>
      <c r="W499" s="3">
        <v>2628421</v>
      </c>
    </row>
    <row r="500" spans="1:23">
      <c r="A500" t="s">
        <v>29</v>
      </c>
      <c r="B500" t="s">
        <v>30</v>
      </c>
      <c r="C500" s="2">
        <v>45864</v>
      </c>
      <c r="D500" t="s">
        <v>505</v>
      </c>
      <c r="E500" t="s">
        <v>506</v>
      </c>
      <c r="F500" t="s">
        <v>542</v>
      </c>
      <c r="G500" t="s">
        <v>542</v>
      </c>
      <c r="J500" s="2"/>
      <c r="M500" s="2"/>
      <c r="N500">
        <v>5500</v>
      </c>
      <c r="O500">
        <v>306350</v>
      </c>
      <c r="Q500">
        <v>0</v>
      </c>
      <c r="S500">
        <v>306350</v>
      </c>
      <c r="T500" t="s">
        <v>505</v>
      </c>
      <c r="U500" t="s">
        <v>26</v>
      </c>
      <c r="W500" s="3">
        <v>10904495</v>
      </c>
    </row>
    <row r="501" spans="1:23">
      <c r="A501" t="s">
        <v>29</v>
      </c>
      <c r="B501" t="s">
        <v>30</v>
      </c>
      <c r="C501" s="2">
        <v>45864</v>
      </c>
      <c r="D501" t="s">
        <v>505</v>
      </c>
      <c r="E501" t="s">
        <v>510</v>
      </c>
      <c r="F501" t="s">
        <v>543</v>
      </c>
      <c r="G501" t="s">
        <v>543</v>
      </c>
      <c r="J501" s="2"/>
      <c r="M501" s="2"/>
      <c r="N501">
        <v>-5500</v>
      </c>
      <c r="O501">
        <v>-2259.65</v>
      </c>
      <c r="S501">
        <v>-2259.65</v>
      </c>
      <c r="T501" t="s">
        <v>505</v>
      </c>
      <c r="U501" t="s">
        <v>26</v>
      </c>
      <c r="W501" s="3">
        <v>34826996</v>
      </c>
    </row>
    <row r="502" spans="1:23">
      <c r="A502" t="s">
        <v>29</v>
      </c>
      <c r="B502" t="s">
        <v>30</v>
      </c>
      <c r="C502" s="2">
        <v>45864</v>
      </c>
      <c r="D502" t="s">
        <v>505</v>
      </c>
      <c r="E502" t="s">
        <v>506</v>
      </c>
      <c r="F502" t="s">
        <v>544</v>
      </c>
      <c r="G502" t="s">
        <v>544</v>
      </c>
      <c r="J502" s="2"/>
      <c r="M502" s="2"/>
      <c r="N502">
        <v>19840</v>
      </c>
      <c r="O502">
        <v>609088</v>
      </c>
      <c r="Q502">
        <v>0</v>
      </c>
      <c r="S502">
        <v>609088</v>
      </c>
      <c r="T502" t="s">
        <v>505</v>
      </c>
      <c r="U502" t="s">
        <v>26</v>
      </c>
      <c r="W502" s="3">
        <v>28044611</v>
      </c>
    </row>
    <row r="503" spans="1:23">
      <c r="A503" t="s">
        <v>62</v>
      </c>
      <c r="B503" t="s">
        <v>63</v>
      </c>
      <c r="C503" s="2">
        <v>45864</v>
      </c>
      <c r="D503" t="s">
        <v>545</v>
      </c>
      <c r="E503" t="s">
        <v>546</v>
      </c>
      <c r="G503" t="s">
        <v>547</v>
      </c>
      <c r="J503" s="2"/>
      <c r="M503" s="2">
        <v>45866</v>
      </c>
      <c r="N503">
        <v>1</v>
      </c>
      <c r="O503">
        <v>-0.4</v>
      </c>
      <c r="S503">
        <v>-0.4</v>
      </c>
      <c r="U503" t="s">
        <v>26</v>
      </c>
      <c r="W503" s="3">
        <v>46970084</v>
      </c>
    </row>
    <row r="504" spans="1:23">
      <c r="A504" t="s">
        <v>62</v>
      </c>
      <c r="B504" t="s">
        <v>63</v>
      </c>
      <c r="C504" s="2">
        <v>45864</v>
      </c>
      <c r="D504" t="s">
        <v>545</v>
      </c>
      <c r="E504" t="s">
        <v>546</v>
      </c>
      <c r="G504" t="s">
        <v>548</v>
      </c>
      <c r="J504" s="2"/>
      <c r="M504" s="2">
        <v>2958465</v>
      </c>
      <c r="N504">
        <v>1</v>
      </c>
      <c r="O504">
        <v>9942.9699999999993</v>
      </c>
      <c r="S504">
        <v>9942.9699999999993</v>
      </c>
      <c r="U504" t="s">
        <v>26</v>
      </c>
      <c r="W504" s="3">
        <v>48813178</v>
      </c>
    </row>
    <row r="505" spans="1:23">
      <c r="A505" t="s">
        <v>62</v>
      </c>
      <c r="B505" t="s">
        <v>63</v>
      </c>
      <c r="C505" s="2">
        <v>45864</v>
      </c>
      <c r="D505" t="s">
        <v>545</v>
      </c>
      <c r="E505" t="s">
        <v>546</v>
      </c>
      <c r="G505" t="s">
        <v>549</v>
      </c>
      <c r="J505" s="2"/>
      <c r="M505" s="2">
        <v>45868</v>
      </c>
      <c r="N505">
        <v>1</v>
      </c>
      <c r="O505">
        <v>714.39</v>
      </c>
      <c r="S505">
        <v>714.39</v>
      </c>
      <c r="U505" t="s">
        <v>26</v>
      </c>
      <c r="W505" s="3">
        <v>48781460</v>
      </c>
    </row>
    <row r="506" spans="1:23">
      <c r="A506" t="s">
        <v>62</v>
      </c>
      <c r="B506" t="s">
        <v>63</v>
      </c>
      <c r="C506" s="2">
        <v>45864</v>
      </c>
      <c r="D506" t="s">
        <v>545</v>
      </c>
      <c r="E506" t="s">
        <v>546</v>
      </c>
      <c r="G506" t="s">
        <v>549</v>
      </c>
      <c r="J506" s="2"/>
      <c r="M506" s="2">
        <v>45960</v>
      </c>
      <c r="N506">
        <v>1</v>
      </c>
      <c r="O506">
        <v>714.39</v>
      </c>
      <c r="S506">
        <v>714.39</v>
      </c>
      <c r="U506" t="s">
        <v>26</v>
      </c>
      <c r="W506" s="3">
        <v>60802083</v>
      </c>
    </row>
    <row r="507" spans="1:23">
      <c r="A507" t="s">
        <v>29</v>
      </c>
      <c r="B507" t="s">
        <v>30</v>
      </c>
      <c r="C507" s="2">
        <v>45864</v>
      </c>
      <c r="D507" t="s">
        <v>545</v>
      </c>
      <c r="E507" t="s">
        <v>546</v>
      </c>
      <c r="G507" t="s">
        <v>550</v>
      </c>
      <c r="J507" s="2"/>
      <c r="M507" s="2">
        <v>2958465</v>
      </c>
      <c r="N507">
        <v>1</v>
      </c>
      <c r="O507">
        <v>3495.92</v>
      </c>
      <c r="S507">
        <v>3495.92</v>
      </c>
      <c r="U507" t="s">
        <v>26</v>
      </c>
      <c r="W507" s="3">
        <v>19252510</v>
      </c>
    </row>
    <row r="508" spans="1:23">
      <c r="A508" t="s">
        <v>29</v>
      </c>
      <c r="B508" t="s">
        <v>30</v>
      </c>
      <c r="C508" s="2">
        <v>45864</v>
      </c>
      <c r="D508" t="s">
        <v>545</v>
      </c>
      <c r="E508" t="s">
        <v>546</v>
      </c>
      <c r="G508" t="s">
        <v>551</v>
      </c>
      <c r="J508" s="2"/>
      <c r="M508" s="2">
        <v>45989</v>
      </c>
      <c r="N508">
        <v>1</v>
      </c>
      <c r="O508">
        <v>5194.83</v>
      </c>
      <c r="S508">
        <v>5194.83</v>
      </c>
      <c r="U508" t="s">
        <v>26</v>
      </c>
      <c r="W508" s="3">
        <v>44042334</v>
      </c>
    </row>
    <row r="509" spans="1:23">
      <c r="A509" t="s">
        <v>29</v>
      </c>
      <c r="B509" t="s">
        <v>30</v>
      </c>
      <c r="C509" s="2">
        <v>45864</v>
      </c>
      <c r="D509" t="s">
        <v>545</v>
      </c>
      <c r="E509" t="s">
        <v>546</v>
      </c>
      <c r="G509" t="s">
        <v>552</v>
      </c>
      <c r="J509" s="2"/>
      <c r="M509" s="2">
        <v>45869</v>
      </c>
      <c r="N509">
        <v>1</v>
      </c>
      <c r="O509">
        <v>2456.06</v>
      </c>
      <c r="S509">
        <v>2456.06</v>
      </c>
      <c r="U509" t="s">
        <v>26</v>
      </c>
      <c r="W509" s="3">
        <v>43526319</v>
      </c>
    </row>
    <row r="510" spans="1:23">
      <c r="A510" t="s">
        <v>29</v>
      </c>
      <c r="B510" t="s">
        <v>30</v>
      </c>
      <c r="C510" s="2">
        <v>45864</v>
      </c>
      <c r="D510" t="s">
        <v>545</v>
      </c>
      <c r="E510" t="s">
        <v>546</v>
      </c>
      <c r="G510" t="s">
        <v>553</v>
      </c>
      <c r="J510" s="2"/>
      <c r="M510" s="2">
        <v>2958465</v>
      </c>
      <c r="N510">
        <v>1</v>
      </c>
      <c r="O510">
        <v>8337.1200000000008</v>
      </c>
      <c r="S510">
        <v>8337.1200000000008</v>
      </c>
      <c r="U510" t="s">
        <v>26</v>
      </c>
      <c r="W510" s="3">
        <v>3484070</v>
      </c>
    </row>
    <row r="511" spans="1:23">
      <c r="A511" t="s">
        <v>29</v>
      </c>
      <c r="B511" t="s">
        <v>30</v>
      </c>
      <c r="C511" s="2">
        <v>45864</v>
      </c>
      <c r="D511" t="s">
        <v>545</v>
      </c>
      <c r="E511" t="s">
        <v>546</v>
      </c>
      <c r="G511" t="s">
        <v>554</v>
      </c>
      <c r="J511" s="2"/>
      <c r="M511" s="2">
        <v>46142</v>
      </c>
      <c r="N511">
        <v>1</v>
      </c>
      <c r="O511">
        <v>1023.38</v>
      </c>
      <c r="S511">
        <v>1023.38</v>
      </c>
      <c r="U511" t="s">
        <v>26</v>
      </c>
      <c r="W511" s="3">
        <v>32410349</v>
      </c>
    </row>
    <row r="512" spans="1:23">
      <c r="A512" t="s">
        <v>29</v>
      </c>
      <c r="B512" t="s">
        <v>30</v>
      </c>
      <c r="C512" s="2">
        <v>45864</v>
      </c>
      <c r="D512" t="s">
        <v>545</v>
      </c>
      <c r="E512" t="s">
        <v>546</v>
      </c>
      <c r="G512" t="s">
        <v>554</v>
      </c>
      <c r="J512" s="2"/>
      <c r="M512" s="2">
        <v>2958465</v>
      </c>
      <c r="N512">
        <v>1</v>
      </c>
      <c r="O512">
        <v>5675.1</v>
      </c>
      <c r="S512">
        <v>5675.1</v>
      </c>
      <c r="U512" t="s">
        <v>26</v>
      </c>
      <c r="W512" s="3">
        <v>7716568</v>
      </c>
    </row>
    <row r="513" spans="1:23">
      <c r="A513" t="s">
        <v>29</v>
      </c>
      <c r="B513" t="s">
        <v>30</v>
      </c>
      <c r="C513" s="2">
        <v>45864</v>
      </c>
      <c r="D513" t="s">
        <v>545</v>
      </c>
      <c r="E513" t="s">
        <v>546</v>
      </c>
      <c r="G513" t="s">
        <v>555</v>
      </c>
      <c r="J513" s="2"/>
      <c r="M513" s="2">
        <v>45898</v>
      </c>
      <c r="N513">
        <v>1</v>
      </c>
      <c r="O513">
        <v>1670.24</v>
      </c>
      <c r="S513">
        <v>1670.24</v>
      </c>
      <c r="U513" t="s">
        <v>26</v>
      </c>
      <c r="W513" s="3">
        <v>20926966</v>
      </c>
    </row>
    <row r="514" spans="1:23">
      <c r="A514" t="s">
        <v>29</v>
      </c>
      <c r="B514" t="s">
        <v>30</v>
      </c>
      <c r="C514" s="2">
        <v>45864</v>
      </c>
      <c r="D514" t="s">
        <v>545</v>
      </c>
      <c r="E514" t="s">
        <v>546</v>
      </c>
      <c r="G514" t="s">
        <v>555</v>
      </c>
      <c r="J514" s="2"/>
      <c r="M514" s="2">
        <v>46080</v>
      </c>
      <c r="N514">
        <v>1</v>
      </c>
      <c r="O514">
        <v>2749.41</v>
      </c>
      <c r="S514">
        <v>2749.41</v>
      </c>
      <c r="U514" t="s">
        <v>26</v>
      </c>
      <c r="W514" s="3">
        <v>35584818</v>
      </c>
    </row>
    <row r="515" spans="1:23">
      <c r="A515" t="s">
        <v>29</v>
      </c>
      <c r="B515" t="s">
        <v>30</v>
      </c>
      <c r="C515" s="2">
        <v>45864</v>
      </c>
      <c r="D515" t="s">
        <v>545</v>
      </c>
      <c r="E515" t="s">
        <v>546</v>
      </c>
      <c r="G515" t="s">
        <v>556</v>
      </c>
      <c r="J515" s="2"/>
      <c r="M515" s="2">
        <v>45867</v>
      </c>
      <c r="N515">
        <v>1</v>
      </c>
      <c r="O515">
        <v>3326.4</v>
      </c>
      <c r="S515">
        <v>3326.4</v>
      </c>
      <c r="U515" t="s">
        <v>26</v>
      </c>
      <c r="W515" s="3">
        <v>22236385</v>
      </c>
    </row>
    <row r="516" spans="1:23">
      <c r="A516" t="s">
        <v>62</v>
      </c>
      <c r="B516" t="s">
        <v>63</v>
      </c>
      <c r="C516" s="2">
        <v>45864</v>
      </c>
      <c r="D516" t="s">
        <v>545</v>
      </c>
      <c r="E516" t="s">
        <v>546</v>
      </c>
      <c r="G516" t="s">
        <v>557</v>
      </c>
      <c r="J516" s="2"/>
      <c r="M516" s="2">
        <v>45866</v>
      </c>
      <c r="N516">
        <v>1</v>
      </c>
      <c r="O516">
        <v>-1.22</v>
      </c>
      <c r="S516">
        <v>-1.22</v>
      </c>
      <c r="U516" t="s">
        <v>26</v>
      </c>
      <c r="W516" s="3">
        <v>56677471</v>
      </c>
    </row>
    <row r="517" spans="1:23">
      <c r="A517" t="s">
        <v>66</v>
      </c>
      <c r="B517" t="s">
        <v>67</v>
      </c>
      <c r="C517" s="2">
        <v>45864</v>
      </c>
      <c r="D517" t="s">
        <v>558</v>
      </c>
      <c r="E517" t="s">
        <v>559</v>
      </c>
      <c r="G517" t="s">
        <v>560</v>
      </c>
      <c r="H517" t="s">
        <v>561</v>
      </c>
      <c r="J517" s="2"/>
      <c r="M517" s="2"/>
      <c r="N517">
        <v>526.72747849999996</v>
      </c>
      <c r="O517">
        <v>231411.08</v>
      </c>
      <c r="Q517">
        <v>1364.18</v>
      </c>
      <c r="R517">
        <v>0</v>
      </c>
      <c r="S517">
        <v>230046.9</v>
      </c>
      <c r="T517" t="s">
        <v>562</v>
      </c>
      <c r="U517" t="s">
        <v>26</v>
      </c>
      <c r="W517" s="3">
        <v>12599115</v>
      </c>
    </row>
    <row r="518" spans="1:23">
      <c r="A518" t="s">
        <v>51</v>
      </c>
      <c r="B518" t="s">
        <v>52</v>
      </c>
      <c r="C518" s="2">
        <v>45864</v>
      </c>
      <c r="D518" t="s">
        <v>558</v>
      </c>
      <c r="E518" t="s">
        <v>559</v>
      </c>
      <c r="G518" t="s">
        <v>560</v>
      </c>
      <c r="H518" t="s">
        <v>561</v>
      </c>
      <c r="J518" s="2"/>
      <c r="M518" s="2"/>
      <c r="N518">
        <v>725.87780080000005</v>
      </c>
      <c r="O518">
        <v>319149.01</v>
      </c>
      <c r="Q518">
        <v>1871.13</v>
      </c>
      <c r="R518">
        <v>0</v>
      </c>
      <c r="S518">
        <v>317277.88</v>
      </c>
      <c r="T518" t="s">
        <v>562</v>
      </c>
      <c r="U518" t="s">
        <v>26</v>
      </c>
      <c r="W518" s="3">
        <v>24526974</v>
      </c>
    </row>
    <row r="519" spans="1:23">
      <c r="A519" t="s">
        <v>66</v>
      </c>
      <c r="B519" t="s">
        <v>67</v>
      </c>
      <c r="C519" s="2">
        <v>45864</v>
      </c>
      <c r="D519" t="s">
        <v>558</v>
      </c>
      <c r="E519" t="s">
        <v>559</v>
      </c>
      <c r="G519" t="s">
        <v>563</v>
      </c>
      <c r="H519" t="s">
        <v>564</v>
      </c>
      <c r="J519" s="2"/>
      <c r="M519" s="2"/>
      <c r="N519">
        <v>610.18819598000005</v>
      </c>
      <c r="O519">
        <v>272787.37</v>
      </c>
      <c r="P519" s="4"/>
      <c r="Q519">
        <v>1883.34</v>
      </c>
      <c r="R519">
        <v>0</v>
      </c>
      <c r="S519">
        <v>270904.03000000003</v>
      </c>
      <c r="T519" t="s">
        <v>562</v>
      </c>
      <c r="U519" t="s">
        <v>26</v>
      </c>
      <c r="W519" s="3">
        <v>36595745</v>
      </c>
    </row>
    <row r="520" spans="1:23">
      <c r="A520" t="s">
        <v>31</v>
      </c>
      <c r="B520" t="s">
        <v>32</v>
      </c>
      <c r="C520" s="2">
        <v>45864</v>
      </c>
      <c r="D520" t="s">
        <v>558</v>
      </c>
      <c r="E520" t="s">
        <v>559</v>
      </c>
      <c r="G520" t="s">
        <v>563</v>
      </c>
      <c r="H520" t="s">
        <v>564</v>
      </c>
      <c r="J520" s="2"/>
      <c r="M520" s="2"/>
      <c r="N520">
        <v>623.35345373999996</v>
      </c>
      <c r="O520">
        <v>278666.8</v>
      </c>
      <c r="Q520">
        <v>2338.36</v>
      </c>
      <c r="R520">
        <v>0</v>
      </c>
      <c r="S520">
        <v>276328.44</v>
      </c>
      <c r="T520" t="s">
        <v>562</v>
      </c>
      <c r="U520" t="s">
        <v>26</v>
      </c>
      <c r="W520" s="3">
        <v>82925262</v>
      </c>
    </row>
    <row r="521" spans="1:23">
      <c r="A521" t="s">
        <v>51</v>
      </c>
      <c r="B521" t="s">
        <v>52</v>
      </c>
      <c r="C521" s="2">
        <v>45864</v>
      </c>
      <c r="D521" t="s">
        <v>558</v>
      </c>
      <c r="E521" t="s">
        <v>559</v>
      </c>
      <c r="G521" t="s">
        <v>563</v>
      </c>
      <c r="H521" t="s">
        <v>564</v>
      </c>
      <c r="J521" s="2"/>
      <c r="M521" s="2"/>
      <c r="N521">
        <v>773.43222414000002</v>
      </c>
      <c r="O521">
        <v>345758.7</v>
      </c>
      <c r="Q521">
        <v>2324.29</v>
      </c>
      <c r="R521">
        <v>0</v>
      </c>
      <c r="S521">
        <v>343434.41</v>
      </c>
      <c r="T521" t="s">
        <v>562</v>
      </c>
      <c r="U521" t="s">
        <v>26</v>
      </c>
      <c r="W521" s="3">
        <v>24493894</v>
      </c>
    </row>
    <row r="522" spans="1:23">
      <c r="A522" t="s">
        <v>43</v>
      </c>
      <c r="B522" t="s">
        <v>44</v>
      </c>
      <c r="C522" s="2">
        <v>45864</v>
      </c>
      <c r="D522" t="s">
        <v>558</v>
      </c>
      <c r="E522" t="s">
        <v>559</v>
      </c>
      <c r="G522" t="s">
        <v>565</v>
      </c>
      <c r="H522" t="s">
        <v>566</v>
      </c>
      <c r="J522" s="2"/>
      <c r="M522" s="2"/>
      <c r="N522">
        <v>84866.061360699998</v>
      </c>
      <c r="O522">
        <v>262007.01</v>
      </c>
      <c r="Q522">
        <v>1801.05</v>
      </c>
      <c r="R522">
        <v>0</v>
      </c>
      <c r="S522">
        <v>260205.96</v>
      </c>
      <c r="T522" t="s">
        <v>76</v>
      </c>
      <c r="U522" t="s">
        <v>26</v>
      </c>
      <c r="W522" s="3">
        <v>60527154</v>
      </c>
    </row>
    <row r="523" spans="1:23">
      <c r="A523" t="s">
        <v>62</v>
      </c>
      <c r="B523" t="s">
        <v>63</v>
      </c>
      <c r="C523" s="2">
        <v>45864</v>
      </c>
      <c r="D523" t="s">
        <v>558</v>
      </c>
      <c r="E523" t="s">
        <v>559</v>
      </c>
      <c r="G523" t="s">
        <v>567</v>
      </c>
      <c r="H523" t="s">
        <v>568</v>
      </c>
      <c r="J523" s="2"/>
      <c r="M523" s="2"/>
      <c r="N523">
        <v>64148.924426029997</v>
      </c>
      <c r="O523">
        <v>218896.47</v>
      </c>
      <c r="Q523">
        <v>345.97</v>
      </c>
      <c r="R523">
        <v>0</v>
      </c>
      <c r="S523">
        <v>218550.5</v>
      </c>
      <c r="T523" t="s">
        <v>562</v>
      </c>
      <c r="U523" t="s">
        <v>26</v>
      </c>
      <c r="W523" s="3">
        <v>53369234</v>
      </c>
    </row>
    <row r="524" spans="1:23">
      <c r="A524" t="s">
        <v>51</v>
      </c>
      <c r="B524" t="s">
        <v>52</v>
      </c>
      <c r="C524" s="2">
        <v>45864</v>
      </c>
      <c r="D524" t="s">
        <v>558</v>
      </c>
      <c r="E524" t="s">
        <v>559</v>
      </c>
      <c r="G524" t="s">
        <v>569</v>
      </c>
      <c r="H524" t="s">
        <v>570</v>
      </c>
      <c r="J524" s="2"/>
      <c r="M524" s="2"/>
      <c r="N524">
        <v>771.37216863000003</v>
      </c>
      <c r="O524">
        <v>227291.97</v>
      </c>
      <c r="Q524">
        <v>1496.46</v>
      </c>
      <c r="R524">
        <v>0</v>
      </c>
      <c r="S524">
        <v>225795.51</v>
      </c>
      <c r="T524" t="s">
        <v>76</v>
      </c>
      <c r="U524" t="s">
        <v>26</v>
      </c>
      <c r="W524" s="3">
        <v>4483821</v>
      </c>
    </row>
    <row r="525" spans="1:23">
      <c r="A525" t="s">
        <v>58</v>
      </c>
      <c r="B525" t="s">
        <v>59</v>
      </c>
      <c r="C525" s="2">
        <v>45864</v>
      </c>
      <c r="D525" t="s">
        <v>558</v>
      </c>
      <c r="E525" t="s">
        <v>559</v>
      </c>
      <c r="G525" t="s">
        <v>569</v>
      </c>
      <c r="H525" t="s">
        <v>570</v>
      </c>
      <c r="J525" s="2"/>
      <c r="M525" s="2"/>
      <c r="N525">
        <v>3036.77772856</v>
      </c>
      <c r="O525">
        <v>895333.71</v>
      </c>
      <c r="Q525">
        <v>6076.61</v>
      </c>
      <c r="R525">
        <v>0</v>
      </c>
      <c r="S525">
        <v>889257.1</v>
      </c>
      <c r="T525" t="s">
        <v>76</v>
      </c>
      <c r="U525" t="s">
        <v>26</v>
      </c>
      <c r="W525" s="3">
        <v>38489237</v>
      </c>
    </row>
    <row r="526" spans="1:23">
      <c r="A526" t="s">
        <v>60</v>
      </c>
      <c r="B526" t="s">
        <v>61</v>
      </c>
      <c r="C526" s="2">
        <v>45864</v>
      </c>
      <c r="D526" t="s">
        <v>571</v>
      </c>
      <c r="E526" t="s">
        <v>572</v>
      </c>
      <c r="F526" t="s">
        <v>573</v>
      </c>
      <c r="G526" t="s">
        <v>574</v>
      </c>
      <c r="H526" t="s">
        <v>575</v>
      </c>
      <c r="J526" s="2"/>
      <c r="M526" s="2"/>
      <c r="N526">
        <v>97131.054543890001</v>
      </c>
      <c r="O526">
        <v>252108.79999999999</v>
      </c>
      <c r="S526">
        <v>252108.79999999999</v>
      </c>
      <c r="T526" t="s">
        <v>76</v>
      </c>
      <c r="U526" t="s">
        <v>26</v>
      </c>
      <c r="V526" t="s">
        <v>576</v>
      </c>
      <c r="W526" s="3">
        <v>8319806</v>
      </c>
    </row>
    <row r="527" spans="1:23">
      <c r="A527" t="s">
        <v>53</v>
      </c>
      <c r="B527" t="s">
        <v>48</v>
      </c>
      <c r="C527" s="2">
        <v>45864</v>
      </c>
      <c r="D527" t="s">
        <v>558</v>
      </c>
      <c r="E527" t="s">
        <v>559</v>
      </c>
      <c r="G527" t="s">
        <v>577</v>
      </c>
      <c r="H527" t="s">
        <v>578</v>
      </c>
      <c r="J527" s="2"/>
      <c r="M527" s="2"/>
      <c r="N527">
        <v>50488.634483000002</v>
      </c>
      <c r="O527">
        <v>130822.42</v>
      </c>
      <c r="Q527">
        <v>2190.3200000000002</v>
      </c>
      <c r="R527">
        <v>0</v>
      </c>
      <c r="S527">
        <v>128632.1</v>
      </c>
      <c r="T527" t="s">
        <v>76</v>
      </c>
      <c r="U527" t="s">
        <v>26</v>
      </c>
      <c r="W527" s="3">
        <v>33876478</v>
      </c>
    </row>
    <row r="528" spans="1:23">
      <c r="A528" t="s">
        <v>43</v>
      </c>
      <c r="B528" t="s">
        <v>44</v>
      </c>
      <c r="C528" s="2">
        <v>45864</v>
      </c>
      <c r="D528" t="s">
        <v>558</v>
      </c>
      <c r="E528" t="s">
        <v>559</v>
      </c>
      <c r="G528" t="s">
        <v>577</v>
      </c>
      <c r="H528" t="s">
        <v>578</v>
      </c>
      <c r="J528" s="2"/>
      <c r="M528" s="2"/>
      <c r="N528">
        <v>101161.04964500001</v>
      </c>
      <c r="O528">
        <v>262121.05</v>
      </c>
      <c r="Q528">
        <v>1818.16</v>
      </c>
      <c r="R528">
        <v>0</v>
      </c>
      <c r="S528">
        <v>260302.89</v>
      </c>
      <c r="T528" t="s">
        <v>76</v>
      </c>
      <c r="U528" t="s">
        <v>26</v>
      </c>
      <c r="W528" s="3">
        <v>51315647</v>
      </c>
    </row>
    <row r="529" spans="1:23">
      <c r="A529" t="s">
        <v>58</v>
      </c>
      <c r="B529" t="s">
        <v>59</v>
      </c>
      <c r="C529" s="2">
        <v>45864</v>
      </c>
      <c r="D529" t="s">
        <v>558</v>
      </c>
      <c r="E529" t="s">
        <v>559</v>
      </c>
      <c r="G529" t="s">
        <v>577</v>
      </c>
      <c r="H529" t="s">
        <v>578</v>
      </c>
      <c r="J529" s="2"/>
      <c r="M529" s="2"/>
      <c r="N529">
        <v>224692.99604599999</v>
      </c>
      <c r="O529">
        <v>582575.17000000004</v>
      </c>
      <c r="Q529">
        <v>9802.7999999999993</v>
      </c>
      <c r="R529">
        <v>0</v>
      </c>
      <c r="S529">
        <v>572772.37</v>
      </c>
      <c r="T529" t="s">
        <v>76</v>
      </c>
      <c r="U529" t="s">
        <v>26</v>
      </c>
      <c r="W529" s="3">
        <v>29086203</v>
      </c>
    </row>
    <row r="530" spans="1:23">
      <c r="A530" t="s">
        <v>51</v>
      </c>
      <c r="B530" t="s">
        <v>52</v>
      </c>
      <c r="C530" s="2">
        <v>45864</v>
      </c>
      <c r="D530" t="s">
        <v>558</v>
      </c>
      <c r="E530" t="s">
        <v>559</v>
      </c>
      <c r="G530" t="s">
        <v>577</v>
      </c>
      <c r="H530" t="s">
        <v>578</v>
      </c>
      <c r="J530" s="2"/>
      <c r="M530" s="2"/>
      <c r="N530">
        <v>226634.354961</v>
      </c>
      <c r="O530">
        <v>587238.21</v>
      </c>
      <c r="Q530">
        <v>9831.94</v>
      </c>
      <c r="R530">
        <v>0</v>
      </c>
      <c r="S530">
        <v>577406.27</v>
      </c>
      <c r="T530" t="s">
        <v>76</v>
      </c>
      <c r="U530" t="s">
        <v>26</v>
      </c>
      <c r="W530" s="3">
        <v>11525869</v>
      </c>
    </row>
    <row r="531" spans="1:23">
      <c r="A531" t="s">
        <v>54</v>
      </c>
      <c r="B531" t="s">
        <v>55</v>
      </c>
      <c r="C531" s="2">
        <v>45864</v>
      </c>
      <c r="D531" t="s">
        <v>558</v>
      </c>
      <c r="E531" t="s">
        <v>559</v>
      </c>
      <c r="G531" t="s">
        <v>577</v>
      </c>
      <c r="H531" t="s">
        <v>578</v>
      </c>
      <c r="J531" s="2"/>
      <c r="M531" s="2"/>
      <c r="N531">
        <v>362345.17997</v>
      </c>
      <c r="O531">
        <v>938882.1</v>
      </c>
      <c r="Q531">
        <v>13316.8</v>
      </c>
      <c r="R531">
        <v>0</v>
      </c>
      <c r="S531">
        <v>925565.3</v>
      </c>
      <c r="T531" t="s">
        <v>76</v>
      </c>
      <c r="U531" t="s">
        <v>26</v>
      </c>
      <c r="W531" s="3">
        <v>26841063</v>
      </c>
    </row>
    <row r="532" spans="1:23">
      <c r="A532" t="s">
        <v>62</v>
      </c>
      <c r="B532" t="s">
        <v>63</v>
      </c>
      <c r="C532" s="2">
        <v>45864</v>
      </c>
      <c r="D532" t="s">
        <v>558</v>
      </c>
      <c r="E532" t="s">
        <v>559</v>
      </c>
      <c r="G532" t="s">
        <v>577</v>
      </c>
      <c r="H532" t="s">
        <v>578</v>
      </c>
      <c r="J532" s="2"/>
      <c r="M532" s="2"/>
      <c r="N532">
        <v>381343.02176500001</v>
      </c>
      <c r="O532">
        <v>988107.89</v>
      </c>
      <c r="Q532">
        <v>13884.77</v>
      </c>
      <c r="R532">
        <v>0</v>
      </c>
      <c r="S532">
        <v>974223.12</v>
      </c>
      <c r="T532" t="s">
        <v>76</v>
      </c>
      <c r="U532" t="s">
        <v>26</v>
      </c>
      <c r="W532" s="3">
        <v>74648248</v>
      </c>
    </row>
    <row r="533" spans="1:23">
      <c r="A533" t="s">
        <v>31</v>
      </c>
      <c r="B533" t="s">
        <v>32</v>
      </c>
      <c r="C533" s="2">
        <v>45864</v>
      </c>
      <c r="D533" t="s">
        <v>558</v>
      </c>
      <c r="E533" t="s">
        <v>559</v>
      </c>
      <c r="G533" t="s">
        <v>577</v>
      </c>
      <c r="H533" t="s">
        <v>578</v>
      </c>
      <c r="J533" s="2"/>
      <c r="M533" s="2"/>
      <c r="N533">
        <v>496786.35413300002</v>
      </c>
      <c r="O533">
        <v>1287236.1399999999</v>
      </c>
      <c r="P533" s="4"/>
      <c r="Q533">
        <v>21551.75</v>
      </c>
      <c r="R533">
        <v>0</v>
      </c>
      <c r="S533">
        <v>1265684.3899999999</v>
      </c>
      <c r="T533" t="s">
        <v>76</v>
      </c>
      <c r="U533" t="s">
        <v>26</v>
      </c>
      <c r="W533" s="3">
        <v>79679935</v>
      </c>
    </row>
    <row r="534" spans="1:23">
      <c r="A534" t="s">
        <v>60</v>
      </c>
      <c r="B534" t="s">
        <v>61</v>
      </c>
      <c r="C534" s="2">
        <v>45864</v>
      </c>
      <c r="D534" t="s">
        <v>558</v>
      </c>
      <c r="E534" t="s">
        <v>559</v>
      </c>
      <c r="G534" t="s">
        <v>577</v>
      </c>
      <c r="H534" t="s">
        <v>578</v>
      </c>
      <c r="J534" s="2"/>
      <c r="M534" s="2"/>
      <c r="N534">
        <v>571267.59632000001</v>
      </c>
      <c r="O534">
        <v>1480226.44</v>
      </c>
      <c r="Q534">
        <v>24329.42</v>
      </c>
      <c r="R534">
        <v>0</v>
      </c>
      <c r="S534">
        <v>1455897.02</v>
      </c>
      <c r="T534" t="s">
        <v>76</v>
      </c>
      <c r="U534" t="s">
        <v>26</v>
      </c>
      <c r="W534" s="3">
        <v>3872646</v>
      </c>
    </row>
    <row r="535" spans="1:23">
      <c r="A535" t="s">
        <v>66</v>
      </c>
      <c r="B535" t="s">
        <v>67</v>
      </c>
      <c r="C535" s="2">
        <v>45864</v>
      </c>
      <c r="D535" t="s">
        <v>558</v>
      </c>
      <c r="E535" t="s">
        <v>559</v>
      </c>
      <c r="G535" t="s">
        <v>577</v>
      </c>
      <c r="H535" t="s">
        <v>578</v>
      </c>
      <c r="J535" s="2"/>
      <c r="M535" s="2"/>
      <c r="N535">
        <v>1536694.918422</v>
      </c>
      <c r="O535">
        <v>3984282.2</v>
      </c>
      <c r="Q535">
        <v>38814.19</v>
      </c>
      <c r="R535">
        <v>0</v>
      </c>
      <c r="S535">
        <v>3945468.01</v>
      </c>
      <c r="T535" t="s">
        <v>76</v>
      </c>
      <c r="U535" t="s">
        <v>26</v>
      </c>
      <c r="W535" s="3">
        <v>4567291</v>
      </c>
    </row>
    <row r="536" spans="1:23">
      <c r="A536" t="s">
        <v>45</v>
      </c>
      <c r="B536" t="s">
        <v>46</v>
      </c>
      <c r="C536" s="2">
        <v>45864</v>
      </c>
      <c r="D536" t="s">
        <v>558</v>
      </c>
      <c r="E536" t="s">
        <v>559</v>
      </c>
      <c r="G536" t="s">
        <v>579</v>
      </c>
      <c r="H536" t="s">
        <v>580</v>
      </c>
      <c r="J536" s="2"/>
      <c r="M536" s="2"/>
      <c r="N536">
        <v>1424.0607480000001</v>
      </c>
      <c r="O536">
        <v>4604.63</v>
      </c>
      <c r="Q536">
        <v>22.36</v>
      </c>
      <c r="R536">
        <v>3.89</v>
      </c>
      <c r="S536">
        <v>4578.38</v>
      </c>
      <c r="T536" t="s">
        <v>76</v>
      </c>
      <c r="U536" t="s">
        <v>26</v>
      </c>
      <c r="W536" s="3">
        <v>72904217</v>
      </c>
    </row>
    <row r="537" spans="1:23">
      <c r="A537" t="s">
        <v>41</v>
      </c>
      <c r="B537" t="s">
        <v>42</v>
      </c>
      <c r="C537" s="2">
        <v>45864</v>
      </c>
      <c r="D537" t="s">
        <v>558</v>
      </c>
      <c r="E537" t="s">
        <v>559</v>
      </c>
      <c r="G537" t="s">
        <v>579</v>
      </c>
      <c r="H537" t="s">
        <v>580</v>
      </c>
      <c r="J537" s="2"/>
      <c r="M537" s="2"/>
      <c r="N537">
        <v>2880.7549859999999</v>
      </c>
      <c r="O537">
        <v>9314.76</v>
      </c>
      <c r="Q537">
        <v>52.34</v>
      </c>
      <c r="R537">
        <v>4.9400000000000004</v>
      </c>
      <c r="S537">
        <v>9257.48</v>
      </c>
      <c r="T537" t="s">
        <v>76</v>
      </c>
      <c r="U537" t="s">
        <v>26</v>
      </c>
      <c r="W537" s="3">
        <v>58433539</v>
      </c>
    </row>
    <row r="538" spans="1:23">
      <c r="A538" t="s">
        <v>60</v>
      </c>
      <c r="B538" t="s">
        <v>61</v>
      </c>
      <c r="C538" s="2">
        <v>45864</v>
      </c>
      <c r="D538" t="s">
        <v>558</v>
      </c>
      <c r="E538" t="s">
        <v>559</v>
      </c>
      <c r="G538" t="s">
        <v>579</v>
      </c>
      <c r="H538" t="s">
        <v>580</v>
      </c>
      <c r="J538" s="2"/>
      <c r="M538" s="2"/>
      <c r="N538">
        <v>35215.255547000001</v>
      </c>
      <c r="O538">
        <v>113866.56</v>
      </c>
      <c r="Q538">
        <v>309.8</v>
      </c>
      <c r="R538">
        <v>116.78</v>
      </c>
      <c r="S538">
        <v>113439.98</v>
      </c>
      <c r="T538" t="s">
        <v>76</v>
      </c>
      <c r="U538" t="s">
        <v>26</v>
      </c>
      <c r="W538" s="3">
        <v>21361889</v>
      </c>
    </row>
    <row r="539" spans="1:23">
      <c r="A539" t="s">
        <v>51</v>
      </c>
      <c r="B539" t="s">
        <v>52</v>
      </c>
      <c r="C539" s="2">
        <v>45864</v>
      </c>
      <c r="D539" t="s">
        <v>558</v>
      </c>
      <c r="E539" t="s">
        <v>559</v>
      </c>
      <c r="G539" t="s">
        <v>579</v>
      </c>
      <c r="H539" t="s">
        <v>580</v>
      </c>
      <c r="J539" s="2"/>
      <c r="M539" s="2"/>
      <c r="N539">
        <v>50501.713989000003</v>
      </c>
      <c r="O539">
        <v>163294.48000000001</v>
      </c>
      <c r="Q539">
        <v>108.33</v>
      </c>
      <c r="R539">
        <v>486.63</v>
      </c>
      <c r="S539">
        <v>162699.51999999999</v>
      </c>
      <c r="T539" t="s">
        <v>76</v>
      </c>
      <c r="U539" t="s">
        <v>26</v>
      </c>
      <c r="W539" s="3">
        <v>32121013</v>
      </c>
    </row>
    <row r="540" spans="1:23">
      <c r="A540" t="s">
        <v>29</v>
      </c>
      <c r="B540" t="s">
        <v>30</v>
      </c>
      <c r="C540" s="2">
        <v>45864</v>
      </c>
      <c r="D540" t="s">
        <v>558</v>
      </c>
      <c r="E540" t="s">
        <v>559</v>
      </c>
      <c r="G540" t="s">
        <v>579</v>
      </c>
      <c r="H540" t="s">
        <v>580</v>
      </c>
      <c r="J540" s="2"/>
      <c r="M540" s="2"/>
      <c r="N540">
        <v>88754.972643000001</v>
      </c>
      <c r="O540">
        <v>286984.27</v>
      </c>
      <c r="Q540">
        <v>162.80000000000001</v>
      </c>
      <c r="R540">
        <v>831.81</v>
      </c>
      <c r="S540">
        <v>285989.65999999997</v>
      </c>
      <c r="T540" t="s">
        <v>76</v>
      </c>
      <c r="U540" t="s">
        <v>26</v>
      </c>
      <c r="W540" s="3">
        <v>43240077</v>
      </c>
    </row>
    <row r="541" spans="1:23">
      <c r="A541" t="s">
        <v>49</v>
      </c>
      <c r="B541" t="s">
        <v>50</v>
      </c>
      <c r="C541" s="2">
        <v>45864</v>
      </c>
      <c r="D541" t="s">
        <v>558</v>
      </c>
      <c r="E541" t="s">
        <v>559</v>
      </c>
      <c r="G541" t="s">
        <v>579</v>
      </c>
      <c r="H541" t="s">
        <v>580</v>
      </c>
      <c r="J541" s="2"/>
      <c r="M541" s="2"/>
      <c r="N541">
        <v>89784.659677999996</v>
      </c>
      <c r="O541">
        <v>290313.7</v>
      </c>
      <c r="Q541">
        <v>1774.89</v>
      </c>
      <c r="R541">
        <v>0</v>
      </c>
      <c r="S541">
        <v>288538.81</v>
      </c>
      <c r="T541" t="s">
        <v>76</v>
      </c>
      <c r="U541" t="s">
        <v>26</v>
      </c>
      <c r="W541" s="3">
        <v>699072</v>
      </c>
    </row>
    <row r="542" spans="1:23">
      <c r="A542" t="s">
        <v>53</v>
      </c>
      <c r="B542" t="s">
        <v>48</v>
      </c>
      <c r="C542" s="2">
        <v>45864</v>
      </c>
      <c r="D542" t="s">
        <v>558</v>
      </c>
      <c r="E542" t="s">
        <v>559</v>
      </c>
      <c r="G542" t="s">
        <v>579</v>
      </c>
      <c r="H542" t="s">
        <v>580</v>
      </c>
      <c r="J542" s="2"/>
      <c r="M542" s="2"/>
      <c r="N542">
        <v>96460.338120999993</v>
      </c>
      <c r="O542">
        <v>311899.13</v>
      </c>
      <c r="Q542">
        <v>159.19999999999999</v>
      </c>
      <c r="R542">
        <v>902.46</v>
      </c>
      <c r="S542">
        <v>310837.46999999997</v>
      </c>
      <c r="T542" t="s">
        <v>76</v>
      </c>
      <c r="U542" t="s">
        <v>26</v>
      </c>
      <c r="W542" s="3">
        <v>6457153</v>
      </c>
    </row>
    <row r="543" spans="1:23">
      <c r="A543" t="s">
        <v>62</v>
      </c>
      <c r="B543" t="s">
        <v>63</v>
      </c>
      <c r="C543" s="2">
        <v>45864</v>
      </c>
      <c r="D543" t="s">
        <v>558</v>
      </c>
      <c r="E543" t="s">
        <v>559</v>
      </c>
      <c r="G543" t="s">
        <v>579</v>
      </c>
      <c r="H543" t="s">
        <v>580</v>
      </c>
      <c r="J543" s="2"/>
      <c r="M543" s="2"/>
      <c r="N543">
        <v>104594.122563</v>
      </c>
      <c r="O543">
        <v>338199.28</v>
      </c>
      <c r="Q543">
        <v>188.39</v>
      </c>
      <c r="R543">
        <v>988.76</v>
      </c>
      <c r="S543">
        <v>337022.13</v>
      </c>
      <c r="T543" t="s">
        <v>76</v>
      </c>
      <c r="U543" t="s">
        <v>26</v>
      </c>
      <c r="W543" s="3">
        <v>62521983</v>
      </c>
    </row>
    <row r="544" spans="1:23">
      <c r="A544" t="s">
        <v>58</v>
      </c>
      <c r="B544" t="s">
        <v>59</v>
      </c>
      <c r="C544" s="2">
        <v>45864</v>
      </c>
      <c r="D544" t="s">
        <v>558</v>
      </c>
      <c r="E544" t="s">
        <v>559</v>
      </c>
      <c r="G544" t="s">
        <v>579</v>
      </c>
      <c r="H544" t="s">
        <v>580</v>
      </c>
      <c r="J544" s="2"/>
      <c r="M544" s="2"/>
      <c r="N544">
        <v>129056.99196100001</v>
      </c>
      <c r="O544">
        <v>417298.6</v>
      </c>
      <c r="Q544">
        <v>1903.05</v>
      </c>
      <c r="R544">
        <v>137.24</v>
      </c>
      <c r="S544">
        <v>415258.31</v>
      </c>
      <c r="T544" t="s">
        <v>76</v>
      </c>
      <c r="U544" t="s">
        <v>26</v>
      </c>
      <c r="W544" s="3">
        <v>22080729</v>
      </c>
    </row>
    <row r="545" spans="1:23">
      <c r="A545" t="s">
        <v>37</v>
      </c>
      <c r="B545" t="s">
        <v>38</v>
      </c>
      <c r="C545" s="2">
        <v>45864</v>
      </c>
      <c r="D545" t="s">
        <v>558</v>
      </c>
      <c r="E545" t="s">
        <v>559</v>
      </c>
      <c r="G545" t="s">
        <v>579</v>
      </c>
      <c r="H545" t="s">
        <v>580</v>
      </c>
      <c r="J545" s="2"/>
      <c r="M545" s="2"/>
      <c r="N545">
        <v>144180.55194899999</v>
      </c>
      <c r="O545">
        <v>466199.78</v>
      </c>
      <c r="Q545">
        <v>3455.52</v>
      </c>
      <c r="R545">
        <v>0</v>
      </c>
      <c r="S545">
        <v>462744.26</v>
      </c>
      <c r="T545" t="s">
        <v>76</v>
      </c>
      <c r="U545" t="s">
        <v>26</v>
      </c>
      <c r="W545" s="3">
        <v>47934897</v>
      </c>
    </row>
    <row r="546" spans="1:23">
      <c r="A546" t="s">
        <v>56</v>
      </c>
      <c r="B546" t="s">
        <v>57</v>
      </c>
      <c r="C546" s="2">
        <v>45864</v>
      </c>
      <c r="D546" t="s">
        <v>558</v>
      </c>
      <c r="E546" t="s">
        <v>559</v>
      </c>
      <c r="G546" t="s">
        <v>579</v>
      </c>
      <c r="H546" t="s">
        <v>580</v>
      </c>
      <c r="J546" s="2"/>
      <c r="M546" s="2"/>
      <c r="N546">
        <v>259965.301446</v>
      </c>
      <c r="O546">
        <v>840583.33</v>
      </c>
      <c r="Q546">
        <v>5731.96</v>
      </c>
      <c r="R546">
        <v>23.1</v>
      </c>
      <c r="S546">
        <v>834828.27</v>
      </c>
      <c r="T546" t="s">
        <v>76</v>
      </c>
      <c r="U546" t="s">
        <v>26</v>
      </c>
      <c r="W546" s="3">
        <v>6710884</v>
      </c>
    </row>
    <row r="547" spans="1:23">
      <c r="A547" t="s">
        <v>54</v>
      </c>
      <c r="B547" t="s">
        <v>55</v>
      </c>
      <c r="C547" s="2">
        <v>45864</v>
      </c>
      <c r="D547" t="s">
        <v>558</v>
      </c>
      <c r="E547" t="s">
        <v>559</v>
      </c>
      <c r="G547" t="s">
        <v>579</v>
      </c>
      <c r="H547" t="s">
        <v>580</v>
      </c>
      <c r="J547" s="2"/>
      <c r="M547" s="2"/>
      <c r="N547">
        <v>330870.01562299998</v>
      </c>
      <c r="O547">
        <v>1069849.78</v>
      </c>
      <c r="Q547">
        <v>6824.41</v>
      </c>
      <c r="R547">
        <v>30.98</v>
      </c>
      <c r="S547">
        <v>1062994.3899999999</v>
      </c>
      <c r="T547" t="s">
        <v>76</v>
      </c>
      <c r="U547" t="s">
        <v>26</v>
      </c>
      <c r="W547" s="3">
        <v>33377328</v>
      </c>
    </row>
    <row r="548" spans="1:23">
      <c r="A548" t="s">
        <v>43</v>
      </c>
      <c r="B548" t="s">
        <v>44</v>
      </c>
      <c r="C548" s="2">
        <v>45864</v>
      </c>
      <c r="D548" t="s">
        <v>558</v>
      </c>
      <c r="E548" t="s">
        <v>559</v>
      </c>
      <c r="G548" t="s">
        <v>579</v>
      </c>
      <c r="H548" t="s">
        <v>580</v>
      </c>
      <c r="J548" s="2"/>
      <c r="M548" s="2"/>
      <c r="N548">
        <v>582134.83811899996</v>
      </c>
      <c r="O548">
        <v>1882300.59</v>
      </c>
      <c r="Q548">
        <v>3386.9</v>
      </c>
      <c r="R548">
        <v>426.41</v>
      </c>
      <c r="S548">
        <v>1878487.28</v>
      </c>
      <c r="T548" t="s">
        <v>76</v>
      </c>
      <c r="U548" t="s">
        <v>26</v>
      </c>
      <c r="W548" s="3">
        <v>76804510</v>
      </c>
    </row>
    <row r="549" spans="1:23">
      <c r="A549" t="s">
        <v>66</v>
      </c>
      <c r="B549" t="s">
        <v>67</v>
      </c>
      <c r="C549" s="2">
        <v>45864</v>
      </c>
      <c r="D549" t="s">
        <v>558</v>
      </c>
      <c r="E549" t="s">
        <v>559</v>
      </c>
      <c r="G549" t="s">
        <v>579</v>
      </c>
      <c r="H549" t="s">
        <v>580</v>
      </c>
      <c r="J549" s="2"/>
      <c r="M549" s="2"/>
      <c r="N549">
        <v>625521.07851899997</v>
      </c>
      <c r="O549">
        <v>2022587.6</v>
      </c>
      <c r="Q549">
        <v>2173.5100000000002</v>
      </c>
      <c r="R549">
        <v>2700.88</v>
      </c>
      <c r="S549">
        <v>2017713.21</v>
      </c>
      <c r="T549" t="s">
        <v>76</v>
      </c>
      <c r="U549" t="s">
        <v>26</v>
      </c>
      <c r="W549" s="3">
        <v>43393724</v>
      </c>
    </row>
    <row r="550" spans="1:23">
      <c r="A550" t="s">
        <v>31</v>
      </c>
      <c r="B550" t="s">
        <v>32</v>
      </c>
      <c r="C550" s="2">
        <v>45864</v>
      </c>
      <c r="D550" t="s">
        <v>558</v>
      </c>
      <c r="E550" t="s">
        <v>559</v>
      </c>
      <c r="G550" t="s">
        <v>579</v>
      </c>
      <c r="H550" t="s">
        <v>580</v>
      </c>
      <c r="J550" s="2"/>
      <c r="M550" s="2"/>
      <c r="N550">
        <v>715776.31768400001</v>
      </c>
      <c r="O550">
        <v>2314422.87</v>
      </c>
      <c r="Q550">
        <v>3696.43</v>
      </c>
      <c r="R550">
        <v>2804.18</v>
      </c>
      <c r="S550">
        <v>2307922.2599999998</v>
      </c>
      <c r="T550" t="s">
        <v>76</v>
      </c>
      <c r="U550" t="s">
        <v>26</v>
      </c>
      <c r="W550" s="3">
        <v>56872543</v>
      </c>
    </row>
    <row r="551" spans="1:23">
      <c r="A551" t="s">
        <v>41</v>
      </c>
      <c r="B551" t="s">
        <v>42</v>
      </c>
      <c r="C551" s="2">
        <v>45864</v>
      </c>
      <c r="D551" t="s">
        <v>571</v>
      </c>
      <c r="E551" t="s">
        <v>572</v>
      </c>
      <c r="F551" t="s">
        <v>581</v>
      </c>
      <c r="G551" t="s">
        <v>582</v>
      </c>
      <c r="H551" t="s">
        <v>583</v>
      </c>
      <c r="J551" s="2"/>
      <c r="M551" s="2"/>
      <c r="N551">
        <v>525100.42789662001</v>
      </c>
      <c r="O551">
        <v>933856.5</v>
      </c>
      <c r="S551">
        <v>933856.5</v>
      </c>
      <c r="T551" t="s">
        <v>76</v>
      </c>
      <c r="U551" t="s">
        <v>26</v>
      </c>
      <c r="V551" t="s">
        <v>576</v>
      </c>
      <c r="W551" s="3">
        <v>47084171</v>
      </c>
    </row>
    <row r="552" spans="1:23">
      <c r="A552" t="s">
        <v>31</v>
      </c>
      <c r="B552" t="s">
        <v>32</v>
      </c>
      <c r="C552" s="2">
        <v>45864</v>
      </c>
      <c r="D552" t="s">
        <v>571</v>
      </c>
      <c r="E552" t="s">
        <v>572</v>
      </c>
      <c r="F552" t="s">
        <v>584</v>
      </c>
      <c r="G552" t="s">
        <v>582</v>
      </c>
      <c r="H552" t="s">
        <v>583</v>
      </c>
      <c r="J552" s="2"/>
      <c r="M552" s="2"/>
      <c r="N552">
        <v>571122.58407580003</v>
      </c>
      <c r="O552">
        <v>1015191.52</v>
      </c>
      <c r="S552">
        <v>1015191.52</v>
      </c>
      <c r="T552" t="s">
        <v>76</v>
      </c>
      <c r="U552" t="s">
        <v>26</v>
      </c>
      <c r="V552" t="s">
        <v>576</v>
      </c>
      <c r="W552" s="3">
        <v>79974161</v>
      </c>
    </row>
    <row r="553" spans="1:23">
      <c r="A553" t="s">
        <v>51</v>
      </c>
      <c r="B553" t="s">
        <v>52</v>
      </c>
      <c r="C553" s="2">
        <v>45864</v>
      </c>
      <c r="D553" t="s">
        <v>558</v>
      </c>
      <c r="E553" t="s">
        <v>559</v>
      </c>
      <c r="G553" t="s">
        <v>585</v>
      </c>
      <c r="H553" t="s">
        <v>586</v>
      </c>
      <c r="J553" s="2"/>
      <c r="M553" s="2"/>
      <c r="N553">
        <v>28938.094611889999</v>
      </c>
      <c r="O553">
        <v>95816.57</v>
      </c>
      <c r="Q553">
        <v>1743.16</v>
      </c>
      <c r="R553">
        <v>0</v>
      </c>
      <c r="S553">
        <v>94073.41</v>
      </c>
      <c r="T553" t="s">
        <v>505</v>
      </c>
      <c r="U553" t="s">
        <v>26</v>
      </c>
      <c r="W553" s="3">
        <v>11834403</v>
      </c>
    </row>
    <row r="554" spans="1:23">
      <c r="A554" t="s">
        <v>43</v>
      </c>
      <c r="B554" t="s">
        <v>44</v>
      </c>
      <c r="C554" s="2">
        <v>45864</v>
      </c>
      <c r="D554" t="s">
        <v>571</v>
      </c>
      <c r="E554" t="s">
        <v>572</v>
      </c>
      <c r="F554" t="s">
        <v>587</v>
      </c>
      <c r="G554" t="s">
        <v>588</v>
      </c>
      <c r="H554" t="s">
        <v>589</v>
      </c>
      <c r="J554" s="2"/>
      <c r="M554" s="2"/>
      <c r="N554">
        <v>104033.24069308001</v>
      </c>
      <c r="O554">
        <v>176491.54</v>
      </c>
      <c r="S554">
        <v>176491.54</v>
      </c>
      <c r="T554" t="s">
        <v>76</v>
      </c>
      <c r="U554" t="s">
        <v>26</v>
      </c>
      <c r="V554" t="s">
        <v>576</v>
      </c>
      <c r="W554" s="3">
        <v>70772069</v>
      </c>
    </row>
    <row r="555" spans="1:23">
      <c r="A555" t="s">
        <v>43</v>
      </c>
      <c r="B555" t="s">
        <v>44</v>
      </c>
      <c r="C555" s="2">
        <v>45864</v>
      </c>
      <c r="D555" t="s">
        <v>571</v>
      </c>
      <c r="E555" t="s">
        <v>572</v>
      </c>
      <c r="F555" t="s">
        <v>590</v>
      </c>
      <c r="G555" t="s">
        <v>588</v>
      </c>
      <c r="H555" t="s">
        <v>589</v>
      </c>
      <c r="J555" s="2"/>
      <c r="M555" s="2"/>
      <c r="N555">
        <v>187534.02937693</v>
      </c>
      <c r="O555">
        <v>318149.94</v>
      </c>
      <c r="S555">
        <v>318149.94</v>
      </c>
      <c r="T555" t="s">
        <v>76</v>
      </c>
      <c r="U555" t="s">
        <v>26</v>
      </c>
      <c r="V555" t="s">
        <v>591</v>
      </c>
      <c r="W555" s="3">
        <v>50998259</v>
      </c>
    </row>
    <row r="556" spans="1:23">
      <c r="A556" t="s">
        <v>41</v>
      </c>
      <c r="B556" t="s">
        <v>42</v>
      </c>
      <c r="C556" s="2">
        <v>45864</v>
      </c>
      <c r="D556" t="s">
        <v>571</v>
      </c>
      <c r="E556" t="s">
        <v>572</v>
      </c>
      <c r="F556" t="s">
        <v>592</v>
      </c>
      <c r="G556" t="s">
        <v>588</v>
      </c>
      <c r="H556" t="s">
        <v>589</v>
      </c>
      <c r="J556" s="2"/>
      <c r="M556" s="2"/>
      <c r="N556">
        <v>206890.94407887</v>
      </c>
      <c r="O556">
        <v>350988.78</v>
      </c>
      <c r="P556" s="4"/>
      <c r="S556">
        <v>350988.78</v>
      </c>
      <c r="T556" t="s">
        <v>76</v>
      </c>
      <c r="U556" t="s">
        <v>26</v>
      </c>
      <c r="V556" t="s">
        <v>576</v>
      </c>
      <c r="W556" s="3">
        <v>83462247</v>
      </c>
    </row>
    <row r="557" spans="1:23">
      <c r="A557" t="s">
        <v>41</v>
      </c>
      <c r="B557" t="s">
        <v>42</v>
      </c>
      <c r="C557" s="2">
        <v>45864</v>
      </c>
      <c r="D557" t="s">
        <v>571</v>
      </c>
      <c r="E557" t="s">
        <v>572</v>
      </c>
      <c r="F557" t="s">
        <v>593</v>
      </c>
      <c r="G557" t="s">
        <v>588</v>
      </c>
      <c r="H557" t="s">
        <v>589</v>
      </c>
      <c r="J557" s="2"/>
      <c r="M557" s="2"/>
      <c r="N557">
        <v>621139.92332911002</v>
      </c>
      <c r="O557">
        <v>1053758.77</v>
      </c>
      <c r="S557">
        <v>1053758.77</v>
      </c>
      <c r="T557" t="s">
        <v>76</v>
      </c>
      <c r="U557" t="s">
        <v>26</v>
      </c>
      <c r="V557" t="s">
        <v>576</v>
      </c>
      <c r="W557" s="3">
        <v>83317568</v>
      </c>
    </row>
    <row r="558" spans="1:23">
      <c r="A558" t="s">
        <v>31</v>
      </c>
      <c r="B558" t="s">
        <v>32</v>
      </c>
      <c r="C558" s="2">
        <v>45864</v>
      </c>
      <c r="D558" t="s">
        <v>571</v>
      </c>
      <c r="E558" t="s">
        <v>572</v>
      </c>
      <c r="F558" t="s">
        <v>594</v>
      </c>
      <c r="G558" t="s">
        <v>588</v>
      </c>
      <c r="H558" t="s">
        <v>589</v>
      </c>
      <c r="J558" s="2"/>
      <c r="M558" s="2"/>
      <c r="N558">
        <v>668868.91853280005</v>
      </c>
      <c r="O558">
        <v>1134730.6200000001</v>
      </c>
      <c r="S558">
        <v>1134730.6200000001</v>
      </c>
      <c r="T558" t="s">
        <v>76</v>
      </c>
      <c r="U558" t="s">
        <v>26</v>
      </c>
      <c r="V558" t="s">
        <v>576</v>
      </c>
      <c r="W558" s="3">
        <v>59522445</v>
      </c>
    </row>
    <row r="559" spans="1:23">
      <c r="A559" t="s">
        <v>29</v>
      </c>
      <c r="B559" t="s">
        <v>30</v>
      </c>
      <c r="C559" s="2">
        <v>45864</v>
      </c>
      <c r="D559" t="s">
        <v>571</v>
      </c>
      <c r="E559" t="s">
        <v>572</v>
      </c>
      <c r="F559" t="s">
        <v>595</v>
      </c>
      <c r="G559" t="s">
        <v>596</v>
      </c>
      <c r="H559" t="s">
        <v>597</v>
      </c>
      <c r="J559" s="2"/>
      <c r="M559" s="2"/>
      <c r="N559">
        <v>29844.639889890001</v>
      </c>
      <c r="O559">
        <v>48882.51</v>
      </c>
      <c r="S559">
        <v>48882.51</v>
      </c>
      <c r="T559" t="s">
        <v>121</v>
      </c>
      <c r="U559" t="s">
        <v>26</v>
      </c>
      <c r="V559" t="s">
        <v>576</v>
      </c>
      <c r="W559" s="3">
        <v>37696221</v>
      </c>
    </row>
    <row r="560" spans="1:23">
      <c r="A560" t="s">
        <v>45</v>
      </c>
      <c r="B560" t="s">
        <v>46</v>
      </c>
      <c r="C560" s="2">
        <v>45864</v>
      </c>
      <c r="D560" t="s">
        <v>571</v>
      </c>
      <c r="E560" t="s">
        <v>572</v>
      </c>
      <c r="F560" t="s">
        <v>598</v>
      </c>
      <c r="G560" t="s">
        <v>599</v>
      </c>
      <c r="H560" t="s">
        <v>600</v>
      </c>
      <c r="J560" s="2"/>
      <c r="M560" s="2"/>
      <c r="N560">
        <v>43113.756185819999</v>
      </c>
      <c r="O560">
        <v>81133.279999999999</v>
      </c>
      <c r="S560">
        <v>81133.279999999999</v>
      </c>
      <c r="T560" t="s">
        <v>505</v>
      </c>
      <c r="U560" t="s">
        <v>26</v>
      </c>
      <c r="V560" t="s">
        <v>591</v>
      </c>
      <c r="W560" s="3">
        <v>77970324</v>
      </c>
    </row>
    <row r="561" spans="1:23">
      <c r="A561" t="s">
        <v>31</v>
      </c>
      <c r="B561" t="s">
        <v>32</v>
      </c>
      <c r="C561" s="2">
        <v>45864</v>
      </c>
      <c r="D561" t="s">
        <v>571</v>
      </c>
      <c r="E561" t="s">
        <v>572</v>
      </c>
      <c r="F561" t="s">
        <v>601</v>
      </c>
      <c r="G561" t="s">
        <v>599</v>
      </c>
      <c r="H561" t="s">
        <v>600</v>
      </c>
      <c r="J561" s="2"/>
      <c r="M561" s="2"/>
      <c r="N561">
        <v>60140.302109609998</v>
      </c>
      <c r="O561">
        <v>113174.55</v>
      </c>
      <c r="S561">
        <v>113174.55</v>
      </c>
      <c r="T561" t="s">
        <v>505</v>
      </c>
      <c r="U561" t="s">
        <v>26</v>
      </c>
      <c r="V561" t="s">
        <v>576</v>
      </c>
      <c r="W561" s="3">
        <v>58741347</v>
      </c>
    </row>
    <row r="562" spans="1:23">
      <c r="A562" t="s">
        <v>43</v>
      </c>
      <c r="B562" t="s">
        <v>44</v>
      </c>
      <c r="C562" s="2">
        <v>45864</v>
      </c>
      <c r="D562" t="s">
        <v>571</v>
      </c>
      <c r="E562" t="s">
        <v>572</v>
      </c>
      <c r="F562" t="s">
        <v>602</v>
      </c>
      <c r="G562" t="s">
        <v>599</v>
      </c>
      <c r="H562" t="s">
        <v>600</v>
      </c>
      <c r="J562" s="2"/>
      <c r="M562" s="2"/>
      <c r="N562">
        <v>68023.816142349999</v>
      </c>
      <c r="O562">
        <v>128010.07</v>
      </c>
      <c r="S562">
        <v>128010.07</v>
      </c>
      <c r="T562" t="s">
        <v>505</v>
      </c>
      <c r="U562" t="s">
        <v>26</v>
      </c>
      <c r="V562" t="s">
        <v>591</v>
      </c>
      <c r="W562" s="3">
        <v>66267317</v>
      </c>
    </row>
    <row r="563" spans="1:23">
      <c r="A563" t="s">
        <v>43</v>
      </c>
      <c r="B563" t="s">
        <v>44</v>
      </c>
      <c r="C563" s="2">
        <v>45864</v>
      </c>
      <c r="D563" t="s">
        <v>571</v>
      </c>
      <c r="E563" t="s">
        <v>572</v>
      </c>
      <c r="F563" t="s">
        <v>590</v>
      </c>
      <c r="G563" t="s">
        <v>599</v>
      </c>
      <c r="H563" t="s">
        <v>600</v>
      </c>
      <c r="J563" s="2"/>
      <c r="M563" s="2"/>
      <c r="N563">
        <v>68941.612392730007</v>
      </c>
      <c r="O563">
        <v>129737.22</v>
      </c>
      <c r="S563">
        <v>129737.22</v>
      </c>
      <c r="T563" t="s">
        <v>505</v>
      </c>
      <c r="U563" t="s">
        <v>26</v>
      </c>
      <c r="V563" t="s">
        <v>591</v>
      </c>
      <c r="W563" s="3">
        <v>83871726</v>
      </c>
    </row>
    <row r="564" spans="1:23">
      <c r="A564" t="s">
        <v>66</v>
      </c>
      <c r="B564" t="s">
        <v>67</v>
      </c>
      <c r="C564" s="2">
        <v>45864</v>
      </c>
      <c r="D564" t="s">
        <v>571</v>
      </c>
      <c r="E564" t="s">
        <v>572</v>
      </c>
      <c r="F564" t="s">
        <v>603</v>
      </c>
      <c r="G564" t="s">
        <v>599</v>
      </c>
      <c r="H564" t="s">
        <v>600</v>
      </c>
      <c r="J564" s="2"/>
      <c r="M564" s="2"/>
      <c r="N564">
        <v>134882.60117538</v>
      </c>
      <c r="O564">
        <v>253827.74</v>
      </c>
      <c r="S564">
        <v>253827.74</v>
      </c>
      <c r="T564" t="s">
        <v>505</v>
      </c>
      <c r="U564" t="s">
        <v>26</v>
      </c>
      <c r="V564" t="s">
        <v>576</v>
      </c>
      <c r="W564" s="3">
        <v>37914228</v>
      </c>
    </row>
    <row r="565" spans="1:23">
      <c r="A565" t="s">
        <v>31</v>
      </c>
      <c r="B565" t="s">
        <v>32</v>
      </c>
      <c r="C565" s="2">
        <v>45864</v>
      </c>
      <c r="D565" t="s">
        <v>571</v>
      </c>
      <c r="E565" t="s">
        <v>572</v>
      </c>
      <c r="F565" t="s">
        <v>594</v>
      </c>
      <c r="G565" t="s">
        <v>599</v>
      </c>
      <c r="H565" t="s">
        <v>600</v>
      </c>
      <c r="J565" s="2"/>
      <c r="M565" s="2"/>
      <c r="N565">
        <v>267119.7178562</v>
      </c>
      <c r="O565">
        <v>502677.1</v>
      </c>
      <c r="S565">
        <v>502677.1</v>
      </c>
      <c r="T565" t="s">
        <v>505</v>
      </c>
      <c r="U565" t="s">
        <v>26</v>
      </c>
      <c r="V565" t="s">
        <v>576</v>
      </c>
      <c r="W565" s="3">
        <v>53325284</v>
      </c>
    </row>
    <row r="566" spans="1:23">
      <c r="A566" t="s">
        <v>29</v>
      </c>
      <c r="B566" t="s">
        <v>30</v>
      </c>
      <c r="C566" s="2">
        <v>45864</v>
      </c>
      <c r="D566" t="s">
        <v>571</v>
      </c>
      <c r="E566" t="s">
        <v>572</v>
      </c>
      <c r="F566" t="s">
        <v>595</v>
      </c>
      <c r="G566" t="s">
        <v>604</v>
      </c>
      <c r="H566" t="s">
        <v>605</v>
      </c>
      <c r="J566" s="2"/>
      <c r="M566" s="2"/>
      <c r="N566">
        <v>1455.0672328400001</v>
      </c>
      <c r="O566">
        <v>23599.15</v>
      </c>
      <c r="S566">
        <v>23599.15</v>
      </c>
      <c r="T566" t="s">
        <v>76</v>
      </c>
      <c r="U566" t="s">
        <v>26</v>
      </c>
      <c r="V566" t="s">
        <v>576</v>
      </c>
      <c r="W566" s="3">
        <v>44087229</v>
      </c>
    </row>
    <row r="567" spans="1:23">
      <c r="A567" t="s">
        <v>51</v>
      </c>
      <c r="B567" t="s">
        <v>52</v>
      </c>
      <c r="C567" s="2">
        <v>45864</v>
      </c>
      <c r="D567" t="s">
        <v>558</v>
      </c>
      <c r="E567" t="s">
        <v>559</v>
      </c>
      <c r="G567" t="s">
        <v>606</v>
      </c>
      <c r="H567" t="s">
        <v>607</v>
      </c>
      <c r="J567" s="2"/>
      <c r="M567" s="2"/>
      <c r="N567">
        <v>107274.27685314001</v>
      </c>
      <c r="O567">
        <v>193225.29</v>
      </c>
      <c r="Q567">
        <v>723.61</v>
      </c>
      <c r="R567">
        <v>0</v>
      </c>
      <c r="S567">
        <v>192501.68</v>
      </c>
      <c r="T567" t="s">
        <v>562</v>
      </c>
      <c r="U567" t="s">
        <v>26</v>
      </c>
      <c r="W567" s="3">
        <v>28390712</v>
      </c>
    </row>
    <row r="568" spans="1:23">
      <c r="A568" t="s">
        <v>62</v>
      </c>
      <c r="B568" t="s">
        <v>63</v>
      </c>
      <c r="C568" s="2">
        <v>45864</v>
      </c>
      <c r="D568" t="s">
        <v>558</v>
      </c>
      <c r="E568" t="s">
        <v>559</v>
      </c>
      <c r="G568" t="s">
        <v>608</v>
      </c>
      <c r="H568" t="s">
        <v>609</v>
      </c>
      <c r="J568" s="2"/>
      <c r="M568" s="2"/>
      <c r="N568">
        <v>303255.29797999997</v>
      </c>
      <c r="O568">
        <v>539827.85</v>
      </c>
      <c r="Q568">
        <v>4050.9</v>
      </c>
      <c r="R568">
        <v>0</v>
      </c>
      <c r="S568">
        <v>535776.94999999995</v>
      </c>
      <c r="T568" t="s">
        <v>76</v>
      </c>
      <c r="U568" t="s">
        <v>26</v>
      </c>
      <c r="W568" s="3">
        <v>2286353</v>
      </c>
    </row>
    <row r="569" spans="1:23">
      <c r="A569" t="s">
        <v>54</v>
      </c>
      <c r="B569" t="s">
        <v>55</v>
      </c>
      <c r="C569" s="2">
        <v>45864</v>
      </c>
      <c r="D569" t="s">
        <v>558</v>
      </c>
      <c r="E569" t="s">
        <v>559</v>
      </c>
      <c r="G569" t="s">
        <v>608</v>
      </c>
      <c r="H569" t="s">
        <v>609</v>
      </c>
      <c r="J569" s="2"/>
      <c r="M569" s="2"/>
      <c r="N569">
        <v>303255.29797999997</v>
      </c>
      <c r="O569">
        <v>539827.85</v>
      </c>
      <c r="Q569">
        <v>4050.9</v>
      </c>
      <c r="R569">
        <v>0</v>
      </c>
      <c r="S569">
        <v>535776.94999999995</v>
      </c>
      <c r="T569" t="s">
        <v>76</v>
      </c>
      <c r="U569" t="s">
        <v>26</v>
      </c>
      <c r="W569" s="3">
        <v>24390267</v>
      </c>
    </row>
    <row r="570" spans="1:23">
      <c r="A570" t="s">
        <v>51</v>
      </c>
      <c r="B570" t="s">
        <v>52</v>
      </c>
      <c r="C570" s="2">
        <v>45864</v>
      </c>
      <c r="D570" t="s">
        <v>558</v>
      </c>
      <c r="E570" t="s">
        <v>559</v>
      </c>
      <c r="G570" t="s">
        <v>610</v>
      </c>
      <c r="H570" t="s">
        <v>611</v>
      </c>
      <c r="J570" s="2"/>
      <c r="M570" s="2"/>
      <c r="N570">
        <v>114733.87618049</v>
      </c>
      <c r="O570">
        <v>262669.42</v>
      </c>
      <c r="P570" s="4"/>
      <c r="Q570">
        <v>2923.66</v>
      </c>
      <c r="R570">
        <v>0</v>
      </c>
      <c r="S570">
        <v>259745.76</v>
      </c>
      <c r="T570" t="s">
        <v>505</v>
      </c>
      <c r="U570" t="s">
        <v>26</v>
      </c>
      <c r="W570" s="3">
        <v>29513173</v>
      </c>
    </row>
    <row r="571" spans="1:23">
      <c r="A571" t="s">
        <v>66</v>
      </c>
      <c r="B571" t="s">
        <v>67</v>
      </c>
      <c r="C571" s="2">
        <v>45864</v>
      </c>
      <c r="D571" t="s">
        <v>571</v>
      </c>
      <c r="E571" t="s">
        <v>572</v>
      </c>
      <c r="F571" t="s">
        <v>603</v>
      </c>
      <c r="G571" t="s">
        <v>612</v>
      </c>
      <c r="H571" t="s">
        <v>613</v>
      </c>
      <c r="J571" s="2"/>
      <c r="M571" s="2"/>
      <c r="N571">
        <v>174527.28879168001</v>
      </c>
      <c r="O571">
        <v>270535.82</v>
      </c>
      <c r="S571">
        <v>270535.82</v>
      </c>
      <c r="U571" t="s">
        <v>26</v>
      </c>
      <c r="V571" t="s">
        <v>576</v>
      </c>
      <c r="W571" s="3">
        <v>15244680</v>
      </c>
    </row>
    <row r="572" spans="1:23">
      <c r="A572" t="s">
        <v>29</v>
      </c>
      <c r="B572" t="s">
        <v>30</v>
      </c>
      <c r="C572" s="2">
        <v>45864</v>
      </c>
      <c r="D572" t="s">
        <v>571</v>
      </c>
      <c r="E572" t="s">
        <v>572</v>
      </c>
      <c r="F572" t="s">
        <v>614</v>
      </c>
      <c r="G572" t="s">
        <v>615</v>
      </c>
      <c r="H572" t="s">
        <v>616</v>
      </c>
      <c r="J572" s="2"/>
      <c r="M572" s="2"/>
      <c r="N572">
        <v>20804.74068472</v>
      </c>
      <c r="O572">
        <v>21411.47</v>
      </c>
      <c r="S572">
        <v>21411.47</v>
      </c>
      <c r="T572" t="s">
        <v>505</v>
      </c>
      <c r="U572" t="s">
        <v>26</v>
      </c>
      <c r="V572" t="s">
        <v>576</v>
      </c>
      <c r="W572" s="3">
        <v>15030156</v>
      </c>
    </row>
    <row r="573" spans="1:23">
      <c r="A573" t="s">
        <v>51</v>
      </c>
      <c r="B573" t="s">
        <v>52</v>
      </c>
      <c r="C573" s="2">
        <v>45864</v>
      </c>
      <c r="D573" t="s">
        <v>558</v>
      </c>
      <c r="E573" t="s">
        <v>559</v>
      </c>
      <c r="G573" t="s">
        <v>617</v>
      </c>
      <c r="H573" t="s">
        <v>618</v>
      </c>
      <c r="J573" s="2"/>
      <c r="M573" s="2"/>
      <c r="N573">
        <v>48231.531884049997</v>
      </c>
      <c r="O573">
        <v>93963.82</v>
      </c>
      <c r="Q573">
        <v>1465.25</v>
      </c>
      <c r="R573">
        <v>0</v>
      </c>
      <c r="S573">
        <v>92498.57</v>
      </c>
      <c r="T573" t="s">
        <v>505</v>
      </c>
      <c r="U573" t="s">
        <v>26</v>
      </c>
      <c r="W573" s="3">
        <v>6197234</v>
      </c>
    </row>
    <row r="574" spans="1:23">
      <c r="A574" t="s">
        <v>51</v>
      </c>
      <c r="B574" t="s">
        <v>52</v>
      </c>
      <c r="C574" s="2">
        <v>45864</v>
      </c>
      <c r="D574" t="s">
        <v>558</v>
      </c>
      <c r="E574" t="s">
        <v>559</v>
      </c>
      <c r="G574" t="s">
        <v>619</v>
      </c>
      <c r="H574" t="s">
        <v>620</v>
      </c>
      <c r="J574" s="2"/>
      <c r="M574" s="2"/>
      <c r="N574">
        <v>55483.625217000001</v>
      </c>
      <c r="O574">
        <v>86724.18</v>
      </c>
      <c r="Q574">
        <v>987.36</v>
      </c>
      <c r="R574">
        <v>0</v>
      </c>
      <c r="S574">
        <v>85736.82</v>
      </c>
      <c r="T574" t="s">
        <v>505</v>
      </c>
      <c r="U574" t="s">
        <v>26</v>
      </c>
      <c r="W574" s="3">
        <v>46082691</v>
      </c>
    </row>
    <row r="575" spans="1:23">
      <c r="A575" t="s">
        <v>51</v>
      </c>
      <c r="B575" t="s">
        <v>52</v>
      </c>
      <c r="C575" s="2">
        <v>45864</v>
      </c>
      <c r="D575" t="s">
        <v>558</v>
      </c>
      <c r="E575" t="s">
        <v>559</v>
      </c>
      <c r="G575" t="s">
        <v>621</v>
      </c>
      <c r="H575" t="s">
        <v>622</v>
      </c>
      <c r="J575" s="2"/>
      <c r="M575" s="2"/>
      <c r="N575">
        <v>99480.117685739999</v>
      </c>
      <c r="O575">
        <v>160197.9</v>
      </c>
      <c r="Q575">
        <v>1421.47</v>
      </c>
      <c r="R575">
        <v>0</v>
      </c>
      <c r="S575">
        <v>158776.43</v>
      </c>
      <c r="U575" t="s">
        <v>26</v>
      </c>
      <c r="W575" s="3">
        <v>18214510</v>
      </c>
    </row>
    <row r="576" spans="1:23">
      <c r="A576" t="s">
        <v>54</v>
      </c>
      <c r="B576" t="s">
        <v>55</v>
      </c>
      <c r="C576" s="2">
        <v>45864</v>
      </c>
      <c r="D576" t="s">
        <v>558</v>
      </c>
      <c r="E576" t="s">
        <v>559</v>
      </c>
      <c r="G576" t="s">
        <v>621</v>
      </c>
      <c r="H576" t="s">
        <v>622</v>
      </c>
      <c r="J576" s="2"/>
      <c r="M576" s="2"/>
      <c r="N576">
        <v>274377.90826642001</v>
      </c>
      <c r="O576">
        <v>441844.71</v>
      </c>
      <c r="Q576">
        <v>0</v>
      </c>
      <c r="R576">
        <v>0</v>
      </c>
      <c r="S576">
        <v>441844.71</v>
      </c>
      <c r="U576" t="s">
        <v>26</v>
      </c>
      <c r="W576" s="3">
        <v>2906554</v>
      </c>
    </row>
    <row r="577" spans="1:23">
      <c r="A577" t="s">
        <v>62</v>
      </c>
      <c r="B577" t="s">
        <v>63</v>
      </c>
      <c r="C577" s="2">
        <v>45864</v>
      </c>
      <c r="D577" t="s">
        <v>558</v>
      </c>
      <c r="E577" t="s">
        <v>559</v>
      </c>
      <c r="G577" t="s">
        <v>621</v>
      </c>
      <c r="H577" t="s">
        <v>622</v>
      </c>
      <c r="J577" s="2"/>
      <c r="M577" s="2"/>
      <c r="N577">
        <v>802963.30497367005</v>
      </c>
      <c r="O577">
        <v>1293052.6599999999</v>
      </c>
      <c r="Q577">
        <v>9493.8799999999992</v>
      </c>
      <c r="R577">
        <v>0</v>
      </c>
      <c r="S577">
        <v>1283558.78</v>
      </c>
      <c r="U577" t="s">
        <v>26</v>
      </c>
      <c r="W577" s="3">
        <v>75084498</v>
      </c>
    </row>
    <row r="578" spans="1:23">
      <c r="A578" t="s">
        <v>31</v>
      </c>
      <c r="B578" t="s">
        <v>32</v>
      </c>
      <c r="C578" s="2">
        <v>45864</v>
      </c>
      <c r="D578" t="s">
        <v>558</v>
      </c>
      <c r="E578" t="s">
        <v>559</v>
      </c>
      <c r="G578" t="s">
        <v>621</v>
      </c>
      <c r="H578" t="s">
        <v>622</v>
      </c>
      <c r="J578" s="2"/>
      <c r="M578" s="2"/>
      <c r="N578">
        <v>836415.86463488999</v>
      </c>
      <c r="O578">
        <v>1346923.03</v>
      </c>
      <c r="Q578">
        <v>0</v>
      </c>
      <c r="R578">
        <v>0</v>
      </c>
      <c r="S578">
        <v>1346923.03</v>
      </c>
      <c r="U578" t="s">
        <v>26</v>
      </c>
      <c r="W578" s="3">
        <v>51865809</v>
      </c>
    </row>
    <row r="579" spans="1:23">
      <c r="A579" t="s">
        <v>60</v>
      </c>
      <c r="B579" t="s">
        <v>61</v>
      </c>
      <c r="C579" s="2">
        <v>45864</v>
      </c>
      <c r="D579" t="s">
        <v>558</v>
      </c>
      <c r="E579" t="s">
        <v>559</v>
      </c>
      <c r="G579" t="s">
        <v>621</v>
      </c>
      <c r="H579" t="s">
        <v>622</v>
      </c>
      <c r="J579" s="2"/>
      <c r="M579" s="2"/>
      <c r="N579">
        <v>1050357.0756485199</v>
      </c>
      <c r="O579">
        <v>1691443.44</v>
      </c>
      <c r="Q579">
        <v>13903.29</v>
      </c>
      <c r="R579">
        <v>0</v>
      </c>
      <c r="S579">
        <v>1677540.15</v>
      </c>
      <c r="U579" t="s">
        <v>26</v>
      </c>
      <c r="W579" s="3">
        <v>44011670</v>
      </c>
    </row>
    <row r="580" spans="1:23">
      <c r="A580" t="s">
        <v>58</v>
      </c>
      <c r="B580" t="s">
        <v>59</v>
      </c>
      <c r="C580" s="2">
        <v>45864</v>
      </c>
      <c r="D580" t="s">
        <v>558</v>
      </c>
      <c r="E580" t="s">
        <v>559</v>
      </c>
      <c r="G580" t="s">
        <v>623</v>
      </c>
      <c r="H580" t="s">
        <v>622</v>
      </c>
      <c r="J580" s="2"/>
      <c r="M580" s="2"/>
      <c r="N580">
        <v>269484.37288556999</v>
      </c>
      <c r="O580">
        <v>434264.95</v>
      </c>
      <c r="Q580">
        <v>3407.25</v>
      </c>
      <c r="R580">
        <v>0</v>
      </c>
      <c r="S580">
        <v>430857.7</v>
      </c>
      <c r="U580" t="s">
        <v>26</v>
      </c>
      <c r="W580" s="3">
        <v>22582962</v>
      </c>
    </row>
    <row r="581" spans="1:23">
      <c r="A581" t="s">
        <v>66</v>
      </c>
      <c r="B581" t="s">
        <v>67</v>
      </c>
      <c r="C581" s="2">
        <v>45864</v>
      </c>
      <c r="D581" t="s">
        <v>558</v>
      </c>
      <c r="E581" t="s">
        <v>559</v>
      </c>
      <c r="G581" t="s">
        <v>623</v>
      </c>
      <c r="H581" t="s">
        <v>622</v>
      </c>
      <c r="J581" s="2"/>
      <c r="M581" s="2"/>
      <c r="N581">
        <v>1229705.3524788299</v>
      </c>
      <c r="O581">
        <v>1981628.59</v>
      </c>
      <c r="Q581">
        <v>15495.3</v>
      </c>
      <c r="R581">
        <v>0</v>
      </c>
      <c r="S581">
        <v>1966133.29</v>
      </c>
      <c r="U581" t="s">
        <v>26</v>
      </c>
      <c r="W581" s="3">
        <v>13279103</v>
      </c>
    </row>
    <row r="582" spans="1:23">
      <c r="A582" t="s">
        <v>51</v>
      </c>
      <c r="B582" t="s">
        <v>52</v>
      </c>
      <c r="C582" s="2">
        <v>45864</v>
      </c>
      <c r="D582" t="s">
        <v>558</v>
      </c>
      <c r="E582" t="s">
        <v>559</v>
      </c>
      <c r="G582" t="s">
        <v>624</v>
      </c>
      <c r="H582" t="s">
        <v>625</v>
      </c>
      <c r="J582" s="2"/>
      <c r="M582" s="2"/>
      <c r="N582">
        <v>99480.117685739999</v>
      </c>
      <c r="O582">
        <v>159983.93</v>
      </c>
      <c r="Q582">
        <v>1378.68</v>
      </c>
      <c r="R582">
        <v>0</v>
      </c>
      <c r="S582">
        <v>158605.25</v>
      </c>
      <c r="T582" t="s">
        <v>562</v>
      </c>
      <c r="U582" t="s">
        <v>26</v>
      </c>
      <c r="W582" s="3">
        <v>6701033</v>
      </c>
    </row>
    <row r="583" spans="1:23">
      <c r="A583" t="s">
        <v>54</v>
      </c>
      <c r="B583" t="s">
        <v>55</v>
      </c>
      <c r="C583" s="2">
        <v>45864</v>
      </c>
      <c r="D583" t="s">
        <v>558</v>
      </c>
      <c r="E583" t="s">
        <v>559</v>
      </c>
      <c r="G583" t="s">
        <v>624</v>
      </c>
      <c r="H583" t="s">
        <v>625</v>
      </c>
      <c r="J583" s="2"/>
      <c r="M583" s="2"/>
      <c r="N583">
        <v>274377.90826642001</v>
      </c>
      <c r="O583">
        <v>441254.55</v>
      </c>
      <c r="Q583">
        <v>3183.5</v>
      </c>
      <c r="R583">
        <v>0</v>
      </c>
      <c r="S583">
        <v>438071.05</v>
      </c>
      <c r="T583" t="s">
        <v>562</v>
      </c>
      <c r="U583" t="s">
        <v>26</v>
      </c>
      <c r="W583" s="3">
        <v>38156254</v>
      </c>
    </row>
    <row r="584" spans="1:23">
      <c r="A584" t="s">
        <v>62</v>
      </c>
      <c r="B584" t="s">
        <v>63</v>
      </c>
      <c r="C584" s="2">
        <v>45864</v>
      </c>
      <c r="D584" t="s">
        <v>558</v>
      </c>
      <c r="E584" t="s">
        <v>559</v>
      </c>
      <c r="G584" t="s">
        <v>624</v>
      </c>
      <c r="H584" t="s">
        <v>625</v>
      </c>
      <c r="J584" s="2"/>
      <c r="M584" s="2"/>
      <c r="N584">
        <v>802963.30497367005</v>
      </c>
      <c r="O584">
        <v>1291325.6000000001</v>
      </c>
      <c r="Q584">
        <v>9148.4599999999991</v>
      </c>
      <c r="R584">
        <v>0</v>
      </c>
      <c r="S584">
        <v>1282177.1399999999</v>
      </c>
      <c r="T584" t="s">
        <v>562</v>
      </c>
      <c r="U584" t="s">
        <v>26</v>
      </c>
      <c r="W584" s="3">
        <v>54238446</v>
      </c>
    </row>
    <row r="585" spans="1:23">
      <c r="A585" t="s">
        <v>31</v>
      </c>
      <c r="B585" t="s">
        <v>32</v>
      </c>
      <c r="C585" s="2">
        <v>45864</v>
      </c>
      <c r="D585" t="s">
        <v>558</v>
      </c>
      <c r="E585" t="s">
        <v>559</v>
      </c>
      <c r="G585" t="s">
        <v>624</v>
      </c>
      <c r="H585" t="s">
        <v>625</v>
      </c>
      <c r="J585" s="2"/>
      <c r="M585" s="2"/>
      <c r="N585">
        <v>836415.86463488999</v>
      </c>
      <c r="O585">
        <v>1345124</v>
      </c>
      <c r="Q585">
        <v>9691.19</v>
      </c>
      <c r="R585">
        <v>0</v>
      </c>
      <c r="S585">
        <v>1335432.81</v>
      </c>
      <c r="T585" t="s">
        <v>562</v>
      </c>
      <c r="U585" t="s">
        <v>26</v>
      </c>
      <c r="W585" s="3">
        <v>78326784</v>
      </c>
    </row>
    <row r="586" spans="1:23">
      <c r="A586" t="s">
        <v>60</v>
      </c>
      <c r="B586" t="s">
        <v>61</v>
      </c>
      <c r="C586" s="2">
        <v>45864</v>
      </c>
      <c r="D586" t="s">
        <v>558</v>
      </c>
      <c r="E586" t="s">
        <v>559</v>
      </c>
      <c r="G586" t="s">
        <v>624</v>
      </c>
      <c r="H586" t="s">
        <v>625</v>
      </c>
      <c r="J586" s="2"/>
      <c r="M586" s="2"/>
      <c r="N586">
        <v>1050357.0756485199</v>
      </c>
      <c r="O586">
        <v>1689184.27</v>
      </c>
      <c r="Q586">
        <v>13451.43</v>
      </c>
      <c r="R586">
        <v>0</v>
      </c>
      <c r="S586">
        <v>1675732.84</v>
      </c>
      <c r="T586" t="s">
        <v>562</v>
      </c>
      <c r="U586" t="s">
        <v>26</v>
      </c>
      <c r="W586" s="3">
        <v>45006522</v>
      </c>
    </row>
    <row r="587" spans="1:23">
      <c r="A587" t="s">
        <v>29</v>
      </c>
      <c r="B587" t="s">
        <v>30</v>
      </c>
      <c r="C587" s="2">
        <v>45864</v>
      </c>
      <c r="D587" t="s">
        <v>571</v>
      </c>
      <c r="E587" t="s">
        <v>572</v>
      </c>
      <c r="F587" t="s">
        <v>614</v>
      </c>
      <c r="G587" t="s">
        <v>626</v>
      </c>
      <c r="H587" t="s">
        <v>627</v>
      </c>
      <c r="J587" s="2"/>
      <c r="M587" s="2"/>
      <c r="N587">
        <v>24306.775620650002</v>
      </c>
      <c r="O587">
        <v>39017.93</v>
      </c>
      <c r="S587">
        <v>39017.93</v>
      </c>
      <c r="T587" t="s">
        <v>505</v>
      </c>
      <c r="U587" t="s">
        <v>26</v>
      </c>
      <c r="V587" t="s">
        <v>576</v>
      </c>
      <c r="W587" s="3">
        <v>13335752</v>
      </c>
    </row>
    <row r="588" spans="1:23">
      <c r="A588" t="s">
        <v>45</v>
      </c>
      <c r="B588" t="s">
        <v>46</v>
      </c>
      <c r="C588" s="2">
        <v>45864</v>
      </c>
      <c r="D588" t="s">
        <v>571</v>
      </c>
      <c r="E588" t="s">
        <v>572</v>
      </c>
      <c r="F588" t="s">
        <v>628</v>
      </c>
      <c r="G588" t="s">
        <v>629</v>
      </c>
      <c r="H588" t="s">
        <v>630</v>
      </c>
      <c r="J588" s="2"/>
      <c r="M588" s="2"/>
      <c r="N588">
        <v>209243.24724237999</v>
      </c>
      <c r="O588">
        <v>312499</v>
      </c>
      <c r="S588">
        <v>312499</v>
      </c>
      <c r="T588" t="s">
        <v>562</v>
      </c>
      <c r="U588" t="s">
        <v>26</v>
      </c>
      <c r="V588" t="s">
        <v>591</v>
      </c>
      <c r="W588" s="3">
        <v>73453315</v>
      </c>
    </row>
    <row r="589" spans="1:23">
      <c r="A589" t="s">
        <v>45</v>
      </c>
      <c r="B589" t="s">
        <v>46</v>
      </c>
      <c r="C589" s="2">
        <v>45864</v>
      </c>
      <c r="D589" t="s">
        <v>571</v>
      </c>
      <c r="E589" t="s">
        <v>572</v>
      </c>
      <c r="F589" t="s">
        <v>628</v>
      </c>
      <c r="G589" t="s">
        <v>631</v>
      </c>
      <c r="H589" t="s">
        <v>632</v>
      </c>
      <c r="J589" s="2"/>
      <c r="M589" s="2"/>
      <c r="N589">
        <v>265813.11935682001</v>
      </c>
      <c r="O589">
        <v>354489.15</v>
      </c>
      <c r="S589">
        <v>354489.15</v>
      </c>
      <c r="T589" t="s">
        <v>562</v>
      </c>
      <c r="U589" t="s">
        <v>26</v>
      </c>
      <c r="V589" t="s">
        <v>591</v>
      </c>
      <c r="W589" s="3">
        <v>55581674</v>
      </c>
    </row>
    <row r="590" spans="1:23">
      <c r="A590" t="s">
        <v>41</v>
      </c>
      <c r="B590" t="s">
        <v>42</v>
      </c>
      <c r="C590" s="2">
        <v>45864</v>
      </c>
      <c r="D590" t="s">
        <v>571</v>
      </c>
      <c r="E590" t="s">
        <v>572</v>
      </c>
      <c r="F590" t="s">
        <v>633</v>
      </c>
      <c r="G590" t="s">
        <v>634</v>
      </c>
      <c r="H590" t="s">
        <v>635</v>
      </c>
      <c r="J590" s="2"/>
      <c r="M590" s="2"/>
      <c r="N590">
        <v>11679.400956539999</v>
      </c>
      <c r="O590">
        <v>17574.830000000002</v>
      </c>
      <c r="S590">
        <v>17574.830000000002</v>
      </c>
      <c r="T590" t="s">
        <v>76</v>
      </c>
      <c r="U590" t="s">
        <v>26</v>
      </c>
      <c r="V590" t="s">
        <v>576</v>
      </c>
      <c r="W590" s="3">
        <v>72046323</v>
      </c>
    </row>
    <row r="591" spans="1:23">
      <c r="A591" t="s">
        <v>41</v>
      </c>
      <c r="B591" t="s">
        <v>42</v>
      </c>
      <c r="C591" s="2">
        <v>45864</v>
      </c>
      <c r="D591" t="s">
        <v>571</v>
      </c>
      <c r="E591" t="s">
        <v>572</v>
      </c>
      <c r="F591" t="s">
        <v>636</v>
      </c>
      <c r="G591" t="s">
        <v>634</v>
      </c>
      <c r="H591" t="s">
        <v>635</v>
      </c>
      <c r="J591" s="2"/>
      <c r="M591" s="2"/>
      <c r="N591">
        <v>27400.436614620001</v>
      </c>
      <c r="O591">
        <v>41231.4</v>
      </c>
      <c r="S591">
        <v>41231.4</v>
      </c>
      <c r="T591" t="s">
        <v>76</v>
      </c>
      <c r="U591" t="s">
        <v>26</v>
      </c>
      <c r="V591" t="s">
        <v>576</v>
      </c>
      <c r="W591" s="3">
        <v>71984461</v>
      </c>
    </row>
    <row r="592" spans="1:23">
      <c r="A592" t="s">
        <v>41</v>
      </c>
      <c r="B592" t="s">
        <v>42</v>
      </c>
      <c r="C592" s="2">
        <v>45864</v>
      </c>
      <c r="D592" t="s">
        <v>571</v>
      </c>
      <c r="E592" t="s">
        <v>572</v>
      </c>
      <c r="F592" t="s">
        <v>637</v>
      </c>
      <c r="G592" t="s">
        <v>634</v>
      </c>
      <c r="H592" t="s">
        <v>635</v>
      </c>
      <c r="J592" s="2"/>
      <c r="M592" s="2"/>
      <c r="N592">
        <v>104454.42775852</v>
      </c>
      <c r="O592">
        <v>157180.07</v>
      </c>
      <c r="S592">
        <v>157180.07</v>
      </c>
      <c r="T592" t="s">
        <v>76</v>
      </c>
      <c r="U592" t="s">
        <v>26</v>
      </c>
      <c r="V592" t="s">
        <v>576</v>
      </c>
      <c r="W592" s="3">
        <v>75307248</v>
      </c>
    </row>
    <row r="593" spans="1:23">
      <c r="A593" t="s">
        <v>54</v>
      </c>
      <c r="B593" t="s">
        <v>55</v>
      </c>
      <c r="C593" s="2">
        <v>45864</v>
      </c>
      <c r="D593" t="s">
        <v>571</v>
      </c>
      <c r="E593" t="s">
        <v>572</v>
      </c>
      <c r="F593" t="s">
        <v>638</v>
      </c>
      <c r="G593" t="s">
        <v>634</v>
      </c>
      <c r="H593" t="s">
        <v>635</v>
      </c>
      <c r="J593" s="2"/>
      <c r="M593" s="2"/>
      <c r="N593">
        <v>174977.23371212001</v>
      </c>
      <c r="O593">
        <v>263027.84000000003</v>
      </c>
      <c r="P593" s="4"/>
      <c r="S593">
        <v>263027.84000000003</v>
      </c>
      <c r="T593" t="s">
        <v>76</v>
      </c>
      <c r="U593" t="s">
        <v>26</v>
      </c>
      <c r="V593" t="s">
        <v>576</v>
      </c>
      <c r="W593" s="3">
        <v>45836460</v>
      </c>
    </row>
    <row r="594" spans="1:23">
      <c r="A594" t="s">
        <v>66</v>
      </c>
      <c r="B594" t="s">
        <v>67</v>
      </c>
      <c r="C594" s="2">
        <v>45864</v>
      </c>
      <c r="D594" t="s">
        <v>571</v>
      </c>
      <c r="E594" t="s">
        <v>572</v>
      </c>
      <c r="F594" t="s">
        <v>603</v>
      </c>
      <c r="G594" t="s">
        <v>634</v>
      </c>
      <c r="H594" t="s">
        <v>635</v>
      </c>
      <c r="J594" s="2"/>
      <c r="M594" s="2"/>
      <c r="N594">
        <v>336972.08565369999</v>
      </c>
      <c r="O594">
        <v>507066.06</v>
      </c>
      <c r="S594">
        <v>507066.06</v>
      </c>
      <c r="T594" t="s">
        <v>76</v>
      </c>
      <c r="U594" t="s">
        <v>26</v>
      </c>
      <c r="V594" t="s">
        <v>576</v>
      </c>
      <c r="W594" s="3">
        <v>9923265</v>
      </c>
    </row>
    <row r="595" spans="1:23">
      <c r="A595" t="s">
        <v>60</v>
      </c>
      <c r="B595" t="s">
        <v>61</v>
      </c>
      <c r="C595" s="2">
        <v>45864</v>
      </c>
      <c r="D595" t="s">
        <v>571</v>
      </c>
      <c r="E595" t="s">
        <v>572</v>
      </c>
      <c r="F595" t="s">
        <v>639</v>
      </c>
      <c r="G595" t="s">
        <v>634</v>
      </c>
      <c r="H595" t="s">
        <v>635</v>
      </c>
      <c r="J595" s="2"/>
      <c r="M595" s="2"/>
      <c r="N595">
        <v>1642737.5614795301</v>
      </c>
      <c r="O595">
        <v>2469382.4900000002</v>
      </c>
      <c r="S595">
        <v>2469382.4900000002</v>
      </c>
      <c r="T595" t="s">
        <v>76</v>
      </c>
      <c r="U595" t="s">
        <v>26</v>
      </c>
      <c r="V595" t="s">
        <v>576</v>
      </c>
      <c r="W595" s="3">
        <v>13930273</v>
      </c>
    </row>
    <row r="596" spans="1:23">
      <c r="A596" t="s">
        <v>66</v>
      </c>
      <c r="B596" t="s">
        <v>67</v>
      </c>
      <c r="C596" s="2">
        <v>45864</v>
      </c>
      <c r="D596" t="s">
        <v>571</v>
      </c>
      <c r="E596" t="s">
        <v>572</v>
      </c>
      <c r="F596" t="s">
        <v>640</v>
      </c>
      <c r="G596" t="s">
        <v>641</v>
      </c>
      <c r="H596" t="s">
        <v>642</v>
      </c>
      <c r="J596" s="2"/>
      <c r="M596" s="2"/>
      <c r="N596">
        <v>66629.669227670005</v>
      </c>
      <c r="O596">
        <v>101051.12</v>
      </c>
      <c r="S596">
        <v>101051.12</v>
      </c>
      <c r="T596" t="s">
        <v>76</v>
      </c>
      <c r="U596" t="s">
        <v>26</v>
      </c>
      <c r="V596" t="s">
        <v>576</v>
      </c>
      <c r="W596" s="3">
        <v>20714638</v>
      </c>
    </row>
    <row r="597" spans="1:23">
      <c r="A597" t="s">
        <v>66</v>
      </c>
      <c r="B597" t="s">
        <v>67</v>
      </c>
      <c r="C597" s="2">
        <v>45864</v>
      </c>
      <c r="D597" t="s">
        <v>571</v>
      </c>
      <c r="E597" t="s">
        <v>572</v>
      </c>
      <c r="F597" t="s">
        <v>643</v>
      </c>
      <c r="G597" t="s">
        <v>641</v>
      </c>
      <c r="H597" t="s">
        <v>642</v>
      </c>
      <c r="J597" s="2"/>
      <c r="M597" s="2"/>
      <c r="N597">
        <v>96151.375709970001</v>
      </c>
      <c r="O597">
        <v>145823.99</v>
      </c>
      <c r="S597">
        <v>145823.99</v>
      </c>
      <c r="T597" t="s">
        <v>76</v>
      </c>
      <c r="U597" t="s">
        <v>26</v>
      </c>
      <c r="V597" t="s">
        <v>576</v>
      </c>
      <c r="W597" s="3">
        <v>24773987</v>
      </c>
    </row>
    <row r="598" spans="1:23">
      <c r="A598" t="s">
        <v>66</v>
      </c>
      <c r="B598" t="s">
        <v>67</v>
      </c>
      <c r="C598" s="2">
        <v>45864</v>
      </c>
      <c r="D598" t="s">
        <v>571</v>
      </c>
      <c r="E598" t="s">
        <v>572</v>
      </c>
      <c r="F598" t="s">
        <v>644</v>
      </c>
      <c r="G598" t="s">
        <v>641</v>
      </c>
      <c r="H598" t="s">
        <v>642</v>
      </c>
      <c r="J598" s="2"/>
      <c r="M598" s="2"/>
      <c r="N598">
        <v>137898.03966638001</v>
      </c>
      <c r="O598">
        <v>209137.33</v>
      </c>
      <c r="S598">
        <v>209137.33</v>
      </c>
      <c r="T598" t="s">
        <v>76</v>
      </c>
      <c r="U598" t="s">
        <v>26</v>
      </c>
      <c r="V598" t="s">
        <v>576</v>
      </c>
      <c r="W598" s="3">
        <v>32953947</v>
      </c>
    </row>
    <row r="599" spans="1:23">
      <c r="A599" t="s">
        <v>66</v>
      </c>
      <c r="B599" t="s">
        <v>67</v>
      </c>
      <c r="C599" s="2">
        <v>45864</v>
      </c>
      <c r="D599" t="s">
        <v>571</v>
      </c>
      <c r="E599" t="s">
        <v>572</v>
      </c>
      <c r="F599" t="s">
        <v>645</v>
      </c>
      <c r="G599" t="s">
        <v>641</v>
      </c>
      <c r="H599" t="s">
        <v>642</v>
      </c>
      <c r="J599" s="2"/>
      <c r="M599" s="2"/>
      <c r="N599">
        <v>138026.54489669</v>
      </c>
      <c r="O599">
        <v>209332.22</v>
      </c>
      <c r="S599">
        <v>209332.22</v>
      </c>
      <c r="T599" t="s">
        <v>76</v>
      </c>
      <c r="U599" t="s">
        <v>26</v>
      </c>
      <c r="V599" t="s">
        <v>576</v>
      </c>
      <c r="W599" s="3">
        <v>17747008</v>
      </c>
    </row>
    <row r="600" spans="1:23">
      <c r="A600" t="s">
        <v>54</v>
      </c>
      <c r="B600" t="s">
        <v>55</v>
      </c>
      <c r="C600" s="2">
        <v>45864</v>
      </c>
      <c r="D600" t="s">
        <v>571</v>
      </c>
      <c r="E600" t="s">
        <v>572</v>
      </c>
      <c r="F600" t="s">
        <v>638</v>
      </c>
      <c r="G600" t="s">
        <v>641</v>
      </c>
      <c r="H600" t="s">
        <v>642</v>
      </c>
      <c r="J600" s="2"/>
      <c r="M600" s="2"/>
      <c r="N600">
        <v>172063.85438298999</v>
      </c>
      <c r="O600">
        <v>260832.17</v>
      </c>
      <c r="S600">
        <v>260832.17</v>
      </c>
      <c r="T600" t="s">
        <v>76</v>
      </c>
      <c r="U600" t="s">
        <v>26</v>
      </c>
      <c r="V600" t="s">
        <v>576</v>
      </c>
      <c r="W600" s="3">
        <v>11472450</v>
      </c>
    </row>
    <row r="601" spans="1:23">
      <c r="A601" t="s">
        <v>60</v>
      </c>
      <c r="B601" t="s">
        <v>61</v>
      </c>
      <c r="C601" s="2">
        <v>45864</v>
      </c>
      <c r="D601" t="s">
        <v>571</v>
      </c>
      <c r="E601" t="s">
        <v>572</v>
      </c>
      <c r="F601" t="s">
        <v>646</v>
      </c>
      <c r="G601" t="s">
        <v>641</v>
      </c>
      <c r="H601" t="s">
        <v>642</v>
      </c>
      <c r="J601" s="2"/>
      <c r="M601" s="2"/>
      <c r="N601">
        <v>272318.37362873001</v>
      </c>
      <c r="O601">
        <v>412808.32</v>
      </c>
      <c r="S601">
        <v>412808.32</v>
      </c>
      <c r="T601" t="s">
        <v>76</v>
      </c>
      <c r="U601" t="s">
        <v>26</v>
      </c>
      <c r="V601" t="s">
        <v>576</v>
      </c>
      <c r="W601" s="3">
        <v>13094865</v>
      </c>
    </row>
    <row r="602" spans="1:23">
      <c r="A602" t="s">
        <v>66</v>
      </c>
      <c r="B602" t="s">
        <v>67</v>
      </c>
      <c r="C602" s="2">
        <v>45864</v>
      </c>
      <c r="D602" t="s">
        <v>571</v>
      </c>
      <c r="E602" t="s">
        <v>572</v>
      </c>
      <c r="F602" t="s">
        <v>647</v>
      </c>
      <c r="G602" t="s">
        <v>641</v>
      </c>
      <c r="H602" t="s">
        <v>642</v>
      </c>
      <c r="J602" s="2"/>
      <c r="M602" s="2"/>
      <c r="N602">
        <v>337243.79283619998</v>
      </c>
      <c r="O602">
        <v>511466.79</v>
      </c>
      <c r="S602">
        <v>511466.79</v>
      </c>
      <c r="T602" t="s">
        <v>76</v>
      </c>
      <c r="U602" t="s">
        <v>26</v>
      </c>
      <c r="V602" t="s">
        <v>576</v>
      </c>
      <c r="W602" s="3">
        <v>27476584</v>
      </c>
    </row>
    <row r="603" spans="1:23">
      <c r="A603" t="s">
        <v>60</v>
      </c>
      <c r="B603" t="s">
        <v>61</v>
      </c>
      <c r="C603" s="2">
        <v>45864</v>
      </c>
      <c r="D603" t="s">
        <v>571</v>
      </c>
      <c r="E603" t="s">
        <v>572</v>
      </c>
      <c r="F603" t="s">
        <v>639</v>
      </c>
      <c r="G603" t="s">
        <v>641</v>
      </c>
      <c r="H603" t="s">
        <v>642</v>
      </c>
      <c r="J603" s="2"/>
      <c r="M603" s="2"/>
      <c r="N603">
        <v>356414.2648983</v>
      </c>
      <c r="O603">
        <v>540289.56000000006</v>
      </c>
      <c r="S603">
        <v>540289.56000000006</v>
      </c>
      <c r="T603" t="s">
        <v>76</v>
      </c>
      <c r="U603" t="s">
        <v>26</v>
      </c>
      <c r="V603" t="s">
        <v>576</v>
      </c>
      <c r="W603" s="3">
        <v>34973330</v>
      </c>
    </row>
    <row r="604" spans="1:23">
      <c r="A604" t="s">
        <v>66</v>
      </c>
      <c r="B604" t="s">
        <v>67</v>
      </c>
      <c r="C604" s="2">
        <v>45864</v>
      </c>
      <c r="D604" t="s">
        <v>571</v>
      </c>
      <c r="E604" t="s">
        <v>572</v>
      </c>
      <c r="F604" t="s">
        <v>603</v>
      </c>
      <c r="G604" t="s">
        <v>641</v>
      </c>
      <c r="H604" t="s">
        <v>642</v>
      </c>
      <c r="J604" s="2"/>
      <c r="M604" s="2"/>
      <c r="N604">
        <v>377822.34923245001</v>
      </c>
      <c r="O604">
        <v>573008.56999999995</v>
      </c>
      <c r="S604">
        <v>573008.56999999995</v>
      </c>
      <c r="T604" t="s">
        <v>76</v>
      </c>
      <c r="U604" t="s">
        <v>26</v>
      </c>
      <c r="V604" t="s">
        <v>576</v>
      </c>
      <c r="W604" s="3">
        <v>43966700</v>
      </c>
    </row>
    <row r="605" spans="1:23">
      <c r="A605" t="s">
        <v>60</v>
      </c>
      <c r="B605" t="s">
        <v>61</v>
      </c>
      <c r="C605" s="2">
        <v>45864</v>
      </c>
      <c r="D605" t="s">
        <v>571</v>
      </c>
      <c r="E605" t="s">
        <v>572</v>
      </c>
      <c r="F605" t="s">
        <v>648</v>
      </c>
      <c r="G605" t="s">
        <v>641</v>
      </c>
      <c r="H605" t="s">
        <v>642</v>
      </c>
      <c r="J605" s="2"/>
      <c r="M605" s="2"/>
      <c r="N605">
        <v>780415.19712236</v>
      </c>
      <c r="O605">
        <v>1183033.98</v>
      </c>
      <c r="S605">
        <v>1183033.98</v>
      </c>
      <c r="T605" t="s">
        <v>76</v>
      </c>
      <c r="U605" t="s">
        <v>26</v>
      </c>
      <c r="V605" t="s">
        <v>576</v>
      </c>
      <c r="W605" s="3">
        <v>28783975</v>
      </c>
    </row>
    <row r="606" spans="1:23">
      <c r="A606" t="s">
        <v>31</v>
      </c>
      <c r="B606" t="s">
        <v>32</v>
      </c>
      <c r="C606" s="2">
        <v>45864</v>
      </c>
      <c r="D606" t="s">
        <v>571</v>
      </c>
      <c r="E606" t="s">
        <v>572</v>
      </c>
      <c r="F606" t="s">
        <v>649</v>
      </c>
      <c r="G606" t="s">
        <v>650</v>
      </c>
      <c r="H606" t="s">
        <v>651</v>
      </c>
      <c r="J606" s="2"/>
      <c r="M606" s="2"/>
      <c r="N606">
        <v>164481.19675355</v>
      </c>
      <c r="O606">
        <v>242083.81</v>
      </c>
      <c r="S606">
        <v>242083.81</v>
      </c>
      <c r="T606" t="s">
        <v>562</v>
      </c>
      <c r="U606" t="s">
        <v>26</v>
      </c>
      <c r="V606" t="s">
        <v>576</v>
      </c>
      <c r="W606" s="3">
        <v>78743820</v>
      </c>
    </row>
    <row r="607" spans="1:23">
      <c r="A607" t="s">
        <v>41</v>
      </c>
      <c r="B607" t="s">
        <v>42</v>
      </c>
      <c r="C607" s="2">
        <v>45864</v>
      </c>
      <c r="D607" t="s">
        <v>571</v>
      </c>
      <c r="E607" t="s">
        <v>572</v>
      </c>
      <c r="F607" t="s">
        <v>593</v>
      </c>
      <c r="G607" t="s">
        <v>650</v>
      </c>
      <c r="H607" t="s">
        <v>651</v>
      </c>
      <c r="J607" s="2"/>
      <c r="M607" s="2"/>
      <c r="N607">
        <v>166657.05887305</v>
      </c>
      <c r="O607">
        <v>245286.25</v>
      </c>
      <c r="P607" s="4"/>
      <c r="S607">
        <v>245286.25</v>
      </c>
      <c r="T607" t="s">
        <v>562</v>
      </c>
      <c r="U607" t="s">
        <v>26</v>
      </c>
      <c r="V607" t="s">
        <v>576</v>
      </c>
      <c r="W607" s="3">
        <v>69168119</v>
      </c>
    </row>
    <row r="608" spans="1:23">
      <c r="A608" t="s">
        <v>31</v>
      </c>
      <c r="B608" t="s">
        <v>32</v>
      </c>
      <c r="C608" s="2">
        <v>45864</v>
      </c>
      <c r="D608" t="s">
        <v>571</v>
      </c>
      <c r="E608" t="s">
        <v>572</v>
      </c>
      <c r="F608" t="s">
        <v>594</v>
      </c>
      <c r="G608" t="s">
        <v>650</v>
      </c>
      <c r="H608" t="s">
        <v>651</v>
      </c>
      <c r="J608" s="2"/>
      <c r="M608" s="2"/>
      <c r="N608">
        <v>220938.44779397</v>
      </c>
      <c r="O608">
        <v>325177.73</v>
      </c>
      <c r="S608">
        <v>325177.73</v>
      </c>
      <c r="T608" t="s">
        <v>562</v>
      </c>
      <c r="U608" t="s">
        <v>26</v>
      </c>
      <c r="V608" t="s">
        <v>576</v>
      </c>
      <c r="W608" s="3">
        <v>59664166</v>
      </c>
    </row>
    <row r="609" spans="1:23">
      <c r="A609" t="s">
        <v>31</v>
      </c>
      <c r="B609" t="s">
        <v>32</v>
      </c>
      <c r="C609" s="2">
        <v>45864</v>
      </c>
      <c r="D609" t="s">
        <v>571</v>
      </c>
      <c r="E609" t="s">
        <v>572</v>
      </c>
      <c r="F609" t="s">
        <v>652</v>
      </c>
      <c r="G609" t="s">
        <v>653</v>
      </c>
      <c r="H609" t="s">
        <v>654</v>
      </c>
      <c r="J609" s="2"/>
      <c r="M609" s="2"/>
      <c r="N609">
        <v>251.58432798000001</v>
      </c>
      <c r="O609">
        <v>34147.65</v>
      </c>
      <c r="S609">
        <v>34147.65</v>
      </c>
      <c r="T609" t="s">
        <v>121</v>
      </c>
      <c r="U609" t="s">
        <v>26</v>
      </c>
      <c r="V609" t="s">
        <v>576</v>
      </c>
      <c r="W609" s="3">
        <v>63408156</v>
      </c>
    </row>
    <row r="610" spans="1:23">
      <c r="A610" t="s">
        <v>31</v>
      </c>
      <c r="B610" t="s">
        <v>32</v>
      </c>
      <c r="C610" s="2">
        <v>45864</v>
      </c>
      <c r="D610" t="s">
        <v>571</v>
      </c>
      <c r="E610" t="s">
        <v>572</v>
      </c>
      <c r="F610" t="s">
        <v>655</v>
      </c>
      <c r="G610" t="s">
        <v>653</v>
      </c>
      <c r="H610" t="s">
        <v>654</v>
      </c>
      <c r="J610" s="2"/>
      <c r="M610" s="2"/>
      <c r="N610">
        <v>4109.1884752899996</v>
      </c>
      <c r="O610">
        <v>557741.93000000005</v>
      </c>
      <c r="S610">
        <v>557741.93000000005</v>
      </c>
      <c r="T610" t="s">
        <v>121</v>
      </c>
      <c r="U610" t="s">
        <v>26</v>
      </c>
      <c r="V610" t="s">
        <v>576</v>
      </c>
      <c r="W610" s="3">
        <v>66191535</v>
      </c>
    </row>
    <row r="611" spans="1:23">
      <c r="A611" t="s">
        <v>45</v>
      </c>
      <c r="B611" t="s">
        <v>46</v>
      </c>
      <c r="C611" s="2">
        <v>45864</v>
      </c>
      <c r="D611" t="s">
        <v>571</v>
      </c>
      <c r="E611" t="s">
        <v>572</v>
      </c>
      <c r="F611" t="s">
        <v>628</v>
      </c>
      <c r="G611" t="s">
        <v>656</v>
      </c>
      <c r="H611" t="s">
        <v>657</v>
      </c>
      <c r="J611" s="2"/>
      <c r="M611" s="2"/>
      <c r="N611">
        <v>240316.13875401</v>
      </c>
      <c r="O611">
        <v>290650.21000000002</v>
      </c>
      <c r="S611">
        <v>290650.21000000002</v>
      </c>
      <c r="T611" t="s">
        <v>562</v>
      </c>
      <c r="U611" t="s">
        <v>26</v>
      </c>
      <c r="V611" t="s">
        <v>591</v>
      </c>
      <c r="W611" s="3">
        <v>70865144</v>
      </c>
    </row>
    <row r="612" spans="1:23">
      <c r="A612" t="s">
        <v>43</v>
      </c>
      <c r="B612" t="s">
        <v>44</v>
      </c>
      <c r="C612" s="2">
        <v>45864</v>
      </c>
      <c r="D612" t="s">
        <v>558</v>
      </c>
      <c r="E612" t="s">
        <v>559</v>
      </c>
      <c r="G612" t="s">
        <v>658</v>
      </c>
      <c r="H612" t="s">
        <v>659</v>
      </c>
      <c r="J612" s="2"/>
      <c r="M612" s="2"/>
      <c r="N612">
        <v>307284.35350099998</v>
      </c>
      <c r="O612">
        <v>418556.32</v>
      </c>
      <c r="Q612">
        <v>5783.45</v>
      </c>
      <c r="R612">
        <v>0</v>
      </c>
      <c r="S612">
        <v>412772.87</v>
      </c>
      <c r="T612" t="s">
        <v>505</v>
      </c>
      <c r="U612" t="s">
        <v>26</v>
      </c>
      <c r="W612" s="3">
        <v>79629972</v>
      </c>
    </row>
    <row r="613" spans="1:23">
      <c r="A613" t="s">
        <v>58</v>
      </c>
      <c r="B613" t="s">
        <v>59</v>
      </c>
      <c r="C613" s="2">
        <v>45864</v>
      </c>
      <c r="D613" t="s">
        <v>558</v>
      </c>
      <c r="E613" t="s">
        <v>559</v>
      </c>
      <c r="G613" t="s">
        <v>660</v>
      </c>
      <c r="H613" t="s">
        <v>661</v>
      </c>
      <c r="J613" s="2"/>
      <c r="M613" s="2"/>
      <c r="N613">
        <v>340435.69109538</v>
      </c>
      <c r="O613">
        <v>534625.1</v>
      </c>
      <c r="Q613">
        <v>5193.7700000000004</v>
      </c>
      <c r="R613">
        <v>0</v>
      </c>
      <c r="S613">
        <v>529431.32999999996</v>
      </c>
      <c r="T613" t="s">
        <v>505</v>
      </c>
      <c r="U613" t="s">
        <v>26</v>
      </c>
      <c r="W613" s="3">
        <v>19255292</v>
      </c>
    </row>
    <row r="614" spans="1:23">
      <c r="A614" t="s">
        <v>51</v>
      </c>
      <c r="B614" t="s">
        <v>52</v>
      </c>
      <c r="C614" s="2">
        <v>45864</v>
      </c>
      <c r="D614" t="s">
        <v>558</v>
      </c>
      <c r="E614" t="s">
        <v>559</v>
      </c>
      <c r="G614" t="s">
        <v>660</v>
      </c>
      <c r="H614" t="s">
        <v>661</v>
      </c>
      <c r="J614" s="2"/>
      <c r="M614" s="2"/>
      <c r="N614">
        <v>340842.62814589002</v>
      </c>
      <c r="O614">
        <v>534911.4</v>
      </c>
      <c r="Q614">
        <v>5236.71</v>
      </c>
      <c r="R614">
        <v>0</v>
      </c>
      <c r="S614">
        <v>529674.68999999994</v>
      </c>
      <c r="T614" t="s">
        <v>505</v>
      </c>
      <c r="U614" t="s">
        <v>26</v>
      </c>
      <c r="W614" s="3">
        <v>3755057</v>
      </c>
    </row>
    <row r="615" spans="1:23">
      <c r="A615" t="s">
        <v>66</v>
      </c>
      <c r="B615" t="s">
        <v>67</v>
      </c>
      <c r="C615" s="2">
        <v>45864</v>
      </c>
      <c r="D615" t="s">
        <v>558</v>
      </c>
      <c r="E615" t="s">
        <v>559</v>
      </c>
      <c r="G615" t="s">
        <v>660</v>
      </c>
      <c r="H615" t="s">
        <v>661</v>
      </c>
      <c r="J615" s="2"/>
      <c r="M615" s="2"/>
      <c r="N615">
        <v>2028661.9489353099</v>
      </c>
      <c r="O615">
        <v>3185839.9</v>
      </c>
      <c r="Q615">
        <v>10727.84</v>
      </c>
      <c r="R615">
        <v>0</v>
      </c>
      <c r="S615">
        <v>3175112.06</v>
      </c>
      <c r="T615" t="s">
        <v>505</v>
      </c>
      <c r="U615" t="s">
        <v>26</v>
      </c>
      <c r="W615" s="3">
        <v>42869397</v>
      </c>
    </row>
    <row r="616" spans="1:23">
      <c r="A616" t="s">
        <v>31</v>
      </c>
      <c r="B616" t="s">
        <v>32</v>
      </c>
      <c r="C616" s="2">
        <v>45864</v>
      </c>
      <c r="D616" t="s">
        <v>571</v>
      </c>
      <c r="E616" t="s">
        <v>572</v>
      </c>
      <c r="F616" t="s">
        <v>662</v>
      </c>
      <c r="G616" t="s">
        <v>663</v>
      </c>
      <c r="H616" t="s">
        <v>664</v>
      </c>
      <c r="J616" s="2"/>
      <c r="M616" s="2"/>
      <c r="N616">
        <v>8399.2191459099995</v>
      </c>
      <c r="O616">
        <v>11777.26</v>
      </c>
      <c r="S616">
        <v>11777.26</v>
      </c>
      <c r="T616" t="s">
        <v>76</v>
      </c>
      <c r="U616" t="s">
        <v>26</v>
      </c>
      <c r="V616" t="s">
        <v>576</v>
      </c>
      <c r="W616" s="3">
        <v>49641927</v>
      </c>
    </row>
    <row r="617" spans="1:23">
      <c r="A617" t="s">
        <v>31</v>
      </c>
      <c r="B617" t="s">
        <v>32</v>
      </c>
      <c r="C617" s="2">
        <v>45864</v>
      </c>
      <c r="D617" t="s">
        <v>571</v>
      </c>
      <c r="E617" t="s">
        <v>572</v>
      </c>
      <c r="F617" t="s">
        <v>649</v>
      </c>
      <c r="G617" t="s">
        <v>663</v>
      </c>
      <c r="H617" t="s">
        <v>664</v>
      </c>
      <c r="J617" s="2"/>
      <c r="M617" s="2"/>
      <c r="N617">
        <v>12922.30424039</v>
      </c>
      <c r="O617">
        <v>18119.46</v>
      </c>
      <c r="S617">
        <v>18119.46</v>
      </c>
      <c r="T617" t="s">
        <v>76</v>
      </c>
      <c r="U617" t="s">
        <v>26</v>
      </c>
      <c r="V617" t="s">
        <v>576</v>
      </c>
      <c r="W617" s="3">
        <v>1505297</v>
      </c>
    </row>
    <row r="618" spans="1:23">
      <c r="A618" t="s">
        <v>31</v>
      </c>
      <c r="B618" t="s">
        <v>32</v>
      </c>
      <c r="C618" s="2">
        <v>45864</v>
      </c>
      <c r="D618" t="s">
        <v>571</v>
      </c>
      <c r="E618" t="s">
        <v>572</v>
      </c>
      <c r="F618" t="s">
        <v>665</v>
      </c>
      <c r="G618" t="s">
        <v>663</v>
      </c>
      <c r="H618" t="s">
        <v>664</v>
      </c>
      <c r="J618" s="2"/>
      <c r="M618" s="2"/>
      <c r="N618">
        <v>34359.353730900002</v>
      </c>
      <c r="O618">
        <v>48178.16</v>
      </c>
      <c r="S618">
        <v>48178.16</v>
      </c>
      <c r="T618" t="s">
        <v>76</v>
      </c>
      <c r="U618" t="s">
        <v>26</v>
      </c>
      <c r="V618" t="s">
        <v>576</v>
      </c>
      <c r="W618" s="3">
        <v>66577029</v>
      </c>
    </row>
    <row r="619" spans="1:23">
      <c r="A619" t="s">
        <v>43</v>
      </c>
      <c r="B619" t="s">
        <v>44</v>
      </c>
      <c r="C619" s="2">
        <v>45864</v>
      </c>
      <c r="D619" t="s">
        <v>571</v>
      </c>
      <c r="E619" t="s">
        <v>572</v>
      </c>
      <c r="F619" t="s">
        <v>587</v>
      </c>
      <c r="G619" t="s">
        <v>663</v>
      </c>
      <c r="H619" t="s">
        <v>664</v>
      </c>
      <c r="J619" s="2"/>
      <c r="M619" s="2"/>
      <c r="N619">
        <v>119906.17495009</v>
      </c>
      <c r="O619">
        <v>168130.59</v>
      </c>
      <c r="S619">
        <v>168130.59</v>
      </c>
      <c r="T619" t="s">
        <v>76</v>
      </c>
      <c r="U619" t="s">
        <v>26</v>
      </c>
      <c r="V619" t="s">
        <v>576</v>
      </c>
      <c r="W619" s="3">
        <v>2209516</v>
      </c>
    </row>
    <row r="620" spans="1:23">
      <c r="A620" t="s">
        <v>31</v>
      </c>
      <c r="B620" t="s">
        <v>32</v>
      </c>
      <c r="C620" s="2">
        <v>45864</v>
      </c>
      <c r="D620" t="s">
        <v>571</v>
      </c>
      <c r="E620" t="s">
        <v>572</v>
      </c>
      <c r="F620" t="s">
        <v>601</v>
      </c>
      <c r="G620" t="s">
        <v>663</v>
      </c>
      <c r="H620" t="s">
        <v>664</v>
      </c>
      <c r="J620" s="2"/>
      <c r="M620" s="2"/>
      <c r="N620">
        <v>147723.47280834999</v>
      </c>
      <c r="O620">
        <v>207135.58</v>
      </c>
      <c r="S620">
        <v>207135.58</v>
      </c>
      <c r="T620" t="s">
        <v>76</v>
      </c>
      <c r="U620" t="s">
        <v>26</v>
      </c>
      <c r="V620" t="s">
        <v>576</v>
      </c>
      <c r="W620" s="3">
        <v>57199003</v>
      </c>
    </row>
    <row r="621" spans="1:23">
      <c r="A621" t="s">
        <v>60</v>
      </c>
      <c r="B621" t="s">
        <v>61</v>
      </c>
      <c r="C621" s="2">
        <v>45864</v>
      </c>
      <c r="D621" t="s">
        <v>571</v>
      </c>
      <c r="E621" t="s">
        <v>572</v>
      </c>
      <c r="F621" t="s">
        <v>666</v>
      </c>
      <c r="G621" t="s">
        <v>663</v>
      </c>
      <c r="H621" t="s">
        <v>664</v>
      </c>
      <c r="J621" s="2"/>
      <c r="M621" s="2"/>
      <c r="N621">
        <v>179543.14026876001</v>
      </c>
      <c r="O621">
        <v>251623.39</v>
      </c>
      <c r="S621">
        <v>251623.39</v>
      </c>
      <c r="T621" t="s">
        <v>76</v>
      </c>
      <c r="U621" t="s">
        <v>26</v>
      </c>
      <c r="V621" t="s">
        <v>576</v>
      </c>
      <c r="W621" s="3">
        <v>31750636</v>
      </c>
    </row>
    <row r="622" spans="1:23">
      <c r="A622" t="s">
        <v>60</v>
      </c>
      <c r="B622" t="s">
        <v>61</v>
      </c>
      <c r="C622" s="2">
        <v>45864</v>
      </c>
      <c r="D622" t="s">
        <v>571</v>
      </c>
      <c r="E622" t="s">
        <v>572</v>
      </c>
      <c r="F622" t="s">
        <v>667</v>
      </c>
      <c r="G622" t="s">
        <v>663</v>
      </c>
      <c r="H622" t="s">
        <v>664</v>
      </c>
      <c r="J622" s="2"/>
      <c r="M622" s="2"/>
      <c r="N622">
        <v>180807.67781493999</v>
      </c>
      <c r="O622">
        <v>253395.6</v>
      </c>
      <c r="S622">
        <v>253395.6</v>
      </c>
      <c r="T622" t="s">
        <v>76</v>
      </c>
      <c r="U622" t="s">
        <v>26</v>
      </c>
      <c r="V622" t="s">
        <v>576</v>
      </c>
      <c r="W622" s="3">
        <v>6567793</v>
      </c>
    </row>
    <row r="623" spans="1:23">
      <c r="A623" t="s">
        <v>54</v>
      </c>
      <c r="B623" t="s">
        <v>55</v>
      </c>
      <c r="C623" s="2">
        <v>45864</v>
      </c>
      <c r="D623" t="s">
        <v>571</v>
      </c>
      <c r="E623" t="s">
        <v>572</v>
      </c>
      <c r="F623" t="s">
        <v>638</v>
      </c>
      <c r="G623" t="s">
        <v>663</v>
      </c>
      <c r="H623" t="s">
        <v>664</v>
      </c>
      <c r="J623" s="2"/>
      <c r="M623" s="2"/>
      <c r="N623">
        <v>186112.30016191999</v>
      </c>
      <c r="O623">
        <v>260829.84</v>
      </c>
      <c r="S623">
        <v>260829.84</v>
      </c>
      <c r="T623" t="s">
        <v>76</v>
      </c>
      <c r="U623" t="s">
        <v>26</v>
      </c>
      <c r="V623" t="s">
        <v>576</v>
      </c>
      <c r="W623" s="3">
        <v>21788378</v>
      </c>
    </row>
    <row r="624" spans="1:23">
      <c r="A624" t="s">
        <v>60</v>
      </c>
      <c r="B624" t="s">
        <v>61</v>
      </c>
      <c r="C624" s="2">
        <v>45864</v>
      </c>
      <c r="D624" t="s">
        <v>571</v>
      </c>
      <c r="E624" t="s">
        <v>572</v>
      </c>
      <c r="F624" t="s">
        <v>668</v>
      </c>
      <c r="G624" t="s">
        <v>663</v>
      </c>
      <c r="H624" t="s">
        <v>664</v>
      </c>
      <c r="J624" s="2"/>
      <c r="M624" s="2"/>
      <c r="N624">
        <v>190357.31256339001</v>
      </c>
      <c r="O624">
        <v>266779.07</v>
      </c>
      <c r="S624">
        <v>266779.07</v>
      </c>
      <c r="T624" t="s">
        <v>76</v>
      </c>
      <c r="U624" t="s">
        <v>26</v>
      </c>
      <c r="V624" t="s">
        <v>576</v>
      </c>
      <c r="W624" s="3">
        <v>45415525</v>
      </c>
    </row>
    <row r="625" spans="1:23">
      <c r="A625" t="s">
        <v>31</v>
      </c>
      <c r="B625" t="s">
        <v>32</v>
      </c>
      <c r="C625" s="2">
        <v>45864</v>
      </c>
      <c r="D625" t="s">
        <v>571</v>
      </c>
      <c r="E625" t="s">
        <v>572</v>
      </c>
      <c r="F625" t="s">
        <v>669</v>
      </c>
      <c r="G625" t="s">
        <v>663</v>
      </c>
      <c r="H625" t="s">
        <v>664</v>
      </c>
      <c r="J625" s="2"/>
      <c r="M625" s="2"/>
      <c r="N625">
        <v>214370.83512328001</v>
      </c>
      <c r="O625">
        <v>300587.48</v>
      </c>
      <c r="S625">
        <v>300587.48</v>
      </c>
      <c r="T625" t="s">
        <v>76</v>
      </c>
      <c r="U625" t="s">
        <v>26</v>
      </c>
      <c r="V625" t="s">
        <v>576</v>
      </c>
      <c r="W625" s="3">
        <v>72531971</v>
      </c>
    </row>
    <row r="626" spans="1:23">
      <c r="A626" t="s">
        <v>43</v>
      </c>
      <c r="B626" t="s">
        <v>44</v>
      </c>
      <c r="C626" s="2">
        <v>45864</v>
      </c>
      <c r="D626" t="s">
        <v>571</v>
      </c>
      <c r="E626" t="s">
        <v>572</v>
      </c>
      <c r="F626" t="s">
        <v>590</v>
      </c>
      <c r="G626" t="s">
        <v>663</v>
      </c>
      <c r="H626" t="s">
        <v>664</v>
      </c>
      <c r="J626" s="2"/>
      <c r="M626" s="2"/>
      <c r="N626">
        <v>320362.69484683999</v>
      </c>
      <c r="O626">
        <v>449207.64</v>
      </c>
      <c r="S626">
        <v>449207.64</v>
      </c>
      <c r="T626" t="s">
        <v>76</v>
      </c>
      <c r="U626" t="s">
        <v>26</v>
      </c>
      <c r="V626" t="s">
        <v>591</v>
      </c>
      <c r="W626" s="3">
        <v>68679732</v>
      </c>
    </row>
    <row r="627" spans="1:23">
      <c r="A627" t="s">
        <v>60</v>
      </c>
      <c r="B627" t="s">
        <v>61</v>
      </c>
      <c r="C627" s="2">
        <v>45864</v>
      </c>
      <c r="D627" t="s">
        <v>571</v>
      </c>
      <c r="E627" t="s">
        <v>572</v>
      </c>
      <c r="F627" t="s">
        <v>670</v>
      </c>
      <c r="G627" t="s">
        <v>663</v>
      </c>
      <c r="H627" t="s">
        <v>664</v>
      </c>
      <c r="J627" s="2"/>
      <c r="M627" s="2"/>
      <c r="N627">
        <v>354104.29816826002</v>
      </c>
      <c r="O627">
        <v>496264.71</v>
      </c>
      <c r="S627">
        <v>496264.71</v>
      </c>
      <c r="T627" t="s">
        <v>76</v>
      </c>
      <c r="U627" t="s">
        <v>26</v>
      </c>
      <c r="V627" t="s">
        <v>576</v>
      </c>
      <c r="W627" s="3">
        <v>29291685</v>
      </c>
    </row>
    <row r="628" spans="1:23">
      <c r="A628" t="s">
        <v>31</v>
      </c>
      <c r="B628" t="s">
        <v>32</v>
      </c>
      <c r="C628" s="2">
        <v>45864</v>
      </c>
      <c r="D628" t="s">
        <v>571</v>
      </c>
      <c r="E628" t="s">
        <v>572</v>
      </c>
      <c r="F628" t="s">
        <v>671</v>
      </c>
      <c r="G628" t="s">
        <v>663</v>
      </c>
      <c r="H628" t="s">
        <v>664</v>
      </c>
      <c r="J628" s="2"/>
      <c r="M628" s="2"/>
      <c r="N628">
        <v>443170.78074214997</v>
      </c>
      <c r="O628">
        <v>621407.24</v>
      </c>
      <c r="S628">
        <v>621407.24</v>
      </c>
      <c r="T628" t="s">
        <v>76</v>
      </c>
      <c r="U628" t="s">
        <v>26</v>
      </c>
      <c r="V628" t="s">
        <v>576</v>
      </c>
      <c r="W628" s="3">
        <v>81852191</v>
      </c>
    </row>
    <row r="629" spans="1:23">
      <c r="A629" t="s">
        <v>41</v>
      </c>
      <c r="B629" t="s">
        <v>42</v>
      </c>
      <c r="C629" s="2">
        <v>45864</v>
      </c>
      <c r="D629" t="s">
        <v>571</v>
      </c>
      <c r="E629" t="s">
        <v>572</v>
      </c>
      <c r="F629" t="s">
        <v>593</v>
      </c>
      <c r="G629" t="s">
        <v>663</v>
      </c>
      <c r="H629" t="s">
        <v>664</v>
      </c>
      <c r="J629" s="2"/>
      <c r="M629" s="2"/>
      <c r="N629">
        <v>642532.83575119998</v>
      </c>
      <c r="O629">
        <v>900949.65</v>
      </c>
      <c r="S629">
        <v>900949.65</v>
      </c>
      <c r="T629" t="s">
        <v>76</v>
      </c>
      <c r="U629" t="s">
        <v>26</v>
      </c>
      <c r="V629" t="s">
        <v>576</v>
      </c>
      <c r="W629" s="3">
        <v>58648928</v>
      </c>
    </row>
    <row r="630" spans="1:23">
      <c r="A630" t="s">
        <v>60</v>
      </c>
      <c r="B630" t="s">
        <v>61</v>
      </c>
      <c r="C630" s="2">
        <v>45864</v>
      </c>
      <c r="D630" t="s">
        <v>571</v>
      </c>
      <c r="E630" t="s">
        <v>572</v>
      </c>
      <c r="F630" t="s">
        <v>639</v>
      </c>
      <c r="G630" t="s">
        <v>663</v>
      </c>
      <c r="H630" t="s">
        <v>664</v>
      </c>
      <c r="J630" s="2"/>
      <c r="M630" s="2"/>
      <c r="N630">
        <v>652265.38552569004</v>
      </c>
      <c r="O630">
        <v>914126.98</v>
      </c>
      <c r="P630" s="4"/>
      <c r="S630">
        <v>914126.98</v>
      </c>
      <c r="T630" t="s">
        <v>76</v>
      </c>
      <c r="U630" t="s">
        <v>26</v>
      </c>
      <c r="V630" t="s">
        <v>576</v>
      </c>
      <c r="W630" s="3">
        <v>45149335</v>
      </c>
    </row>
    <row r="631" spans="1:23">
      <c r="A631" t="s">
        <v>31</v>
      </c>
      <c r="B631" t="s">
        <v>32</v>
      </c>
      <c r="C631" s="2">
        <v>45864</v>
      </c>
      <c r="D631" t="s">
        <v>571</v>
      </c>
      <c r="E631" t="s">
        <v>572</v>
      </c>
      <c r="F631" t="s">
        <v>672</v>
      </c>
      <c r="G631" t="s">
        <v>663</v>
      </c>
      <c r="H631" t="s">
        <v>664</v>
      </c>
      <c r="J631" s="2"/>
      <c r="M631" s="2"/>
      <c r="N631">
        <v>726248.17738898005</v>
      </c>
      <c r="O631">
        <v>1018334.01</v>
      </c>
      <c r="S631">
        <v>1018334.01</v>
      </c>
      <c r="T631" t="s">
        <v>76</v>
      </c>
      <c r="U631" t="s">
        <v>26</v>
      </c>
      <c r="V631" t="s">
        <v>576</v>
      </c>
      <c r="W631" s="3">
        <v>66898767</v>
      </c>
    </row>
    <row r="632" spans="1:23">
      <c r="A632" t="s">
        <v>54</v>
      </c>
      <c r="B632" t="s">
        <v>55</v>
      </c>
      <c r="C632" s="2">
        <v>45864</v>
      </c>
      <c r="D632" t="s">
        <v>571</v>
      </c>
      <c r="E632" t="s">
        <v>572</v>
      </c>
      <c r="F632" t="s">
        <v>638</v>
      </c>
      <c r="G632" t="s">
        <v>673</v>
      </c>
      <c r="H632" t="s">
        <v>674</v>
      </c>
      <c r="J632" s="2"/>
      <c r="M632" s="2"/>
      <c r="N632">
        <v>193921.59734306001</v>
      </c>
      <c r="O632">
        <v>260459.72</v>
      </c>
      <c r="S632">
        <v>260459.72</v>
      </c>
      <c r="T632" t="s">
        <v>76</v>
      </c>
      <c r="U632" t="s">
        <v>26</v>
      </c>
      <c r="V632" t="s">
        <v>576</v>
      </c>
      <c r="W632" s="3">
        <v>21350539</v>
      </c>
    </row>
    <row r="633" spans="1:23">
      <c r="A633" t="s">
        <v>45</v>
      </c>
      <c r="B633" t="s">
        <v>46</v>
      </c>
      <c r="C633" s="2">
        <v>45864</v>
      </c>
      <c r="D633" t="s">
        <v>571</v>
      </c>
      <c r="E633" t="s">
        <v>572</v>
      </c>
      <c r="F633" t="s">
        <v>675</v>
      </c>
      <c r="G633" t="s">
        <v>676</v>
      </c>
      <c r="H633" t="s">
        <v>677</v>
      </c>
      <c r="J633" s="2"/>
      <c r="M633" s="2"/>
      <c r="N633">
        <v>132949.52655481</v>
      </c>
      <c r="O633">
        <v>175688.02</v>
      </c>
      <c r="S633">
        <v>175688.02</v>
      </c>
      <c r="T633" t="s">
        <v>76</v>
      </c>
      <c r="U633" t="s">
        <v>26</v>
      </c>
      <c r="V633" t="s">
        <v>591</v>
      </c>
      <c r="W633" s="3">
        <v>630312</v>
      </c>
    </row>
    <row r="634" spans="1:23">
      <c r="A634" t="s">
        <v>41</v>
      </c>
      <c r="B634" t="s">
        <v>42</v>
      </c>
      <c r="C634" s="2">
        <v>45864</v>
      </c>
      <c r="D634" t="s">
        <v>571</v>
      </c>
      <c r="E634" t="s">
        <v>572</v>
      </c>
      <c r="F634" t="s">
        <v>633</v>
      </c>
      <c r="G634" t="s">
        <v>676</v>
      </c>
      <c r="H634" t="s">
        <v>677</v>
      </c>
      <c r="J634" s="2"/>
      <c r="M634" s="2"/>
      <c r="N634">
        <v>253272.31203248</v>
      </c>
      <c r="O634">
        <v>334690.26</v>
      </c>
      <c r="S634">
        <v>334690.26</v>
      </c>
      <c r="T634" t="s">
        <v>76</v>
      </c>
      <c r="U634" t="s">
        <v>26</v>
      </c>
      <c r="V634" t="s">
        <v>576</v>
      </c>
      <c r="W634" s="3">
        <v>78886275</v>
      </c>
    </row>
    <row r="635" spans="1:23">
      <c r="A635" t="s">
        <v>51</v>
      </c>
      <c r="B635" t="s">
        <v>52</v>
      </c>
      <c r="C635" s="2">
        <v>45864</v>
      </c>
      <c r="D635" t="s">
        <v>558</v>
      </c>
      <c r="E635" t="s">
        <v>559</v>
      </c>
      <c r="G635" t="s">
        <v>678</v>
      </c>
      <c r="H635" t="s">
        <v>679</v>
      </c>
      <c r="J635" s="2"/>
      <c r="M635" s="2"/>
      <c r="N635">
        <v>266350.10687000002</v>
      </c>
      <c r="O635">
        <v>388112.03</v>
      </c>
      <c r="Q635">
        <v>2956.26</v>
      </c>
      <c r="R635">
        <v>0</v>
      </c>
      <c r="S635">
        <v>385155.77</v>
      </c>
      <c r="T635" t="s">
        <v>76</v>
      </c>
      <c r="U635" t="s">
        <v>26</v>
      </c>
      <c r="W635" s="3">
        <v>24040062</v>
      </c>
    </row>
    <row r="636" spans="1:23">
      <c r="A636" t="s">
        <v>58</v>
      </c>
      <c r="B636" t="s">
        <v>59</v>
      </c>
      <c r="C636" s="2">
        <v>45864</v>
      </c>
      <c r="D636" t="s">
        <v>558</v>
      </c>
      <c r="E636" t="s">
        <v>559</v>
      </c>
      <c r="G636" t="s">
        <v>678</v>
      </c>
      <c r="H636" t="s">
        <v>679</v>
      </c>
      <c r="J636" s="2"/>
      <c r="M636" s="2"/>
      <c r="N636">
        <v>299071.30564999999</v>
      </c>
      <c r="O636">
        <v>436081.73</v>
      </c>
      <c r="Q636">
        <v>3492.14</v>
      </c>
      <c r="R636">
        <v>0</v>
      </c>
      <c r="S636">
        <v>432589.59</v>
      </c>
      <c r="T636" t="s">
        <v>76</v>
      </c>
      <c r="U636" t="s">
        <v>26</v>
      </c>
      <c r="W636" s="3">
        <v>28402024</v>
      </c>
    </row>
    <row r="637" spans="1:23">
      <c r="A637" t="s">
        <v>54</v>
      </c>
      <c r="B637" t="s">
        <v>55</v>
      </c>
      <c r="C637" s="2">
        <v>45864</v>
      </c>
      <c r="D637" t="s">
        <v>558</v>
      </c>
      <c r="E637" t="s">
        <v>559</v>
      </c>
      <c r="G637" t="s">
        <v>678</v>
      </c>
      <c r="H637" t="s">
        <v>679</v>
      </c>
      <c r="J637" s="2"/>
      <c r="M637" s="2"/>
      <c r="N637">
        <v>407287.77847000002</v>
      </c>
      <c r="O637">
        <v>593479.35</v>
      </c>
      <c r="Q637">
        <v>4528.28</v>
      </c>
      <c r="R637">
        <v>0</v>
      </c>
      <c r="S637">
        <v>588951.06999999995</v>
      </c>
      <c r="T637" t="s">
        <v>76</v>
      </c>
      <c r="U637" t="s">
        <v>26</v>
      </c>
      <c r="W637" s="3">
        <v>43919256</v>
      </c>
    </row>
    <row r="638" spans="1:23">
      <c r="A638" t="s">
        <v>31</v>
      </c>
      <c r="B638" t="s">
        <v>32</v>
      </c>
      <c r="C638" s="2">
        <v>45864</v>
      </c>
      <c r="D638" t="s">
        <v>558</v>
      </c>
      <c r="E638" t="s">
        <v>559</v>
      </c>
      <c r="G638" t="s">
        <v>678</v>
      </c>
      <c r="H638" t="s">
        <v>679</v>
      </c>
      <c r="J638" s="2"/>
      <c r="M638" s="2"/>
      <c r="N638">
        <v>409375.80906</v>
      </c>
      <c r="O638">
        <v>596521.92000000004</v>
      </c>
      <c r="Q638">
        <v>3708.43</v>
      </c>
      <c r="R638">
        <v>0</v>
      </c>
      <c r="S638">
        <v>592813.49</v>
      </c>
      <c r="T638" t="s">
        <v>76</v>
      </c>
      <c r="U638" t="s">
        <v>26</v>
      </c>
      <c r="W638" s="3">
        <v>53009310</v>
      </c>
    </row>
    <row r="639" spans="1:23">
      <c r="A639" t="s">
        <v>62</v>
      </c>
      <c r="B639" t="s">
        <v>63</v>
      </c>
      <c r="C639" s="2">
        <v>45864</v>
      </c>
      <c r="D639" t="s">
        <v>558</v>
      </c>
      <c r="E639" t="s">
        <v>559</v>
      </c>
      <c r="G639" t="s">
        <v>678</v>
      </c>
      <c r="H639" t="s">
        <v>679</v>
      </c>
      <c r="J639" s="2"/>
      <c r="M639" s="2"/>
      <c r="N639">
        <v>891762.1348</v>
      </c>
      <c r="O639">
        <v>1299431.1000000001</v>
      </c>
      <c r="Q639">
        <v>9810.89</v>
      </c>
      <c r="R639">
        <v>0</v>
      </c>
      <c r="S639">
        <v>1289620.21</v>
      </c>
      <c r="T639" t="s">
        <v>76</v>
      </c>
      <c r="U639" t="s">
        <v>26</v>
      </c>
      <c r="W639" s="3">
        <v>64032101</v>
      </c>
    </row>
    <row r="640" spans="1:23">
      <c r="A640" t="s">
        <v>60</v>
      </c>
      <c r="B640" t="s">
        <v>61</v>
      </c>
      <c r="C640" s="2">
        <v>45864</v>
      </c>
      <c r="D640" t="s">
        <v>558</v>
      </c>
      <c r="E640" t="s">
        <v>559</v>
      </c>
      <c r="G640" t="s">
        <v>678</v>
      </c>
      <c r="H640" t="s">
        <v>679</v>
      </c>
      <c r="J640" s="2"/>
      <c r="M640" s="2"/>
      <c r="N640">
        <v>1218044.7437100001</v>
      </c>
      <c r="O640">
        <v>1774873.76</v>
      </c>
      <c r="Q640">
        <v>14728.37</v>
      </c>
      <c r="R640">
        <v>0</v>
      </c>
      <c r="S640">
        <v>1760145.39</v>
      </c>
      <c r="T640" t="s">
        <v>76</v>
      </c>
      <c r="U640" t="s">
        <v>26</v>
      </c>
      <c r="W640" s="3">
        <v>44615436</v>
      </c>
    </row>
    <row r="641" spans="1:23">
      <c r="A641" t="s">
        <v>66</v>
      </c>
      <c r="B641" t="s">
        <v>67</v>
      </c>
      <c r="C641" s="2">
        <v>45864</v>
      </c>
      <c r="D641" t="s">
        <v>558</v>
      </c>
      <c r="E641" t="s">
        <v>559</v>
      </c>
      <c r="G641" t="s">
        <v>678</v>
      </c>
      <c r="H641" t="s">
        <v>679</v>
      </c>
      <c r="J641" s="2"/>
      <c r="M641" s="2"/>
      <c r="N641">
        <v>1302154.45973</v>
      </c>
      <c r="O641">
        <v>1898696.93</v>
      </c>
      <c r="Q641">
        <v>15119.75</v>
      </c>
      <c r="R641">
        <v>0</v>
      </c>
      <c r="S641">
        <v>1883577.18</v>
      </c>
      <c r="T641" t="s">
        <v>76</v>
      </c>
      <c r="U641" t="s">
        <v>26</v>
      </c>
      <c r="W641" s="3">
        <v>41695754</v>
      </c>
    </row>
    <row r="642" spans="1:23">
      <c r="A642" t="s">
        <v>37</v>
      </c>
      <c r="B642" t="s">
        <v>38</v>
      </c>
      <c r="C642" s="2">
        <v>45864</v>
      </c>
      <c r="D642" t="s">
        <v>558</v>
      </c>
      <c r="E642" t="s">
        <v>559</v>
      </c>
      <c r="G642" t="s">
        <v>680</v>
      </c>
      <c r="H642" t="s">
        <v>681</v>
      </c>
      <c r="J642" s="2"/>
      <c r="M642" s="2"/>
      <c r="N642">
        <v>158852.70605499999</v>
      </c>
      <c r="O642">
        <v>214338.88</v>
      </c>
      <c r="Q642">
        <v>1501.48</v>
      </c>
      <c r="R642">
        <v>0</v>
      </c>
      <c r="S642">
        <v>212837.4</v>
      </c>
      <c r="T642" t="s">
        <v>125</v>
      </c>
      <c r="U642" t="s">
        <v>26</v>
      </c>
      <c r="W642" s="3">
        <v>57554750</v>
      </c>
    </row>
    <row r="643" spans="1:23">
      <c r="A643" t="s">
        <v>54</v>
      </c>
      <c r="B643" t="s">
        <v>55</v>
      </c>
      <c r="C643" s="2">
        <v>45864</v>
      </c>
      <c r="D643" t="s">
        <v>558</v>
      </c>
      <c r="E643" t="s">
        <v>559</v>
      </c>
      <c r="G643" t="s">
        <v>680</v>
      </c>
      <c r="H643" t="s">
        <v>681</v>
      </c>
      <c r="J643" s="2"/>
      <c r="M643" s="2"/>
      <c r="N643">
        <v>227080.70223699999</v>
      </c>
      <c r="O643">
        <v>306223.84999999998</v>
      </c>
      <c r="Q643">
        <v>1868.56</v>
      </c>
      <c r="R643">
        <v>0</v>
      </c>
      <c r="S643">
        <v>304355.28999999998</v>
      </c>
      <c r="T643" t="s">
        <v>125</v>
      </c>
      <c r="U643" t="s">
        <v>26</v>
      </c>
      <c r="W643" s="3">
        <v>27419319</v>
      </c>
    </row>
    <row r="644" spans="1:23">
      <c r="A644" t="s">
        <v>29</v>
      </c>
      <c r="B644" t="s">
        <v>30</v>
      </c>
      <c r="C644" s="2">
        <v>45864</v>
      </c>
      <c r="D644" t="s">
        <v>558</v>
      </c>
      <c r="E644" t="s">
        <v>559</v>
      </c>
      <c r="G644" t="s">
        <v>680</v>
      </c>
      <c r="H644" t="s">
        <v>681</v>
      </c>
      <c r="J644" s="2"/>
      <c r="M644" s="2"/>
      <c r="N644">
        <v>240465.12014499999</v>
      </c>
      <c r="O644">
        <v>324273.06</v>
      </c>
      <c r="P644" s="4"/>
      <c r="Q644">
        <v>2688.71</v>
      </c>
      <c r="R644">
        <v>0</v>
      </c>
      <c r="S644">
        <v>321584.34999999998</v>
      </c>
      <c r="T644" t="s">
        <v>125</v>
      </c>
      <c r="U644" t="s">
        <v>26</v>
      </c>
      <c r="W644" s="3">
        <v>41276934</v>
      </c>
    </row>
    <row r="645" spans="1:23">
      <c r="A645" t="s">
        <v>53</v>
      </c>
      <c r="B645" t="s">
        <v>48</v>
      </c>
      <c r="C645" s="2">
        <v>45864</v>
      </c>
      <c r="D645" t="s">
        <v>558</v>
      </c>
      <c r="E645" t="s">
        <v>559</v>
      </c>
      <c r="G645" t="s">
        <v>680</v>
      </c>
      <c r="H645" t="s">
        <v>681</v>
      </c>
      <c r="J645" s="2"/>
      <c r="M645" s="2"/>
      <c r="N645">
        <v>523360.25657999999</v>
      </c>
      <c r="O645">
        <v>705764.02</v>
      </c>
      <c r="Q645">
        <v>5390.35</v>
      </c>
      <c r="R645">
        <v>0</v>
      </c>
      <c r="S645">
        <v>700373.67</v>
      </c>
      <c r="T645" t="s">
        <v>125</v>
      </c>
      <c r="U645" t="s">
        <v>26</v>
      </c>
      <c r="W645" s="3">
        <v>12101342</v>
      </c>
    </row>
    <row r="646" spans="1:23">
      <c r="A646" t="s">
        <v>58</v>
      </c>
      <c r="B646" t="s">
        <v>59</v>
      </c>
      <c r="C646" s="2">
        <v>45864</v>
      </c>
      <c r="D646" t="s">
        <v>558</v>
      </c>
      <c r="E646" t="s">
        <v>559</v>
      </c>
      <c r="G646" t="s">
        <v>680</v>
      </c>
      <c r="H646" t="s">
        <v>681</v>
      </c>
      <c r="J646" s="2"/>
      <c r="M646" s="2"/>
      <c r="N646">
        <v>604220.49424399994</v>
      </c>
      <c r="O646">
        <v>815270.6</v>
      </c>
      <c r="Q646">
        <v>5517.94</v>
      </c>
      <c r="R646">
        <v>0</v>
      </c>
      <c r="S646">
        <v>809752.66</v>
      </c>
      <c r="T646" t="s">
        <v>125</v>
      </c>
      <c r="U646" t="s">
        <v>26</v>
      </c>
      <c r="W646" s="3">
        <v>36453782</v>
      </c>
    </row>
    <row r="647" spans="1:23">
      <c r="A647" t="s">
        <v>62</v>
      </c>
      <c r="B647" t="s">
        <v>63</v>
      </c>
      <c r="C647" s="2">
        <v>45864</v>
      </c>
      <c r="D647" t="s">
        <v>558</v>
      </c>
      <c r="E647" t="s">
        <v>559</v>
      </c>
      <c r="G647" t="s">
        <v>680</v>
      </c>
      <c r="H647" t="s">
        <v>681</v>
      </c>
      <c r="J647" s="2"/>
      <c r="M647" s="2"/>
      <c r="N647">
        <v>750055.75516299997</v>
      </c>
      <c r="O647">
        <v>1011468.41</v>
      </c>
      <c r="Q647">
        <v>7671.68</v>
      </c>
      <c r="R647">
        <v>0</v>
      </c>
      <c r="S647">
        <v>1003796.73</v>
      </c>
      <c r="T647" t="s">
        <v>125</v>
      </c>
      <c r="U647" t="s">
        <v>26</v>
      </c>
      <c r="W647" s="3">
        <v>53050748</v>
      </c>
    </row>
    <row r="648" spans="1:23">
      <c r="A648" t="s">
        <v>60</v>
      </c>
      <c r="B648" t="s">
        <v>61</v>
      </c>
      <c r="C648" s="2">
        <v>45864</v>
      </c>
      <c r="D648" t="s">
        <v>558</v>
      </c>
      <c r="E648" t="s">
        <v>559</v>
      </c>
      <c r="G648" t="s">
        <v>680</v>
      </c>
      <c r="H648" t="s">
        <v>681</v>
      </c>
      <c r="J648" s="2"/>
      <c r="M648" s="2"/>
      <c r="N648">
        <v>766284.33475799998</v>
      </c>
      <c r="O648">
        <v>1033353.04</v>
      </c>
      <c r="Q648">
        <v>7901.94</v>
      </c>
      <c r="R648">
        <v>0</v>
      </c>
      <c r="S648">
        <v>1025451.1</v>
      </c>
      <c r="T648" t="s">
        <v>125</v>
      </c>
      <c r="U648" t="s">
        <v>26</v>
      </c>
      <c r="W648" s="3">
        <v>28567420</v>
      </c>
    </row>
    <row r="649" spans="1:23">
      <c r="A649" t="s">
        <v>66</v>
      </c>
      <c r="B649" t="s">
        <v>67</v>
      </c>
      <c r="C649" s="2">
        <v>45864</v>
      </c>
      <c r="D649" t="s">
        <v>558</v>
      </c>
      <c r="E649" t="s">
        <v>559</v>
      </c>
      <c r="G649" t="s">
        <v>680</v>
      </c>
      <c r="H649" t="s">
        <v>681</v>
      </c>
      <c r="J649" s="2"/>
      <c r="M649" s="2"/>
      <c r="N649">
        <v>2765200.2616599998</v>
      </c>
      <c r="O649">
        <v>3731065.91</v>
      </c>
      <c r="Q649">
        <v>20846.830000000002</v>
      </c>
      <c r="R649">
        <v>0</v>
      </c>
      <c r="S649">
        <v>3710219.08</v>
      </c>
      <c r="T649" t="s">
        <v>125</v>
      </c>
      <c r="U649" t="s">
        <v>26</v>
      </c>
      <c r="W649" s="3">
        <v>33378714</v>
      </c>
    </row>
    <row r="650" spans="1:23">
      <c r="A650" t="s">
        <v>51</v>
      </c>
      <c r="B650" t="s">
        <v>52</v>
      </c>
      <c r="C650" s="2">
        <v>45864</v>
      </c>
      <c r="D650" t="s">
        <v>558</v>
      </c>
      <c r="E650" t="s">
        <v>559</v>
      </c>
      <c r="G650" t="s">
        <v>682</v>
      </c>
      <c r="H650" t="s">
        <v>683</v>
      </c>
      <c r="J650" s="2"/>
      <c r="M650" s="2"/>
      <c r="N650">
        <v>422633.03497699997</v>
      </c>
      <c r="O650">
        <v>566363.81000000006</v>
      </c>
      <c r="Q650">
        <v>8443.2199999999993</v>
      </c>
      <c r="R650">
        <v>0</v>
      </c>
      <c r="S650">
        <v>557920.59</v>
      </c>
      <c r="T650" t="s">
        <v>76</v>
      </c>
      <c r="U650" t="s">
        <v>26</v>
      </c>
      <c r="W650" s="3">
        <v>10944191</v>
      </c>
    </row>
    <row r="651" spans="1:23">
      <c r="A651" t="s">
        <v>53</v>
      </c>
      <c r="B651" t="s">
        <v>48</v>
      </c>
      <c r="C651" s="2">
        <v>45864</v>
      </c>
      <c r="D651" t="s">
        <v>558</v>
      </c>
      <c r="E651" t="s">
        <v>559</v>
      </c>
      <c r="G651" t="s">
        <v>682</v>
      </c>
      <c r="H651" t="s">
        <v>683</v>
      </c>
      <c r="J651" s="2"/>
      <c r="M651" s="2"/>
      <c r="N651">
        <v>457043.752996</v>
      </c>
      <c r="O651">
        <v>612477.06000000006</v>
      </c>
      <c r="Q651">
        <v>9130.67</v>
      </c>
      <c r="R651">
        <v>0</v>
      </c>
      <c r="S651">
        <v>603346.39</v>
      </c>
      <c r="T651" t="s">
        <v>76</v>
      </c>
      <c r="U651" t="s">
        <v>26</v>
      </c>
      <c r="W651" s="3">
        <v>27836371</v>
      </c>
    </row>
    <row r="652" spans="1:23">
      <c r="A652" t="s">
        <v>58</v>
      </c>
      <c r="B652" t="s">
        <v>59</v>
      </c>
      <c r="C652" s="2">
        <v>45864</v>
      </c>
      <c r="D652" t="s">
        <v>558</v>
      </c>
      <c r="E652" t="s">
        <v>559</v>
      </c>
      <c r="G652" t="s">
        <v>682</v>
      </c>
      <c r="H652" t="s">
        <v>683</v>
      </c>
      <c r="J652" s="2"/>
      <c r="M652" s="2"/>
      <c r="N652">
        <v>469899.86412599997</v>
      </c>
      <c r="O652">
        <v>630098.22</v>
      </c>
      <c r="Q652">
        <v>9446.44</v>
      </c>
      <c r="R652">
        <v>0</v>
      </c>
      <c r="S652">
        <v>620651.78</v>
      </c>
      <c r="T652" t="s">
        <v>76</v>
      </c>
      <c r="U652" t="s">
        <v>26</v>
      </c>
      <c r="W652" s="3">
        <v>27996978</v>
      </c>
    </row>
    <row r="653" spans="1:23">
      <c r="A653" t="s">
        <v>54</v>
      </c>
      <c r="B653" t="s">
        <v>55</v>
      </c>
      <c r="C653" s="2">
        <v>45864</v>
      </c>
      <c r="D653" t="s">
        <v>558</v>
      </c>
      <c r="E653" t="s">
        <v>559</v>
      </c>
      <c r="G653" t="s">
        <v>682</v>
      </c>
      <c r="H653" t="s">
        <v>683</v>
      </c>
      <c r="J653" s="2"/>
      <c r="M653" s="2"/>
      <c r="N653">
        <v>700546.29827899998</v>
      </c>
      <c r="O653">
        <v>938790.95</v>
      </c>
      <c r="Q653">
        <v>13318.64</v>
      </c>
      <c r="R653">
        <v>0</v>
      </c>
      <c r="S653">
        <v>925472.31</v>
      </c>
      <c r="T653" t="s">
        <v>76</v>
      </c>
      <c r="U653" t="s">
        <v>26</v>
      </c>
      <c r="W653" s="3">
        <v>12259309</v>
      </c>
    </row>
    <row r="654" spans="1:23">
      <c r="A654" t="s">
        <v>62</v>
      </c>
      <c r="B654" t="s">
        <v>63</v>
      </c>
      <c r="C654" s="2">
        <v>45864</v>
      </c>
      <c r="D654" t="s">
        <v>558</v>
      </c>
      <c r="E654" t="s">
        <v>559</v>
      </c>
      <c r="G654" t="s">
        <v>682</v>
      </c>
      <c r="H654" t="s">
        <v>683</v>
      </c>
      <c r="J654" s="2"/>
      <c r="M654" s="2"/>
      <c r="N654">
        <v>725487.45100799995</v>
      </c>
      <c r="O654">
        <v>972214.19</v>
      </c>
      <c r="Q654">
        <v>13680.99</v>
      </c>
      <c r="R654">
        <v>0</v>
      </c>
      <c r="S654">
        <v>958533.2</v>
      </c>
      <c r="T654" t="s">
        <v>76</v>
      </c>
      <c r="U654" t="s">
        <v>26</v>
      </c>
      <c r="W654" s="3">
        <v>47863158</v>
      </c>
    </row>
    <row r="655" spans="1:23">
      <c r="A655" t="s">
        <v>31</v>
      </c>
      <c r="B655" t="s">
        <v>32</v>
      </c>
      <c r="C655" s="2">
        <v>45864</v>
      </c>
      <c r="D655" t="s">
        <v>558</v>
      </c>
      <c r="E655" t="s">
        <v>559</v>
      </c>
      <c r="G655" t="s">
        <v>682</v>
      </c>
      <c r="H655" t="s">
        <v>683</v>
      </c>
      <c r="J655" s="2"/>
      <c r="M655" s="2"/>
      <c r="N655">
        <v>1224676.9794709999</v>
      </c>
      <c r="O655">
        <v>1641170.15</v>
      </c>
      <c r="Q655">
        <v>24466.2</v>
      </c>
      <c r="R655">
        <v>0</v>
      </c>
      <c r="S655">
        <v>1616703.95</v>
      </c>
      <c r="T655" t="s">
        <v>76</v>
      </c>
      <c r="U655" t="s">
        <v>26</v>
      </c>
      <c r="W655" s="3">
        <v>72547050</v>
      </c>
    </row>
    <row r="656" spans="1:23">
      <c r="A656" t="s">
        <v>60</v>
      </c>
      <c r="B656" t="s">
        <v>61</v>
      </c>
      <c r="C656" s="2">
        <v>45864</v>
      </c>
      <c r="D656" t="s">
        <v>558</v>
      </c>
      <c r="E656" t="s">
        <v>559</v>
      </c>
      <c r="G656" t="s">
        <v>682</v>
      </c>
      <c r="H656" t="s">
        <v>683</v>
      </c>
      <c r="J656" s="2"/>
      <c r="M656" s="2"/>
      <c r="N656">
        <v>1231083.023173</v>
      </c>
      <c r="O656">
        <v>1649754.79</v>
      </c>
      <c r="Q656">
        <v>24594.17</v>
      </c>
      <c r="R656">
        <v>0</v>
      </c>
      <c r="S656">
        <v>1625160.62</v>
      </c>
      <c r="T656" t="s">
        <v>76</v>
      </c>
      <c r="U656" t="s">
        <v>26</v>
      </c>
      <c r="W656" s="3">
        <v>2981977</v>
      </c>
    </row>
    <row r="657" spans="1:23">
      <c r="A657" t="s">
        <v>66</v>
      </c>
      <c r="B657" t="s">
        <v>67</v>
      </c>
      <c r="C657" s="2">
        <v>45864</v>
      </c>
      <c r="D657" t="s">
        <v>558</v>
      </c>
      <c r="E657" t="s">
        <v>559</v>
      </c>
      <c r="G657" t="s">
        <v>682</v>
      </c>
      <c r="H657" t="s">
        <v>683</v>
      </c>
      <c r="J657" s="2"/>
      <c r="M657" s="2"/>
      <c r="N657">
        <v>3007685.9489970002</v>
      </c>
      <c r="O657">
        <v>4033066.86</v>
      </c>
      <c r="Q657">
        <v>41002.639999999999</v>
      </c>
      <c r="R657">
        <v>0</v>
      </c>
      <c r="S657">
        <v>3992064.22</v>
      </c>
      <c r="T657" t="s">
        <v>76</v>
      </c>
      <c r="U657" t="s">
        <v>26</v>
      </c>
      <c r="W657" s="3">
        <v>21463645</v>
      </c>
    </row>
    <row r="658" spans="1:23">
      <c r="A658" t="s">
        <v>66</v>
      </c>
      <c r="B658" t="s">
        <v>67</v>
      </c>
      <c r="C658" s="2">
        <v>45864</v>
      </c>
      <c r="D658" t="s">
        <v>558</v>
      </c>
      <c r="E658" t="s">
        <v>559</v>
      </c>
      <c r="G658" t="s">
        <v>684</v>
      </c>
      <c r="H658" t="s">
        <v>685</v>
      </c>
      <c r="J658" s="2"/>
      <c r="M658" s="2"/>
      <c r="N658">
        <v>2700</v>
      </c>
      <c r="O658">
        <v>274421.11</v>
      </c>
      <c r="Q658">
        <v>0</v>
      </c>
      <c r="R658">
        <v>0</v>
      </c>
      <c r="S658">
        <v>274421.11</v>
      </c>
      <c r="T658" t="s">
        <v>125</v>
      </c>
      <c r="U658" t="s">
        <v>26</v>
      </c>
      <c r="W658" s="3">
        <v>6880116</v>
      </c>
    </row>
    <row r="659" spans="1:23">
      <c r="A659" t="s">
        <v>47</v>
      </c>
      <c r="B659" t="s">
        <v>48</v>
      </c>
      <c r="C659" s="2">
        <v>45864</v>
      </c>
      <c r="D659" t="s">
        <v>558</v>
      </c>
      <c r="E659" t="s">
        <v>559</v>
      </c>
      <c r="G659" t="s">
        <v>686</v>
      </c>
      <c r="H659" t="s">
        <v>687</v>
      </c>
      <c r="J659" s="2"/>
      <c r="M659" s="2"/>
      <c r="N659">
        <v>1819512.9408440001</v>
      </c>
      <c r="O659">
        <v>2078041.53</v>
      </c>
      <c r="Q659">
        <v>12760.23</v>
      </c>
      <c r="R659">
        <v>0</v>
      </c>
      <c r="S659">
        <v>2065281.3</v>
      </c>
      <c r="T659" t="s">
        <v>125</v>
      </c>
      <c r="U659" t="s">
        <v>26</v>
      </c>
      <c r="W659" s="3">
        <v>78723908</v>
      </c>
    </row>
    <row r="660" spans="1:23">
      <c r="A660" t="s">
        <v>49</v>
      </c>
      <c r="B660" t="s">
        <v>50</v>
      </c>
      <c r="C660" s="2">
        <v>45864</v>
      </c>
      <c r="D660" t="s">
        <v>558</v>
      </c>
      <c r="E660" t="s">
        <v>559</v>
      </c>
      <c r="G660" t="s">
        <v>686</v>
      </c>
      <c r="H660" t="s">
        <v>687</v>
      </c>
      <c r="J660" s="2"/>
      <c r="M660" s="2"/>
      <c r="N660">
        <v>9373189.0250649992</v>
      </c>
      <c r="O660">
        <v>10704994.52</v>
      </c>
      <c r="Q660">
        <v>63810.61</v>
      </c>
      <c r="R660">
        <v>0</v>
      </c>
      <c r="S660">
        <v>10641183.91</v>
      </c>
      <c r="T660" t="s">
        <v>125</v>
      </c>
      <c r="U660" t="s">
        <v>26</v>
      </c>
      <c r="W660" s="3">
        <v>71519307</v>
      </c>
    </row>
    <row r="661" spans="1:23">
      <c r="A661" t="s">
        <v>53</v>
      </c>
      <c r="B661" t="s">
        <v>48</v>
      </c>
      <c r="C661" s="2">
        <v>45864</v>
      </c>
      <c r="D661" t="s">
        <v>558</v>
      </c>
      <c r="E661" t="s">
        <v>559</v>
      </c>
      <c r="G661" t="s">
        <v>688</v>
      </c>
      <c r="H661" t="s">
        <v>689</v>
      </c>
      <c r="J661" s="2"/>
      <c r="M661" s="2"/>
      <c r="N661">
        <v>184954.58092899999</v>
      </c>
      <c r="O661">
        <v>203768.33</v>
      </c>
      <c r="Q661">
        <v>0</v>
      </c>
      <c r="R661">
        <v>0</v>
      </c>
      <c r="S661">
        <v>203768.33</v>
      </c>
      <c r="T661" t="s">
        <v>121</v>
      </c>
      <c r="U661" t="s">
        <v>26</v>
      </c>
      <c r="W661" s="3">
        <v>32842233</v>
      </c>
    </row>
    <row r="662" spans="1:23">
      <c r="A662" t="s">
        <v>51</v>
      </c>
      <c r="B662" t="s">
        <v>52</v>
      </c>
      <c r="C662" s="2">
        <v>45864</v>
      </c>
      <c r="D662" t="s">
        <v>558</v>
      </c>
      <c r="E662" t="s">
        <v>559</v>
      </c>
      <c r="G662" t="s">
        <v>688</v>
      </c>
      <c r="H662" t="s">
        <v>689</v>
      </c>
      <c r="J662" s="2"/>
      <c r="M662" s="2"/>
      <c r="N662">
        <v>303667.93745000003</v>
      </c>
      <c r="O662">
        <v>334557.31</v>
      </c>
      <c r="Q662">
        <v>0</v>
      </c>
      <c r="R662">
        <v>0</v>
      </c>
      <c r="S662">
        <v>334557.31</v>
      </c>
      <c r="T662" t="s">
        <v>121</v>
      </c>
      <c r="U662" t="s">
        <v>26</v>
      </c>
      <c r="W662" s="3">
        <v>3412863</v>
      </c>
    </row>
    <row r="663" spans="1:23">
      <c r="A663" t="s">
        <v>62</v>
      </c>
      <c r="B663" t="s">
        <v>63</v>
      </c>
      <c r="C663" s="2">
        <v>45864</v>
      </c>
      <c r="D663" t="s">
        <v>558</v>
      </c>
      <c r="E663" t="s">
        <v>559</v>
      </c>
      <c r="G663" t="s">
        <v>688</v>
      </c>
      <c r="H663" t="s">
        <v>689</v>
      </c>
      <c r="J663" s="2"/>
      <c r="M663" s="2"/>
      <c r="N663">
        <v>335069.21614600002</v>
      </c>
      <c r="O663">
        <v>369152.76</v>
      </c>
      <c r="Q663">
        <v>0</v>
      </c>
      <c r="R663">
        <v>0</v>
      </c>
      <c r="S663">
        <v>369152.76</v>
      </c>
      <c r="T663" t="s">
        <v>121</v>
      </c>
      <c r="U663" t="s">
        <v>26</v>
      </c>
      <c r="W663" s="3">
        <v>59081270</v>
      </c>
    </row>
    <row r="664" spans="1:23">
      <c r="A664" t="s">
        <v>60</v>
      </c>
      <c r="B664" t="s">
        <v>61</v>
      </c>
      <c r="C664" s="2">
        <v>45864</v>
      </c>
      <c r="D664" t="s">
        <v>558</v>
      </c>
      <c r="E664" t="s">
        <v>559</v>
      </c>
      <c r="G664" t="s">
        <v>688</v>
      </c>
      <c r="H664" t="s">
        <v>689</v>
      </c>
      <c r="J664" s="2"/>
      <c r="M664" s="2"/>
      <c r="N664">
        <v>699853.15951499995</v>
      </c>
      <c r="O664">
        <v>771042.86</v>
      </c>
      <c r="Q664">
        <v>0</v>
      </c>
      <c r="R664">
        <v>0</v>
      </c>
      <c r="S664">
        <v>771042.86</v>
      </c>
      <c r="T664" t="s">
        <v>121</v>
      </c>
      <c r="U664" t="s">
        <v>26</v>
      </c>
      <c r="W664" s="3">
        <v>4719589</v>
      </c>
    </row>
    <row r="665" spans="1:23">
      <c r="A665" t="s">
        <v>58</v>
      </c>
      <c r="B665" t="s">
        <v>59</v>
      </c>
      <c r="C665" s="2">
        <v>45864</v>
      </c>
      <c r="D665" t="s">
        <v>558</v>
      </c>
      <c r="E665" t="s">
        <v>559</v>
      </c>
      <c r="G665" t="s">
        <v>688</v>
      </c>
      <c r="H665" t="s">
        <v>689</v>
      </c>
      <c r="J665" s="2"/>
      <c r="M665" s="2"/>
      <c r="N665">
        <v>1167420.8761839999</v>
      </c>
      <c r="O665">
        <v>1286205.83</v>
      </c>
      <c r="Q665">
        <v>0</v>
      </c>
      <c r="R665">
        <v>0</v>
      </c>
      <c r="S665">
        <v>1286205.83</v>
      </c>
      <c r="T665" t="s">
        <v>121</v>
      </c>
      <c r="U665" t="s">
        <v>26</v>
      </c>
      <c r="W665" s="3">
        <v>34450954</v>
      </c>
    </row>
    <row r="666" spans="1:23">
      <c r="A666" t="s">
        <v>54</v>
      </c>
      <c r="B666" t="s">
        <v>55</v>
      </c>
      <c r="C666" s="2">
        <v>45864</v>
      </c>
      <c r="D666" t="s">
        <v>558</v>
      </c>
      <c r="E666" t="s">
        <v>559</v>
      </c>
      <c r="G666" t="s">
        <v>688</v>
      </c>
      <c r="H666" t="s">
        <v>689</v>
      </c>
      <c r="J666" s="2"/>
      <c r="M666" s="2"/>
      <c r="N666">
        <v>1168052.911264</v>
      </c>
      <c r="O666">
        <v>1286868.31</v>
      </c>
      <c r="Q666">
        <v>0</v>
      </c>
      <c r="R666">
        <v>0</v>
      </c>
      <c r="S666">
        <v>1286868.31</v>
      </c>
      <c r="T666" t="s">
        <v>121</v>
      </c>
      <c r="U666" t="s">
        <v>26</v>
      </c>
      <c r="W666" s="3">
        <v>44237882</v>
      </c>
    </row>
    <row r="667" spans="1:23">
      <c r="A667" t="s">
        <v>31</v>
      </c>
      <c r="B667" t="s">
        <v>32</v>
      </c>
      <c r="C667" s="2">
        <v>45864</v>
      </c>
      <c r="D667" t="s">
        <v>558</v>
      </c>
      <c r="E667" t="s">
        <v>559</v>
      </c>
      <c r="G667" t="s">
        <v>688</v>
      </c>
      <c r="H667" t="s">
        <v>689</v>
      </c>
      <c r="J667" s="2"/>
      <c r="M667" s="2"/>
      <c r="N667">
        <v>1550219.9723159999</v>
      </c>
      <c r="O667">
        <v>1707909.74</v>
      </c>
      <c r="P667" s="4"/>
      <c r="Q667">
        <v>0</v>
      </c>
      <c r="R667">
        <v>0</v>
      </c>
      <c r="S667">
        <v>1707909.74</v>
      </c>
      <c r="T667" t="s">
        <v>121</v>
      </c>
      <c r="U667" t="s">
        <v>26</v>
      </c>
      <c r="W667" s="3">
        <v>75965165</v>
      </c>
    </row>
    <row r="668" spans="1:23">
      <c r="A668" t="s">
        <v>66</v>
      </c>
      <c r="B668" t="s">
        <v>67</v>
      </c>
      <c r="C668" s="2">
        <v>45864</v>
      </c>
      <c r="D668" t="s">
        <v>558</v>
      </c>
      <c r="E668" t="s">
        <v>559</v>
      </c>
      <c r="G668" t="s">
        <v>688</v>
      </c>
      <c r="H668" t="s">
        <v>689</v>
      </c>
      <c r="J668" s="2"/>
      <c r="M668" s="2"/>
      <c r="N668">
        <v>2181033.1142699998</v>
      </c>
      <c r="O668">
        <v>2402953.02</v>
      </c>
      <c r="Q668">
        <v>0</v>
      </c>
      <c r="R668">
        <v>0</v>
      </c>
      <c r="S668">
        <v>2402953.02</v>
      </c>
      <c r="T668" t="s">
        <v>121</v>
      </c>
      <c r="U668" t="s">
        <v>26</v>
      </c>
      <c r="W668" s="3">
        <v>26279380</v>
      </c>
    </row>
    <row r="669" spans="1:23">
      <c r="A669" t="s">
        <v>29</v>
      </c>
      <c r="B669" t="s">
        <v>30</v>
      </c>
      <c r="C669" s="2">
        <v>45864</v>
      </c>
      <c r="D669" t="s">
        <v>558</v>
      </c>
      <c r="E669" t="s">
        <v>559</v>
      </c>
      <c r="G669" t="s">
        <v>690</v>
      </c>
      <c r="H669" t="s">
        <v>691</v>
      </c>
      <c r="J669" s="2"/>
      <c r="M669" s="2"/>
      <c r="N669">
        <v>127641.49783399999</v>
      </c>
      <c r="O669">
        <v>142530.85</v>
      </c>
      <c r="Q669">
        <v>1112.53</v>
      </c>
      <c r="R669">
        <v>0</v>
      </c>
      <c r="S669">
        <v>141418.32</v>
      </c>
      <c r="T669" t="s">
        <v>562</v>
      </c>
      <c r="U669" t="s">
        <v>26</v>
      </c>
      <c r="W669" s="3">
        <v>12633302</v>
      </c>
    </row>
    <row r="670" spans="1:23">
      <c r="A670" t="s">
        <v>51</v>
      </c>
      <c r="B670" t="s">
        <v>52</v>
      </c>
      <c r="C670" s="2">
        <v>45864</v>
      </c>
      <c r="D670" t="s">
        <v>558</v>
      </c>
      <c r="E670" t="s">
        <v>559</v>
      </c>
      <c r="G670" t="s">
        <v>690</v>
      </c>
      <c r="H670" t="s">
        <v>691</v>
      </c>
      <c r="J670" s="2"/>
      <c r="M670" s="2"/>
      <c r="N670">
        <v>293253.96152200003</v>
      </c>
      <c r="O670">
        <v>327461.98</v>
      </c>
      <c r="Q670">
        <v>2457.08</v>
      </c>
      <c r="R670">
        <v>0</v>
      </c>
      <c r="S670">
        <v>325004.90000000002</v>
      </c>
      <c r="T670" t="s">
        <v>562</v>
      </c>
      <c r="U670" t="s">
        <v>26</v>
      </c>
      <c r="W670" s="3">
        <v>6672269</v>
      </c>
    </row>
    <row r="671" spans="1:23">
      <c r="A671" t="s">
        <v>62</v>
      </c>
      <c r="B671" t="s">
        <v>63</v>
      </c>
      <c r="C671" s="2">
        <v>45864</v>
      </c>
      <c r="D671" t="s">
        <v>558</v>
      </c>
      <c r="E671" t="s">
        <v>559</v>
      </c>
      <c r="G671" t="s">
        <v>690</v>
      </c>
      <c r="H671" t="s">
        <v>691</v>
      </c>
      <c r="J671" s="2"/>
      <c r="M671" s="2"/>
      <c r="N671">
        <v>488621.42907900002</v>
      </c>
      <c r="O671">
        <v>545619.02</v>
      </c>
      <c r="Q671">
        <v>3990.78</v>
      </c>
      <c r="R671">
        <v>0</v>
      </c>
      <c r="S671">
        <v>541628.24</v>
      </c>
      <c r="T671" t="s">
        <v>562</v>
      </c>
      <c r="U671" t="s">
        <v>26</v>
      </c>
      <c r="W671" s="3">
        <v>71156752</v>
      </c>
    </row>
    <row r="672" spans="1:23">
      <c r="A672" t="s">
        <v>31</v>
      </c>
      <c r="B672" t="s">
        <v>32</v>
      </c>
      <c r="C672" s="2">
        <v>45864</v>
      </c>
      <c r="D672" t="s">
        <v>558</v>
      </c>
      <c r="E672" t="s">
        <v>559</v>
      </c>
      <c r="G672" t="s">
        <v>690</v>
      </c>
      <c r="H672" t="s">
        <v>691</v>
      </c>
      <c r="J672" s="2"/>
      <c r="M672" s="2"/>
      <c r="N672">
        <v>788583.67655400001</v>
      </c>
      <c r="O672">
        <v>880571.8</v>
      </c>
      <c r="Q672">
        <v>6839.89</v>
      </c>
      <c r="R672">
        <v>0</v>
      </c>
      <c r="S672">
        <v>873731.91</v>
      </c>
      <c r="T672" t="s">
        <v>562</v>
      </c>
      <c r="U672" t="s">
        <v>26</v>
      </c>
      <c r="W672" s="3">
        <v>79519242</v>
      </c>
    </row>
    <row r="673" spans="1:23">
      <c r="A673" t="s">
        <v>66</v>
      </c>
      <c r="B673" t="s">
        <v>67</v>
      </c>
      <c r="C673" s="2">
        <v>45864</v>
      </c>
      <c r="D673" t="s">
        <v>558</v>
      </c>
      <c r="E673" t="s">
        <v>559</v>
      </c>
      <c r="G673" t="s">
        <v>690</v>
      </c>
      <c r="H673" t="s">
        <v>691</v>
      </c>
      <c r="J673" s="2"/>
      <c r="M673" s="2"/>
      <c r="N673">
        <v>1089745.309142</v>
      </c>
      <c r="O673">
        <v>1217486.3500000001</v>
      </c>
      <c r="Q673">
        <v>7569.61</v>
      </c>
      <c r="R673">
        <v>0</v>
      </c>
      <c r="S673">
        <v>1209916.74</v>
      </c>
      <c r="T673" t="s">
        <v>562</v>
      </c>
      <c r="U673" t="s">
        <v>26</v>
      </c>
      <c r="W673" s="3">
        <v>4308925</v>
      </c>
    </row>
    <row r="674" spans="1:23">
      <c r="A674" t="s">
        <v>53</v>
      </c>
      <c r="B674" t="s">
        <v>48</v>
      </c>
      <c r="C674" s="2">
        <v>45864</v>
      </c>
      <c r="D674" t="s">
        <v>558</v>
      </c>
      <c r="E674" t="s">
        <v>559</v>
      </c>
      <c r="G674" t="s">
        <v>690</v>
      </c>
      <c r="H674" t="s">
        <v>691</v>
      </c>
      <c r="J674" s="2"/>
      <c r="M674" s="2"/>
      <c r="N674">
        <v>1327571.0282980001</v>
      </c>
      <c r="O674">
        <v>1482431.93</v>
      </c>
      <c r="Q674">
        <v>11423.03</v>
      </c>
      <c r="R674">
        <v>0</v>
      </c>
      <c r="S674">
        <v>1471008.9</v>
      </c>
      <c r="T674" t="s">
        <v>562</v>
      </c>
      <c r="U674" t="s">
        <v>26</v>
      </c>
      <c r="W674" s="3">
        <v>17806056</v>
      </c>
    </row>
    <row r="675" spans="1:23">
      <c r="A675" t="s">
        <v>58</v>
      </c>
      <c r="B675" t="s">
        <v>59</v>
      </c>
      <c r="C675" s="2">
        <v>45864</v>
      </c>
      <c r="D675" t="s">
        <v>558</v>
      </c>
      <c r="E675" t="s">
        <v>559</v>
      </c>
      <c r="G675" t="s">
        <v>690</v>
      </c>
      <c r="H675" t="s">
        <v>691</v>
      </c>
      <c r="J675" s="2"/>
      <c r="M675" s="2"/>
      <c r="N675">
        <v>1421370.9096369999</v>
      </c>
      <c r="O675">
        <v>1587985.42</v>
      </c>
      <c r="Q675">
        <v>12294.31</v>
      </c>
      <c r="R675">
        <v>0</v>
      </c>
      <c r="S675">
        <v>1575691.11</v>
      </c>
      <c r="T675" t="s">
        <v>562</v>
      </c>
      <c r="U675" t="s">
        <v>26</v>
      </c>
      <c r="W675" s="3">
        <v>27240126</v>
      </c>
    </row>
    <row r="676" spans="1:23">
      <c r="A676" t="s">
        <v>22</v>
      </c>
      <c r="B676" t="s">
        <v>23</v>
      </c>
      <c r="C676" s="2">
        <v>45864</v>
      </c>
      <c r="D676" t="s">
        <v>558</v>
      </c>
      <c r="E676" t="s">
        <v>559</v>
      </c>
      <c r="G676" t="s">
        <v>692</v>
      </c>
      <c r="H676" t="s">
        <v>693</v>
      </c>
      <c r="J676" s="2"/>
      <c r="M676" s="2"/>
      <c r="N676">
        <v>18555189.543811999</v>
      </c>
      <c r="O676">
        <v>20368543.690000001</v>
      </c>
      <c r="Q676">
        <v>0</v>
      </c>
      <c r="R676">
        <v>0</v>
      </c>
      <c r="S676">
        <v>20368543.690000001</v>
      </c>
      <c r="T676" t="s">
        <v>121</v>
      </c>
      <c r="U676" t="s">
        <v>26</v>
      </c>
      <c r="W676" s="3">
        <v>39884699</v>
      </c>
    </row>
    <row r="677" spans="1:23">
      <c r="A677" t="s">
        <v>51</v>
      </c>
      <c r="B677" t="s">
        <v>52</v>
      </c>
      <c r="C677" s="2">
        <v>45864</v>
      </c>
      <c r="D677" t="s">
        <v>558</v>
      </c>
      <c r="E677" t="s">
        <v>559</v>
      </c>
      <c r="G677" t="s">
        <v>694</v>
      </c>
      <c r="H677" t="s">
        <v>695</v>
      </c>
      <c r="J677" s="2"/>
      <c r="M677" s="2"/>
      <c r="N677">
        <v>1000</v>
      </c>
      <c r="O677">
        <v>108888.54</v>
      </c>
      <c r="Q677">
        <v>0</v>
      </c>
      <c r="R677">
        <v>0</v>
      </c>
      <c r="S677">
        <v>108888.54</v>
      </c>
      <c r="T677" t="s">
        <v>76</v>
      </c>
      <c r="U677" t="s">
        <v>26</v>
      </c>
      <c r="W677" s="3">
        <v>11145944</v>
      </c>
    </row>
    <row r="678" spans="1:23">
      <c r="A678" t="s">
        <v>54</v>
      </c>
      <c r="B678" t="s">
        <v>55</v>
      </c>
      <c r="C678" s="2">
        <v>45864</v>
      </c>
      <c r="D678" t="s">
        <v>558</v>
      </c>
      <c r="E678" t="s">
        <v>559</v>
      </c>
      <c r="G678" t="s">
        <v>694</v>
      </c>
      <c r="H678" t="s">
        <v>695</v>
      </c>
      <c r="J678" s="2"/>
      <c r="M678" s="2"/>
      <c r="N678">
        <v>1000</v>
      </c>
      <c r="O678">
        <v>108888.54</v>
      </c>
      <c r="Q678">
        <v>0</v>
      </c>
      <c r="R678">
        <v>0</v>
      </c>
      <c r="S678">
        <v>108888.54</v>
      </c>
      <c r="T678" t="s">
        <v>76</v>
      </c>
      <c r="U678" t="s">
        <v>26</v>
      </c>
      <c r="W678" s="3">
        <v>37426426</v>
      </c>
    </row>
    <row r="679" spans="1:23">
      <c r="A679" t="s">
        <v>66</v>
      </c>
      <c r="B679" t="s">
        <v>67</v>
      </c>
      <c r="C679" s="2">
        <v>45864</v>
      </c>
      <c r="D679" t="s">
        <v>558</v>
      </c>
      <c r="E679" t="s">
        <v>559</v>
      </c>
      <c r="G679" t="s">
        <v>694</v>
      </c>
      <c r="H679" t="s">
        <v>695</v>
      </c>
      <c r="J679" s="2"/>
      <c r="M679" s="2"/>
      <c r="N679">
        <v>1200</v>
      </c>
      <c r="O679">
        <v>130699.96</v>
      </c>
      <c r="Q679">
        <v>0</v>
      </c>
      <c r="R679">
        <v>0</v>
      </c>
      <c r="S679">
        <v>130699.96</v>
      </c>
      <c r="T679" t="s">
        <v>76</v>
      </c>
      <c r="U679" t="s">
        <v>26</v>
      </c>
      <c r="W679" s="3">
        <v>20105194</v>
      </c>
    </row>
    <row r="680" spans="1:23">
      <c r="A680" t="s">
        <v>31</v>
      </c>
      <c r="B680" t="s">
        <v>32</v>
      </c>
      <c r="C680" s="2">
        <v>45864</v>
      </c>
      <c r="D680" t="s">
        <v>558</v>
      </c>
      <c r="E680" t="s">
        <v>559</v>
      </c>
      <c r="G680" t="s">
        <v>694</v>
      </c>
      <c r="H680" t="s">
        <v>695</v>
      </c>
      <c r="J680" s="2"/>
      <c r="M680" s="2"/>
      <c r="N680">
        <v>1200</v>
      </c>
      <c r="O680">
        <v>130699.96</v>
      </c>
      <c r="Q680">
        <v>0</v>
      </c>
      <c r="R680">
        <v>0</v>
      </c>
      <c r="S680">
        <v>130699.96</v>
      </c>
      <c r="T680" t="s">
        <v>76</v>
      </c>
      <c r="U680" t="s">
        <v>26</v>
      </c>
      <c r="W680" s="3">
        <v>72487124</v>
      </c>
    </row>
    <row r="681" spans="1:23">
      <c r="A681" t="s">
        <v>43</v>
      </c>
      <c r="B681" t="s">
        <v>44</v>
      </c>
      <c r="C681" s="2">
        <v>45864</v>
      </c>
      <c r="D681" t="s">
        <v>558</v>
      </c>
      <c r="E681" t="s">
        <v>559</v>
      </c>
      <c r="G681" t="s">
        <v>696</v>
      </c>
      <c r="H681" t="s">
        <v>697</v>
      </c>
      <c r="J681" s="2"/>
      <c r="M681" s="2"/>
      <c r="N681">
        <v>30000</v>
      </c>
      <c r="O681">
        <v>309662.64</v>
      </c>
      <c r="P681" s="4"/>
      <c r="Q681">
        <v>1932.53</v>
      </c>
      <c r="R681">
        <v>0</v>
      </c>
      <c r="S681">
        <v>307730.11</v>
      </c>
      <c r="U681" t="s">
        <v>26</v>
      </c>
      <c r="W681" s="3">
        <v>62471731</v>
      </c>
    </row>
    <row r="682" spans="1:23">
      <c r="A682" t="s">
        <v>43</v>
      </c>
      <c r="B682" t="s">
        <v>44</v>
      </c>
      <c r="C682" s="2">
        <v>45864</v>
      </c>
      <c r="D682" t="s">
        <v>558</v>
      </c>
      <c r="E682" t="s">
        <v>559</v>
      </c>
      <c r="G682" t="s">
        <v>698</v>
      </c>
      <c r="H682" t="s">
        <v>699</v>
      </c>
      <c r="J682" s="2"/>
      <c r="M682" s="2"/>
      <c r="N682">
        <v>300000</v>
      </c>
      <c r="O682">
        <v>313585.49</v>
      </c>
      <c r="Q682">
        <v>2037.82</v>
      </c>
      <c r="R682">
        <v>0</v>
      </c>
      <c r="S682">
        <v>311547.67</v>
      </c>
      <c r="U682" t="s">
        <v>26</v>
      </c>
      <c r="W682" s="3">
        <v>66563088</v>
      </c>
    </row>
    <row r="683" spans="1:23">
      <c r="A683" t="s">
        <v>29</v>
      </c>
      <c r="B683" t="s">
        <v>30</v>
      </c>
      <c r="C683" s="2">
        <v>45864</v>
      </c>
      <c r="D683" t="s">
        <v>558</v>
      </c>
      <c r="E683" t="s">
        <v>559</v>
      </c>
      <c r="G683" t="s">
        <v>700</v>
      </c>
      <c r="H683" t="s">
        <v>701</v>
      </c>
      <c r="J683" s="2"/>
      <c r="M683" s="2"/>
      <c r="N683">
        <v>311807.44</v>
      </c>
      <c r="O683">
        <v>313220.02</v>
      </c>
      <c r="Q683">
        <v>211.89</v>
      </c>
      <c r="R683">
        <v>0</v>
      </c>
      <c r="S683">
        <v>313008.13</v>
      </c>
      <c r="U683" t="s">
        <v>26</v>
      </c>
      <c r="W683" s="3">
        <v>14037671</v>
      </c>
    </row>
    <row r="684" spans="1:23">
      <c r="A684" t="s">
        <v>62</v>
      </c>
      <c r="B684" t="s">
        <v>63</v>
      </c>
      <c r="C684" s="2">
        <v>45864</v>
      </c>
      <c r="D684" t="s">
        <v>558</v>
      </c>
      <c r="E684" t="s">
        <v>559</v>
      </c>
      <c r="G684" t="s">
        <v>700</v>
      </c>
      <c r="H684" t="s">
        <v>701</v>
      </c>
      <c r="J684" s="2"/>
      <c r="M684" s="2"/>
      <c r="N684">
        <v>602251.43999999994</v>
      </c>
      <c r="O684">
        <v>604979.81999999995</v>
      </c>
      <c r="Q684">
        <v>409.26</v>
      </c>
      <c r="R684">
        <v>0</v>
      </c>
      <c r="S684">
        <v>604570.56000000006</v>
      </c>
      <c r="U684" t="s">
        <v>26</v>
      </c>
      <c r="W684" s="3">
        <v>58949084</v>
      </c>
    </row>
    <row r="685" spans="1:23">
      <c r="A685" t="s">
        <v>53</v>
      </c>
      <c r="B685" t="s">
        <v>48</v>
      </c>
      <c r="C685" s="2">
        <v>45864</v>
      </c>
      <c r="D685" t="s">
        <v>558</v>
      </c>
      <c r="E685" t="s">
        <v>559</v>
      </c>
      <c r="G685" t="s">
        <v>700</v>
      </c>
      <c r="H685" t="s">
        <v>701</v>
      </c>
      <c r="J685" s="2"/>
      <c r="M685" s="2"/>
      <c r="N685">
        <v>1000191.62</v>
      </c>
      <c r="O685">
        <v>1004722.79</v>
      </c>
      <c r="Q685">
        <v>679.68</v>
      </c>
      <c r="R685">
        <v>0</v>
      </c>
      <c r="S685">
        <v>1004043.11</v>
      </c>
      <c r="U685" t="s">
        <v>26</v>
      </c>
      <c r="W685" s="3">
        <v>46063114</v>
      </c>
    </row>
    <row r="686" spans="1:23">
      <c r="A686" t="s">
        <v>66</v>
      </c>
      <c r="B686" t="s">
        <v>67</v>
      </c>
      <c r="C686" s="2">
        <v>45864</v>
      </c>
      <c r="D686" t="s">
        <v>558</v>
      </c>
      <c r="E686" t="s">
        <v>559</v>
      </c>
      <c r="G686" t="s">
        <v>700</v>
      </c>
      <c r="H686" t="s">
        <v>701</v>
      </c>
      <c r="J686" s="2"/>
      <c r="M686" s="2"/>
      <c r="N686">
        <v>2001200.98</v>
      </c>
      <c r="O686">
        <v>2011666.06</v>
      </c>
      <c r="Q686">
        <v>1569.76</v>
      </c>
      <c r="R686">
        <v>0</v>
      </c>
      <c r="S686">
        <v>2010096.3</v>
      </c>
      <c r="U686" t="s">
        <v>26</v>
      </c>
      <c r="W686" s="3">
        <v>24105539</v>
      </c>
    </row>
    <row r="687" spans="1:23">
      <c r="A687" t="s">
        <v>56</v>
      </c>
      <c r="B687" t="s">
        <v>57</v>
      </c>
      <c r="C687" s="2">
        <v>45864</v>
      </c>
      <c r="D687" t="s">
        <v>558</v>
      </c>
      <c r="E687" t="s">
        <v>559</v>
      </c>
      <c r="G687" t="s">
        <v>702</v>
      </c>
      <c r="H687" t="s">
        <v>703</v>
      </c>
      <c r="J687" s="2"/>
      <c r="M687" s="2"/>
      <c r="N687">
        <v>5000</v>
      </c>
      <c r="O687">
        <v>505710.91</v>
      </c>
      <c r="Q687">
        <v>0</v>
      </c>
      <c r="R687">
        <v>0</v>
      </c>
      <c r="S687">
        <v>505710.91</v>
      </c>
      <c r="U687" t="s">
        <v>26</v>
      </c>
      <c r="W687" s="3">
        <v>37069601</v>
      </c>
    </row>
    <row r="688" spans="1:23">
      <c r="A688" t="s">
        <v>66</v>
      </c>
      <c r="B688" t="s">
        <v>67</v>
      </c>
      <c r="C688" s="2">
        <v>45864</v>
      </c>
      <c r="D688" t="s">
        <v>558</v>
      </c>
      <c r="E688" t="s">
        <v>559</v>
      </c>
      <c r="G688" t="s">
        <v>702</v>
      </c>
      <c r="H688" t="s">
        <v>703</v>
      </c>
      <c r="J688" s="2"/>
      <c r="M688" s="2"/>
      <c r="N688">
        <v>5000</v>
      </c>
      <c r="O688">
        <v>506019.13</v>
      </c>
      <c r="Q688">
        <v>0</v>
      </c>
      <c r="R688">
        <v>0</v>
      </c>
      <c r="S688">
        <v>506019.13</v>
      </c>
      <c r="U688" t="s">
        <v>26</v>
      </c>
      <c r="W688" s="3">
        <v>28335752</v>
      </c>
    </row>
    <row r="689" spans="1:23">
      <c r="A689" t="s">
        <v>54</v>
      </c>
      <c r="B689" t="s">
        <v>55</v>
      </c>
      <c r="C689" s="2">
        <v>45864</v>
      </c>
      <c r="D689" t="s">
        <v>558</v>
      </c>
      <c r="E689" t="s">
        <v>559</v>
      </c>
      <c r="G689" t="s">
        <v>704</v>
      </c>
      <c r="H689" t="s">
        <v>703</v>
      </c>
      <c r="J689" s="2"/>
      <c r="M689" s="2"/>
      <c r="N689">
        <v>1000</v>
      </c>
      <c r="O689">
        <v>101129.51</v>
      </c>
      <c r="Q689">
        <v>0</v>
      </c>
      <c r="R689">
        <v>0</v>
      </c>
      <c r="S689">
        <v>101129.51</v>
      </c>
      <c r="U689" t="s">
        <v>26</v>
      </c>
      <c r="W689" s="3">
        <v>40878291</v>
      </c>
    </row>
    <row r="690" spans="1:23">
      <c r="A690" t="s">
        <v>62</v>
      </c>
      <c r="B690" t="s">
        <v>63</v>
      </c>
      <c r="C690" s="2">
        <v>45864</v>
      </c>
      <c r="D690" t="s">
        <v>558</v>
      </c>
      <c r="E690" t="s">
        <v>559</v>
      </c>
      <c r="G690" t="s">
        <v>704</v>
      </c>
      <c r="H690" t="s">
        <v>703</v>
      </c>
      <c r="J690" s="2"/>
      <c r="M690" s="2"/>
      <c r="N690">
        <v>1000</v>
      </c>
      <c r="O690">
        <v>101129.51</v>
      </c>
      <c r="Q690">
        <v>0</v>
      </c>
      <c r="R690">
        <v>0</v>
      </c>
      <c r="S690">
        <v>101129.51</v>
      </c>
      <c r="U690" t="s">
        <v>26</v>
      </c>
      <c r="W690" s="3">
        <v>71555472</v>
      </c>
    </row>
    <row r="692" spans="1:23">
      <c r="A692" t="s">
        <v>705</v>
      </c>
    </row>
  </sheetData>
  <autoFilter ref="A1:W690" xr:uid="{00000000-0001-0000-0000-000000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ECC5-B1C1-45DC-99B2-BD1760AABAA5}">
  <dimension ref="A1:O108"/>
  <sheetViews>
    <sheetView showGridLines="0" topLeftCell="A83" zoomScale="110" zoomScaleNormal="110" workbookViewId="0">
      <selection activeCell="D26" sqref="D26"/>
    </sheetView>
  </sheetViews>
  <sheetFormatPr defaultRowHeight="14.4"/>
  <cols>
    <col min="1" max="1" width="9" bestFit="1" customWidth="1"/>
    <col min="2" max="2" width="51.77734375" bestFit="1" customWidth="1"/>
    <col min="3" max="3" width="18.88671875" bestFit="1" customWidth="1"/>
    <col min="4" max="4" width="32.6640625" customWidth="1"/>
    <col min="5" max="5" width="18" bestFit="1" customWidth="1"/>
    <col min="6" max="6" width="16.5546875" customWidth="1"/>
    <col min="7" max="7" width="11.109375" bestFit="1" customWidth="1"/>
    <col min="8" max="8" width="19" bestFit="1" customWidth="1"/>
    <col min="9" max="9" width="14.109375" bestFit="1" customWidth="1"/>
    <col min="10" max="10" width="22.77734375" bestFit="1" customWidth="1"/>
    <col min="11" max="12" width="17.6640625" customWidth="1"/>
    <col min="13" max="13" width="23.33203125" bestFit="1" customWidth="1"/>
    <col min="14" max="14" width="24.109375" bestFit="1" customWidth="1"/>
    <col min="15" max="15" width="19.21875" bestFit="1" customWidth="1"/>
  </cols>
  <sheetData>
    <row r="1" spans="1:15" ht="15">
      <c r="A1" s="74"/>
      <c r="B1" s="111"/>
      <c r="C1" s="74"/>
      <c r="D1" s="74"/>
      <c r="E1" s="75" t="s">
        <v>992</v>
      </c>
      <c r="F1" s="75"/>
      <c r="G1" s="75"/>
      <c r="H1" s="75"/>
      <c r="I1" s="75" t="s">
        <v>711</v>
      </c>
      <c r="J1" s="75" t="s">
        <v>708</v>
      </c>
      <c r="K1" s="75"/>
      <c r="L1" s="75"/>
      <c r="M1" s="75" t="s">
        <v>1015</v>
      </c>
      <c r="N1" s="75" t="s">
        <v>733</v>
      </c>
      <c r="O1" s="75" t="s">
        <v>1016</v>
      </c>
    </row>
    <row r="2" spans="1:15" ht="15">
      <c r="A2" s="74"/>
      <c r="B2" s="74"/>
      <c r="C2" s="74"/>
      <c r="D2" s="74"/>
      <c r="E2" s="75" t="s">
        <v>713</v>
      </c>
      <c r="F2" s="75"/>
      <c r="G2" s="75"/>
      <c r="H2" s="75"/>
      <c r="I2" s="76">
        <f>SUMPRODUCT(L5:L108,I5:I108)</f>
        <v>6.0562700893474894E-3</v>
      </c>
      <c r="J2" s="77">
        <f>SUM(J5:J108)</f>
        <v>505980195.22559559</v>
      </c>
      <c r="K2" s="75"/>
      <c r="L2" s="75"/>
      <c r="M2" s="77">
        <f>SUM(M5:M108)</f>
        <v>3064352.7221469786</v>
      </c>
      <c r="N2" s="77">
        <f>SUM(N5:N108)</f>
        <v>1550894.1169109887</v>
      </c>
      <c r="O2" s="78">
        <f>SUMPRODUCT(L5:L108,O5:O108)</f>
        <v>3.0651281049044023E-3</v>
      </c>
    </row>
    <row r="3" spans="1:15" ht="1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5" ht="15">
      <c r="A4" s="74"/>
      <c r="B4" s="81" t="s">
        <v>722</v>
      </c>
      <c r="C4" s="81" t="s">
        <v>723</v>
      </c>
      <c r="D4" s="81" t="s">
        <v>724</v>
      </c>
      <c r="E4" s="81" t="s">
        <v>725</v>
      </c>
      <c r="F4" s="81" t="s">
        <v>726</v>
      </c>
      <c r="G4" s="81" t="s">
        <v>0</v>
      </c>
      <c r="H4" s="81" t="s">
        <v>727</v>
      </c>
      <c r="I4" s="81" t="s">
        <v>707</v>
      </c>
      <c r="J4" s="81" t="s">
        <v>729</v>
      </c>
      <c r="K4" s="81" t="s">
        <v>730</v>
      </c>
      <c r="L4" s="81" t="s">
        <v>731</v>
      </c>
      <c r="M4" s="82" t="s">
        <v>990</v>
      </c>
      <c r="N4" s="82" t="s">
        <v>993</v>
      </c>
      <c r="O4" s="81" t="s">
        <v>991</v>
      </c>
    </row>
    <row r="5" spans="1:15">
      <c r="A5" s="79">
        <v>90</v>
      </c>
      <c r="B5" s="103" t="s">
        <v>957</v>
      </c>
      <c r="C5" s="103"/>
      <c r="D5" s="104" t="s">
        <v>958</v>
      </c>
      <c r="E5" s="103" t="s">
        <v>757</v>
      </c>
      <c r="F5" s="103" t="s">
        <v>758</v>
      </c>
      <c r="G5" s="103">
        <v>8543113</v>
      </c>
      <c r="H5" s="103" t="s">
        <v>959</v>
      </c>
      <c r="I5" s="105">
        <v>5.0000000000000001E-3</v>
      </c>
      <c r="J5" s="109">
        <v>53084952.75</v>
      </c>
      <c r="K5" s="106">
        <v>0.5</v>
      </c>
      <c r="L5" s="105">
        <f t="shared" ref="L5:L36" si="0">J5/$J$2</f>
        <v>0.10491508017686664</v>
      </c>
      <c r="M5" s="109">
        <f t="shared" ref="M5:M36" si="1">J5*I5</f>
        <v>265424.76374999998</v>
      </c>
      <c r="N5" s="109">
        <f>M5*K5</f>
        <v>132712.38187499999</v>
      </c>
      <c r="O5" s="105">
        <f>I5*K5</f>
        <v>2.5000000000000001E-3</v>
      </c>
    </row>
    <row r="6" spans="1:15">
      <c r="A6" s="79">
        <v>1</v>
      </c>
      <c r="B6" s="103" t="s">
        <v>67</v>
      </c>
      <c r="C6" s="103"/>
      <c r="D6" s="107" t="s">
        <v>994</v>
      </c>
      <c r="E6" s="103" t="s">
        <v>757</v>
      </c>
      <c r="F6" s="103" t="s">
        <v>758</v>
      </c>
      <c r="G6" s="103" t="s">
        <v>66</v>
      </c>
      <c r="H6" s="103" t="s">
        <v>983</v>
      </c>
      <c r="I6" s="108">
        <v>5.4999999999999997E-3</v>
      </c>
      <c r="J6" s="109">
        <v>46261964.38000001</v>
      </c>
      <c r="K6" s="110">
        <v>0.5</v>
      </c>
      <c r="L6" s="110">
        <f t="shared" si="0"/>
        <v>9.1430385648540488E-2</v>
      </c>
      <c r="M6" s="109">
        <f t="shared" si="1"/>
        <v>254440.80409000005</v>
      </c>
      <c r="N6" s="109">
        <f>O6*J6</f>
        <v>127220.40204500002</v>
      </c>
      <c r="O6" s="108">
        <f>(I6)*K6</f>
        <v>2.7499999999999998E-3</v>
      </c>
    </row>
    <row r="7" spans="1:15">
      <c r="A7" s="79">
        <v>66</v>
      </c>
      <c r="B7" s="103" t="s">
        <v>904</v>
      </c>
      <c r="C7" s="103"/>
      <c r="D7" s="104" t="s">
        <v>905</v>
      </c>
      <c r="E7" s="103" t="s">
        <v>757</v>
      </c>
      <c r="F7" s="103" t="s">
        <v>758</v>
      </c>
      <c r="G7" s="103">
        <v>5742596</v>
      </c>
      <c r="H7" s="103" t="s">
        <v>899</v>
      </c>
      <c r="I7" s="105">
        <v>6.0000000000000001E-3</v>
      </c>
      <c r="J7" s="109">
        <v>36157759.939999998</v>
      </c>
      <c r="K7" s="106">
        <v>0.5</v>
      </c>
      <c r="L7" s="105">
        <f t="shared" si="0"/>
        <v>7.1460820564090949E-2</v>
      </c>
      <c r="M7" s="109">
        <f t="shared" si="1"/>
        <v>216946.55963999999</v>
      </c>
      <c r="N7" s="109">
        <f>M7*K7</f>
        <v>108473.27982</v>
      </c>
      <c r="O7" s="105">
        <f>I7*K7</f>
        <v>3.0000000000000001E-3</v>
      </c>
    </row>
    <row r="8" spans="1:15">
      <c r="A8" s="79">
        <v>2</v>
      </c>
      <c r="B8" s="103" t="s">
        <v>44</v>
      </c>
      <c r="C8" s="103"/>
      <c r="D8" s="107" t="s">
        <v>995</v>
      </c>
      <c r="E8" s="103" t="s">
        <v>757</v>
      </c>
      <c r="F8" s="103" t="s">
        <v>758</v>
      </c>
      <c r="G8" s="103" t="s">
        <v>43</v>
      </c>
      <c r="H8" s="103" t="s">
        <v>984</v>
      </c>
      <c r="I8" s="108">
        <v>4.0000000000000001E-3</v>
      </c>
      <c r="J8" s="109">
        <v>28288417.600000001</v>
      </c>
      <c r="K8" s="110">
        <v>0.5</v>
      </c>
      <c r="L8" s="110">
        <f t="shared" si="0"/>
        <v>5.5908151874180308E-2</v>
      </c>
      <c r="M8" s="109">
        <f t="shared" si="1"/>
        <v>113153.6704</v>
      </c>
      <c r="N8" s="109">
        <f>O8*J8</f>
        <v>56576.835200000001</v>
      </c>
      <c r="O8" s="108">
        <f>(I8)*K8</f>
        <v>2E-3</v>
      </c>
    </row>
    <row r="9" spans="1:15" ht="28.8">
      <c r="A9" s="79">
        <v>7</v>
      </c>
      <c r="B9" s="103" t="s">
        <v>59</v>
      </c>
      <c r="C9" s="103" t="s">
        <v>1001</v>
      </c>
      <c r="D9" s="107" t="s">
        <v>1000</v>
      </c>
      <c r="E9" s="103" t="s">
        <v>757</v>
      </c>
      <c r="F9" s="103" t="s">
        <v>758</v>
      </c>
      <c r="G9" s="103" t="s">
        <v>58</v>
      </c>
      <c r="H9" s="103" t="s">
        <v>984</v>
      </c>
      <c r="I9" s="108">
        <v>7.0000000000000001E-3</v>
      </c>
      <c r="J9" s="109">
        <v>13144548.380000001</v>
      </c>
      <c r="K9" s="110">
        <v>0.5</v>
      </c>
      <c r="L9" s="110">
        <f t="shared" si="0"/>
        <v>2.5978385130547236E-2</v>
      </c>
      <c r="M9" s="109">
        <f t="shared" si="1"/>
        <v>92011.838660000009</v>
      </c>
      <c r="N9" s="109">
        <f>O9*J9</f>
        <v>46005.919330000004</v>
      </c>
      <c r="O9" s="108">
        <f>(I9)*K9</f>
        <v>3.5000000000000001E-3</v>
      </c>
    </row>
    <row r="10" spans="1:15">
      <c r="A10" s="79">
        <v>8</v>
      </c>
      <c r="B10" s="103" t="s">
        <v>48</v>
      </c>
      <c r="C10" s="103" t="s">
        <v>1003</v>
      </c>
      <c r="D10" s="107" t="s">
        <v>1002</v>
      </c>
      <c r="E10" s="103" t="s">
        <v>757</v>
      </c>
      <c r="F10" s="103" t="s">
        <v>758</v>
      </c>
      <c r="G10" s="103" t="s">
        <v>53</v>
      </c>
      <c r="H10" s="103" t="s">
        <v>984</v>
      </c>
      <c r="I10" s="108">
        <v>7.0000000000000001E-3</v>
      </c>
      <c r="J10" s="109">
        <v>12219375.699999999</v>
      </c>
      <c r="K10" s="110">
        <v>0.5</v>
      </c>
      <c r="L10" s="110">
        <f t="shared" si="0"/>
        <v>2.4149909058301947E-2</v>
      </c>
      <c r="M10" s="109">
        <f t="shared" si="1"/>
        <v>85535.6299</v>
      </c>
      <c r="N10" s="109">
        <f>O10*J10</f>
        <v>42767.81495</v>
      </c>
      <c r="O10" s="108">
        <f>(I10)*K10</f>
        <v>3.5000000000000001E-3</v>
      </c>
    </row>
    <row r="11" spans="1:15">
      <c r="A11" s="79">
        <v>3</v>
      </c>
      <c r="B11" s="103" t="s">
        <v>61</v>
      </c>
      <c r="C11" s="103"/>
      <c r="D11" s="107" t="s">
        <v>996</v>
      </c>
      <c r="E11" s="103" t="s">
        <v>757</v>
      </c>
      <c r="F11" s="103" t="s">
        <v>758</v>
      </c>
      <c r="G11" s="103" t="s">
        <v>60</v>
      </c>
      <c r="H11" s="103" t="s">
        <v>985</v>
      </c>
      <c r="I11" s="108">
        <v>3.0000000000000001E-3</v>
      </c>
      <c r="J11" s="109">
        <v>24418730.129999999</v>
      </c>
      <c r="K11" s="110">
        <v>0.5</v>
      </c>
      <c r="L11" s="110">
        <f t="shared" si="0"/>
        <v>4.8260248840594835E-2</v>
      </c>
      <c r="M11" s="109">
        <f t="shared" si="1"/>
        <v>73256.190390000003</v>
      </c>
      <c r="N11" s="109">
        <f>O11*J11</f>
        <v>36628.095195000002</v>
      </c>
      <c r="O11" s="108">
        <f>(I11)*K11</f>
        <v>1.5E-3</v>
      </c>
    </row>
    <row r="12" spans="1:15">
      <c r="A12" s="79">
        <v>27</v>
      </c>
      <c r="B12" s="103" t="s">
        <v>792</v>
      </c>
      <c r="C12" s="103" t="s">
        <v>793</v>
      </c>
      <c r="D12" s="104" t="s">
        <v>794</v>
      </c>
      <c r="E12" s="103" t="s">
        <v>757</v>
      </c>
      <c r="F12" s="103" t="s">
        <v>758</v>
      </c>
      <c r="G12" s="103">
        <v>1465709</v>
      </c>
      <c r="H12" s="103" t="s">
        <v>767</v>
      </c>
      <c r="I12" s="105">
        <v>0.01</v>
      </c>
      <c r="J12" s="109">
        <v>7234228.6299999999</v>
      </c>
      <c r="K12" s="106">
        <v>0.5</v>
      </c>
      <c r="L12" s="105">
        <f t="shared" si="0"/>
        <v>1.429745412619274E-2</v>
      </c>
      <c r="M12" s="109">
        <f t="shared" si="1"/>
        <v>72342.286300000007</v>
      </c>
      <c r="N12" s="109">
        <f>M12*K12</f>
        <v>36171.143150000004</v>
      </c>
      <c r="O12" s="105">
        <f>I12*K12</f>
        <v>5.0000000000000001E-3</v>
      </c>
    </row>
    <row r="13" spans="1:15">
      <c r="A13" s="79">
        <v>4</v>
      </c>
      <c r="B13" s="103" t="s">
        <v>32</v>
      </c>
      <c r="C13" s="103"/>
      <c r="D13" s="107" t="s">
        <v>997</v>
      </c>
      <c r="E13" s="103" t="s">
        <v>757</v>
      </c>
      <c r="F13" s="103" t="s">
        <v>758</v>
      </c>
      <c r="G13" s="103" t="s">
        <v>31</v>
      </c>
      <c r="H13" s="103" t="s">
        <v>985</v>
      </c>
      <c r="I13" s="108">
        <v>3.0000000000000001E-3</v>
      </c>
      <c r="J13" s="109">
        <v>23184835.359999999</v>
      </c>
      <c r="K13" s="110">
        <v>0.5</v>
      </c>
      <c r="L13" s="110">
        <f t="shared" si="0"/>
        <v>4.5821626179781291E-2</v>
      </c>
      <c r="M13" s="109">
        <f t="shared" si="1"/>
        <v>69554.506080000006</v>
      </c>
      <c r="N13" s="109">
        <f>O13*J13</f>
        <v>34777.253040000003</v>
      </c>
      <c r="O13" s="108">
        <f>(I13)*K13</f>
        <v>1.5E-3</v>
      </c>
    </row>
    <row r="14" spans="1:15">
      <c r="A14" s="79">
        <v>6</v>
      </c>
      <c r="B14" s="103" t="s">
        <v>63</v>
      </c>
      <c r="C14" s="103" t="s">
        <v>1009</v>
      </c>
      <c r="D14" s="107" t="s">
        <v>999</v>
      </c>
      <c r="E14" s="103" t="s">
        <v>757</v>
      </c>
      <c r="F14" s="103" t="s">
        <v>758</v>
      </c>
      <c r="G14" s="103" t="s">
        <v>62</v>
      </c>
      <c r="H14" s="103" t="s">
        <v>984</v>
      </c>
      <c r="I14" s="108">
        <v>5.0000000000000001E-3</v>
      </c>
      <c r="J14" s="109">
        <v>13860080.88559562</v>
      </c>
      <c r="K14" s="110">
        <v>0.5</v>
      </c>
      <c r="L14" s="110">
        <f t="shared" si="0"/>
        <v>2.73925363411032E-2</v>
      </c>
      <c r="M14" s="109">
        <f t="shared" si="1"/>
        <v>69300.404427978094</v>
      </c>
      <c r="N14" s="109">
        <f>O14*J14</f>
        <v>34650.202213989047</v>
      </c>
      <c r="O14" s="108">
        <f>(I14)*K14</f>
        <v>2.5000000000000001E-3</v>
      </c>
    </row>
    <row r="15" spans="1:15">
      <c r="A15" s="79">
        <v>5</v>
      </c>
      <c r="B15" s="103" t="s">
        <v>23</v>
      </c>
      <c r="C15" s="103"/>
      <c r="D15" s="107" t="s">
        <v>998</v>
      </c>
      <c r="E15" s="103" t="s">
        <v>757</v>
      </c>
      <c r="F15" s="103" t="s">
        <v>758</v>
      </c>
      <c r="G15" s="103" t="s">
        <v>22</v>
      </c>
      <c r="H15" s="103" t="s">
        <v>986</v>
      </c>
      <c r="I15" s="108">
        <v>3.2000000000000002E-3</v>
      </c>
      <c r="J15" s="109">
        <v>20368543.690000001</v>
      </c>
      <c r="K15" s="110">
        <v>0.5</v>
      </c>
      <c r="L15" s="110">
        <f t="shared" si="0"/>
        <v>4.0255614512576941E-2</v>
      </c>
      <c r="M15" s="109">
        <f t="shared" si="1"/>
        <v>65179.339808000004</v>
      </c>
      <c r="N15" s="109">
        <f>O15*J15</f>
        <v>32589.669904000002</v>
      </c>
      <c r="O15" s="108">
        <f>(I15)*K15</f>
        <v>1.6000000000000001E-3</v>
      </c>
    </row>
    <row r="16" spans="1:15">
      <c r="A16" s="79">
        <v>47</v>
      </c>
      <c r="B16" s="103" t="s">
        <v>859</v>
      </c>
      <c r="C16" s="103" t="s">
        <v>860</v>
      </c>
      <c r="D16" s="103" t="s">
        <v>861</v>
      </c>
      <c r="E16" s="103" t="s">
        <v>757</v>
      </c>
      <c r="F16" s="103" t="s">
        <v>758</v>
      </c>
      <c r="G16" s="103">
        <v>2868078</v>
      </c>
      <c r="H16" s="103" t="s">
        <v>767</v>
      </c>
      <c r="I16" s="105">
        <v>0.01</v>
      </c>
      <c r="J16" s="109">
        <v>5958568.0700000003</v>
      </c>
      <c r="K16" s="106">
        <v>0.5</v>
      </c>
      <c r="L16" s="105">
        <f t="shared" si="0"/>
        <v>1.1776287147648777E-2</v>
      </c>
      <c r="M16" s="109">
        <f t="shared" si="1"/>
        <v>59585.680700000004</v>
      </c>
      <c r="N16" s="109">
        <f>M16*K16</f>
        <v>29792.840350000002</v>
      </c>
      <c r="O16" s="105">
        <f>I16*K16</f>
        <v>5.0000000000000001E-3</v>
      </c>
    </row>
    <row r="17" spans="1:15">
      <c r="A17" s="79">
        <v>70</v>
      </c>
      <c r="B17" s="103" t="s">
        <v>914</v>
      </c>
      <c r="C17" s="103"/>
      <c r="D17" s="104" t="s">
        <v>915</v>
      </c>
      <c r="E17" s="103" t="s">
        <v>757</v>
      </c>
      <c r="F17" s="103" t="s">
        <v>758</v>
      </c>
      <c r="G17" s="103">
        <v>1736997</v>
      </c>
      <c r="H17" s="103" t="s">
        <v>767</v>
      </c>
      <c r="I17" s="105">
        <v>0.01</v>
      </c>
      <c r="J17" s="109">
        <v>5449551.2400000002</v>
      </c>
      <c r="K17" s="106">
        <v>0.5</v>
      </c>
      <c r="L17" s="105">
        <f t="shared" si="0"/>
        <v>1.077028565825639E-2</v>
      </c>
      <c r="M17" s="109">
        <f t="shared" si="1"/>
        <v>54495.512400000007</v>
      </c>
      <c r="N17" s="109">
        <f>M17*K17</f>
        <v>27247.756200000003</v>
      </c>
      <c r="O17" s="105">
        <f>I17*K17</f>
        <v>5.0000000000000001E-3</v>
      </c>
    </row>
    <row r="18" spans="1:15">
      <c r="A18" s="79">
        <v>11</v>
      </c>
      <c r="B18" s="103" t="s">
        <v>55</v>
      </c>
      <c r="C18" s="103" t="s">
        <v>1008</v>
      </c>
      <c r="D18" s="107" t="s">
        <v>1006</v>
      </c>
      <c r="E18" s="103" t="s">
        <v>757</v>
      </c>
      <c r="F18" s="103" t="s">
        <v>758</v>
      </c>
      <c r="G18" s="103" t="s">
        <v>54</v>
      </c>
      <c r="H18" s="103" t="s">
        <v>984</v>
      </c>
      <c r="I18" s="108">
        <v>5.0000000000000001E-3</v>
      </c>
      <c r="J18" s="109">
        <v>10524969.42</v>
      </c>
      <c r="K18" s="110">
        <v>0.5</v>
      </c>
      <c r="L18" s="110">
        <f t="shared" si="0"/>
        <v>2.0801148976408754E-2</v>
      </c>
      <c r="M18" s="109">
        <f t="shared" si="1"/>
        <v>52624.847099999999</v>
      </c>
      <c r="N18" s="109">
        <f>O18*J18</f>
        <v>26312.42355</v>
      </c>
      <c r="O18" s="108">
        <f>(I18)*K18</f>
        <v>2.5000000000000001E-3</v>
      </c>
    </row>
    <row r="19" spans="1:15">
      <c r="A19" s="79">
        <v>63</v>
      </c>
      <c r="B19" s="103" t="s">
        <v>897</v>
      </c>
      <c r="C19" s="103"/>
      <c r="D19" s="104" t="s">
        <v>898</v>
      </c>
      <c r="E19" s="103" t="s">
        <v>757</v>
      </c>
      <c r="F19" s="103" t="s">
        <v>758</v>
      </c>
      <c r="G19" s="103">
        <v>1946304</v>
      </c>
      <c r="H19" s="103" t="s">
        <v>899</v>
      </c>
      <c r="I19" s="105">
        <v>6.0000000000000001E-3</v>
      </c>
      <c r="J19" s="109">
        <v>8702271.7200000007</v>
      </c>
      <c r="K19" s="106">
        <v>0.5</v>
      </c>
      <c r="L19" s="105">
        <f t="shared" si="0"/>
        <v>1.7198838614859262E-2</v>
      </c>
      <c r="M19" s="109">
        <f t="shared" si="1"/>
        <v>52213.630320000004</v>
      </c>
      <c r="N19" s="109">
        <f>M19*K19</f>
        <v>26106.815160000002</v>
      </c>
      <c r="O19" s="105">
        <f>I19*K19</f>
        <v>3.0000000000000001E-3</v>
      </c>
    </row>
    <row r="20" spans="1:15">
      <c r="A20" s="79">
        <v>54</v>
      </c>
      <c r="B20" s="103" t="s">
        <v>879</v>
      </c>
      <c r="C20" s="103" t="s">
        <v>880</v>
      </c>
      <c r="D20" s="104" t="s">
        <v>881</v>
      </c>
      <c r="E20" s="103" t="s">
        <v>757</v>
      </c>
      <c r="F20" s="103" t="s">
        <v>758</v>
      </c>
      <c r="G20" s="103">
        <v>3908505</v>
      </c>
      <c r="H20" s="103" t="s">
        <v>882</v>
      </c>
      <c r="I20" s="105">
        <v>0.01</v>
      </c>
      <c r="J20" s="109">
        <v>5216639.51</v>
      </c>
      <c r="K20" s="106">
        <v>0.5</v>
      </c>
      <c r="L20" s="105">
        <f t="shared" si="0"/>
        <v>1.030996777981422E-2</v>
      </c>
      <c r="M20" s="109">
        <f t="shared" si="1"/>
        <v>52166.395100000002</v>
      </c>
      <c r="N20" s="109">
        <f>M20*K20</f>
        <v>26083.197550000001</v>
      </c>
      <c r="O20" s="105">
        <f>I20*K20</f>
        <v>5.0000000000000001E-3</v>
      </c>
    </row>
    <row r="21" spans="1:15">
      <c r="A21" s="79">
        <v>71</v>
      </c>
      <c r="B21" s="103" t="s">
        <v>916</v>
      </c>
      <c r="C21" s="103"/>
      <c r="D21" s="104" t="s">
        <v>917</v>
      </c>
      <c r="E21" s="103" t="s">
        <v>757</v>
      </c>
      <c r="F21" s="103" t="s">
        <v>758</v>
      </c>
      <c r="G21" s="103">
        <v>1514440</v>
      </c>
      <c r="H21" s="103" t="s">
        <v>767</v>
      </c>
      <c r="I21" s="105">
        <v>0.01</v>
      </c>
      <c r="J21" s="109">
        <v>5074686.91</v>
      </c>
      <c r="K21" s="106">
        <v>0.5</v>
      </c>
      <c r="L21" s="105">
        <f t="shared" si="0"/>
        <v>1.0029418063956847E-2</v>
      </c>
      <c r="M21" s="109">
        <f t="shared" si="1"/>
        <v>50746.869100000004</v>
      </c>
      <c r="N21" s="109">
        <f>M21*K21</f>
        <v>25373.434550000002</v>
      </c>
      <c r="O21" s="105">
        <f>I21*K21</f>
        <v>5.0000000000000001E-3</v>
      </c>
    </row>
    <row r="22" spans="1:15">
      <c r="A22" s="79">
        <v>41</v>
      </c>
      <c r="B22" s="103" t="s">
        <v>840</v>
      </c>
      <c r="C22" s="103" t="s">
        <v>841</v>
      </c>
      <c r="D22" s="103" t="s">
        <v>842</v>
      </c>
      <c r="E22" s="103" t="s">
        <v>757</v>
      </c>
      <c r="F22" s="103" t="s">
        <v>758</v>
      </c>
      <c r="G22" s="103">
        <v>4164768</v>
      </c>
      <c r="H22" s="103" t="s">
        <v>837</v>
      </c>
      <c r="I22" s="105">
        <v>0.01</v>
      </c>
      <c r="J22" s="109">
        <v>4969136.9800000004</v>
      </c>
      <c r="K22" s="106">
        <v>0.5</v>
      </c>
      <c r="L22" s="105">
        <f t="shared" si="0"/>
        <v>9.8208131995847544E-3</v>
      </c>
      <c r="M22" s="109">
        <f t="shared" si="1"/>
        <v>49691.369800000008</v>
      </c>
      <c r="N22" s="109">
        <f>M22*K22</f>
        <v>24845.684900000004</v>
      </c>
      <c r="O22" s="105">
        <f>I22*K22</f>
        <v>5.0000000000000001E-3</v>
      </c>
    </row>
    <row r="23" spans="1:15">
      <c r="A23" s="79">
        <v>12</v>
      </c>
      <c r="B23" s="103" t="s">
        <v>30</v>
      </c>
      <c r="C23" s="103" t="s">
        <v>1320</v>
      </c>
      <c r="D23" s="107" t="s">
        <v>1007</v>
      </c>
      <c r="E23" s="103" t="s">
        <v>757</v>
      </c>
      <c r="F23" s="103" t="s">
        <v>758</v>
      </c>
      <c r="G23" s="103" t="s">
        <v>29</v>
      </c>
      <c r="H23" s="103" t="s">
        <v>989</v>
      </c>
      <c r="I23" s="108">
        <v>7.0000000000000001E-3</v>
      </c>
      <c r="J23" s="109">
        <v>6973935.2700000014</v>
      </c>
      <c r="K23" s="110">
        <v>0.5</v>
      </c>
      <c r="L23" s="110">
        <f t="shared" si="0"/>
        <v>1.3783020236376273E-2</v>
      </c>
      <c r="M23" s="109">
        <f t="shared" si="1"/>
        <v>48817.546890000012</v>
      </c>
      <c r="N23" s="109">
        <f>O23*J23</f>
        <v>24408.773445000006</v>
      </c>
      <c r="O23" s="108">
        <f>(I23)*K23</f>
        <v>3.5000000000000001E-3</v>
      </c>
    </row>
    <row r="24" spans="1:15">
      <c r="A24" s="79">
        <v>31</v>
      </c>
      <c r="B24" s="103" t="s">
        <v>807</v>
      </c>
      <c r="C24" s="103" t="s">
        <v>808</v>
      </c>
      <c r="D24" s="103" t="s">
        <v>809</v>
      </c>
      <c r="E24" s="103" t="s">
        <v>757</v>
      </c>
      <c r="F24" s="103" t="s">
        <v>758</v>
      </c>
      <c r="G24" s="103">
        <v>1812143</v>
      </c>
      <c r="H24" s="103" t="s">
        <v>767</v>
      </c>
      <c r="I24" s="105">
        <v>0.01</v>
      </c>
      <c r="J24" s="109">
        <v>4810171.59</v>
      </c>
      <c r="K24" s="106">
        <v>0.5</v>
      </c>
      <c r="L24" s="105">
        <f t="shared" si="0"/>
        <v>9.5066400530861555E-3</v>
      </c>
      <c r="M24" s="109">
        <f t="shared" si="1"/>
        <v>48101.715900000003</v>
      </c>
      <c r="N24" s="109">
        <f>M24*K24</f>
        <v>24050.857950000001</v>
      </c>
      <c r="O24" s="105">
        <f>I24*K24</f>
        <v>5.0000000000000001E-3</v>
      </c>
    </row>
    <row r="25" spans="1:15">
      <c r="A25" s="79">
        <v>9</v>
      </c>
      <c r="B25" s="103" t="s">
        <v>52</v>
      </c>
      <c r="C25" s="103"/>
      <c r="D25" s="107" t="s">
        <v>1004</v>
      </c>
      <c r="E25" s="103" t="s">
        <v>757</v>
      </c>
      <c r="F25" s="103" t="s">
        <v>758</v>
      </c>
      <c r="G25" s="103" t="s">
        <v>51</v>
      </c>
      <c r="H25" s="103" t="s">
        <v>987</v>
      </c>
      <c r="I25" s="108">
        <v>4.0000000000000001E-3</v>
      </c>
      <c r="J25" s="109">
        <v>11680378.09</v>
      </c>
      <c r="K25" s="110">
        <v>0.5</v>
      </c>
      <c r="L25" s="110">
        <f t="shared" si="0"/>
        <v>2.3084654696400128E-2</v>
      </c>
      <c r="M25" s="109">
        <f t="shared" si="1"/>
        <v>46721.512360000001</v>
      </c>
      <c r="N25" s="109">
        <f>O25*J25</f>
        <v>23360.75618</v>
      </c>
      <c r="O25" s="108">
        <f>(I25)*K25</f>
        <v>2E-3</v>
      </c>
    </row>
    <row r="26" spans="1:15">
      <c r="A26" s="79">
        <v>37</v>
      </c>
      <c r="B26" s="103" t="s">
        <v>826</v>
      </c>
      <c r="C26" s="103" t="s">
        <v>827</v>
      </c>
      <c r="D26" s="104" t="s">
        <v>828</v>
      </c>
      <c r="E26" s="103" t="s">
        <v>757</v>
      </c>
      <c r="F26" s="103" t="s">
        <v>758</v>
      </c>
      <c r="G26" s="103">
        <v>1268412</v>
      </c>
      <c r="H26" s="103" t="s">
        <v>829</v>
      </c>
      <c r="I26" s="105">
        <v>0.01</v>
      </c>
      <c r="J26" s="109">
        <v>4485481.91</v>
      </c>
      <c r="K26" s="106">
        <v>0.5</v>
      </c>
      <c r="L26" s="105">
        <f t="shared" si="0"/>
        <v>8.8649357273758705E-3</v>
      </c>
      <c r="M26" s="109">
        <f t="shared" si="1"/>
        <v>44854.819100000001</v>
      </c>
      <c r="N26" s="109">
        <f t="shared" ref="N26:N31" si="2">M26*K26</f>
        <v>22427.40955</v>
      </c>
      <c r="O26" s="105">
        <f t="shared" ref="O26:O31" si="3">I26*K26</f>
        <v>5.0000000000000001E-3</v>
      </c>
    </row>
    <row r="27" spans="1:15">
      <c r="A27" s="79">
        <v>76</v>
      </c>
      <c r="B27" s="83" t="s">
        <v>927</v>
      </c>
      <c r="C27" s="83"/>
      <c r="D27" s="84" t="s">
        <v>928</v>
      </c>
      <c r="E27" s="83" t="s">
        <v>757</v>
      </c>
      <c r="F27" s="83" t="s">
        <v>758</v>
      </c>
      <c r="G27" s="83">
        <v>1133008</v>
      </c>
      <c r="H27" s="83" t="s">
        <v>882</v>
      </c>
      <c r="I27" s="85">
        <v>0.01</v>
      </c>
      <c r="J27" s="340">
        <v>3984586.5</v>
      </c>
      <c r="K27" s="86">
        <v>0.5</v>
      </c>
      <c r="L27" s="85">
        <f t="shared" si="0"/>
        <v>7.8749851033664241E-3</v>
      </c>
      <c r="M27" s="340">
        <f t="shared" si="1"/>
        <v>39845.864999999998</v>
      </c>
      <c r="N27" s="340">
        <f t="shared" si="2"/>
        <v>19922.932499999999</v>
      </c>
      <c r="O27" s="85">
        <f t="shared" si="3"/>
        <v>5.0000000000000001E-3</v>
      </c>
    </row>
    <row r="28" spans="1:15">
      <c r="A28" s="79">
        <v>43</v>
      </c>
      <c r="B28" s="83" t="s">
        <v>847</v>
      </c>
      <c r="C28" s="83" t="s">
        <v>798</v>
      </c>
      <c r="D28" s="84" t="s">
        <v>799</v>
      </c>
      <c r="E28" s="83" t="s">
        <v>757</v>
      </c>
      <c r="F28" s="83" t="s">
        <v>758</v>
      </c>
      <c r="G28" s="83">
        <v>5037838</v>
      </c>
      <c r="H28" s="83" t="s">
        <v>800</v>
      </c>
      <c r="I28" s="85">
        <v>6.0000000000000001E-3</v>
      </c>
      <c r="J28" s="340">
        <v>6536344.4699999997</v>
      </c>
      <c r="K28" s="86">
        <v>0.5</v>
      </c>
      <c r="L28" s="85">
        <f t="shared" si="0"/>
        <v>1.2918182434167634E-2</v>
      </c>
      <c r="M28" s="340">
        <f t="shared" si="1"/>
        <v>39218.06682</v>
      </c>
      <c r="N28" s="340">
        <f t="shared" si="2"/>
        <v>19609.03341</v>
      </c>
      <c r="O28" s="85">
        <f t="shared" si="3"/>
        <v>3.0000000000000001E-3</v>
      </c>
    </row>
    <row r="29" spans="1:15">
      <c r="A29" s="79">
        <v>19</v>
      </c>
      <c r="B29" s="83" t="s">
        <v>764</v>
      </c>
      <c r="C29" s="83" t="s">
        <v>765</v>
      </c>
      <c r="D29" s="83" t="s">
        <v>766</v>
      </c>
      <c r="E29" s="83" t="s">
        <v>757</v>
      </c>
      <c r="F29" s="83" t="s">
        <v>758</v>
      </c>
      <c r="G29" s="83">
        <v>1234875</v>
      </c>
      <c r="H29" s="83" t="s">
        <v>767</v>
      </c>
      <c r="I29" s="85">
        <v>0.01</v>
      </c>
      <c r="J29" s="340">
        <v>3345538.77</v>
      </c>
      <c r="K29" s="86">
        <v>0.5</v>
      </c>
      <c r="L29" s="85">
        <f t="shared" si="0"/>
        <v>6.6119954922511598E-3</v>
      </c>
      <c r="M29" s="340">
        <f t="shared" si="1"/>
        <v>33455.387699999999</v>
      </c>
      <c r="N29" s="340">
        <f t="shared" si="2"/>
        <v>16727.69385</v>
      </c>
      <c r="O29" s="85">
        <f t="shared" si="3"/>
        <v>5.0000000000000001E-3</v>
      </c>
    </row>
    <row r="30" spans="1:15">
      <c r="A30" s="79">
        <v>86</v>
      </c>
      <c r="B30" s="83" t="s">
        <v>948</v>
      </c>
      <c r="C30" s="83"/>
      <c r="D30" s="84" t="s">
        <v>949</v>
      </c>
      <c r="E30" s="83" t="s">
        <v>757</v>
      </c>
      <c r="F30" s="83" t="s">
        <v>758</v>
      </c>
      <c r="G30" s="83">
        <v>3003782</v>
      </c>
      <c r="H30" s="83" t="s">
        <v>816</v>
      </c>
      <c r="I30" s="85">
        <v>0.01</v>
      </c>
      <c r="J30" s="340">
        <v>3621125.74</v>
      </c>
      <c r="K30" s="86">
        <v>0.5</v>
      </c>
      <c r="L30" s="85">
        <f t="shared" si="0"/>
        <v>7.1566550907896515E-3</v>
      </c>
      <c r="M30" s="340">
        <f t="shared" si="1"/>
        <v>36211.257400000002</v>
      </c>
      <c r="N30" s="340">
        <f t="shared" si="2"/>
        <v>18105.628700000001</v>
      </c>
      <c r="O30" s="85">
        <f t="shared" si="3"/>
        <v>5.0000000000000001E-3</v>
      </c>
    </row>
    <row r="31" spans="1:15">
      <c r="A31" s="79">
        <v>67</v>
      </c>
      <c r="B31" s="83" t="s">
        <v>906</v>
      </c>
      <c r="C31" s="83"/>
      <c r="D31" s="84" t="s">
        <v>907</v>
      </c>
      <c r="E31" s="83" t="s">
        <v>757</v>
      </c>
      <c r="F31" s="83" t="s">
        <v>758</v>
      </c>
      <c r="G31" s="83">
        <v>3854493</v>
      </c>
      <c r="H31" s="83" t="s">
        <v>759</v>
      </c>
      <c r="I31" s="85">
        <v>5.0000000000000001E-3</v>
      </c>
      <c r="J31" s="340">
        <f>VLOOKUP(G31,'[1]Planilha BTG - ON'!$A:$C,3,0)</f>
        <v>4793852.7199999988</v>
      </c>
      <c r="K31" s="86">
        <v>0.75</v>
      </c>
      <c r="L31" s="85">
        <f t="shared" si="0"/>
        <v>9.4743880595220108E-3</v>
      </c>
      <c r="M31" s="340">
        <f t="shared" si="1"/>
        <v>23969.263599999995</v>
      </c>
      <c r="N31" s="340">
        <f t="shared" si="2"/>
        <v>17976.947699999997</v>
      </c>
      <c r="O31" s="85">
        <f t="shared" si="3"/>
        <v>3.7499999999999999E-3</v>
      </c>
    </row>
    <row r="32" spans="1:15">
      <c r="A32" s="79">
        <v>10</v>
      </c>
      <c r="B32" s="79" t="s">
        <v>50</v>
      </c>
      <c r="C32" s="79" t="s">
        <v>1010</v>
      </c>
      <c r="D32" s="80" t="s">
        <v>1005</v>
      </c>
      <c r="E32" s="79" t="s">
        <v>757</v>
      </c>
      <c r="F32" s="79" t="s">
        <v>758</v>
      </c>
      <c r="G32" s="79" t="s">
        <v>49</v>
      </c>
      <c r="H32" s="79" t="s">
        <v>988</v>
      </c>
      <c r="I32" s="87">
        <v>3.2000000000000002E-3</v>
      </c>
      <c r="J32" s="88">
        <v>10995523.23</v>
      </c>
      <c r="K32" s="89">
        <v>0.5</v>
      </c>
      <c r="L32" s="89">
        <f t="shared" si="0"/>
        <v>2.1731133616993747E-2</v>
      </c>
      <c r="M32" s="88">
        <f t="shared" si="1"/>
        <v>35185.674336000004</v>
      </c>
      <c r="N32" s="88">
        <f>O32*J32</f>
        <v>17592.837168000002</v>
      </c>
      <c r="O32" s="87">
        <f>(I32)*K32</f>
        <v>1.6000000000000001E-3</v>
      </c>
    </row>
    <row r="33" spans="1:15">
      <c r="A33" s="79">
        <v>94</v>
      </c>
      <c r="B33" s="83" t="s">
        <v>968</v>
      </c>
      <c r="C33" s="83"/>
      <c r="D33" s="84" t="s">
        <v>969</v>
      </c>
      <c r="E33" s="83" t="s">
        <v>757</v>
      </c>
      <c r="F33" s="83" t="s">
        <v>758</v>
      </c>
      <c r="G33" s="90">
        <v>1985904</v>
      </c>
      <c r="H33" s="91" t="s">
        <v>935</v>
      </c>
      <c r="I33" s="85">
        <v>8.9999999999999993E-3</v>
      </c>
      <c r="J33" s="340">
        <v>3644407.04</v>
      </c>
      <c r="K33" s="86">
        <v>0.5</v>
      </c>
      <c r="L33" s="85">
        <f t="shared" si="0"/>
        <v>7.2026673660124385E-3</v>
      </c>
      <c r="M33" s="340">
        <f t="shared" si="1"/>
        <v>32799.663359999999</v>
      </c>
      <c r="N33" s="340">
        <f t="shared" ref="N33:N46" si="4">M33*K33</f>
        <v>16399.831679999999</v>
      </c>
      <c r="O33" s="85">
        <f t="shared" ref="O33:O46" si="5">I33*K33</f>
        <v>4.4999999999999997E-3</v>
      </c>
    </row>
    <row r="34" spans="1:15">
      <c r="A34" s="79">
        <v>35</v>
      </c>
      <c r="B34" s="83" t="s">
        <v>821</v>
      </c>
      <c r="C34" s="83" t="s">
        <v>822</v>
      </c>
      <c r="D34" s="83" t="s">
        <v>823</v>
      </c>
      <c r="E34" s="83" t="s">
        <v>757</v>
      </c>
      <c r="F34" s="83" t="s">
        <v>758</v>
      </c>
      <c r="G34" s="83">
        <v>1616612</v>
      </c>
      <c r="H34" s="83" t="s">
        <v>767</v>
      </c>
      <c r="I34" s="85">
        <v>0.01</v>
      </c>
      <c r="J34" s="340">
        <v>2973282.82</v>
      </c>
      <c r="K34" s="86">
        <v>0.5</v>
      </c>
      <c r="L34" s="85">
        <f t="shared" si="0"/>
        <v>5.876283000907449E-3</v>
      </c>
      <c r="M34" s="340">
        <f t="shared" si="1"/>
        <v>29732.8282</v>
      </c>
      <c r="N34" s="340">
        <f t="shared" si="4"/>
        <v>14866.4141</v>
      </c>
      <c r="O34" s="85">
        <f t="shared" si="5"/>
        <v>5.0000000000000001E-3</v>
      </c>
    </row>
    <row r="35" spans="1:15">
      <c r="A35" s="79">
        <v>22</v>
      </c>
      <c r="B35" s="83" t="s">
        <v>776</v>
      </c>
      <c r="C35" s="83" t="s">
        <v>777</v>
      </c>
      <c r="D35" s="84" t="s">
        <v>778</v>
      </c>
      <c r="E35" s="83" t="s">
        <v>757</v>
      </c>
      <c r="F35" s="83" t="s">
        <v>758</v>
      </c>
      <c r="G35" s="83">
        <v>4005958</v>
      </c>
      <c r="H35" s="83" t="s">
        <v>779</v>
      </c>
      <c r="I35" s="85">
        <v>0.01</v>
      </c>
      <c r="J35" s="340">
        <v>3355360.52</v>
      </c>
      <c r="K35" s="86">
        <v>0.5</v>
      </c>
      <c r="L35" s="85">
        <f t="shared" si="0"/>
        <v>6.6314068251307427E-3</v>
      </c>
      <c r="M35" s="340">
        <f t="shared" si="1"/>
        <v>33553.605199999998</v>
      </c>
      <c r="N35" s="340">
        <f t="shared" si="4"/>
        <v>16776.802599999999</v>
      </c>
      <c r="O35" s="85">
        <f t="shared" si="5"/>
        <v>5.0000000000000001E-3</v>
      </c>
    </row>
    <row r="36" spans="1:15">
      <c r="A36" s="79">
        <v>60</v>
      </c>
      <c r="B36" s="83" t="s">
        <v>892</v>
      </c>
      <c r="C36" s="83"/>
      <c r="D36" s="84" t="s">
        <v>891</v>
      </c>
      <c r="E36" s="83" t="s">
        <v>757</v>
      </c>
      <c r="F36" s="83" t="s">
        <v>758</v>
      </c>
      <c r="G36" s="83">
        <v>1650917</v>
      </c>
      <c r="H36" s="83" t="s">
        <v>767</v>
      </c>
      <c r="I36" s="85">
        <v>0.01</v>
      </c>
      <c r="J36" s="340">
        <v>2766239.4</v>
      </c>
      <c r="K36" s="86">
        <v>0.5</v>
      </c>
      <c r="L36" s="85">
        <f t="shared" si="0"/>
        <v>5.4670902657892534E-3</v>
      </c>
      <c r="M36" s="340">
        <f t="shared" si="1"/>
        <v>27662.394</v>
      </c>
      <c r="N36" s="340">
        <f t="shared" si="4"/>
        <v>13831.197</v>
      </c>
      <c r="O36" s="85">
        <f t="shared" si="5"/>
        <v>5.0000000000000001E-3</v>
      </c>
    </row>
    <row r="37" spans="1:15">
      <c r="A37" s="79">
        <v>51</v>
      </c>
      <c r="B37" s="83" t="s">
        <v>868</v>
      </c>
      <c r="C37" s="83" t="s">
        <v>869</v>
      </c>
      <c r="D37" s="84" t="s">
        <v>870</v>
      </c>
      <c r="E37" s="83" t="s">
        <v>757</v>
      </c>
      <c r="F37" s="83" t="s">
        <v>758</v>
      </c>
      <c r="G37" s="83">
        <v>3992075</v>
      </c>
      <c r="H37" s="83" t="s">
        <v>871</v>
      </c>
      <c r="I37" s="85">
        <v>6.4999999999999997E-3</v>
      </c>
      <c r="J37" s="340">
        <v>4961540.29</v>
      </c>
      <c r="K37" s="86">
        <v>0.5</v>
      </c>
      <c r="L37" s="85">
        <f t="shared" ref="L37:L68" si="6">J37/$J$2</f>
        <v>9.8057993906023426E-3</v>
      </c>
      <c r="M37" s="340">
        <f t="shared" ref="M37:M68" si="7">J37*I37</f>
        <v>32250.011885</v>
      </c>
      <c r="N37" s="340">
        <f t="shared" si="4"/>
        <v>16125.0059425</v>
      </c>
      <c r="O37" s="85">
        <f t="shared" si="5"/>
        <v>3.2499999999999999E-3</v>
      </c>
    </row>
    <row r="38" spans="1:15">
      <c r="A38" s="79">
        <v>61</v>
      </c>
      <c r="B38" s="83" t="s">
        <v>893</v>
      </c>
      <c r="C38" s="83"/>
      <c r="D38" s="84" t="s">
        <v>894</v>
      </c>
      <c r="E38" s="83" t="s">
        <v>757</v>
      </c>
      <c r="F38" s="83" t="s">
        <v>758</v>
      </c>
      <c r="G38" s="83">
        <v>3412696</v>
      </c>
      <c r="H38" s="83" t="s">
        <v>800</v>
      </c>
      <c r="I38" s="85">
        <v>6.0000000000000001E-3</v>
      </c>
      <c r="J38" s="340">
        <v>5350659.4800000004</v>
      </c>
      <c r="K38" s="86">
        <v>0.5</v>
      </c>
      <c r="L38" s="85">
        <f t="shared" si="6"/>
        <v>1.057483974765922E-2</v>
      </c>
      <c r="M38" s="340">
        <f t="shared" si="7"/>
        <v>32103.956880000002</v>
      </c>
      <c r="N38" s="340">
        <f t="shared" si="4"/>
        <v>16051.978440000001</v>
      </c>
      <c r="O38" s="85">
        <f t="shared" si="5"/>
        <v>3.0000000000000001E-3</v>
      </c>
    </row>
    <row r="39" spans="1:15">
      <c r="A39" s="79">
        <v>32</v>
      </c>
      <c r="B39" s="83" t="s">
        <v>810</v>
      </c>
      <c r="C39" s="83" t="s">
        <v>811</v>
      </c>
      <c r="D39" s="84" t="s">
        <v>812</v>
      </c>
      <c r="E39" s="83" t="s">
        <v>757</v>
      </c>
      <c r="F39" s="83" t="s">
        <v>758</v>
      </c>
      <c r="G39" s="83">
        <v>1767432</v>
      </c>
      <c r="H39" s="83" t="s">
        <v>767</v>
      </c>
      <c r="I39" s="85">
        <v>0.01</v>
      </c>
      <c r="J39" s="340">
        <v>3090683.05</v>
      </c>
      <c r="K39" s="86">
        <v>0.5</v>
      </c>
      <c r="L39" s="85">
        <f t="shared" si="6"/>
        <v>6.1083083471715578E-3</v>
      </c>
      <c r="M39" s="340">
        <f t="shared" si="7"/>
        <v>30906.8305</v>
      </c>
      <c r="N39" s="340">
        <f t="shared" si="4"/>
        <v>15453.41525</v>
      </c>
      <c r="O39" s="85">
        <f t="shared" si="5"/>
        <v>5.0000000000000001E-3</v>
      </c>
    </row>
    <row r="40" spans="1:15">
      <c r="A40" s="79">
        <v>24</v>
      </c>
      <c r="B40" s="83" t="s">
        <v>783</v>
      </c>
      <c r="C40" s="83" t="s">
        <v>784</v>
      </c>
      <c r="D40" s="84" t="s">
        <v>778</v>
      </c>
      <c r="E40" s="83" t="s">
        <v>757</v>
      </c>
      <c r="F40" s="83" t="s">
        <v>758</v>
      </c>
      <c r="G40" s="83">
        <v>5290536</v>
      </c>
      <c r="H40" s="83" t="s">
        <v>779</v>
      </c>
      <c r="I40" s="85">
        <v>0.01</v>
      </c>
      <c r="J40" s="340">
        <v>3089167.71</v>
      </c>
      <c r="K40" s="86">
        <v>0.5</v>
      </c>
      <c r="L40" s="85">
        <f t="shared" si="6"/>
        <v>6.1053134868701096E-3</v>
      </c>
      <c r="M40" s="340">
        <f t="shared" si="7"/>
        <v>30891.677100000001</v>
      </c>
      <c r="N40" s="340">
        <f t="shared" si="4"/>
        <v>15445.83855</v>
      </c>
      <c r="O40" s="85">
        <f t="shared" si="5"/>
        <v>5.0000000000000001E-3</v>
      </c>
    </row>
    <row r="41" spans="1:15">
      <c r="A41" s="79">
        <v>38</v>
      </c>
      <c r="B41" s="83" t="s">
        <v>830</v>
      </c>
      <c r="C41" s="83" t="s">
        <v>831</v>
      </c>
      <c r="D41" s="84" t="s">
        <v>832</v>
      </c>
      <c r="E41" s="83" t="s">
        <v>757</v>
      </c>
      <c r="F41" s="83" t="s">
        <v>758</v>
      </c>
      <c r="G41" s="83">
        <v>2290857</v>
      </c>
      <c r="H41" s="83" t="s">
        <v>833</v>
      </c>
      <c r="I41" s="85">
        <v>7.4999999999999997E-3</v>
      </c>
      <c r="J41" s="340">
        <v>3916582.72</v>
      </c>
      <c r="K41" s="86">
        <v>0.5</v>
      </c>
      <c r="L41" s="85">
        <f t="shared" si="6"/>
        <v>7.7405850208302294E-3</v>
      </c>
      <c r="M41" s="340">
        <f t="shared" si="7"/>
        <v>29374.3704</v>
      </c>
      <c r="N41" s="340">
        <f t="shared" si="4"/>
        <v>14687.1852</v>
      </c>
      <c r="O41" s="85">
        <f t="shared" si="5"/>
        <v>3.7499999999999999E-3</v>
      </c>
    </row>
    <row r="42" spans="1:15">
      <c r="A42" s="79">
        <v>87</v>
      </c>
      <c r="B42" s="83" t="s">
        <v>942</v>
      </c>
      <c r="C42" s="83"/>
      <c r="D42" s="84" t="s">
        <v>943</v>
      </c>
      <c r="E42" s="83" t="s">
        <v>757</v>
      </c>
      <c r="F42" s="83" t="s">
        <v>758</v>
      </c>
      <c r="G42" s="83">
        <v>4204580</v>
      </c>
      <c r="H42" s="83" t="s">
        <v>816</v>
      </c>
      <c r="I42" s="85">
        <v>0.01</v>
      </c>
      <c r="J42" s="340">
        <v>3301260.12</v>
      </c>
      <c r="K42" s="86">
        <v>0.5</v>
      </c>
      <c r="L42" s="85">
        <f t="shared" si="6"/>
        <v>6.5244848536573754E-3</v>
      </c>
      <c r="M42" s="340">
        <f t="shared" si="7"/>
        <v>33012.601200000005</v>
      </c>
      <c r="N42" s="340">
        <f t="shared" si="4"/>
        <v>16506.300600000002</v>
      </c>
      <c r="O42" s="85">
        <f t="shared" si="5"/>
        <v>5.0000000000000001E-3</v>
      </c>
    </row>
    <row r="43" spans="1:15">
      <c r="A43" s="79">
        <v>77</v>
      </c>
      <c r="B43" s="83" t="s">
        <v>929</v>
      </c>
      <c r="C43" s="83"/>
      <c r="D43" s="84" t="s">
        <v>930</v>
      </c>
      <c r="E43" s="83" t="s">
        <v>757</v>
      </c>
      <c r="F43" s="83" t="s">
        <v>758</v>
      </c>
      <c r="G43" s="92">
        <v>2370957</v>
      </c>
      <c r="H43" s="83" t="s">
        <v>882</v>
      </c>
      <c r="I43" s="85">
        <v>8.0000000000000002E-3</v>
      </c>
      <c r="J43" s="340">
        <v>3304855.95</v>
      </c>
      <c r="K43" s="86">
        <v>0.5</v>
      </c>
      <c r="L43" s="85">
        <f t="shared" si="6"/>
        <v>6.5315915152103967E-3</v>
      </c>
      <c r="M43" s="340">
        <f t="shared" si="7"/>
        <v>26438.847600000001</v>
      </c>
      <c r="N43" s="340">
        <f t="shared" si="4"/>
        <v>13219.4238</v>
      </c>
      <c r="O43" s="85">
        <f t="shared" si="5"/>
        <v>4.0000000000000001E-3</v>
      </c>
    </row>
    <row r="44" spans="1:15">
      <c r="A44" s="79">
        <v>23</v>
      </c>
      <c r="B44" s="83" t="s">
        <v>781</v>
      </c>
      <c r="C44" s="83"/>
      <c r="D44" s="84" t="s">
        <v>782</v>
      </c>
      <c r="E44" s="83" t="s">
        <v>757</v>
      </c>
      <c r="F44" s="83" t="s">
        <v>758</v>
      </c>
      <c r="G44" s="83">
        <v>1952296</v>
      </c>
      <c r="H44" s="83" t="s">
        <v>767</v>
      </c>
      <c r="I44" s="85">
        <v>0.01</v>
      </c>
      <c r="J44" s="340">
        <v>2524448.41</v>
      </c>
      <c r="K44" s="86">
        <v>0.5</v>
      </c>
      <c r="L44" s="85">
        <f t="shared" si="6"/>
        <v>4.989223755831892E-3</v>
      </c>
      <c r="M44" s="340">
        <f t="shared" si="7"/>
        <v>25244.484100000001</v>
      </c>
      <c r="N44" s="340">
        <f t="shared" si="4"/>
        <v>12622.242050000001</v>
      </c>
      <c r="O44" s="85">
        <f t="shared" si="5"/>
        <v>5.0000000000000001E-3</v>
      </c>
    </row>
    <row r="45" spans="1:15">
      <c r="A45" s="79">
        <v>73</v>
      </c>
      <c r="B45" s="83" t="s">
        <v>921</v>
      </c>
      <c r="C45" s="83"/>
      <c r="D45" s="84" t="s">
        <v>922</v>
      </c>
      <c r="E45" s="83" t="s">
        <v>757</v>
      </c>
      <c r="F45" s="83" t="s">
        <v>758</v>
      </c>
      <c r="G45" s="83">
        <v>1358716</v>
      </c>
      <c r="H45" s="91" t="s">
        <v>767</v>
      </c>
      <c r="I45" s="85">
        <v>0.01</v>
      </c>
      <c r="J45" s="340">
        <v>2445245.85</v>
      </c>
      <c r="K45" s="86">
        <v>0.5</v>
      </c>
      <c r="L45" s="85">
        <f t="shared" si="6"/>
        <v>4.8326908307345234E-3</v>
      </c>
      <c r="M45" s="340">
        <f t="shared" si="7"/>
        <v>24452.458500000001</v>
      </c>
      <c r="N45" s="340">
        <f t="shared" si="4"/>
        <v>12226.22925</v>
      </c>
      <c r="O45" s="85">
        <f t="shared" si="5"/>
        <v>5.0000000000000001E-3</v>
      </c>
    </row>
    <row r="46" spans="1:15">
      <c r="A46" s="79">
        <v>78</v>
      </c>
      <c r="B46" s="93" t="s">
        <v>931</v>
      </c>
      <c r="C46" s="83"/>
      <c r="D46" s="84" t="s">
        <v>932</v>
      </c>
      <c r="E46" s="83" t="s">
        <v>757</v>
      </c>
      <c r="F46" s="83" t="s">
        <v>758</v>
      </c>
      <c r="G46" s="83">
        <v>2249511</v>
      </c>
      <c r="H46" s="91" t="s">
        <v>920</v>
      </c>
      <c r="I46" s="85">
        <v>8.5000000000000006E-3</v>
      </c>
      <c r="J46" s="340">
        <v>2752301.27</v>
      </c>
      <c r="K46" s="86">
        <v>0.5</v>
      </c>
      <c r="L46" s="85">
        <f t="shared" si="6"/>
        <v>5.439543476149028E-3</v>
      </c>
      <c r="M46" s="340">
        <f t="shared" si="7"/>
        <v>23394.560795000001</v>
      </c>
      <c r="N46" s="340">
        <f t="shared" si="4"/>
        <v>11697.280397500001</v>
      </c>
      <c r="O46" s="85">
        <f t="shared" si="5"/>
        <v>4.2500000000000003E-3</v>
      </c>
    </row>
    <row r="47" spans="1:15">
      <c r="A47" s="79">
        <v>14</v>
      </c>
      <c r="B47" s="79" t="s">
        <v>57</v>
      </c>
      <c r="C47" s="79"/>
      <c r="D47" s="80" t="s">
        <v>1012</v>
      </c>
      <c r="E47" s="79" t="s">
        <v>757</v>
      </c>
      <c r="F47" s="79" t="s">
        <v>758</v>
      </c>
      <c r="G47" s="79" t="s">
        <v>56</v>
      </c>
      <c r="H47" s="79" t="s">
        <v>984</v>
      </c>
      <c r="I47" s="87">
        <v>5.4999999999999997E-3</v>
      </c>
      <c r="J47" s="88">
        <v>3753161.7699999996</v>
      </c>
      <c r="K47" s="89">
        <v>0.5</v>
      </c>
      <c r="L47" s="89">
        <f t="shared" si="6"/>
        <v>7.417606075128336E-3</v>
      </c>
      <c r="M47" s="88">
        <f t="shared" si="7"/>
        <v>20642.389734999997</v>
      </c>
      <c r="N47" s="88">
        <f>O47*J47</f>
        <v>10321.194867499999</v>
      </c>
      <c r="O47" s="87">
        <f>(I47)*K47</f>
        <v>2.7499999999999998E-3</v>
      </c>
    </row>
    <row r="48" spans="1:15">
      <c r="A48" s="79">
        <v>95</v>
      </c>
      <c r="B48" s="83" t="s">
        <v>970</v>
      </c>
      <c r="C48" s="83"/>
      <c r="D48" s="84" t="s">
        <v>971</v>
      </c>
      <c r="E48" s="83" t="s">
        <v>757</v>
      </c>
      <c r="F48" s="83" t="s">
        <v>758</v>
      </c>
      <c r="G48" s="83">
        <v>8733288</v>
      </c>
      <c r="H48" s="83" t="s">
        <v>882</v>
      </c>
      <c r="I48" s="85">
        <v>7.4999999999999997E-3</v>
      </c>
      <c r="J48" s="340">
        <v>2740897.21</v>
      </c>
      <c r="K48" s="86">
        <v>0.5</v>
      </c>
      <c r="L48" s="85">
        <f t="shared" si="6"/>
        <v>5.4170049260089071E-3</v>
      </c>
      <c r="M48" s="340">
        <f t="shared" si="7"/>
        <v>20556.729074999999</v>
      </c>
      <c r="N48" s="340">
        <f t="shared" ref="N48:N59" si="8">M48*K48</f>
        <v>10278.3645375</v>
      </c>
      <c r="O48" s="85">
        <f t="shared" ref="O48:O59" si="9">I48*K48</f>
        <v>3.7499999999999999E-3</v>
      </c>
    </row>
    <row r="49" spans="1:15">
      <c r="A49" s="79">
        <v>62</v>
      </c>
      <c r="B49" s="83" t="s">
        <v>895</v>
      </c>
      <c r="C49" s="83"/>
      <c r="D49" s="84" t="s">
        <v>894</v>
      </c>
      <c r="E49" s="83" t="s">
        <v>757</v>
      </c>
      <c r="F49" s="83" t="s">
        <v>758</v>
      </c>
      <c r="G49" s="83">
        <v>5156828</v>
      </c>
      <c r="H49" s="83" t="s">
        <v>800</v>
      </c>
      <c r="I49" s="85">
        <v>6.0000000000000001E-3</v>
      </c>
      <c r="J49" s="340">
        <v>3395406.67</v>
      </c>
      <c r="K49" s="86">
        <v>0.5</v>
      </c>
      <c r="L49" s="85">
        <f t="shared" si="6"/>
        <v>6.7105525118154648E-3</v>
      </c>
      <c r="M49" s="340">
        <f t="shared" si="7"/>
        <v>20372.440019999998</v>
      </c>
      <c r="N49" s="340">
        <f t="shared" si="8"/>
        <v>10186.220009999999</v>
      </c>
      <c r="O49" s="85">
        <f t="shared" si="9"/>
        <v>3.0000000000000001E-3</v>
      </c>
    </row>
    <row r="50" spans="1:15">
      <c r="A50" s="79">
        <v>59</v>
      </c>
      <c r="B50" s="83" t="s">
        <v>890</v>
      </c>
      <c r="C50" s="83"/>
      <c r="D50" s="84" t="s">
        <v>891</v>
      </c>
      <c r="E50" s="83" t="s">
        <v>757</v>
      </c>
      <c r="F50" s="83" t="s">
        <v>758</v>
      </c>
      <c r="G50" s="83">
        <v>1830635</v>
      </c>
      <c r="H50" s="83" t="s">
        <v>767</v>
      </c>
      <c r="I50" s="85">
        <v>0.01</v>
      </c>
      <c r="J50" s="340">
        <v>2042194.35</v>
      </c>
      <c r="K50" s="86">
        <v>0.5</v>
      </c>
      <c r="L50" s="85">
        <f t="shared" si="6"/>
        <v>4.0361151864639093E-3</v>
      </c>
      <c r="M50" s="340">
        <f t="shared" si="7"/>
        <v>20421.943500000001</v>
      </c>
      <c r="N50" s="340">
        <f t="shared" si="8"/>
        <v>10210.971750000001</v>
      </c>
      <c r="O50" s="85">
        <f t="shared" si="9"/>
        <v>5.0000000000000001E-3</v>
      </c>
    </row>
    <row r="51" spans="1:15">
      <c r="A51" s="79">
        <v>28</v>
      </c>
      <c r="B51" s="83" t="s">
        <v>797</v>
      </c>
      <c r="C51" s="83" t="s">
        <v>798</v>
      </c>
      <c r="D51" s="84" t="s">
        <v>799</v>
      </c>
      <c r="E51" s="83" t="s">
        <v>757</v>
      </c>
      <c r="F51" s="83" t="s">
        <v>758</v>
      </c>
      <c r="G51" s="83">
        <v>3869961</v>
      </c>
      <c r="H51" s="83" t="s">
        <v>800</v>
      </c>
      <c r="I51" s="85">
        <v>6.0000000000000001E-3</v>
      </c>
      <c r="J51" s="340">
        <v>3157853.88</v>
      </c>
      <c r="K51" s="86">
        <v>0.5</v>
      </c>
      <c r="L51" s="85">
        <f t="shared" si="6"/>
        <v>6.2410622190302205E-3</v>
      </c>
      <c r="M51" s="340">
        <f t="shared" si="7"/>
        <v>18947.12328</v>
      </c>
      <c r="N51" s="340">
        <f t="shared" si="8"/>
        <v>9473.5616399999999</v>
      </c>
      <c r="O51" s="85">
        <f t="shared" si="9"/>
        <v>3.0000000000000001E-3</v>
      </c>
    </row>
    <row r="52" spans="1:15">
      <c r="A52" s="79">
        <v>20</v>
      </c>
      <c r="B52" s="83" t="s">
        <v>769</v>
      </c>
      <c r="C52" s="83" t="s">
        <v>770</v>
      </c>
      <c r="D52" s="83" t="s">
        <v>771</v>
      </c>
      <c r="E52" s="83" t="s">
        <v>757</v>
      </c>
      <c r="F52" s="83" t="s">
        <v>758</v>
      </c>
      <c r="G52" s="83">
        <v>1820187</v>
      </c>
      <c r="H52" s="83" t="s">
        <v>767</v>
      </c>
      <c r="I52" s="85">
        <v>0.01</v>
      </c>
      <c r="J52" s="340">
        <v>1845621.03</v>
      </c>
      <c r="K52" s="86">
        <v>0.5</v>
      </c>
      <c r="L52" s="85">
        <f t="shared" si="6"/>
        <v>3.6476151584887906E-3</v>
      </c>
      <c r="M52" s="340">
        <f t="shared" si="7"/>
        <v>18456.210300000002</v>
      </c>
      <c r="N52" s="340">
        <f t="shared" si="8"/>
        <v>9228.1051500000012</v>
      </c>
      <c r="O52" s="85">
        <f t="shared" si="9"/>
        <v>5.0000000000000001E-3</v>
      </c>
    </row>
    <row r="53" spans="1:15">
      <c r="A53" s="79">
        <v>64</v>
      </c>
      <c r="B53" s="83" t="s">
        <v>900</v>
      </c>
      <c r="C53" s="83"/>
      <c r="D53" s="84" t="s">
        <v>901</v>
      </c>
      <c r="E53" s="83" t="s">
        <v>757</v>
      </c>
      <c r="F53" s="83" t="s">
        <v>758</v>
      </c>
      <c r="G53" s="83">
        <v>3648534</v>
      </c>
      <c r="H53" s="83" t="s">
        <v>767</v>
      </c>
      <c r="I53" s="85">
        <v>0.01</v>
      </c>
      <c r="J53" s="340">
        <v>1795355.57</v>
      </c>
      <c r="K53" s="86">
        <v>0.5</v>
      </c>
      <c r="L53" s="85">
        <f t="shared" si="6"/>
        <v>3.5482724164718057E-3</v>
      </c>
      <c r="M53" s="340">
        <f t="shared" si="7"/>
        <v>17953.555700000001</v>
      </c>
      <c r="N53" s="340">
        <f t="shared" si="8"/>
        <v>8976.7778500000004</v>
      </c>
      <c r="O53" s="85">
        <f t="shared" si="9"/>
        <v>5.0000000000000001E-3</v>
      </c>
    </row>
    <row r="54" spans="1:15">
      <c r="A54" s="79">
        <v>74</v>
      </c>
      <c r="B54" s="93" t="s">
        <v>924</v>
      </c>
      <c r="C54" s="83"/>
      <c r="D54" s="84" t="s">
        <v>925</v>
      </c>
      <c r="E54" s="83" t="s">
        <v>757</v>
      </c>
      <c r="F54" s="83" t="s">
        <v>758</v>
      </c>
      <c r="G54" s="83">
        <v>4524398</v>
      </c>
      <c r="H54" s="91" t="s">
        <v>920</v>
      </c>
      <c r="I54" s="85">
        <v>8.5000000000000006E-3</v>
      </c>
      <c r="J54" s="340">
        <v>2177661.5099999998</v>
      </c>
      <c r="K54" s="86">
        <v>0.5</v>
      </c>
      <c r="L54" s="85">
        <f t="shared" si="6"/>
        <v>4.3038473255441762E-3</v>
      </c>
      <c r="M54" s="340">
        <f t="shared" si="7"/>
        <v>18510.122834999998</v>
      </c>
      <c r="N54" s="340">
        <f t="shared" si="8"/>
        <v>9255.0614174999992</v>
      </c>
      <c r="O54" s="85">
        <f t="shared" si="9"/>
        <v>4.2500000000000003E-3</v>
      </c>
    </row>
    <row r="55" spans="1:15">
      <c r="A55" s="79">
        <v>72</v>
      </c>
      <c r="B55" s="93" t="s">
        <v>918</v>
      </c>
      <c r="C55" s="83"/>
      <c r="D55" s="84" t="s">
        <v>919</v>
      </c>
      <c r="E55" s="83" t="s">
        <v>757</v>
      </c>
      <c r="F55" s="83" t="s">
        <v>758</v>
      </c>
      <c r="G55" s="83">
        <v>5998145</v>
      </c>
      <c r="H55" s="91" t="s">
        <v>920</v>
      </c>
      <c r="I55" s="85">
        <v>7.4999999999999997E-3</v>
      </c>
      <c r="J55" s="340">
        <f>VLOOKUP(G55,'[1]Planilha BTG - ON'!$A:$C,3,0)</f>
        <v>2121898.1</v>
      </c>
      <c r="K55" s="86">
        <v>0.5</v>
      </c>
      <c r="L55" s="85">
        <f t="shared" si="6"/>
        <v>4.1936386444017511E-3</v>
      </c>
      <c r="M55" s="340">
        <f t="shared" si="7"/>
        <v>15914.23575</v>
      </c>
      <c r="N55" s="340">
        <f t="shared" si="8"/>
        <v>7957.1178749999999</v>
      </c>
      <c r="O55" s="85">
        <f t="shared" si="9"/>
        <v>3.7499999999999999E-3</v>
      </c>
    </row>
    <row r="56" spans="1:15">
      <c r="A56" s="79">
        <v>25</v>
      </c>
      <c r="B56" s="83" t="s">
        <v>785</v>
      </c>
      <c r="C56" s="83" t="s">
        <v>786</v>
      </c>
      <c r="D56" s="83" t="s">
        <v>787</v>
      </c>
      <c r="E56" s="83" t="s">
        <v>757</v>
      </c>
      <c r="F56" s="83" t="s">
        <v>758</v>
      </c>
      <c r="G56" s="83">
        <v>4837933</v>
      </c>
      <c r="H56" s="83" t="s">
        <v>788</v>
      </c>
      <c r="I56" s="85">
        <v>7.4999999999999997E-3</v>
      </c>
      <c r="J56" s="340">
        <v>1289778.8700000001</v>
      </c>
      <c r="K56" s="86">
        <v>0.75</v>
      </c>
      <c r="L56" s="85">
        <f t="shared" si="6"/>
        <v>2.5490698690784552E-3</v>
      </c>
      <c r="M56" s="340">
        <f t="shared" si="7"/>
        <v>9673.3415249999998</v>
      </c>
      <c r="N56" s="340">
        <f t="shared" si="8"/>
        <v>7255.0061437499999</v>
      </c>
      <c r="O56" s="85">
        <f t="shared" si="9"/>
        <v>5.6249999999999998E-3</v>
      </c>
    </row>
    <row r="57" spans="1:15">
      <c r="A57" s="79">
        <v>65</v>
      </c>
      <c r="B57" s="83" t="s">
        <v>902</v>
      </c>
      <c r="C57" s="83"/>
      <c r="D57" s="84" t="s">
        <v>903</v>
      </c>
      <c r="E57" s="83" t="s">
        <v>757</v>
      </c>
      <c r="F57" s="83" t="s">
        <v>758</v>
      </c>
      <c r="G57" s="83">
        <v>4316747</v>
      </c>
      <c r="H57" s="83" t="s">
        <v>759</v>
      </c>
      <c r="I57" s="85">
        <v>0.01</v>
      </c>
      <c r="J57" s="340">
        <v>1086058.46</v>
      </c>
      <c r="K57" s="86">
        <v>0.75</v>
      </c>
      <c r="L57" s="85">
        <f t="shared" si="6"/>
        <v>2.1464446044489379E-3</v>
      </c>
      <c r="M57" s="340">
        <f t="shared" si="7"/>
        <v>10860.5846</v>
      </c>
      <c r="N57" s="340">
        <f t="shared" si="8"/>
        <v>8145.4384499999996</v>
      </c>
      <c r="O57" s="85">
        <f t="shared" si="9"/>
        <v>7.4999999999999997E-3</v>
      </c>
    </row>
    <row r="58" spans="1:15">
      <c r="A58" s="79">
        <v>80</v>
      </c>
      <c r="B58" s="83" t="s">
        <v>936</v>
      </c>
      <c r="C58" s="83"/>
      <c r="D58" s="84" t="s">
        <v>937</v>
      </c>
      <c r="E58" s="83" t="s">
        <v>757</v>
      </c>
      <c r="F58" s="83" t="s">
        <v>758</v>
      </c>
      <c r="G58" s="83">
        <v>682006</v>
      </c>
      <c r="H58" s="83" t="s">
        <v>759</v>
      </c>
      <c r="I58" s="85">
        <v>0.01</v>
      </c>
      <c r="J58" s="340">
        <v>823574.77</v>
      </c>
      <c r="K58" s="86">
        <v>0.75</v>
      </c>
      <c r="L58" s="85">
        <f t="shared" si="6"/>
        <v>1.6276818297854567E-3</v>
      </c>
      <c r="M58" s="340">
        <f t="shared" si="7"/>
        <v>8235.7476999999999</v>
      </c>
      <c r="N58" s="340">
        <f t="shared" si="8"/>
        <v>6176.8107749999999</v>
      </c>
      <c r="O58" s="85">
        <f t="shared" si="9"/>
        <v>7.4999999999999997E-3</v>
      </c>
    </row>
    <row r="59" spans="1:15">
      <c r="A59" s="79">
        <v>55</v>
      </c>
      <c r="B59" s="83" t="s">
        <v>883</v>
      </c>
      <c r="C59" s="83"/>
      <c r="D59" s="84" t="s">
        <v>884</v>
      </c>
      <c r="E59" s="83" t="s">
        <v>757</v>
      </c>
      <c r="F59" s="83" t="s">
        <v>758</v>
      </c>
      <c r="G59" s="83">
        <v>1541659</v>
      </c>
      <c r="H59" s="83" t="s">
        <v>767</v>
      </c>
      <c r="I59" s="85">
        <v>0.01</v>
      </c>
      <c r="J59" s="340">
        <v>1293202.6000000001</v>
      </c>
      <c r="K59" s="86">
        <v>0.5</v>
      </c>
      <c r="L59" s="85">
        <f t="shared" si="6"/>
        <v>2.5558363987416835E-3</v>
      </c>
      <c r="M59" s="340">
        <f t="shared" si="7"/>
        <v>12932.026000000002</v>
      </c>
      <c r="N59" s="340">
        <f t="shared" si="8"/>
        <v>6466.0130000000008</v>
      </c>
      <c r="O59" s="85">
        <f t="shared" si="9"/>
        <v>5.0000000000000001E-3</v>
      </c>
    </row>
    <row r="60" spans="1:15">
      <c r="A60" s="79">
        <v>13</v>
      </c>
      <c r="B60" s="79" t="s">
        <v>42</v>
      </c>
      <c r="C60" s="79"/>
      <c r="D60" s="80" t="s">
        <v>1011</v>
      </c>
      <c r="E60" s="79" t="s">
        <v>757</v>
      </c>
      <c r="F60" s="79" t="s">
        <v>758</v>
      </c>
      <c r="G60" s="79" t="s">
        <v>41</v>
      </c>
      <c r="H60" s="79" t="s">
        <v>985</v>
      </c>
      <c r="I60" s="87">
        <v>3.0000000000000001E-3</v>
      </c>
      <c r="J60" s="88">
        <v>4044836.3899999997</v>
      </c>
      <c r="K60" s="89">
        <v>0.5</v>
      </c>
      <c r="L60" s="89">
        <f t="shared" si="6"/>
        <v>7.9940606928233134E-3</v>
      </c>
      <c r="M60" s="88">
        <f t="shared" si="7"/>
        <v>12134.509169999999</v>
      </c>
      <c r="N60" s="88">
        <f>O60*J60</f>
        <v>6067.2545849999997</v>
      </c>
      <c r="O60" s="87">
        <f>(I60)*K60</f>
        <v>1.5E-3</v>
      </c>
    </row>
    <row r="61" spans="1:15">
      <c r="A61" s="79">
        <v>91</v>
      </c>
      <c r="B61" s="83" t="s">
        <v>961</v>
      </c>
      <c r="C61" s="83"/>
      <c r="D61" s="84" t="s">
        <v>962</v>
      </c>
      <c r="E61" s="83" t="s">
        <v>757</v>
      </c>
      <c r="F61" s="83" t="s">
        <v>758</v>
      </c>
      <c r="G61" s="83">
        <v>8087551</v>
      </c>
      <c r="H61" s="83" t="s">
        <v>963</v>
      </c>
      <c r="I61" s="85">
        <v>5.4999999999999997E-3</v>
      </c>
      <c r="J61" s="340">
        <v>2226628.58</v>
      </c>
      <c r="K61" s="86">
        <v>0.5</v>
      </c>
      <c r="L61" s="85">
        <f t="shared" si="6"/>
        <v>4.4006239789824951E-3</v>
      </c>
      <c r="M61" s="340">
        <f t="shared" si="7"/>
        <v>12246.457189999999</v>
      </c>
      <c r="N61" s="340">
        <f t="shared" ref="N61:N76" si="10">M61*K61</f>
        <v>6123.2285949999996</v>
      </c>
      <c r="O61" s="85">
        <f t="shared" ref="O61:O76" si="11">I61*K61</f>
        <v>2.7499999999999998E-3</v>
      </c>
    </row>
    <row r="62" spans="1:15">
      <c r="A62" s="79">
        <v>92</v>
      </c>
      <c r="B62" s="83" t="s">
        <v>964</v>
      </c>
      <c r="C62" s="83"/>
      <c r="D62" s="84" t="s">
        <v>962</v>
      </c>
      <c r="E62" s="83" t="s">
        <v>757</v>
      </c>
      <c r="F62" s="83" t="s">
        <v>758</v>
      </c>
      <c r="G62" s="83">
        <v>8565325</v>
      </c>
      <c r="H62" s="83" t="s">
        <v>963</v>
      </c>
      <c r="I62" s="85">
        <v>5.4999999999999997E-3</v>
      </c>
      <c r="J62" s="340">
        <v>2209941.4700000002</v>
      </c>
      <c r="K62" s="86">
        <v>0.5</v>
      </c>
      <c r="L62" s="85">
        <f t="shared" si="6"/>
        <v>4.3676442098977393E-3</v>
      </c>
      <c r="M62" s="340">
        <f t="shared" si="7"/>
        <v>12154.678085</v>
      </c>
      <c r="N62" s="340">
        <f t="shared" si="10"/>
        <v>6077.3390424999998</v>
      </c>
      <c r="O62" s="85">
        <f t="shared" si="11"/>
        <v>2.7499999999999998E-3</v>
      </c>
    </row>
    <row r="63" spans="1:15">
      <c r="A63" s="79">
        <v>48</v>
      </c>
      <c r="B63" s="83" t="s">
        <v>862</v>
      </c>
      <c r="C63" s="83" t="s">
        <v>808</v>
      </c>
      <c r="D63" s="84" t="s">
        <v>809</v>
      </c>
      <c r="E63" s="83" t="s">
        <v>757</v>
      </c>
      <c r="F63" s="83" t="s">
        <v>758</v>
      </c>
      <c r="G63" s="83">
        <v>1773519</v>
      </c>
      <c r="H63" s="83" t="s">
        <v>767</v>
      </c>
      <c r="I63" s="85">
        <v>0.01</v>
      </c>
      <c r="J63" s="340">
        <f>VLOOKUP(G63,'[1]Planilha BTG - ON'!$A:$C,3,0)</f>
        <v>1164944.6399999999</v>
      </c>
      <c r="K63" s="86">
        <v>0.5</v>
      </c>
      <c r="L63" s="85">
        <f t="shared" si="6"/>
        <v>2.3023522481558775E-3</v>
      </c>
      <c r="M63" s="340">
        <f t="shared" si="7"/>
        <v>11649.446399999999</v>
      </c>
      <c r="N63" s="340">
        <f t="shared" si="10"/>
        <v>5824.7231999999995</v>
      </c>
      <c r="O63" s="85">
        <f t="shared" si="11"/>
        <v>5.0000000000000001E-3</v>
      </c>
    </row>
    <row r="64" spans="1:15">
      <c r="A64" s="79">
        <v>57</v>
      </c>
      <c r="B64" s="83" t="s">
        <v>888</v>
      </c>
      <c r="C64" s="83"/>
      <c r="D64" s="84" t="s">
        <v>884</v>
      </c>
      <c r="E64" s="83" t="s">
        <v>757</v>
      </c>
      <c r="F64" s="83" t="s">
        <v>758</v>
      </c>
      <c r="G64" s="83">
        <v>1875071</v>
      </c>
      <c r="H64" s="83" t="s">
        <v>767</v>
      </c>
      <c r="I64" s="85">
        <v>0.01</v>
      </c>
      <c r="J64" s="340">
        <v>1163600.27</v>
      </c>
      <c r="K64" s="86">
        <v>0.5</v>
      </c>
      <c r="L64" s="85">
        <f t="shared" si="6"/>
        <v>2.2996952864552315E-3</v>
      </c>
      <c r="M64" s="340">
        <f t="shared" si="7"/>
        <v>11636.002700000001</v>
      </c>
      <c r="N64" s="340">
        <f t="shared" si="10"/>
        <v>5818.0013500000005</v>
      </c>
      <c r="O64" s="85">
        <f t="shared" si="11"/>
        <v>5.0000000000000001E-3</v>
      </c>
    </row>
    <row r="65" spans="1:15">
      <c r="A65" s="79">
        <v>58</v>
      </c>
      <c r="B65" s="83" t="s">
        <v>889</v>
      </c>
      <c r="C65" s="83"/>
      <c r="D65" s="84" t="s">
        <v>884</v>
      </c>
      <c r="E65" s="83" t="s">
        <v>757</v>
      </c>
      <c r="F65" s="83" t="s">
        <v>758</v>
      </c>
      <c r="G65" s="83">
        <v>1569741</v>
      </c>
      <c r="H65" s="83" t="s">
        <v>767</v>
      </c>
      <c r="I65" s="85">
        <v>0.01</v>
      </c>
      <c r="J65" s="340">
        <v>1155391.3400000001</v>
      </c>
      <c r="K65" s="86">
        <v>0.5</v>
      </c>
      <c r="L65" s="85">
        <f t="shared" si="6"/>
        <v>2.2834714696389627E-3</v>
      </c>
      <c r="M65" s="340">
        <f t="shared" si="7"/>
        <v>11553.913400000001</v>
      </c>
      <c r="N65" s="340">
        <f t="shared" si="10"/>
        <v>5776.9567000000006</v>
      </c>
      <c r="O65" s="85">
        <f t="shared" si="11"/>
        <v>5.0000000000000001E-3</v>
      </c>
    </row>
    <row r="66" spans="1:15">
      <c r="A66" s="79">
        <v>42</v>
      </c>
      <c r="B66" s="83" t="s">
        <v>845</v>
      </c>
      <c r="C66" s="83"/>
      <c r="D66" s="84" t="s">
        <v>846</v>
      </c>
      <c r="E66" s="83" t="s">
        <v>757</v>
      </c>
      <c r="F66" s="83" t="s">
        <v>758</v>
      </c>
      <c r="G66" s="83">
        <v>5651035</v>
      </c>
      <c r="H66" s="83" t="s">
        <v>871</v>
      </c>
      <c r="I66" s="85">
        <v>0.01</v>
      </c>
      <c r="J66" s="340">
        <v>1266644.1299999999</v>
      </c>
      <c r="K66" s="86">
        <v>0.5</v>
      </c>
      <c r="L66" s="85">
        <f t="shared" si="6"/>
        <v>2.5033472494615243E-3</v>
      </c>
      <c r="M66" s="340">
        <f t="shared" si="7"/>
        <v>12666.441299999999</v>
      </c>
      <c r="N66" s="340">
        <f t="shared" si="10"/>
        <v>6333.2206499999993</v>
      </c>
      <c r="O66" s="85">
        <f t="shared" si="11"/>
        <v>5.0000000000000001E-3</v>
      </c>
    </row>
    <row r="67" spans="1:15">
      <c r="A67" s="79">
        <v>44</v>
      </c>
      <c r="B67" s="83" t="s">
        <v>849</v>
      </c>
      <c r="C67" s="83" t="s">
        <v>850</v>
      </c>
      <c r="D67" s="83" t="s">
        <v>851</v>
      </c>
      <c r="E67" s="83" t="s">
        <v>852</v>
      </c>
      <c r="F67" s="83" t="s">
        <v>758</v>
      </c>
      <c r="G67" s="83">
        <v>4483023</v>
      </c>
      <c r="H67" s="83" t="s">
        <v>759</v>
      </c>
      <c r="I67" s="85">
        <v>7.4999999999999997E-3</v>
      </c>
      <c r="J67" s="340">
        <v>975791.54</v>
      </c>
      <c r="K67" s="86">
        <v>0.75</v>
      </c>
      <c r="L67" s="85">
        <f t="shared" si="6"/>
        <v>1.928517260571701E-3</v>
      </c>
      <c r="M67" s="340">
        <f t="shared" si="7"/>
        <v>7318.4365500000004</v>
      </c>
      <c r="N67" s="340">
        <f t="shared" si="10"/>
        <v>5488.8274125000007</v>
      </c>
      <c r="O67" s="85">
        <f t="shared" si="11"/>
        <v>5.6249999999999998E-3</v>
      </c>
    </row>
    <row r="68" spans="1:15">
      <c r="A68" s="79">
        <v>56</v>
      </c>
      <c r="B68" s="83" t="s">
        <v>885</v>
      </c>
      <c r="C68" s="83" t="s">
        <v>886</v>
      </c>
      <c r="D68" s="84" t="s">
        <v>887</v>
      </c>
      <c r="E68" s="83" t="s">
        <v>757</v>
      </c>
      <c r="F68" s="83" t="s">
        <v>758</v>
      </c>
      <c r="G68" s="83">
        <v>4009015</v>
      </c>
      <c r="H68" s="83" t="s">
        <v>882</v>
      </c>
      <c r="I68" s="85">
        <v>0.01</v>
      </c>
      <c r="J68" s="340">
        <v>1045305.99</v>
      </c>
      <c r="K68" s="86">
        <v>0.5</v>
      </c>
      <c r="L68" s="85">
        <f t="shared" si="6"/>
        <v>2.0659029737990857E-3</v>
      </c>
      <c r="M68" s="340">
        <f t="shared" si="7"/>
        <v>10453.0599</v>
      </c>
      <c r="N68" s="340">
        <f t="shared" si="10"/>
        <v>5226.5299500000001</v>
      </c>
      <c r="O68" s="85">
        <f t="shared" si="11"/>
        <v>5.0000000000000001E-3</v>
      </c>
    </row>
    <row r="69" spans="1:15">
      <c r="A69" s="79">
        <v>98</v>
      </c>
      <c r="B69" s="83" t="s">
        <v>979</v>
      </c>
      <c r="C69" s="83"/>
      <c r="D69" s="84" t="s">
        <v>980</v>
      </c>
      <c r="E69" s="83" t="s">
        <v>757</v>
      </c>
      <c r="F69" s="83" t="s">
        <v>758</v>
      </c>
      <c r="G69" s="83">
        <v>1533930</v>
      </c>
      <c r="H69" s="83" t="s">
        <v>767</v>
      </c>
      <c r="I69" s="85">
        <v>0.01</v>
      </c>
      <c r="J69" s="340">
        <v>1035184.57</v>
      </c>
      <c r="K69" s="86">
        <v>0.5</v>
      </c>
      <c r="L69" s="85">
        <f t="shared" ref="L69:L104" si="12">J69/$J$2</f>
        <v>2.0458993845370848E-3</v>
      </c>
      <c r="M69" s="340">
        <f t="shared" ref="M69:M104" si="13">J69*I69</f>
        <v>10351.8457</v>
      </c>
      <c r="N69" s="340">
        <f t="shared" si="10"/>
        <v>5175.9228499999999</v>
      </c>
      <c r="O69" s="85">
        <f t="shared" si="11"/>
        <v>5.0000000000000001E-3</v>
      </c>
    </row>
    <row r="70" spans="1:15">
      <c r="A70" s="79">
        <v>40</v>
      </c>
      <c r="B70" s="83" t="s">
        <v>834</v>
      </c>
      <c r="C70" s="83" t="s">
        <v>835</v>
      </c>
      <c r="D70" s="83" t="s">
        <v>836</v>
      </c>
      <c r="E70" s="83" t="s">
        <v>757</v>
      </c>
      <c r="F70" s="83" t="s">
        <v>758</v>
      </c>
      <c r="G70" s="83">
        <v>2080082</v>
      </c>
      <c r="H70" s="83" t="s">
        <v>837</v>
      </c>
      <c r="I70" s="85">
        <v>0.01</v>
      </c>
      <c r="J70" s="340">
        <v>1016710.64</v>
      </c>
      <c r="K70" s="86">
        <v>0.5</v>
      </c>
      <c r="L70" s="85">
        <f t="shared" si="12"/>
        <v>2.0093882124115371E-3</v>
      </c>
      <c r="M70" s="340">
        <f t="shared" si="13"/>
        <v>10167.106400000001</v>
      </c>
      <c r="N70" s="340">
        <f t="shared" si="10"/>
        <v>5083.5532000000003</v>
      </c>
      <c r="O70" s="85">
        <f t="shared" si="11"/>
        <v>5.0000000000000001E-3</v>
      </c>
    </row>
    <row r="71" spans="1:15">
      <c r="A71" s="79">
        <v>50</v>
      </c>
      <c r="B71" s="83" t="s">
        <v>865</v>
      </c>
      <c r="C71" s="83" t="s">
        <v>866</v>
      </c>
      <c r="D71" s="84" t="s">
        <v>867</v>
      </c>
      <c r="E71" s="83" t="s">
        <v>757</v>
      </c>
      <c r="F71" s="83" t="s">
        <v>758</v>
      </c>
      <c r="G71" s="83">
        <v>5535160</v>
      </c>
      <c r="H71" s="83" t="s">
        <v>759</v>
      </c>
      <c r="I71" s="85">
        <v>5.0000000000000001E-3</v>
      </c>
      <c r="J71" s="340">
        <v>1346372.42</v>
      </c>
      <c r="K71" s="86">
        <v>0.75</v>
      </c>
      <c r="L71" s="85">
        <f t="shared" si="12"/>
        <v>2.6609192073213622E-3</v>
      </c>
      <c r="M71" s="340">
        <f t="shared" si="13"/>
        <v>6731.8620999999994</v>
      </c>
      <c r="N71" s="340">
        <f t="shared" si="10"/>
        <v>5048.8965749999998</v>
      </c>
      <c r="O71" s="85">
        <f t="shared" si="11"/>
        <v>3.7499999999999999E-3</v>
      </c>
    </row>
    <row r="72" spans="1:15">
      <c r="A72" s="79">
        <v>82</v>
      </c>
      <c r="B72" s="83" t="s">
        <v>939</v>
      </c>
      <c r="C72" s="83"/>
      <c r="D72" s="84" t="s">
        <v>940</v>
      </c>
      <c r="E72" s="83" t="s">
        <v>757</v>
      </c>
      <c r="F72" s="83" t="s">
        <v>758</v>
      </c>
      <c r="G72" s="83">
        <v>8337968</v>
      </c>
      <c r="H72" s="83" t="s">
        <v>941</v>
      </c>
      <c r="I72" s="85">
        <v>7.0000000000000001E-3</v>
      </c>
      <c r="J72" s="340">
        <v>1434288.8</v>
      </c>
      <c r="K72" s="86">
        <v>0.5</v>
      </c>
      <c r="L72" s="85">
        <f t="shared" si="12"/>
        <v>2.834673794614649E-3</v>
      </c>
      <c r="M72" s="340">
        <f t="shared" si="13"/>
        <v>10040.0216</v>
      </c>
      <c r="N72" s="340">
        <f t="shared" si="10"/>
        <v>5020.0108</v>
      </c>
      <c r="O72" s="85">
        <f t="shared" si="11"/>
        <v>3.5000000000000001E-3</v>
      </c>
    </row>
    <row r="73" spans="1:15">
      <c r="A73" s="79">
        <v>88</v>
      </c>
      <c r="B73" s="83" t="s">
        <v>950</v>
      </c>
      <c r="C73" s="83"/>
      <c r="D73" s="84" t="s">
        <v>951</v>
      </c>
      <c r="E73" s="83" t="s">
        <v>757</v>
      </c>
      <c r="F73" s="83" t="s">
        <v>758</v>
      </c>
      <c r="G73" s="83">
        <v>1507837</v>
      </c>
      <c r="H73" s="91" t="s">
        <v>952</v>
      </c>
      <c r="I73" s="85">
        <v>0.01</v>
      </c>
      <c r="J73" s="340">
        <v>806898.33</v>
      </c>
      <c r="K73" s="86">
        <v>0.5</v>
      </c>
      <c r="L73" s="85">
        <f t="shared" si="12"/>
        <v>1.5947231484825951E-3</v>
      </c>
      <c r="M73" s="340">
        <f t="shared" si="13"/>
        <v>8068.9832999999999</v>
      </c>
      <c r="N73" s="340">
        <f t="shared" si="10"/>
        <v>4034.4916499999999</v>
      </c>
      <c r="O73" s="85">
        <f t="shared" si="11"/>
        <v>5.0000000000000001E-3</v>
      </c>
    </row>
    <row r="74" spans="1:15">
      <c r="A74" s="79">
        <v>93</v>
      </c>
      <c r="B74" s="83" t="s">
        <v>965</v>
      </c>
      <c r="C74" s="83"/>
      <c r="D74" s="84" t="s">
        <v>966</v>
      </c>
      <c r="E74" s="83" t="s">
        <v>757</v>
      </c>
      <c r="F74" s="83" t="s">
        <v>758</v>
      </c>
      <c r="G74" s="83">
        <v>5955435</v>
      </c>
      <c r="H74" s="91" t="s">
        <v>967</v>
      </c>
      <c r="I74" s="85">
        <v>0.01</v>
      </c>
      <c r="J74" s="340">
        <v>959236.34</v>
      </c>
      <c r="K74" s="86">
        <v>0.5</v>
      </c>
      <c r="L74" s="85">
        <f t="shared" si="12"/>
        <v>1.8957981933903881E-3</v>
      </c>
      <c r="M74" s="340">
        <f t="shared" si="13"/>
        <v>9592.3634000000002</v>
      </c>
      <c r="N74" s="340">
        <f t="shared" si="10"/>
        <v>4796.1817000000001</v>
      </c>
      <c r="O74" s="85">
        <f t="shared" si="11"/>
        <v>5.0000000000000001E-3</v>
      </c>
    </row>
    <row r="75" spans="1:15">
      <c r="A75" s="79">
        <v>18</v>
      </c>
      <c r="B75" s="83" t="s">
        <v>754</v>
      </c>
      <c r="C75" s="83" t="s">
        <v>755</v>
      </c>
      <c r="D75" s="83" t="s">
        <v>756</v>
      </c>
      <c r="E75" s="83" t="s">
        <v>757</v>
      </c>
      <c r="F75" s="83" t="s">
        <v>758</v>
      </c>
      <c r="G75" s="83">
        <v>4529076</v>
      </c>
      <c r="H75" s="83" t="s">
        <v>759</v>
      </c>
      <c r="I75" s="85">
        <v>7.4999999999999997E-3</v>
      </c>
      <c r="J75" s="340">
        <v>712181.93</v>
      </c>
      <c r="K75" s="86">
        <v>0.75</v>
      </c>
      <c r="L75" s="85">
        <f t="shared" si="12"/>
        <v>1.4075292604732634E-3</v>
      </c>
      <c r="M75" s="340">
        <f t="shared" si="13"/>
        <v>5341.3644750000003</v>
      </c>
      <c r="N75" s="340">
        <f t="shared" si="10"/>
        <v>4006.0233562500002</v>
      </c>
      <c r="O75" s="85">
        <f t="shared" si="11"/>
        <v>5.6249999999999998E-3</v>
      </c>
    </row>
    <row r="76" spans="1:15">
      <c r="A76" s="79">
        <v>97</v>
      </c>
      <c r="B76" s="83" t="s">
        <v>976</v>
      </c>
      <c r="C76" s="83"/>
      <c r="D76" s="84" t="s">
        <v>977</v>
      </c>
      <c r="E76" s="83" t="s">
        <v>757</v>
      </c>
      <c r="F76" s="83" t="s">
        <v>758</v>
      </c>
      <c r="G76" s="90">
        <v>8845021</v>
      </c>
      <c r="H76" s="83" t="s">
        <v>882</v>
      </c>
      <c r="I76" s="85">
        <v>7.4999999999999997E-3</v>
      </c>
      <c r="J76" s="340">
        <v>1063556.48</v>
      </c>
      <c r="K76" s="86">
        <v>0.5</v>
      </c>
      <c r="L76" s="85">
        <f t="shared" si="12"/>
        <v>2.1019725476128649E-3</v>
      </c>
      <c r="M76" s="340">
        <f t="shared" si="13"/>
        <v>7976.6735999999992</v>
      </c>
      <c r="N76" s="340">
        <f t="shared" si="10"/>
        <v>3988.3367999999996</v>
      </c>
      <c r="O76" s="85">
        <f t="shared" si="11"/>
        <v>3.7499999999999999E-3</v>
      </c>
    </row>
    <row r="77" spans="1:15">
      <c r="A77" s="79">
        <v>15</v>
      </c>
      <c r="B77" s="79" t="s">
        <v>48</v>
      </c>
      <c r="C77" s="79" t="s">
        <v>1010</v>
      </c>
      <c r="D77" s="80" t="s">
        <v>1013</v>
      </c>
      <c r="E77" s="79" t="s">
        <v>757</v>
      </c>
      <c r="F77" s="79" t="s">
        <v>758</v>
      </c>
      <c r="G77" s="79" t="s">
        <v>47</v>
      </c>
      <c r="H77" s="79" t="s">
        <v>988</v>
      </c>
      <c r="I77" s="87">
        <v>3.2000000000000002E-3</v>
      </c>
      <c r="J77" s="88">
        <v>2078042.05</v>
      </c>
      <c r="K77" s="89">
        <v>0.5</v>
      </c>
      <c r="L77" s="89">
        <f t="shared" si="12"/>
        <v>4.106963216363611E-3</v>
      </c>
      <c r="M77" s="88">
        <f t="shared" si="13"/>
        <v>6649.7345600000008</v>
      </c>
      <c r="N77" s="88">
        <f>O77*J77</f>
        <v>3324.8672800000004</v>
      </c>
      <c r="O77" s="87">
        <f>(I77)*K77</f>
        <v>1.6000000000000001E-3</v>
      </c>
    </row>
    <row r="78" spans="1:15">
      <c r="A78" s="79">
        <v>79</v>
      </c>
      <c r="B78" s="83" t="s">
        <v>933</v>
      </c>
      <c r="C78" s="83"/>
      <c r="D78" s="84" t="s">
        <v>934</v>
      </c>
      <c r="E78" s="83" t="s">
        <v>757</v>
      </c>
      <c r="F78" s="83" t="s">
        <v>758</v>
      </c>
      <c r="G78" s="83">
        <v>1994919</v>
      </c>
      <c r="H78" s="91" t="s">
        <v>935</v>
      </c>
      <c r="I78" s="85">
        <v>5.0000000000000001E-3</v>
      </c>
      <c r="J78" s="340">
        <v>1257040.7</v>
      </c>
      <c r="K78" s="86">
        <v>0.5</v>
      </c>
      <c r="L78" s="85">
        <f t="shared" si="12"/>
        <v>2.4843673959205805E-3</v>
      </c>
      <c r="M78" s="340">
        <f t="shared" si="13"/>
        <v>6285.2034999999996</v>
      </c>
      <c r="N78" s="340">
        <f>M78*K78</f>
        <v>3142.6017499999998</v>
      </c>
      <c r="O78" s="85">
        <f>I78*K78</f>
        <v>2.5000000000000001E-3</v>
      </c>
    </row>
    <row r="79" spans="1:15">
      <c r="A79" s="79">
        <v>26</v>
      </c>
      <c r="B79" s="83" t="s">
        <v>790</v>
      </c>
      <c r="C79" s="83"/>
      <c r="D79" s="84" t="s">
        <v>791</v>
      </c>
      <c r="E79" s="83" t="s">
        <v>757</v>
      </c>
      <c r="F79" s="83" t="s">
        <v>758</v>
      </c>
      <c r="G79" s="83">
        <v>1557548</v>
      </c>
      <c r="H79" s="83" t="s">
        <v>779</v>
      </c>
      <c r="I79" s="85">
        <v>0.01</v>
      </c>
      <c r="J79" s="340">
        <f>VLOOKUP(G79,'[1]Planilha BTG - ON'!$A:$C,3,0)</f>
        <v>556798.22</v>
      </c>
      <c r="K79" s="86">
        <v>0.5</v>
      </c>
      <c r="L79" s="85">
        <f t="shared" si="12"/>
        <v>1.1004348100062428E-3</v>
      </c>
      <c r="M79" s="340">
        <f t="shared" si="13"/>
        <v>5567.9821999999995</v>
      </c>
      <c r="N79" s="340">
        <f>M79*K79</f>
        <v>2783.9910999999997</v>
      </c>
      <c r="O79" s="85">
        <f>I79*K79</f>
        <v>5.0000000000000001E-3</v>
      </c>
    </row>
    <row r="80" spans="1:15">
      <c r="A80" s="79">
        <v>99</v>
      </c>
      <c r="B80" s="83" t="s">
        <v>981</v>
      </c>
      <c r="C80" s="83"/>
      <c r="D80" s="84" t="s">
        <v>982</v>
      </c>
      <c r="E80" s="83" t="s">
        <v>757</v>
      </c>
      <c r="F80" s="83" t="s">
        <v>758</v>
      </c>
      <c r="G80" s="90">
        <v>8760358</v>
      </c>
      <c r="H80" s="83" t="s">
        <v>955</v>
      </c>
      <c r="I80" s="85">
        <v>0.01</v>
      </c>
      <c r="J80" s="340">
        <v>505598.34</v>
      </c>
      <c r="K80" s="86">
        <v>0.5</v>
      </c>
      <c r="L80" s="85">
        <f t="shared" si="12"/>
        <v>9.992453158657222E-4</v>
      </c>
      <c r="M80" s="340">
        <f t="shared" si="13"/>
        <v>5055.9834000000001</v>
      </c>
      <c r="N80" s="340">
        <f>M80*K80</f>
        <v>2527.9917</v>
      </c>
      <c r="O80" s="85">
        <f>I80*K80</f>
        <v>5.0000000000000001E-3</v>
      </c>
    </row>
    <row r="81" spans="1:15">
      <c r="A81" s="79">
        <v>16</v>
      </c>
      <c r="B81" s="79" t="s">
        <v>46</v>
      </c>
      <c r="C81" s="79"/>
      <c r="D81" s="80" t="s">
        <v>1014</v>
      </c>
      <c r="E81" s="79" t="s">
        <v>757</v>
      </c>
      <c r="F81" s="79" t="s">
        <v>758</v>
      </c>
      <c r="G81" s="79" t="s">
        <v>45</v>
      </c>
      <c r="H81" s="79" t="s">
        <v>984</v>
      </c>
      <c r="I81" s="87">
        <v>4.0000000000000001E-3</v>
      </c>
      <c r="J81" s="88">
        <v>1219066.82</v>
      </c>
      <c r="K81" s="89">
        <v>0.5</v>
      </c>
      <c r="L81" s="89">
        <f t="shared" si="12"/>
        <v>2.4093172647922886E-3</v>
      </c>
      <c r="M81" s="88">
        <f t="shared" si="13"/>
        <v>4876.26728</v>
      </c>
      <c r="N81" s="88">
        <f>O81*J81</f>
        <v>2438.13364</v>
      </c>
      <c r="O81" s="87">
        <f>(I81)*K81</f>
        <v>2E-3</v>
      </c>
    </row>
    <row r="82" spans="1:15">
      <c r="A82" s="79">
        <v>75</v>
      </c>
      <c r="B82" s="93" t="s">
        <v>926</v>
      </c>
      <c r="C82" s="83"/>
      <c r="D82" s="84" t="s">
        <v>919</v>
      </c>
      <c r="E82" s="83" t="s">
        <v>757</v>
      </c>
      <c r="F82" s="83" t="s">
        <v>758</v>
      </c>
      <c r="G82" s="83">
        <v>4541961</v>
      </c>
      <c r="H82" s="91" t="s">
        <v>920</v>
      </c>
      <c r="I82" s="85">
        <v>8.5000000000000006E-3</v>
      </c>
      <c r="J82" s="340">
        <v>595119.19999999995</v>
      </c>
      <c r="K82" s="86">
        <v>0.5</v>
      </c>
      <c r="L82" s="85">
        <f t="shared" si="12"/>
        <v>1.1761709363637463E-3</v>
      </c>
      <c r="M82" s="340">
        <f t="shared" si="13"/>
        <v>5058.5132000000003</v>
      </c>
      <c r="N82" s="340">
        <f t="shared" ref="N82:N90" si="14">M82*K82</f>
        <v>2529.2566000000002</v>
      </c>
      <c r="O82" s="85">
        <f t="shared" ref="O82:O90" si="15">I82*K82</f>
        <v>4.2500000000000003E-3</v>
      </c>
    </row>
    <row r="83" spans="1:15">
      <c r="A83" s="79">
        <v>29</v>
      </c>
      <c r="B83" s="83" t="s">
        <v>801</v>
      </c>
      <c r="C83" s="83" t="s">
        <v>802</v>
      </c>
      <c r="D83" s="83" t="s">
        <v>803</v>
      </c>
      <c r="E83" s="83" t="s">
        <v>757</v>
      </c>
      <c r="F83" s="83" t="s">
        <v>758</v>
      </c>
      <c r="G83" s="83">
        <v>4477296</v>
      </c>
      <c r="H83" s="83" t="s">
        <v>759</v>
      </c>
      <c r="I83" s="85">
        <v>0.01</v>
      </c>
      <c r="J83" s="340">
        <v>273885.74</v>
      </c>
      <c r="K83" s="86">
        <v>0.75</v>
      </c>
      <c r="L83" s="85">
        <f t="shared" si="12"/>
        <v>5.4129735231610342E-4</v>
      </c>
      <c r="M83" s="340">
        <f t="shared" si="13"/>
        <v>2738.8573999999999</v>
      </c>
      <c r="N83" s="340">
        <f t="shared" si="14"/>
        <v>2054.1430499999997</v>
      </c>
      <c r="O83" s="85">
        <f t="shared" si="15"/>
        <v>7.4999999999999997E-3</v>
      </c>
    </row>
    <row r="84" spans="1:15">
      <c r="A84" s="79">
        <v>69</v>
      </c>
      <c r="B84" s="83" t="s">
        <v>910</v>
      </c>
      <c r="C84" s="83"/>
      <c r="D84" s="84" t="s">
        <v>911</v>
      </c>
      <c r="E84" s="83" t="s">
        <v>757</v>
      </c>
      <c r="F84" s="83" t="s">
        <v>758</v>
      </c>
      <c r="G84" s="83">
        <v>5287656</v>
      </c>
      <c r="H84" s="83" t="s">
        <v>912</v>
      </c>
      <c r="I84" s="85">
        <v>0.01</v>
      </c>
      <c r="J84" s="340">
        <v>370562.02</v>
      </c>
      <c r="K84" s="86">
        <v>0.5</v>
      </c>
      <c r="L84" s="85">
        <f t="shared" si="12"/>
        <v>7.3236467256348201E-4</v>
      </c>
      <c r="M84" s="340">
        <f t="shared" si="13"/>
        <v>3705.6202000000003</v>
      </c>
      <c r="N84" s="340">
        <f t="shared" si="14"/>
        <v>1852.8101000000001</v>
      </c>
      <c r="O84" s="85">
        <f t="shared" si="15"/>
        <v>5.0000000000000001E-3</v>
      </c>
    </row>
    <row r="85" spans="1:15">
      <c r="A85" s="79">
        <v>89</v>
      </c>
      <c r="B85" s="83" t="s">
        <v>953</v>
      </c>
      <c r="C85" s="83"/>
      <c r="D85" s="84" t="s">
        <v>954</v>
      </c>
      <c r="E85" s="83" t="s">
        <v>757</v>
      </c>
      <c r="F85" s="83" t="s">
        <v>758</v>
      </c>
      <c r="G85" s="83">
        <v>3800980</v>
      </c>
      <c r="H85" s="83" t="s">
        <v>955</v>
      </c>
      <c r="I85" s="85">
        <v>0.01</v>
      </c>
      <c r="J85" s="340">
        <v>291466.96999999997</v>
      </c>
      <c r="K85" s="86">
        <v>0.5</v>
      </c>
      <c r="L85" s="85">
        <f t="shared" si="12"/>
        <v>5.7604422613823244E-4</v>
      </c>
      <c r="M85" s="340">
        <f t="shared" si="13"/>
        <v>2914.6696999999999</v>
      </c>
      <c r="N85" s="340">
        <f t="shared" si="14"/>
        <v>1457.33485</v>
      </c>
      <c r="O85" s="85">
        <f t="shared" si="15"/>
        <v>5.0000000000000001E-3</v>
      </c>
    </row>
    <row r="86" spans="1:15">
      <c r="A86" s="79">
        <v>68</v>
      </c>
      <c r="B86" s="83" t="s">
        <v>908</v>
      </c>
      <c r="C86" s="83"/>
      <c r="D86" s="84" t="s">
        <v>909</v>
      </c>
      <c r="E86" s="83" t="s">
        <v>757</v>
      </c>
      <c r="F86" s="83" t="s">
        <v>758</v>
      </c>
      <c r="G86" s="83">
        <v>1758709</v>
      </c>
      <c r="H86" s="83" t="s">
        <v>767</v>
      </c>
      <c r="I86" s="85">
        <v>0.01</v>
      </c>
      <c r="J86" s="340">
        <f>VLOOKUP(G86,'[1]Planilha BTG - ON'!$A:$C,3,0)</f>
        <v>305917.69</v>
      </c>
      <c r="K86" s="86">
        <v>0.5</v>
      </c>
      <c r="L86" s="85">
        <f t="shared" si="12"/>
        <v>6.0460407914504242E-4</v>
      </c>
      <c r="M86" s="340">
        <f t="shared" si="13"/>
        <v>3059.1768999999999</v>
      </c>
      <c r="N86" s="340">
        <f t="shared" si="14"/>
        <v>1529.58845</v>
      </c>
      <c r="O86" s="85">
        <f t="shared" si="15"/>
        <v>5.0000000000000001E-3</v>
      </c>
    </row>
    <row r="87" spans="1:15">
      <c r="A87" s="79">
        <v>83</v>
      </c>
      <c r="B87" s="83" t="s">
        <v>942</v>
      </c>
      <c r="C87" s="83"/>
      <c r="D87" s="84" t="s">
        <v>943</v>
      </c>
      <c r="E87" s="83" t="s">
        <v>757</v>
      </c>
      <c r="F87" s="83" t="s">
        <v>758</v>
      </c>
      <c r="G87" s="83">
        <v>3225742</v>
      </c>
      <c r="H87" s="83" t="s">
        <v>816</v>
      </c>
      <c r="I87" s="85">
        <v>5.0000000000000001E-3</v>
      </c>
      <c r="J87" s="340">
        <v>602024.99</v>
      </c>
      <c r="K87" s="86">
        <v>0.5</v>
      </c>
      <c r="L87" s="85">
        <f t="shared" si="12"/>
        <v>1.1898192768821357E-3</v>
      </c>
      <c r="M87" s="340">
        <f t="shared" si="13"/>
        <v>3010.1249499999999</v>
      </c>
      <c r="N87" s="340">
        <f t="shared" si="14"/>
        <v>1505.0624749999999</v>
      </c>
      <c r="O87" s="85">
        <f t="shared" si="15"/>
        <v>2.5000000000000001E-3</v>
      </c>
    </row>
    <row r="88" spans="1:15">
      <c r="A88" s="79">
        <v>49</v>
      </c>
      <c r="B88" s="83" t="s">
        <v>863</v>
      </c>
      <c r="C88" s="83"/>
      <c r="D88" s="84" t="s">
        <v>864</v>
      </c>
      <c r="E88" s="83" t="s">
        <v>757</v>
      </c>
      <c r="F88" s="83" t="s">
        <v>758</v>
      </c>
      <c r="G88" s="83">
        <v>5646277</v>
      </c>
      <c r="H88" s="83" t="s">
        <v>774</v>
      </c>
      <c r="I88" s="85">
        <v>0.01</v>
      </c>
      <c r="J88" s="340">
        <v>171356.1</v>
      </c>
      <c r="K88" s="86">
        <v>0.5</v>
      </c>
      <c r="L88" s="85">
        <f t="shared" si="12"/>
        <v>3.3866167414635552E-4</v>
      </c>
      <c r="M88" s="340">
        <f t="shared" si="13"/>
        <v>1713.5610000000001</v>
      </c>
      <c r="N88" s="340">
        <f t="shared" si="14"/>
        <v>856.78050000000007</v>
      </c>
      <c r="O88" s="85">
        <f t="shared" si="15"/>
        <v>5.0000000000000001E-3</v>
      </c>
    </row>
    <row r="89" spans="1:15">
      <c r="A89" s="79">
        <v>21</v>
      </c>
      <c r="B89" s="83" t="s">
        <v>772</v>
      </c>
      <c r="C89" s="83"/>
      <c r="D89" s="84" t="s">
        <v>773</v>
      </c>
      <c r="E89" s="83" t="s">
        <v>757</v>
      </c>
      <c r="F89" s="83" t="s">
        <v>758</v>
      </c>
      <c r="G89" s="83">
        <v>5646311</v>
      </c>
      <c r="H89" s="83" t="s">
        <v>871</v>
      </c>
      <c r="I89" s="85">
        <v>0.01</v>
      </c>
      <c r="J89" s="340">
        <v>171252.9</v>
      </c>
      <c r="K89" s="86">
        <v>0.5</v>
      </c>
      <c r="L89" s="85">
        <f t="shared" si="12"/>
        <v>3.3845771359419596E-4</v>
      </c>
      <c r="M89" s="340">
        <f t="shared" si="13"/>
        <v>1712.529</v>
      </c>
      <c r="N89" s="340">
        <f t="shared" si="14"/>
        <v>856.2645</v>
      </c>
      <c r="O89" s="85">
        <f t="shared" si="15"/>
        <v>5.0000000000000001E-3</v>
      </c>
    </row>
    <row r="90" spans="1:15">
      <c r="A90" s="79">
        <v>81</v>
      </c>
      <c r="B90" s="93" t="s">
        <v>938</v>
      </c>
      <c r="C90" s="83"/>
      <c r="D90" s="84" t="s">
        <v>932</v>
      </c>
      <c r="E90" s="83" t="s">
        <v>757</v>
      </c>
      <c r="F90" s="83" t="s">
        <v>758</v>
      </c>
      <c r="G90" s="83">
        <v>8206152</v>
      </c>
      <c r="H90" s="91" t="s">
        <v>920</v>
      </c>
      <c r="I90" s="85">
        <v>7.4999999999999997E-3</v>
      </c>
      <c r="J90" s="340">
        <v>52862.81</v>
      </c>
      <c r="K90" s="86">
        <v>0.5</v>
      </c>
      <c r="L90" s="85">
        <f t="shared" si="12"/>
        <v>1.0447604570062404E-4</v>
      </c>
      <c r="M90" s="340">
        <f t="shared" si="13"/>
        <v>396.47107499999998</v>
      </c>
      <c r="N90" s="340">
        <f t="shared" si="14"/>
        <v>198.23553749999999</v>
      </c>
      <c r="O90" s="85">
        <f t="shared" si="15"/>
        <v>3.7499999999999999E-3</v>
      </c>
    </row>
    <row r="91" spans="1:15">
      <c r="A91" s="79">
        <v>17</v>
      </c>
      <c r="B91" s="79" t="s">
        <v>65</v>
      </c>
      <c r="C91" s="79"/>
      <c r="D91" s="80" t="s">
        <v>995</v>
      </c>
      <c r="E91" s="79" t="s">
        <v>757</v>
      </c>
      <c r="F91" s="79" t="s">
        <v>758</v>
      </c>
      <c r="G91" s="79" t="s">
        <v>64</v>
      </c>
      <c r="H91" s="79" t="s">
        <v>984</v>
      </c>
      <c r="I91" s="87">
        <v>7.0000000000000001E-3</v>
      </c>
      <c r="J91" s="88">
        <v>10385.68</v>
      </c>
      <c r="K91" s="89">
        <v>0.5</v>
      </c>
      <c r="L91" s="89">
        <f t="shared" si="12"/>
        <v>2.0525862668141499E-5</v>
      </c>
      <c r="M91" s="88">
        <f t="shared" si="13"/>
        <v>72.699759999999998</v>
      </c>
      <c r="N91" s="88">
        <f>O91*J91</f>
        <v>36.349879999999999</v>
      </c>
      <c r="O91" s="87">
        <f>(I91)*K91</f>
        <v>3.5000000000000001E-3</v>
      </c>
    </row>
    <row r="92" spans="1:15">
      <c r="A92" s="79">
        <v>53</v>
      </c>
      <c r="B92" s="83" t="s">
        <v>875</v>
      </c>
      <c r="C92" s="83" t="s">
        <v>876</v>
      </c>
      <c r="D92" s="83" t="s">
        <v>877</v>
      </c>
      <c r="E92" s="83" t="s">
        <v>757</v>
      </c>
      <c r="F92" s="83" t="s">
        <v>758</v>
      </c>
      <c r="G92" s="83">
        <v>5042891</v>
      </c>
      <c r="H92" s="83" t="s">
        <v>759</v>
      </c>
      <c r="I92" s="85">
        <v>0.01</v>
      </c>
      <c r="J92" s="340">
        <f>VLOOKUP(G92,'[1]Planilha BTG - ON'!$A:$C,3,0)</f>
        <v>156.54</v>
      </c>
      <c r="K92" s="86">
        <v>0.75</v>
      </c>
      <c r="L92" s="85">
        <f t="shared" si="12"/>
        <v>3.0937969801407996E-7</v>
      </c>
      <c r="M92" s="340">
        <f t="shared" si="13"/>
        <v>1.5653999999999999</v>
      </c>
      <c r="N92" s="340">
        <f t="shared" ref="N92:N104" si="16">M92*K92</f>
        <v>1.1740499999999998</v>
      </c>
      <c r="O92" s="85">
        <f t="shared" ref="O92:O104" si="17">I92*K92</f>
        <v>7.4999999999999997E-3</v>
      </c>
    </row>
    <row r="93" spans="1:15">
      <c r="A93" s="79">
        <v>33</v>
      </c>
      <c r="B93" s="83" t="s">
        <v>813</v>
      </c>
      <c r="C93" s="83" t="s">
        <v>814</v>
      </c>
      <c r="D93" s="84" t="s">
        <v>815</v>
      </c>
      <c r="E93" s="83" t="s">
        <v>757</v>
      </c>
      <c r="F93" s="83" t="s">
        <v>758</v>
      </c>
      <c r="G93" s="83">
        <v>4972264</v>
      </c>
      <c r="H93" s="83" t="s">
        <v>816</v>
      </c>
      <c r="I93" s="85">
        <v>0.01</v>
      </c>
      <c r="J93" s="340">
        <f>VLOOKUP(G93,'[1]Planilha BTG - ON'!$A:$C,3,0)</f>
        <v>17</v>
      </c>
      <c r="K93" s="86">
        <v>0.5</v>
      </c>
      <c r="L93" s="85">
        <f t="shared" si="12"/>
        <v>3.3598152972015838E-8</v>
      </c>
      <c r="M93" s="340">
        <f t="shared" si="13"/>
        <v>0.17</v>
      </c>
      <c r="N93" s="340">
        <f t="shared" si="16"/>
        <v>8.5000000000000006E-2</v>
      </c>
      <c r="O93" s="85">
        <f t="shared" si="17"/>
        <v>5.0000000000000001E-3</v>
      </c>
    </row>
    <row r="94" spans="1:15">
      <c r="A94" s="79">
        <v>30</v>
      </c>
      <c r="B94" s="83" t="s">
        <v>804</v>
      </c>
      <c r="C94" s="83" t="s">
        <v>805</v>
      </c>
      <c r="D94" s="84" t="s">
        <v>806</v>
      </c>
      <c r="E94" s="83" t="s">
        <v>757</v>
      </c>
      <c r="F94" s="83" t="s">
        <v>758</v>
      </c>
      <c r="G94" s="83">
        <v>5251385</v>
      </c>
      <c r="H94" s="83" t="s">
        <v>759</v>
      </c>
      <c r="I94" s="85">
        <v>0</v>
      </c>
      <c r="J94" s="340">
        <v>174978.7</v>
      </c>
      <c r="K94" s="86">
        <v>0.75</v>
      </c>
      <c r="L94" s="85">
        <f t="shared" si="12"/>
        <v>3.4582124290849817E-4</v>
      </c>
      <c r="M94" s="340">
        <f t="shared" si="13"/>
        <v>0</v>
      </c>
      <c r="N94" s="340">
        <f t="shared" si="16"/>
        <v>0</v>
      </c>
      <c r="O94" s="85">
        <f t="shared" si="17"/>
        <v>0</v>
      </c>
    </row>
    <row r="95" spans="1:15">
      <c r="A95" s="79">
        <v>34</v>
      </c>
      <c r="B95" s="83" t="s">
        <v>818</v>
      </c>
      <c r="C95" s="83" t="s">
        <v>819</v>
      </c>
      <c r="D95" s="84" t="s">
        <v>820</v>
      </c>
      <c r="E95" s="83" t="s">
        <v>757</v>
      </c>
      <c r="F95" s="83" t="s">
        <v>758</v>
      </c>
      <c r="G95" s="83">
        <v>4288830</v>
      </c>
      <c r="H95" s="83" t="s">
        <v>759</v>
      </c>
      <c r="I95" s="85">
        <v>0</v>
      </c>
      <c r="J95" s="340">
        <v>401088.34</v>
      </c>
      <c r="K95" s="86">
        <v>0.75</v>
      </c>
      <c r="L95" s="85">
        <f t="shared" si="12"/>
        <v>7.9269572956540597E-4</v>
      </c>
      <c r="M95" s="340">
        <f t="shared" si="13"/>
        <v>0</v>
      </c>
      <c r="N95" s="340">
        <f t="shared" si="16"/>
        <v>0</v>
      </c>
      <c r="O95" s="85">
        <f t="shared" si="17"/>
        <v>0</v>
      </c>
    </row>
    <row r="96" spans="1:15">
      <c r="A96" s="79">
        <v>36</v>
      </c>
      <c r="B96" s="83" t="s">
        <v>824</v>
      </c>
      <c r="C96" s="83" t="s">
        <v>825</v>
      </c>
      <c r="D96" s="83"/>
      <c r="E96" s="83" t="s">
        <v>757</v>
      </c>
      <c r="F96" s="83" t="s">
        <v>758</v>
      </c>
      <c r="G96" s="83">
        <v>3675565</v>
      </c>
      <c r="H96" s="83" t="s">
        <v>759</v>
      </c>
      <c r="I96" s="85">
        <v>0</v>
      </c>
      <c r="J96" s="340">
        <v>136997.29999999999</v>
      </c>
      <c r="K96" s="86">
        <v>0.75</v>
      </c>
      <c r="L96" s="85">
        <f t="shared" si="12"/>
        <v>2.7075624953842029E-4</v>
      </c>
      <c r="M96" s="340">
        <f t="shared" si="13"/>
        <v>0</v>
      </c>
      <c r="N96" s="340">
        <f t="shared" si="16"/>
        <v>0</v>
      </c>
      <c r="O96" s="85">
        <f t="shared" si="17"/>
        <v>0</v>
      </c>
    </row>
    <row r="97" spans="1:15">
      <c r="A97" s="79">
        <v>39</v>
      </c>
      <c r="B97" s="83" t="s">
        <v>830</v>
      </c>
      <c r="C97" s="83" t="s">
        <v>831</v>
      </c>
      <c r="D97" s="84" t="s">
        <v>832</v>
      </c>
      <c r="E97" s="83" t="s">
        <v>757</v>
      </c>
      <c r="F97" s="83" t="s">
        <v>758</v>
      </c>
      <c r="G97" s="83">
        <v>2254671</v>
      </c>
      <c r="H97" s="83" t="s">
        <v>833</v>
      </c>
      <c r="I97" s="85">
        <v>0</v>
      </c>
      <c r="J97" s="340">
        <v>1089345.18</v>
      </c>
      <c r="K97" s="86">
        <v>0.5</v>
      </c>
      <c r="L97" s="85">
        <f t="shared" si="12"/>
        <v>2.152940352762831E-3</v>
      </c>
      <c r="M97" s="340">
        <f t="shared" si="13"/>
        <v>0</v>
      </c>
      <c r="N97" s="340">
        <f t="shared" si="16"/>
        <v>0</v>
      </c>
      <c r="O97" s="85">
        <f t="shared" si="17"/>
        <v>0</v>
      </c>
    </row>
    <row r="98" spans="1:15">
      <c r="A98" s="79">
        <v>45</v>
      </c>
      <c r="B98" s="83" t="s">
        <v>854</v>
      </c>
      <c r="C98" s="83" t="s">
        <v>855</v>
      </c>
      <c r="D98" s="83"/>
      <c r="E98" s="83" t="s">
        <v>757</v>
      </c>
      <c r="F98" s="83" t="s">
        <v>758</v>
      </c>
      <c r="G98" s="83">
        <v>3659452</v>
      </c>
      <c r="H98" s="83" t="s">
        <v>759</v>
      </c>
      <c r="I98" s="85">
        <v>0</v>
      </c>
      <c r="J98" s="340">
        <v>331929.77</v>
      </c>
      <c r="K98" s="86">
        <v>0.75</v>
      </c>
      <c r="L98" s="85">
        <f t="shared" si="12"/>
        <v>6.5601336402506085E-4</v>
      </c>
      <c r="M98" s="340">
        <f t="shared" si="13"/>
        <v>0</v>
      </c>
      <c r="N98" s="340">
        <f t="shared" si="16"/>
        <v>0</v>
      </c>
      <c r="O98" s="85">
        <f t="shared" si="17"/>
        <v>0</v>
      </c>
    </row>
    <row r="99" spans="1:15">
      <c r="A99" s="79">
        <v>46</v>
      </c>
      <c r="B99" s="83" t="s">
        <v>856</v>
      </c>
      <c r="C99" s="83" t="s">
        <v>857</v>
      </c>
      <c r="D99" s="84" t="s">
        <v>858</v>
      </c>
      <c r="E99" s="83" t="s">
        <v>757</v>
      </c>
      <c r="F99" s="83" t="s">
        <v>758</v>
      </c>
      <c r="G99" s="83">
        <v>5069704</v>
      </c>
      <c r="H99" s="83" t="s">
        <v>759</v>
      </c>
      <c r="I99" s="85">
        <v>0</v>
      </c>
      <c r="J99" s="340">
        <v>1605557.78</v>
      </c>
      <c r="K99" s="86">
        <v>0.75</v>
      </c>
      <c r="L99" s="85">
        <f t="shared" si="12"/>
        <v>3.1731632881088329E-3</v>
      </c>
      <c r="M99" s="340">
        <f t="shared" si="13"/>
        <v>0</v>
      </c>
      <c r="N99" s="340">
        <f t="shared" si="16"/>
        <v>0</v>
      </c>
      <c r="O99" s="85">
        <f t="shared" si="17"/>
        <v>0</v>
      </c>
    </row>
    <row r="100" spans="1:15">
      <c r="A100" s="79">
        <v>52</v>
      </c>
      <c r="B100" s="83" t="s">
        <v>872</v>
      </c>
      <c r="C100" s="83" t="s">
        <v>873</v>
      </c>
      <c r="D100" s="83" t="s">
        <v>874</v>
      </c>
      <c r="E100" s="83" t="s">
        <v>757</v>
      </c>
      <c r="F100" s="83" t="s">
        <v>758</v>
      </c>
      <c r="G100" s="83">
        <v>4491470</v>
      </c>
      <c r="H100" s="83" t="s">
        <v>759</v>
      </c>
      <c r="I100" s="85">
        <v>0</v>
      </c>
      <c r="J100" s="340">
        <v>61115.58</v>
      </c>
      <c r="K100" s="86">
        <v>0.75</v>
      </c>
      <c r="L100" s="85">
        <f t="shared" si="12"/>
        <v>1.2078650622432188E-4</v>
      </c>
      <c r="M100" s="340">
        <f t="shared" si="13"/>
        <v>0</v>
      </c>
      <c r="N100" s="340">
        <f t="shared" si="16"/>
        <v>0</v>
      </c>
      <c r="O100" s="85">
        <f t="shared" si="17"/>
        <v>0</v>
      </c>
    </row>
    <row r="101" spans="1:15">
      <c r="A101" s="79">
        <v>84</v>
      </c>
      <c r="B101" s="83" t="s">
        <v>944</v>
      </c>
      <c r="C101" s="83"/>
      <c r="D101" s="84" t="s">
        <v>945</v>
      </c>
      <c r="E101" s="83" t="s">
        <v>757</v>
      </c>
      <c r="F101" s="83" t="s">
        <v>758</v>
      </c>
      <c r="G101" s="83">
        <v>3115164</v>
      </c>
      <c r="H101" s="83" t="s">
        <v>759</v>
      </c>
      <c r="I101" s="85">
        <v>0</v>
      </c>
      <c r="J101" s="340">
        <f>VLOOKUP(G101,'[1]Planilha BTG - ON'!$A:$C,3,0)</f>
        <v>106621.11</v>
      </c>
      <c r="K101" s="86">
        <v>0.75</v>
      </c>
      <c r="L101" s="85">
        <f t="shared" si="12"/>
        <v>2.1072190375447811E-4</v>
      </c>
      <c r="M101" s="340">
        <f t="shared" si="13"/>
        <v>0</v>
      </c>
      <c r="N101" s="340">
        <f t="shared" si="16"/>
        <v>0</v>
      </c>
      <c r="O101" s="85">
        <f t="shared" si="17"/>
        <v>0</v>
      </c>
    </row>
    <row r="102" spans="1:15">
      <c r="A102" s="79">
        <v>85</v>
      </c>
      <c r="B102" s="83" t="s">
        <v>946</v>
      </c>
      <c r="C102" s="83"/>
      <c r="D102" s="84" t="s">
        <v>947</v>
      </c>
      <c r="E102" s="83" t="s">
        <v>757</v>
      </c>
      <c r="F102" s="83" t="s">
        <v>758</v>
      </c>
      <c r="G102" s="83">
        <v>3899781</v>
      </c>
      <c r="H102" s="83" t="s">
        <v>759</v>
      </c>
      <c r="I102" s="85">
        <v>0</v>
      </c>
      <c r="J102" s="340">
        <v>560924.55000000005</v>
      </c>
      <c r="K102" s="86">
        <v>0.75</v>
      </c>
      <c r="L102" s="85">
        <f t="shared" si="12"/>
        <v>1.1085899315681853E-3</v>
      </c>
      <c r="M102" s="340">
        <f t="shared" si="13"/>
        <v>0</v>
      </c>
      <c r="N102" s="340">
        <f t="shared" si="16"/>
        <v>0</v>
      </c>
      <c r="O102" s="85">
        <f t="shared" si="17"/>
        <v>0</v>
      </c>
    </row>
    <row r="103" spans="1:15">
      <c r="A103" s="79">
        <v>96</v>
      </c>
      <c r="B103" s="83" t="s">
        <v>973</v>
      </c>
      <c r="C103" s="83"/>
      <c r="D103" s="84" t="s">
        <v>974</v>
      </c>
      <c r="E103" s="83" t="s">
        <v>757</v>
      </c>
      <c r="F103" s="83" t="s">
        <v>758</v>
      </c>
      <c r="G103" s="83">
        <v>8758138</v>
      </c>
      <c r="H103" s="83" t="s">
        <v>759</v>
      </c>
      <c r="I103" s="85">
        <v>0</v>
      </c>
      <c r="J103" s="340">
        <v>1625953.77</v>
      </c>
      <c r="K103" s="86">
        <v>0.75</v>
      </c>
      <c r="L103" s="85">
        <f t="shared" si="12"/>
        <v>3.2134731464638741E-3</v>
      </c>
      <c r="M103" s="340">
        <f t="shared" si="13"/>
        <v>0</v>
      </c>
      <c r="N103" s="340">
        <f t="shared" si="16"/>
        <v>0</v>
      </c>
      <c r="O103" s="85">
        <f t="shared" si="17"/>
        <v>0</v>
      </c>
    </row>
    <row r="104" spans="1:15">
      <c r="A104" s="79">
        <v>100</v>
      </c>
      <c r="B104" s="83" t="s">
        <v>1333</v>
      </c>
      <c r="C104" s="83"/>
      <c r="D104" s="84"/>
      <c r="E104" s="83" t="s">
        <v>757</v>
      </c>
      <c r="F104" s="83" t="s">
        <v>758</v>
      </c>
      <c r="G104" s="102"/>
      <c r="H104" s="83" t="s">
        <v>767</v>
      </c>
      <c r="I104" s="85">
        <v>0.01</v>
      </c>
      <c r="J104" s="340">
        <v>264097.03999999998</v>
      </c>
      <c r="K104" s="86">
        <v>0.5</v>
      </c>
      <c r="L104" s="85">
        <f t="shared" si="12"/>
        <v>5.2195133819862274E-4</v>
      </c>
      <c r="M104" s="340">
        <f t="shared" si="13"/>
        <v>2640.9703999999997</v>
      </c>
      <c r="N104" s="340">
        <f t="shared" si="16"/>
        <v>1320.4851999999998</v>
      </c>
      <c r="O104" s="85">
        <f t="shared" si="17"/>
        <v>5.0000000000000001E-3</v>
      </c>
    </row>
    <row r="105" spans="1:15">
      <c r="A105" s="79">
        <v>101</v>
      </c>
      <c r="B105" s="83" t="s">
        <v>1334</v>
      </c>
      <c r="C105" s="83"/>
      <c r="D105" s="84"/>
      <c r="E105" s="83" t="s">
        <v>757</v>
      </c>
      <c r="F105" s="83" t="s">
        <v>758</v>
      </c>
      <c r="G105" s="102"/>
      <c r="H105" s="83" t="s">
        <v>1302</v>
      </c>
      <c r="I105" s="85">
        <v>0.01</v>
      </c>
      <c r="J105" s="340">
        <v>3716310.8499999996</v>
      </c>
      <c r="K105" s="86">
        <v>0.5</v>
      </c>
      <c r="L105" s="85">
        <f t="shared" ref="L105:L108" si="18">J105/$J$2</f>
        <v>7.3447753194036593E-3</v>
      </c>
      <c r="M105" s="340">
        <f t="shared" ref="M105:M108" si="19">J105*I105</f>
        <v>37163.108499999995</v>
      </c>
      <c r="N105" s="340">
        <f t="shared" ref="N105:N108" si="20">M105*K105</f>
        <v>18581.554249999997</v>
      </c>
      <c r="O105" s="85">
        <f t="shared" ref="O105:O108" si="21">I105*K105</f>
        <v>5.0000000000000001E-3</v>
      </c>
    </row>
    <row r="106" spans="1:15">
      <c r="A106" s="79">
        <v>102</v>
      </c>
      <c r="B106" s="83" t="s">
        <v>1335</v>
      </c>
      <c r="C106" s="83"/>
      <c r="D106" s="84"/>
      <c r="E106" s="83" t="s">
        <v>757</v>
      </c>
      <c r="F106" s="83" t="s">
        <v>758</v>
      </c>
      <c r="G106" s="102"/>
      <c r="H106" s="83" t="s">
        <v>1302</v>
      </c>
      <c r="I106" s="85">
        <v>0.01</v>
      </c>
      <c r="J106" s="340">
        <v>1226556.29</v>
      </c>
      <c r="K106" s="86">
        <v>0.5</v>
      </c>
      <c r="L106" s="85">
        <f t="shared" si="18"/>
        <v>2.4241191682475428E-3</v>
      </c>
      <c r="M106" s="340">
        <f t="shared" si="19"/>
        <v>12265.562900000001</v>
      </c>
      <c r="N106" s="340">
        <f t="shared" si="20"/>
        <v>6132.7814500000004</v>
      </c>
      <c r="O106" s="85">
        <f t="shared" si="21"/>
        <v>5.0000000000000001E-3</v>
      </c>
    </row>
    <row r="107" spans="1:15">
      <c r="A107" s="79">
        <v>103</v>
      </c>
      <c r="B107" s="83" t="s">
        <v>1336</v>
      </c>
      <c r="C107" s="83"/>
      <c r="D107" s="84"/>
      <c r="E107" s="83" t="s">
        <v>757</v>
      </c>
      <c r="F107" s="83" t="s">
        <v>758</v>
      </c>
      <c r="G107" s="102"/>
      <c r="H107" s="83" t="s">
        <v>1337</v>
      </c>
      <c r="I107" s="85">
        <v>0.01</v>
      </c>
      <c r="J107" s="340">
        <v>538310.05000000005</v>
      </c>
      <c r="K107" s="86">
        <v>0.5</v>
      </c>
      <c r="L107" s="85">
        <f t="shared" si="18"/>
        <v>1.0638954944866762E-3</v>
      </c>
      <c r="M107" s="340">
        <f t="shared" si="19"/>
        <v>5383.1005000000005</v>
      </c>
      <c r="N107" s="340">
        <f t="shared" si="20"/>
        <v>2691.5502500000002</v>
      </c>
      <c r="O107" s="85">
        <f t="shared" si="21"/>
        <v>5.0000000000000001E-3</v>
      </c>
    </row>
    <row r="108" spans="1:15">
      <c r="A108" s="79">
        <v>104</v>
      </c>
      <c r="B108" s="83" t="s">
        <v>1338</v>
      </c>
      <c r="C108" s="83"/>
      <c r="D108" s="84"/>
      <c r="E108" s="83" t="s">
        <v>757</v>
      </c>
      <c r="F108" s="83" t="s">
        <v>758</v>
      </c>
      <c r="G108" s="102"/>
      <c r="H108" s="83" t="s">
        <v>1302</v>
      </c>
      <c r="I108" s="85">
        <v>8.0000000000000002E-3</v>
      </c>
      <c r="J108" s="340">
        <v>1706442.28</v>
      </c>
      <c r="K108" s="86">
        <v>0.5</v>
      </c>
      <c r="L108" s="85">
        <f t="shared" si="18"/>
        <v>3.3725475741973815E-3</v>
      </c>
      <c r="M108" s="340">
        <f t="shared" si="19"/>
        <v>13651.53824</v>
      </c>
      <c r="N108" s="340">
        <f t="shared" si="20"/>
        <v>6825.7691199999999</v>
      </c>
      <c r="O108" s="85">
        <f t="shared" si="21"/>
        <v>4.0000000000000001E-3</v>
      </c>
    </row>
  </sheetData>
  <autoFilter ref="A4:O108" xr:uid="{553FECC5-B1C1-45DC-99B2-BD1760AABAA5}">
    <sortState xmlns:xlrd2="http://schemas.microsoft.com/office/spreadsheetml/2017/richdata2" ref="A5:O103">
      <sortCondition descending="1" ref="N4:N103"/>
    </sortState>
  </autoFilter>
  <hyperlinks>
    <hyperlink ref="D93" r:id="rId1" xr:uid="{B64E74FA-C3A6-4DC4-AD05-F3B0DD3F936D}"/>
    <hyperlink ref="D94" r:id="rId2" xr:uid="{AE16BEDF-C1D9-4C8D-98CB-80B8EAF89B92}"/>
    <hyperlink ref="D79" r:id="rId3" xr:uid="{2F2AE3AD-D8FC-43B7-974A-1856B3B2B2B6}"/>
    <hyperlink ref="D88" r:id="rId4" xr:uid="{3A577468-CE9D-4F22-B8DC-8741D0322786}"/>
    <hyperlink ref="D66" r:id="rId5" xr:uid="{551C5921-8FD5-42D6-9B63-FF7FBBEA906E}"/>
    <hyperlink ref="D59" r:id="rId6" xr:uid="{07AFD955-24D5-4ED9-9361-D7988B9717E3}"/>
    <hyperlink ref="D68" r:id="rId7" xr:uid="{1E1F3DDF-1991-4564-9F90-FB0EF787A07B}"/>
    <hyperlink ref="D64" r:id="rId8" xr:uid="{69914CB7-F38E-469F-9061-8B71945BE9A7}"/>
    <hyperlink ref="D65" r:id="rId9" xr:uid="{6519954B-D5F1-43C9-9B78-97701FD1FCD7}"/>
    <hyperlink ref="D50" r:id="rId10" xr:uid="{0BB896F3-1282-4D07-932A-58095103CD9D}"/>
    <hyperlink ref="D36" r:id="rId11" xr:uid="{87E8FEDE-1DED-4B00-AD4F-F0BFE790C77F}"/>
    <hyperlink ref="D38" r:id="rId12" xr:uid="{3D9D84EC-EB41-409D-8744-CDADB712A3CC}"/>
    <hyperlink ref="D49" r:id="rId13" xr:uid="{C2EA985E-0F78-47D7-BCC0-816391CC31FC}"/>
    <hyperlink ref="D86" r:id="rId14" xr:uid="{72FF7926-3DA0-4FB3-9FA1-2F8B91C74D9A}"/>
    <hyperlink ref="D84" r:id="rId15" xr:uid="{45A2A9ED-8A8B-406E-BBB0-0A59AFE06E6A}"/>
    <hyperlink ref="D17" r:id="rId16" xr:uid="{CE4C5F83-5DC2-47EE-8991-074A1E8F84C1}"/>
    <hyperlink ref="D21" r:id="rId17" xr:uid="{8C84745A-57E0-4024-BF7A-5A573F598208}"/>
    <hyperlink ref="D55" r:id="rId18" xr:uid="{20CE13E5-CB07-4103-82C9-2B43E64FB77D}"/>
    <hyperlink ref="D45" r:id="rId19" xr:uid="{61B8F0B7-D05E-4036-AF42-84DE238A4FB5}"/>
    <hyperlink ref="D54" r:id="rId20" xr:uid="{ECD73D12-FEFD-47FC-96DD-E8324ECB76D9}"/>
    <hyperlink ref="D82" r:id="rId21" xr:uid="{A4D308A7-E84F-4F20-9AE9-320611E25944}"/>
    <hyperlink ref="D27" r:id="rId22" xr:uid="{BD70EFC0-438D-4557-9FBD-1231FF2CABA6}"/>
    <hyperlink ref="D43" r:id="rId23" xr:uid="{D002F2B2-6717-4E1E-B239-D1CD39E4A5D9}"/>
    <hyperlink ref="D46" r:id="rId24" xr:uid="{3669C601-1453-4A77-86B6-E7482C216EBC}"/>
    <hyperlink ref="D78" r:id="rId25" xr:uid="{4ED74BCC-5334-4A9D-877D-4EE38E569B24}"/>
    <hyperlink ref="D58" r:id="rId26" xr:uid="{AF3B2656-81E4-40E4-8121-D883149049BB}"/>
    <hyperlink ref="D90" r:id="rId27" xr:uid="{91BF42B1-42F6-4145-9473-B4638A9A3E48}"/>
    <hyperlink ref="D72" r:id="rId28" xr:uid="{7DDC1E7E-0A37-48B5-B6E9-E3D544C84B72}"/>
    <hyperlink ref="D87" r:id="rId29" xr:uid="{DE5A00AC-24AF-450D-BB5D-8A30377FA7D3}"/>
    <hyperlink ref="D101" r:id="rId30" xr:uid="{76A25DE2-ED3A-49FC-9AC3-0CE506738484}"/>
    <hyperlink ref="D102" r:id="rId31" xr:uid="{AA24F681-1D28-47DB-BA46-A22CCC92CB55}"/>
    <hyperlink ref="D42" r:id="rId32" xr:uid="{48D32529-6ADF-4FFE-806A-4D21C50A2FE1}"/>
    <hyperlink ref="D30" r:id="rId33" xr:uid="{8AC020BB-863E-488F-B6BF-F7FC9C03EB1F}"/>
    <hyperlink ref="D73" r:id="rId34" xr:uid="{E58172BA-A6CB-4C6D-A5AE-10D312608E0E}"/>
    <hyperlink ref="D85" r:id="rId35" xr:uid="{2F01AFE8-5439-4932-A950-D6B0DBD1F730}"/>
    <hyperlink ref="D5" r:id="rId36" xr:uid="{AEFE67B1-E6DE-45A0-B257-11CD71999E60}"/>
    <hyperlink ref="D61" r:id="rId37" xr:uid="{71934973-6BD1-4729-AD29-1982BF6D645A}"/>
    <hyperlink ref="D62" r:id="rId38" xr:uid="{9ADF7F6E-E3D4-44E1-8BFB-EB1EBE8D5D02}"/>
    <hyperlink ref="D74" r:id="rId39" xr:uid="{04D3B375-2896-492A-A9FA-455AD7E48931}"/>
    <hyperlink ref="D40" r:id="rId40" xr:uid="{83C11272-69D6-499B-9C65-2381F873AAF9}"/>
    <hyperlink ref="D33" r:id="rId41" xr:uid="{408C0436-7EC1-442A-BF7C-ABE83A0B2A1B}"/>
    <hyperlink ref="D69" r:id="rId42" xr:uid="{1AED7D25-F5E7-419A-B28B-18AF485F6D5A}"/>
    <hyperlink ref="D48" r:id="rId43" xr:uid="{27C938B1-C877-4324-99E3-3A2BAF75B2E2}"/>
    <hyperlink ref="D103" r:id="rId44" xr:uid="{2FFD971A-0BAD-4019-8342-D3C7400AE469}"/>
    <hyperlink ref="D76" r:id="rId45" xr:uid="{F14C4558-5502-4D45-AEB8-337761CFFDC9}"/>
    <hyperlink ref="D80" r:id="rId46" xr:uid="{46333E51-B81F-43C3-9808-3CBB0C58A20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6F3E-DF7E-49F1-BF10-68B7BD656451}">
  <dimension ref="A1:O88"/>
  <sheetViews>
    <sheetView topLeftCell="C1" zoomScale="80" zoomScaleNormal="80" workbookViewId="0">
      <selection activeCell="J5" sqref="J5"/>
    </sheetView>
  </sheetViews>
  <sheetFormatPr defaultRowHeight="14.4"/>
  <cols>
    <col min="2" max="2" width="46.77734375" bestFit="1" customWidth="1"/>
    <col min="3" max="3" width="37.21875" bestFit="1" customWidth="1"/>
    <col min="4" max="4" width="49.109375" customWidth="1"/>
    <col min="5" max="5" width="18" bestFit="1" customWidth="1"/>
    <col min="6" max="6" width="12" bestFit="1" customWidth="1"/>
    <col min="7" max="7" width="10.44140625" bestFit="1" customWidth="1"/>
    <col min="8" max="8" width="33" bestFit="1" customWidth="1"/>
    <col min="9" max="9" width="13.77734375" bestFit="1" customWidth="1"/>
    <col min="10" max="10" width="18.33203125" bestFit="1" customWidth="1"/>
    <col min="11" max="11" width="15.77734375" bestFit="1" customWidth="1"/>
    <col min="13" max="13" width="23.77734375" bestFit="1" customWidth="1"/>
    <col min="14" max="14" width="24.109375" bestFit="1" customWidth="1"/>
    <col min="15" max="15" width="16.5546875" bestFit="1" customWidth="1"/>
  </cols>
  <sheetData>
    <row r="1" spans="1:15" ht="15">
      <c r="A1" s="74"/>
      <c r="B1" s="111"/>
      <c r="C1" s="74"/>
      <c r="D1" s="74"/>
      <c r="E1" s="75" t="s">
        <v>992</v>
      </c>
      <c r="F1" s="75"/>
      <c r="G1" s="75"/>
      <c r="H1" s="75"/>
      <c r="I1" s="75" t="s">
        <v>711</v>
      </c>
      <c r="J1" s="75" t="s">
        <v>708</v>
      </c>
      <c r="K1" s="75"/>
      <c r="L1" s="75"/>
      <c r="M1" s="75" t="s">
        <v>1015</v>
      </c>
      <c r="N1" s="75" t="s">
        <v>733</v>
      </c>
      <c r="O1" s="75" t="s">
        <v>1016</v>
      </c>
    </row>
    <row r="2" spans="1:15" ht="15">
      <c r="A2" s="74"/>
      <c r="B2" s="74"/>
      <c r="C2" s="74"/>
      <c r="D2" s="74"/>
      <c r="E2" s="75" t="s">
        <v>713</v>
      </c>
      <c r="F2" s="75"/>
      <c r="G2" s="75"/>
      <c r="H2" s="75"/>
      <c r="I2" s="76">
        <f>SUMPRODUCT(L5:L103,I5:I103)</f>
        <v>7.3576556547179069E-3</v>
      </c>
      <c r="J2" s="361">
        <f>SUM(J5:J103)</f>
        <v>36522772.424537003</v>
      </c>
      <c r="K2" s="361"/>
      <c r="L2" s="361"/>
      <c r="M2" s="361">
        <f>SUM(M5:M103)</f>
        <v>268721.98305536993</v>
      </c>
      <c r="N2" s="361">
        <f>SUM(N5:N103)</f>
        <v>148670.437785405</v>
      </c>
      <c r="O2" s="78">
        <f>SUMPRODUCT(L5:L103,O5:O103)</f>
        <v>4.0706230090441897E-3</v>
      </c>
    </row>
    <row r="3" spans="1:15" ht="1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5" ht="15">
      <c r="A4" s="363"/>
      <c r="B4" s="79" t="s">
        <v>722</v>
      </c>
      <c r="C4" s="79" t="s">
        <v>723</v>
      </c>
      <c r="D4" s="79" t="s">
        <v>724</v>
      </c>
      <c r="E4" s="79" t="s">
        <v>725</v>
      </c>
      <c r="F4" s="79" t="s">
        <v>726</v>
      </c>
      <c r="G4" s="79" t="s">
        <v>0</v>
      </c>
      <c r="H4" s="79" t="s">
        <v>727</v>
      </c>
      <c r="I4" s="79" t="s">
        <v>707</v>
      </c>
      <c r="J4" s="79" t="s">
        <v>729</v>
      </c>
      <c r="K4" s="79" t="s">
        <v>730</v>
      </c>
      <c r="L4" s="79" t="s">
        <v>731</v>
      </c>
      <c r="M4" s="80" t="s">
        <v>990</v>
      </c>
      <c r="N4" s="80" t="s">
        <v>993</v>
      </c>
      <c r="O4" s="79" t="s">
        <v>991</v>
      </c>
    </row>
    <row r="5" spans="1:15" ht="16.8">
      <c r="A5" s="79">
        <v>1</v>
      </c>
      <c r="B5" s="364" t="s">
        <v>1218</v>
      </c>
      <c r="C5" s="79"/>
      <c r="D5" s="365"/>
      <c r="E5" s="79" t="s">
        <v>1247</v>
      </c>
      <c r="F5" s="79" t="s">
        <v>1263</v>
      </c>
      <c r="G5" s="79"/>
      <c r="H5" s="366" t="s">
        <v>1248</v>
      </c>
      <c r="I5" s="367">
        <v>7.4999999999999997E-3</v>
      </c>
      <c r="J5" s="368">
        <v>588147.27</v>
      </c>
      <c r="K5" s="369">
        <v>0.5</v>
      </c>
      <c r="L5" s="370">
        <f>J5/$J$2</f>
        <v>1.6103576781177392E-2</v>
      </c>
      <c r="M5" s="371">
        <f>J5*I5</f>
        <v>4411.1045249999997</v>
      </c>
      <c r="N5" s="371">
        <f>M5*K5</f>
        <v>2205.5522624999999</v>
      </c>
      <c r="O5" s="370">
        <f>I5*K5</f>
        <v>3.7499999999999999E-3</v>
      </c>
    </row>
    <row r="6" spans="1:15" ht="16.8">
      <c r="A6" s="79">
        <v>2</v>
      </c>
      <c r="B6" s="364" t="s">
        <v>1219</v>
      </c>
      <c r="C6" s="79"/>
      <c r="D6" s="80"/>
      <c r="E6" s="79" t="s">
        <v>1247</v>
      </c>
      <c r="F6" s="79" t="s">
        <v>1263</v>
      </c>
      <c r="G6" s="79"/>
      <c r="H6" s="366" t="s">
        <v>1249</v>
      </c>
      <c r="I6" s="367">
        <v>7.4999999999999997E-3</v>
      </c>
      <c r="J6" s="368">
        <v>698832.45000000007</v>
      </c>
      <c r="K6" s="372">
        <v>0.5</v>
      </c>
      <c r="L6" s="372">
        <f>J6/$J$2</f>
        <v>1.9134156681120548E-2</v>
      </c>
      <c r="M6" s="371">
        <f t="shared" ref="M6:M69" si="0">J6*I6</f>
        <v>5241.243375</v>
      </c>
      <c r="N6" s="371">
        <f t="shared" ref="N6:N69" si="1">M6*K6</f>
        <v>2620.6216875</v>
      </c>
      <c r="O6" s="370">
        <f t="shared" ref="O6:O69" si="2">I6*K6</f>
        <v>3.7499999999999999E-3</v>
      </c>
    </row>
    <row r="7" spans="1:15" ht="16.8">
      <c r="A7" s="79">
        <v>3</v>
      </c>
      <c r="B7" s="364" t="s">
        <v>1220</v>
      </c>
      <c r="C7" s="79"/>
      <c r="D7" s="365"/>
      <c r="E7" s="79" t="s">
        <v>1247</v>
      </c>
      <c r="F7" s="79" t="s">
        <v>1263</v>
      </c>
      <c r="G7" s="79"/>
      <c r="H7" s="366" t="s">
        <v>1250</v>
      </c>
      <c r="I7" s="367">
        <v>0</v>
      </c>
      <c r="J7" s="368">
        <v>0</v>
      </c>
      <c r="K7" s="369">
        <v>0.5</v>
      </c>
      <c r="L7" s="370">
        <f>J7/$J$2</f>
        <v>0</v>
      </c>
      <c r="M7" s="371">
        <f t="shared" si="0"/>
        <v>0</v>
      </c>
      <c r="N7" s="371">
        <f t="shared" si="1"/>
        <v>0</v>
      </c>
      <c r="O7" s="370">
        <f t="shared" si="2"/>
        <v>0</v>
      </c>
    </row>
    <row r="8" spans="1:15" ht="16.8">
      <c r="A8" s="79">
        <v>4</v>
      </c>
      <c r="B8" s="364" t="s">
        <v>1221</v>
      </c>
      <c r="C8" s="362"/>
      <c r="D8" s="362"/>
      <c r="E8" s="79" t="s">
        <v>1247</v>
      </c>
      <c r="F8" s="79" t="s">
        <v>1263</v>
      </c>
      <c r="G8" s="362"/>
      <c r="H8" s="366" t="s">
        <v>1251</v>
      </c>
      <c r="I8" s="367">
        <v>0.01</v>
      </c>
      <c r="J8" s="368">
        <v>0</v>
      </c>
      <c r="K8" s="369">
        <v>0.5</v>
      </c>
      <c r="L8" s="370">
        <f t="shared" ref="L8:L71" si="3">J8/$J$2</f>
        <v>0</v>
      </c>
      <c r="M8" s="371">
        <f t="shared" si="0"/>
        <v>0</v>
      </c>
      <c r="N8" s="371">
        <f t="shared" si="1"/>
        <v>0</v>
      </c>
      <c r="O8" s="370">
        <f t="shared" si="2"/>
        <v>5.0000000000000001E-3</v>
      </c>
    </row>
    <row r="9" spans="1:15" ht="16.8">
      <c r="A9" s="79">
        <v>5</v>
      </c>
      <c r="B9" s="364" t="s">
        <v>1222</v>
      </c>
      <c r="C9" s="362"/>
      <c r="D9" s="362"/>
      <c r="E9" s="79" t="s">
        <v>1247</v>
      </c>
      <c r="F9" s="79" t="s">
        <v>1263</v>
      </c>
      <c r="G9" s="362"/>
      <c r="H9" s="366" t="s">
        <v>1250</v>
      </c>
      <c r="I9" s="367">
        <v>7.4999999999999997E-3</v>
      </c>
      <c r="J9" s="368">
        <v>227306.94</v>
      </c>
      <c r="K9" s="369">
        <v>0.75</v>
      </c>
      <c r="L9" s="370">
        <f t="shared" si="3"/>
        <v>6.2237044153660402E-3</v>
      </c>
      <c r="M9" s="371">
        <f t="shared" si="0"/>
        <v>1704.80205</v>
      </c>
      <c r="N9" s="371">
        <f t="shared" si="1"/>
        <v>1278.6015374999999</v>
      </c>
      <c r="O9" s="370">
        <f t="shared" si="2"/>
        <v>5.6249999999999998E-3</v>
      </c>
    </row>
    <row r="10" spans="1:15" ht="16.8">
      <c r="A10" s="79">
        <v>6</v>
      </c>
      <c r="B10" s="364" t="s">
        <v>1223</v>
      </c>
      <c r="C10" s="362"/>
      <c r="D10" s="362"/>
      <c r="E10" s="79" t="s">
        <v>1247</v>
      </c>
      <c r="F10" s="79" t="s">
        <v>1263</v>
      </c>
      <c r="G10" s="362"/>
      <c r="H10" s="366" t="s">
        <v>1250</v>
      </c>
      <c r="I10" s="367">
        <v>7.4999999999999997E-3</v>
      </c>
      <c r="J10" s="368">
        <v>4223356.75</v>
      </c>
      <c r="K10" s="369">
        <v>0.75</v>
      </c>
      <c r="L10" s="370">
        <f t="shared" si="3"/>
        <v>0.11563625841182398</v>
      </c>
      <c r="M10" s="371">
        <f t="shared" si="0"/>
        <v>31675.175625</v>
      </c>
      <c r="N10" s="371">
        <f t="shared" si="1"/>
        <v>23756.381718749999</v>
      </c>
      <c r="O10" s="370">
        <f t="shared" si="2"/>
        <v>5.6249999999999998E-3</v>
      </c>
    </row>
    <row r="11" spans="1:15" ht="16.8">
      <c r="A11" s="79">
        <v>7</v>
      </c>
      <c r="B11" s="364" t="s">
        <v>1224</v>
      </c>
      <c r="C11" s="362"/>
      <c r="D11" s="362"/>
      <c r="E11" s="79" t="s">
        <v>1247</v>
      </c>
      <c r="F11" s="79" t="s">
        <v>1263</v>
      </c>
      <c r="G11" s="362"/>
      <c r="H11" s="366" t="s">
        <v>1250</v>
      </c>
      <c r="I11" s="367">
        <v>6.0000000000000001E-3</v>
      </c>
      <c r="J11" s="368">
        <v>0</v>
      </c>
      <c r="K11" s="369">
        <v>0.75</v>
      </c>
      <c r="L11" s="370">
        <f t="shared" si="3"/>
        <v>0</v>
      </c>
      <c r="M11" s="371">
        <f t="shared" si="0"/>
        <v>0</v>
      </c>
      <c r="N11" s="371">
        <f t="shared" si="1"/>
        <v>0</v>
      </c>
      <c r="O11" s="370">
        <f t="shared" si="2"/>
        <v>4.5000000000000005E-3</v>
      </c>
    </row>
    <row r="12" spans="1:15" ht="16.8">
      <c r="A12" s="79">
        <v>8</v>
      </c>
      <c r="B12" s="364" t="s">
        <v>1225</v>
      </c>
      <c r="C12" s="362"/>
      <c r="D12" s="362"/>
      <c r="E12" s="79" t="s">
        <v>1247</v>
      </c>
      <c r="F12" s="79" t="s">
        <v>1263</v>
      </c>
      <c r="G12" s="362"/>
      <c r="H12" s="366" t="s">
        <v>1250</v>
      </c>
      <c r="I12" s="367">
        <v>0</v>
      </c>
      <c r="J12" s="368">
        <v>1116087.71</v>
      </c>
      <c r="K12" s="369">
        <v>0.75</v>
      </c>
      <c r="L12" s="370">
        <f t="shared" si="3"/>
        <v>3.055867985668529E-2</v>
      </c>
      <c r="M12" s="371">
        <f t="shared" si="0"/>
        <v>0</v>
      </c>
      <c r="N12" s="371">
        <f t="shared" si="1"/>
        <v>0</v>
      </c>
      <c r="O12" s="370">
        <f t="shared" si="2"/>
        <v>0</v>
      </c>
    </row>
    <row r="13" spans="1:15" ht="16.8">
      <c r="A13" s="79">
        <v>9</v>
      </c>
      <c r="B13" s="364" t="s">
        <v>1226</v>
      </c>
      <c r="C13" s="362"/>
      <c r="D13" s="362"/>
      <c r="E13" s="79" t="s">
        <v>1247</v>
      </c>
      <c r="F13" s="79" t="s">
        <v>1263</v>
      </c>
      <c r="G13" s="362"/>
      <c r="H13" s="366" t="s">
        <v>1252</v>
      </c>
      <c r="I13" s="367">
        <v>0.01</v>
      </c>
      <c r="J13" s="368">
        <v>241649.46</v>
      </c>
      <c r="K13" s="369">
        <v>0.5</v>
      </c>
      <c r="L13" s="370">
        <f t="shared" si="3"/>
        <v>6.6164051619929387E-3</v>
      </c>
      <c r="M13" s="371">
        <f t="shared" si="0"/>
        <v>2416.4946</v>
      </c>
      <c r="N13" s="371">
        <f t="shared" si="1"/>
        <v>1208.2473</v>
      </c>
      <c r="O13" s="370">
        <f t="shared" si="2"/>
        <v>5.0000000000000001E-3</v>
      </c>
    </row>
    <row r="14" spans="1:15" ht="16.8">
      <c r="A14" s="79">
        <v>10</v>
      </c>
      <c r="B14" s="364" t="s">
        <v>1227</v>
      </c>
      <c r="C14" s="362"/>
      <c r="D14" s="362"/>
      <c r="E14" s="79" t="s">
        <v>1247</v>
      </c>
      <c r="F14" s="79" t="s">
        <v>1263</v>
      </c>
      <c r="G14" s="362"/>
      <c r="H14" s="366" t="s">
        <v>1253</v>
      </c>
      <c r="I14" s="367">
        <v>0.01</v>
      </c>
      <c r="J14" s="368">
        <v>613777.6</v>
      </c>
      <c r="K14" s="369">
        <v>0.5</v>
      </c>
      <c r="L14" s="370">
        <f t="shared" si="3"/>
        <v>1.6805339771732316E-2</v>
      </c>
      <c r="M14" s="371">
        <f t="shared" si="0"/>
        <v>6137.7759999999998</v>
      </c>
      <c r="N14" s="371">
        <f t="shared" si="1"/>
        <v>3068.8879999999999</v>
      </c>
      <c r="O14" s="370">
        <f t="shared" si="2"/>
        <v>5.0000000000000001E-3</v>
      </c>
    </row>
    <row r="15" spans="1:15" ht="16.8">
      <c r="A15" s="79">
        <v>11</v>
      </c>
      <c r="B15" s="364" t="s">
        <v>1228</v>
      </c>
      <c r="C15" s="362"/>
      <c r="D15" s="362"/>
      <c r="E15" s="79" t="s">
        <v>1247</v>
      </c>
      <c r="F15" s="79" t="s">
        <v>1263</v>
      </c>
      <c r="G15" s="362"/>
      <c r="H15" s="366" t="s">
        <v>1250</v>
      </c>
      <c r="I15" s="367">
        <v>6.0000000000000001E-3</v>
      </c>
      <c r="J15" s="368">
        <v>0</v>
      </c>
      <c r="K15" s="369">
        <v>0.75</v>
      </c>
      <c r="L15" s="370">
        <f t="shared" si="3"/>
        <v>0</v>
      </c>
      <c r="M15" s="371">
        <f t="shared" si="0"/>
        <v>0</v>
      </c>
      <c r="N15" s="371">
        <f t="shared" si="1"/>
        <v>0</v>
      </c>
      <c r="O15" s="370">
        <f t="shared" si="2"/>
        <v>4.5000000000000005E-3</v>
      </c>
    </row>
    <row r="16" spans="1:15" ht="16.8">
      <c r="A16" s="79">
        <v>12</v>
      </c>
      <c r="B16" s="364" t="s">
        <v>927</v>
      </c>
      <c r="C16" s="362"/>
      <c r="D16" s="362"/>
      <c r="E16" s="79" t="s">
        <v>1247</v>
      </c>
      <c r="F16" s="79" t="s">
        <v>1263</v>
      </c>
      <c r="G16" s="362"/>
      <c r="H16" s="366" t="s">
        <v>1252</v>
      </c>
      <c r="I16" s="367">
        <v>0.01</v>
      </c>
      <c r="J16" s="368">
        <v>289864.12</v>
      </c>
      <c r="K16" s="369">
        <v>0.5</v>
      </c>
      <c r="L16" s="370">
        <f t="shared" si="3"/>
        <v>7.9365311217518986E-3</v>
      </c>
      <c r="M16" s="371">
        <f t="shared" si="0"/>
        <v>2898.6412</v>
      </c>
      <c r="N16" s="371">
        <f t="shared" si="1"/>
        <v>1449.3206</v>
      </c>
      <c r="O16" s="370">
        <f t="shared" si="2"/>
        <v>5.0000000000000001E-3</v>
      </c>
    </row>
    <row r="17" spans="1:15" ht="16.8">
      <c r="A17" s="79">
        <v>13</v>
      </c>
      <c r="B17" s="364" t="s">
        <v>868</v>
      </c>
      <c r="C17" s="362"/>
      <c r="D17" s="362"/>
      <c r="E17" s="79" t="s">
        <v>1247</v>
      </c>
      <c r="F17" s="79" t="s">
        <v>1263</v>
      </c>
      <c r="G17" s="362"/>
      <c r="H17" s="366" t="s">
        <v>1254</v>
      </c>
      <c r="I17" s="367">
        <v>6.4999999999999997E-3</v>
      </c>
      <c r="J17" s="368">
        <v>530072.32000000007</v>
      </c>
      <c r="K17" s="369">
        <v>0.5</v>
      </c>
      <c r="L17" s="370">
        <f t="shared" si="3"/>
        <v>1.4513474328796653E-2</v>
      </c>
      <c r="M17" s="371">
        <f t="shared" si="0"/>
        <v>3445.4700800000001</v>
      </c>
      <c r="N17" s="371">
        <f t="shared" si="1"/>
        <v>1722.73504</v>
      </c>
      <c r="O17" s="370">
        <f t="shared" si="2"/>
        <v>3.2499999999999999E-3</v>
      </c>
    </row>
    <row r="18" spans="1:15" ht="16.8">
      <c r="A18" s="79">
        <v>14</v>
      </c>
      <c r="B18" s="364" t="s">
        <v>1229</v>
      </c>
      <c r="C18" s="362"/>
      <c r="D18" s="362"/>
      <c r="E18" s="79" t="s">
        <v>1247</v>
      </c>
      <c r="F18" s="79" t="s">
        <v>1263</v>
      </c>
      <c r="G18" s="362"/>
      <c r="H18" s="366" t="s">
        <v>1255</v>
      </c>
      <c r="I18" s="367">
        <v>0</v>
      </c>
      <c r="J18" s="368">
        <v>37265.31</v>
      </c>
      <c r="K18" s="369">
        <v>0.5</v>
      </c>
      <c r="L18" s="370">
        <f t="shared" si="3"/>
        <v>1.0203308107837985E-3</v>
      </c>
      <c r="M18" s="371">
        <f t="shared" si="0"/>
        <v>0</v>
      </c>
      <c r="N18" s="371">
        <f t="shared" si="1"/>
        <v>0</v>
      </c>
      <c r="O18" s="370">
        <f t="shared" si="2"/>
        <v>0</v>
      </c>
    </row>
    <row r="19" spans="1:15" ht="16.8">
      <c r="A19" s="79">
        <v>15</v>
      </c>
      <c r="B19" s="364" t="s">
        <v>1230</v>
      </c>
      <c r="C19" s="362"/>
      <c r="D19" s="362"/>
      <c r="E19" s="79" t="s">
        <v>1247</v>
      </c>
      <c r="F19" s="79" t="s">
        <v>1263</v>
      </c>
      <c r="G19" s="362"/>
      <c r="H19" s="366" t="s">
        <v>1255</v>
      </c>
      <c r="I19" s="367">
        <v>8.0000000000000002E-3</v>
      </c>
      <c r="J19" s="368">
        <v>1413410.36</v>
      </c>
      <c r="K19" s="369">
        <v>0.5</v>
      </c>
      <c r="L19" s="370">
        <f t="shared" si="3"/>
        <v>3.8699426855405755E-2</v>
      </c>
      <c r="M19" s="371">
        <f t="shared" si="0"/>
        <v>11307.282880000001</v>
      </c>
      <c r="N19" s="371">
        <f t="shared" si="1"/>
        <v>5653.6414400000003</v>
      </c>
      <c r="O19" s="370">
        <f t="shared" si="2"/>
        <v>4.0000000000000001E-3</v>
      </c>
    </row>
    <row r="20" spans="1:15" ht="16.8">
      <c r="A20" s="79">
        <v>16</v>
      </c>
      <c r="B20" s="364" t="s">
        <v>1231</v>
      </c>
      <c r="C20" s="362"/>
      <c r="D20" s="362"/>
      <c r="E20" s="79" t="s">
        <v>1247</v>
      </c>
      <c r="F20" s="79" t="s">
        <v>1263</v>
      </c>
      <c r="G20" s="362"/>
      <c r="H20" s="366" t="s">
        <v>1256</v>
      </c>
      <c r="I20" s="367">
        <v>0.01</v>
      </c>
      <c r="J20" s="368">
        <v>303338.21000000002</v>
      </c>
      <c r="K20" s="369">
        <v>0.5</v>
      </c>
      <c r="L20" s="370">
        <f t="shared" si="3"/>
        <v>8.3054541006369244E-3</v>
      </c>
      <c r="M20" s="371">
        <f t="shared" si="0"/>
        <v>3033.3821000000003</v>
      </c>
      <c r="N20" s="371">
        <f t="shared" si="1"/>
        <v>1516.6910500000001</v>
      </c>
      <c r="O20" s="370">
        <f t="shared" si="2"/>
        <v>5.0000000000000001E-3</v>
      </c>
    </row>
    <row r="21" spans="1:15" ht="16.8">
      <c r="A21" s="79">
        <v>17</v>
      </c>
      <c r="B21" s="364" t="s">
        <v>1232</v>
      </c>
      <c r="C21" s="362"/>
      <c r="D21" s="362"/>
      <c r="E21" s="79" t="s">
        <v>1247</v>
      </c>
      <c r="F21" s="79" t="s">
        <v>1263</v>
      </c>
      <c r="G21" s="362"/>
      <c r="H21" s="366" t="s">
        <v>1256</v>
      </c>
      <c r="I21" s="367">
        <v>0.01</v>
      </c>
      <c r="J21" s="368">
        <v>260529.22</v>
      </c>
      <c r="K21" s="369">
        <v>0.5</v>
      </c>
      <c r="L21" s="370">
        <f t="shared" si="3"/>
        <v>7.1333363462016183E-3</v>
      </c>
      <c r="M21" s="371">
        <f t="shared" si="0"/>
        <v>2605.2921999999999</v>
      </c>
      <c r="N21" s="371">
        <f t="shared" si="1"/>
        <v>1302.6460999999999</v>
      </c>
      <c r="O21" s="370">
        <f t="shared" si="2"/>
        <v>5.0000000000000001E-3</v>
      </c>
    </row>
    <row r="22" spans="1:15" ht="16.8">
      <c r="A22" s="79">
        <v>18</v>
      </c>
      <c r="B22" s="364" t="s">
        <v>1233</v>
      </c>
      <c r="C22" s="362"/>
      <c r="D22" s="362"/>
      <c r="E22" s="79" t="s">
        <v>1247</v>
      </c>
      <c r="F22" s="79" t="s">
        <v>1263</v>
      </c>
      <c r="G22" s="362"/>
      <c r="H22" s="366" t="s">
        <v>1257</v>
      </c>
      <c r="I22" s="367">
        <v>0.01</v>
      </c>
      <c r="J22" s="368">
        <v>232760.83000000002</v>
      </c>
      <c r="K22" s="369">
        <v>0.5</v>
      </c>
      <c r="L22" s="370">
        <f t="shared" si="3"/>
        <v>6.3730328928596038E-3</v>
      </c>
      <c r="M22" s="371">
        <f t="shared" si="0"/>
        <v>2327.6083000000003</v>
      </c>
      <c r="N22" s="371">
        <f t="shared" si="1"/>
        <v>1163.8041500000002</v>
      </c>
      <c r="O22" s="370">
        <f t="shared" si="2"/>
        <v>5.0000000000000001E-3</v>
      </c>
    </row>
    <row r="23" spans="1:15" ht="16.8">
      <c r="A23" s="79">
        <v>19</v>
      </c>
      <c r="B23" s="364" t="s">
        <v>1234</v>
      </c>
      <c r="C23" s="362"/>
      <c r="D23" s="362"/>
      <c r="E23" s="79" t="s">
        <v>1247</v>
      </c>
      <c r="F23" s="79" t="s">
        <v>1263</v>
      </c>
      <c r="G23" s="362"/>
      <c r="H23" s="366" t="s">
        <v>1255</v>
      </c>
      <c r="I23" s="367">
        <v>0.01</v>
      </c>
      <c r="J23" s="368">
        <v>743158.83999999985</v>
      </c>
      <c r="K23" s="369">
        <v>0.5</v>
      </c>
      <c r="L23" s="370">
        <f t="shared" si="3"/>
        <v>2.0347821117236032E-2</v>
      </c>
      <c r="M23" s="371">
        <f t="shared" si="0"/>
        <v>7431.5883999999987</v>
      </c>
      <c r="N23" s="371">
        <f t="shared" si="1"/>
        <v>3715.7941999999994</v>
      </c>
      <c r="O23" s="370">
        <f t="shared" si="2"/>
        <v>5.0000000000000001E-3</v>
      </c>
    </row>
    <row r="24" spans="1:15" ht="16.8">
      <c r="A24" s="79">
        <v>20</v>
      </c>
      <c r="B24" s="364" t="s">
        <v>1235</v>
      </c>
      <c r="C24" s="362"/>
      <c r="D24" s="362"/>
      <c r="E24" s="79" t="s">
        <v>1247</v>
      </c>
      <c r="F24" s="79" t="s">
        <v>1263</v>
      </c>
      <c r="G24" s="362"/>
      <c r="H24" s="366" t="s">
        <v>1255</v>
      </c>
      <c r="I24" s="367">
        <v>8.0000000000000002E-3</v>
      </c>
      <c r="J24" s="368">
        <v>415446.67</v>
      </c>
      <c r="K24" s="369">
        <v>0.5</v>
      </c>
      <c r="L24" s="370">
        <f t="shared" si="3"/>
        <v>1.1375003659932768E-2</v>
      </c>
      <c r="M24" s="371">
        <f t="shared" si="0"/>
        <v>3323.5733599999999</v>
      </c>
      <c r="N24" s="371">
        <f t="shared" si="1"/>
        <v>1661.7866799999999</v>
      </c>
      <c r="O24" s="370">
        <f t="shared" si="2"/>
        <v>4.0000000000000001E-3</v>
      </c>
    </row>
    <row r="25" spans="1:15" ht="16.8">
      <c r="A25" s="79">
        <v>21</v>
      </c>
      <c r="B25" s="364" t="s">
        <v>1236</v>
      </c>
      <c r="C25" s="362"/>
      <c r="D25" s="362"/>
      <c r="E25" s="79" t="s">
        <v>1247</v>
      </c>
      <c r="F25" s="79" t="s">
        <v>1263</v>
      </c>
      <c r="G25" s="362"/>
      <c r="H25" s="366" t="s">
        <v>1258</v>
      </c>
      <c r="I25" s="367">
        <v>0.01</v>
      </c>
      <c r="J25" s="368">
        <v>0</v>
      </c>
      <c r="K25" s="369">
        <v>0.5</v>
      </c>
      <c r="L25" s="370">
        <f t="shared" si="3"/>
        <v>0</v>
      </c>
      <c r="M25" s="371">
        <f t="shared" si="0"/>
        <v>0</v>
      </c>
      <c r="N25" s="371">
        <f t="shared" si="1"/>
        <v>0</v>
      </c>
      <c r="O25" s="370">
        <f t="shared" si="2"/>
        <v>5.0000000000000001E-3</v>
      </c>
    </row>
    <row r="26" spans="1:15" ht="16.8">
      <c r="A26" s="79">
        <v>22</v>
      </c>
      <c r="B26" s="364" t="s">
        <v>1237</v>
      </c>
      <c r="C26" s="362"/>
      <c r="D26" s="362"/>
      <c r="E26" s="79" t="s">
        <v>1247</v>
      </c>
      <c r="F26" s="79" t="s">
        <v>1263</v>
      </c>
      <c r="G26" s="362"/>
      <c r="H26" s="366" t="s">
        <v>1250</v>
      </c>
      <c r="I26" s="367">
        <v>5.0000000000000001E-3</v>
      </c>
      <c r="J26" s="368">
        <v>1589780.06</v>
      </c>
      <c r="K26" s="369">
        <v>0.75</v>
      </c>
      <c r="L26" s="370">
        <f t="shared" si="3"/>
        <v>4.3528460586741827E-2</v>
      </c>
      <c r="M26" s="371">
        <f t="shared" si="0"/>
        <v>7948.9003000000002</v>
      </c>
      <c r="N26" s="371">
        <f t="shared" si="1"/>
        <v>5961.675225</v>
      </c>
      <c r="O26" s="370">
        <f t="shared" si="2"/>
        <v>3.7499999999999999E-3</v>
      </c>
    </row>
    <row r="27" spans="1:15" ht="16.8">
      <c r="A27" s="79">
        <v>23</v>
      </c>
      <c r="B27" s="364" t="s">
        <v>1238</v>
      </c>
      <c r="C27" s="362"/>
      <c r="D27" s="362"/>
      <c r="E27" s="79" t="s">
        <v>1247</v>
      </c>
      <c r="F27" s="79" t="s">
        <v>1263</v>
      </c>
      <c r="G27" s="362"/>
      <c r="H27" s="366" t="s">
        <v>1259</v>
      </c>
      <c r="I27" s="367">
        <v>7.4999999999999997E-3</v>
      </c>
      <c r="J27" s="368">
        <v>461501.73</v>
      </c>
      <c r="K27" s="369">
        <v>0.5</v>
      </c>
      <c r="L27" s="370">
        <f t="shared" si="3"/>
        <v>1.2635999387876438E-2</v>
      </c>
      <c r="M27" s="371">
        <f t="shared" si="0"/>
        <v>3461.2629749999996</v>
      </c>
      <c r="N27" s="371">
        <f t="shared" si="1"/>
        <v>1730.6314874999998</v>
      </c>
      <c r="O27" s="370">
        <f t="shared" si="2"/>
        <v>3.7499999999999999E-3</v>
      </c>
    </row>
    <row r="28" spans="1:15" ht="16.8">
      <c r="A28" s="79">
        <v>24</v>
      </c>
      <c r="B28" s="364" t="s">
        <v>1239</v>
      </c>
      <c r="C28" s="362"/>
      <c r="D28" s="362"/>
      <c r="E28" s="79" t="s">
        <v>1247</v>
      </c>
      <c r="F28" s="79" t="s">
        <v>1263</v>
      </c>
      <c r="G28" s="362"/>
      <c r="H28" s="366" t="s">
        <v>1260</v>
      </c>
      <c r="I28" s="367">
        <v>0.01</v>
      </c>
      <c r="J28" s="368">
        <v>352140.33</v>
      </c>
      <c r="K28" s="369">
        <v>0.5</v>
      </c>
      <c r="L28" s="370">
        <f t="shared" si="3"/>
        <v>9.641664819602316E-3</v>
      </c>
      <c r="M28" s="371">
        <f t="shared" si="0"/>
        <v>3521.4033000000004</v>
      </c>
      <c r="N28" s="371">
        <f t="shared" si="1"/>
        <v>1760.7016500000002</v>
      </c>
      <c r="O28" s="370">
        <f t="shared" si="2"/>
        <v>5.0000000000000001E-3</v>
      </c>
    </row>
    <row r="29" spans="1:15" ht="16.8">
      <c r="A29" s="79">
        <v>25</v>
      </c>
      <c r="B29" s="364" t="s">
        <v>1240</v>
      </c>
      <c r="C29" s="362"/>
      <c r="D29" s="362"/>
      <c r="E29" s="79" t="s">
        <v>1247</v>
      </c>
      <c r="F29" s="79" t="s">
        <v>1263</v>
      </c>
      <c r="G29" s="362"/>
      <c r="H29" s="366" t="s">
        <v>1261</v>
      </c>
      <c r="I29" s="367">
        <v>0.01</v>
      </c>
      <c r="J29" s="368">
        <v>330130.13</v>
      </c>
      <c r="K29" s="369">
        <v>0.5</v>
      </c>
      <c r="L29" s="370">
        <f t="shared" si="3"/>
        <v>9.0390216318356354E-3</v>
      </c>
      <c r="M29" s="371">
        <f t="shared" si="0"/>
        <v>3301.3013000000001</v>
      </c>
      <c r="N29" s="371">
        <f t="shared" si="1"/>
        <v>1650.65065</v>
      </c>
      <c r="O29" s="370">
        <f t="shared" si="2"/>
        <v>5.0000000000000001E-3</v>
      </c>
    </row>
    <row r="30" spans="1:15" ht="16.8">
      <c r="A30" s="79">
        <v>26</v>
      </c>
      <c r="B30" s="364" t="s">
        <v>1241</v>
      </c>
      <c r="C30" s="362"/>
      <c r="D30" s="362"/>
      <c r="E30" s="79" t="s">
        <v>1247</v>
      </c>
      <c r="F30" s="79" t="s">
        <v>1263</v>
      </c>
      <c r="G30" s="362"/>
      <c r="H30" s="366" t="s">
        <v>1256</v>
      </c>
      <c r="I30" s="367">
        <v>7.4999999999999997E-3</v>
      </c>
      <c r="J30" s="368">
        <v>737924.42999999993</v>
      </c>
      <c r="K30" s="369">
        <v>0.5</v>
      </c>
      <c r="L30" s="370">
        <f t="shared" si="3"/>
        <v>2.0204502041149593E-2</v>
      </c>
      <c r="M30" s="371">
        <f t="shared" si="0"/>
        <v>5534.4332249999989</v>
      </c>
      <c r="N30" s="371">
        <f t="shared" si="1"/>
        <v>2767.2166124999994</v>
      </c>
      <c r="O30" s="370">
        <f t="shared" si="2"/>
        <v>3.7499999999999999E-3</v>
      </c>
    </row>
    <row r="31" spans="1:15" ht="16.8">
      <c r="A31" s="79">
        <v>27</v>
      </c>
      <c r="B31" s="364" t="s">
        <v>1242</v>
      </c>
      <c r="C31" s="362"/>
      <c r="D31" s="362"/>
      <c r="E31" s="79" t="s">
        <v>1247</v>
      </c>
      <c r="F31" s="79" t="s">
        <v>1263</v>
      </c>
      <c r="G31" s="362"/>
      <c r="H31" s="366" t="s">
        <v>1260</v>
      </c>
      <c r="I31" s="367">
        <v>0.01</v>
      </c>
      <c r="J31" s="368">
        <v>730707.81</v>
      </c>
      <c r="K31" s="369">
        <v>0.5</v>
      </c>
      <c r="L31" s="370">
        <f t="shared" si="3"/>
        <v>2.0006909702974533E-2</v>
      </c>
      <c r="M31" s="371">
        <f t="shared" si="0"/>
        <v>7307.0781000000006</v>
      </c>
      <c r="N31" s="371">
        <f t="shared" si="1"/>
        <v>3653.5390500000003</v>
      </c>
      <c r="O31" s="370">
        <f t="shared" si="2"/>
        <v>5.0000000000000001E-3</v>
      </c>
    </row>
    <row r="32" spans="1:15" ht="16.8">
      <c r="A32" s="79">
        <v>28</v>
      </c>
      <c r="B32" s="364" t="s">
        <v>1243</v>
      </c>
      <c r="C32" s="362"/>
      <c r="D32" s="362"/>
      <c r="E32" s="79" t="s">
        <v>1247</v>
      </c>
      <c r="F32" s="79" t="s">
        <v>1263</v>
      </c>
      <c r="G32" s="362"/>
      <c r="H32" s="366" t="s">
        <v>1255</v>
      </c>
      <c r="I32" s="367">
        <v>6.0000000000000001E-3</v>
      </c>
      <c r="J32" s="368">
        <v>1940584.33</v>
      </c>
      <c r="K32" s="369">
        <v>0.5</v>
      </c>
      <c r="L32" s="370">
        <f t="shared" si="3"/>
        <v>5.3133543846092639E-2</v>
      </c>
      <c r="M32" s="371">
        <f t="shared" si="0"/>
        <v>11643.50598</v>
      </c>
      <c r="N32" s="371">
        <f t="shared" si="1"/>
        <v>5821.75299</v>
      </c>
      <c r="O32" s="370">
        <f t="shared" si="2"/>
        <v>3.0000000000000001E-3</v>
      </c>
    </row>
    <row r="33" spans="1:15" ht="16.8">
      <c r="A33" s="79">
        <v>29</v>
      </c>
      <c r="B33" s="364" t="s">
        <v>906</v>
      </c>
      <c r="C33" s="362"/>
      <c r="D33" s="362"/>
      <c r="E33" s="79" t="s">
        <v>1247</v>
      </c>
      <c r="F33" s="79" t="s">
        <v>1263</v>
      </c>
      <c r="G33" s="362"/>
      <c r="H33" s="366" t="s">
        <v>1250</v>
      </c>
      <c r="I33" s="367">
        <v>5.0000000000000001E-3</v>
      </c>
      <c r="J33" s="368">
        <v>3605.43</v>
      </c>
      <c r="K33" s="369">
        <v>0.75</v>
      </c>
      <c r="L33" s="370">
        <f t="shared" si="3"/>
        <v>9.8717314175683242E-5</v>
      </c>
      <c r="M33" s="371">
        <f t="shared" si="0"/>
        <v>18.027149999999999</v>
      </c>
      <c r="N33" s="371">
        <f t="shared" si="1"/>
        <v>13.520362499999999</v>
      </c>
      <c r="O33" s="370">
        <f t="shared" si="2"/>
        <v>3.7499999999999999E-3</v>
      </c>
    </row>
    <row r="34" spans="1:15" ht="16.8">
      <c r="A34" s="79">
        <v>30</v>
      </c>
      <c r="B34" s="364" t="s">
        <v>1244</v>
      </c>
      <c r="C34" s="362"/>
      <c r="D34" s="362"/>
      <c r="E34" s="79" t="s">
        <v>1247</v>
      </c>
      <c r="F34" s="79" t="s">
        <v>1263</v>
      </c>
      <c r="G34" s="362"/>
      <c r="H34" s="366" t="s">
        <v>1250</v>
      </c>
      <c r="I34" s="367">
        <v>5.0000000000000001E-3</v>
      </c>
      <c r="J34" s="368">
        <v>1433021.3900000001</v>
      </c>
      <c r="K34" s="369">
        <v>0.75</v>
      </c>
      <c r="L34" s="370">
        <f t="shared" si="3"/>
        <v>3.9236380342179529E-2</v>
      </c>
      <c r="M34" s="371">
        <f t="shared" si="0"/>
        <v>7165.1069500000012</v>
      </c>
      <c r="N34" s="371">
        <f t="shared" si="1"/>
        <v>5373.8302125000009</v>
      </c>
      <c r="O34" s="370">
        <f t="shared" si="2"/>
        <v>3.7499999999999999E-3</v>
      </c>
    </row>
    <row r="35" spans="1:15" ht="16.8">
      <c r="A35" s="79">
        <v>31</v>
      </c>
      <c r="B35" s="364" t="s">
        <v>1245</v>
      </c>
      <c r="C35" s="362"/>
      <c r="D35" s="362"/>
      <c r="E35" s="79" t="s">
        <v>1247</v>
      </c>
      <c r="F35" s="79" t="s">
        <v>1263</v>
      </c>
      <c r="G35" s="362"/>
      <c r="H35" s="366" t="s">
        <v>1250</v>
      </c>
      <c r="I35" s="367">
        <v>6.0000000000000001E-3</v>
      </c>
      <c r="J35" s="368">
        <v>446305.07</v>
      </c>
      <c r="K35" s="369">
        <v>0.75</v>
      </c>
      <c r="L35" s="370">
        <f t="shared" si="3"/>
        <v>1.2219912136247357E-2</v>
      </c>
      <c r="M35" s="371">
        <f t="shared" si="0"/>
        <v>2677.8304200000002</v>
      </c>
      <c r="N35" s="371">
        <f t="shared" si="1"/>
        <v>2008.3728150000002</v>
      </c>
      <c r="O35" s="370">
        <f t="shared" si="2"/>
        <v>4.5000000000000005E-3</v>
      </c>
    </row>
    <row r="36" spans="1:15" ht="16.8">
      <c r="A36" s="79">
        <v>32</v>
      </c>
      <c r="B36" s="364" t="s">
        <v>1246</v>
      </c>
      <c r="C36" s="362"/>
      <c r="D36" s="362"/>
      <c r="E36" s="79" t="s">
        <v>1247</v>
      </c>
      <c r="F36" s="79" t="s">
        <v>1263</v>
      </c>
      <c r="G36" s="362"/>
      <c r="H36" s="366" t="s">
        <v>1262</v>
      </c>
      <c r="I36" s="367">
        <v>8.5000000000000006E-3</v>
      </c>
      <c r="J36" s="368">
        <v>702507.71</v>
      </c>
      <c r="K36" s="369">
        <v>0.5</v>
      </c>
      <c r="L36" s="370">
        <f t="shared" si="3"/>
        <v>1.9234785953106778E-2</v>
      </c>
      <c r="M36" s="371">
        <f t="shared" si="0"/>
        <v>5971.3155349999997</v>
      </c>
      <c r="N36" s="371">
        <f t="shared" si="1"/>
        <v>2985.6577674999999</v>
      </c>
      <c r="O36" s="370">
        <f t="shared" si="2"/>
        <v>4.2500000000000003E-3</v>
      </c>
    </row>
    <row r="37" spans="1:15" ht="16.8">
      <c r="A37" s="79">
        <v>33</v>
      </c>
      <c r="B37" s="364" t="s">
        <v>1264</v>
      </c>
      <c r="C37" s="362"/>
      <c r="D37" s="362"/>
      <c r="E37" s="79" t="s">
        <v>1247</v>
      </c>
      <c r="F37" s="79" t="s">
        <v>1315</v>
      </c>
      <c r="G37" s="362"/>
      <c r="H37" s="366" t="s">
        <v>1252</v>
      </c>
      <c r="I37" s="367">
        <v>0.01</v>
      </c>
      <c r="J37" s="368">
        <v>109747.06999999999</v>
      </c>
      <c r="K37" s="369">
        <v>0.5</v>
      </c>
      <c r="L37" s="370">
        <f t="shared" si="3"/>
        <v>3.0048942814173904E-3</v>
      </c>
      <c r="M37" s="371">
        <f t="shared" si="0"/>
        <v>1097.4706999999999</v>
      </c>
      <c r="N37" s="371">
        <f t="shared" si="1"/>
        <v>548.73534999999993</v>
      </c>
      <c r="O37" s="370">
        <f t="shared" si="2"/>
        <v>5.0000000000000001E-3</v>
      </c>
    </row>
    <row r="38" spans="1:15" ht="16.8">
      <c r="A38" s="79">
        <v>34</v>
      </c>
      <c r="B38" s="364" t="s">
        <v>1265</v>
      </c>
      <c r="C38" s="362"/>
      <c r="D38" s="362"/>
      <c r="E38" s="79" t="s">
        <v>1247</v>
      </c>
      <c r="F38" s="79" t="s">
        <v>1315</v>
      </c>
      <c r="G38" s="362"/>
      <c r="H38" s="366" t="s">
        <v>1256</v>
      </c>
      <c r="I38" s="367">
        <v>0.01</v>
      </c>
      <c r="J38" s="368">
        <v>586241.33000000007</v>
      </c>
      <c r="K38" s="369">
        <v>0.5</v>
      </c>
      <c r="L38" s="370">
        <f t="shared" si="3"/>
        <v>1.605139180524387E-2</v>
      </c>
      <c r="M38" s="371">
        <f t="shared" si="0"/>
        <v>5862.4133000000011</v>
      </c>
      <c r="N38" s="371">
        <f t="shared" si="1"/>
        <v>2931.2066500000005</v>
      </c>
      <c r="O38" s="370">
        <f t="shared" si="2"/>
        <v>5.0000000000000001E-3</v>
      </c>
    </row>
    <row r="39" spans="1:15" ht="16.8">
      <c r="A39" s="79">
        <v>35</v>
      </c>
      <c r="B39" s="364" t="s">
        <v>807</v>
      </c>
      <c r="C39" s="362"/>
      <c r="D39" s="362"/>
      <c r="E39" s="79" t="s">
        <v>1247</v>
      </c>
      <c r="F39" s="79" t="s">
        <v>1315</v>
      </c>
      <c r="G39" s="362"/>
      <c r="H39" s="366" t="s">
        <v>1302</v>
      </c>
      <c r="I39" s="367">
        <v>0.01</v>
      </c>
      <c r="J39" s="368">
        <v>205750.55772099999</v>
      </c>
      <c r="K39" s="369">
        <v>0.5</v>
      </c>
      <c r="L39" s="370">
        <f t="shared" si="3"/>
        <v>5.6334868374551738E-3</v>
      </c>
      <c r="M39" s="371">
        <f t="shared" si="0"/>
        <v>2057.50557721</v>
      </c>
      <c r="N39" s="371">
        <f t="shared" si="1"/>
        <v>1028.752788605</v>
      </c>
      <c r="O39" s="370">
        <f t="shared" si="2"/>
        <v>5.0000000000000001E-3</v>
      </c>
    </row>
    <row r="40" spans="1:15" ht="16.8">
      <c r="A40" s="79">
        <v>36</v>
      </c>
      <c r="B40" s="364" t="s">
        <v>1266</v>
      </c>
      <c r="C40" s="362"/>
      <c r="D40" s="362"/>
      <c r="E40" s="79" t="s">
        <v>1247</v>
      </c>
      <c r="F40" s="79" t="s">
        <v>1315</v>
      </c>
      <c r="G40" s="362"/>
      <c r="H40" s="366" t="s">
        <v>1250</v>
      </c>
      <c r="I40" s="367">
        <v>0.01</v>
      </c>
      <c r="J40" s="368">
        <v>216932.59000000003</v>
      </c>
      <c r="K40" s="369">
        <v>0.75</v>
      </c>
      <c r="L40" s="370">
        <f t="shared" si="3"/>
        <v>5.9396528685828559E-3</v>
      </c>
      <c r="M40" s="371">
        <f t="shared" si="0"/>
        <v>2169.3259000000003</v>
      </c>
      <c r="N40" s="371">
        <f t="shared" si="1"/>
        <v>1626.9944250000003</v>
      </c>
      <c r="O40" s="370">
        <f t="shared" si="2"/>
        <v>7.4999999999999997E-3</v>
      </c>
    </row>
    <row r="41" spans="1:15" ht="16.8">
      <c r="A41" s="79">
        <v>37</v>
      </c>
      <c r="B41" s="364" t="s">
        <v>1267</v>
      </c>
      <c r="C41" s="362"/>
      <c r="D41" s="362"/>
      <c r="E41" s="79" t="s">
        <v>1247</v>
      </c>
      <c r="F41" s="79" t="s">
        <v>1315</v>
      </c>
      <c r="G41" s="362"/>
      <c r="H41" s="366" t="s">
        <v>1250</v>
      </c>
      <c r="I41" s="367">
        <v>0.01</v>
      </c>
      <c r="J41" s="368">
        <v>306156.39358799998</v>
      </c>
      <c r="K41" s="369">
        <v>0.75</v>
      </c>
      <c r="L41" s="370">
        <f t="shared" si="3"/>
        <v>8.3826164681385391E-3</v>
      </c>
      <c r="M41" s="371">
        <f t="shared" si="0"/>
        <v>3061.5639358799999</v>
      </c>
      <c r="N41" s="371">
        <f t="shared" si="1"/>
        <v>2296.1729519099999</v>
      </c>
      <c r="O41" s="370">
        <f t="shared" si="2"/>
        <v>7.4999999999999997E-3</v>
      </c>
    </row>
    <row r="42" spans="1:15" ht="16.8">
      <c r="A42" s="79">
        <v>38</v>
      </c>
      <c r="B42" s="364" t="s">
        <v>1268</v>
      </c>
      <c r="C42" s="362"/>
      <c r="D42" s="362"/>
      <c r="E42" s="79" t="s">
        <v>1247</v>
      </c>
      <c r="F42" s="79" t="s">
        <v>1315</v>
      </c>
      <c r="G42" s="362"/>
      <c r="H42" s="366" t="s">
        <v>1259</v>
      </c>
      <c r="I42" s="367">
        <v>0.01</v>
      </c>
      <c r="J42" s="368">
        <v>562846.90753099998</v>
      </c>
      <c r="K42" s="369">
        <v>0.5</v>
      </c>
      <c r="L42" s="370">
        <f t="shared" si="3"/>
        <v>1.5410848360264785E-2</v>
      </c>
      <c r="M42" s="371">
        <f t="shared" si="0"/>
        <v>5628.4690753099994</v>
      </c>
      <c r="N42" s="371">
        <f t="shared" si="1"/>
        <v>2814.2345376549997</v>
      </c>
      <c r="O42" s="370">
        <f t="shared" si="2"/>
        <v>5.0000000000000001E-3</v>
      </c>
    </row>
    <row r="43" spans="1:15" ht="16.8">
      <c r="A43" s="79">
        <v>39</v>
      </c>
      <c r="B43" s="364" t="s">
        <v>1269</v>
      </c>
      <c r="C43" s="362"/>
      <c r="D43" s="362"/>
      <c r="E43" s="79" t="s">
        <v>1247</v>
      </c>
      <c r="F43" s="79" t="s">
        <v>1315</v>
      </c>
      <c r="G43" s="362"/>
      <c r="H43" s="366" t="s">
        <v>1260</v>
      </c>
      <c r="I43" s="367">
        <v>0.01</v>
      </c>
      <c r="J43" s="368">
        <v>267863.18000000005</v>
      </c>
      <c r="K43" s="369">
        <v>0.5</v>
      </c>
      <c r="L43" s="370">
        <f t="shared" si="3"/>
        <v>7.3341414744309552E-3</v>
      </c>
      <c r="M43" s="371">
        <f t="shared" si="0"/>
        <v>2678.6318000000006</v>
      </c>
      <c r="N43" s="371">
        <f t="shared" si="1"/>
        <v>1339.3159000000003</v>
      </c>
      <c r="O43" s="370">
        <f t="shared" si="2"/>
        <v>5.0000000000000001E-3</v>
      </c>
    </row>
    <row r="44" spans="1:15" ht="16.8">
      <c r="A44" s="79">
        <v>40</v>
      </c>
      <c r="B44" s="364" t="s">
        <v>1270</v>
      </c>
      <c r="C44" s="362"/>
      <c r="D44" s="362"/>
      <c r="E44" s="79" t="s">
        <v>1247</v>
      </c>
      <c r="F44" s="79" t="s">
        <v>1315</v>
      </c>
      <c r="G44" s="362"/>
      <c r="H44" s="366" t="s">
        <v>1303</v>
      </c>
      <c r="I44" s="367">
        <v>0.01</v>
      </c>
      <c r="J44" s="368">
        <v>155123.28</v>
      </c>
      <c r="K44" s="369">
        <v>0.5</v>
      </c>
      <c r="L44" s="370">
        <f t="shared" si="3"/>
        <v>4.2473029757123231E-3</v>
      </c>
      <c r="M44" s="371">
        <f t="shared" si="0"/>
        <v>1551.2328</v>
      </c>
      <c r="N44" s="371">
        <f t="shared" si="1"/>
        <v>775.6164</v>
      </c>
      <c r="O44" s="370">
        <f t="shared" si="2"/>
        <v>5.0000000000000001E-3</v>
      </c>
    </row>
    <row r="45" spans="1:15" ht="16.8">
      <c r="A45" s="79">
        <v>41</v>
      </c>
      <c r="B45" s="364" t="s">
        <v>1271</v>
      </c>
      <c r="C45" s="362"/>
      <c r="D45" s="362"/>
      <c r="E45" s="79" t="s">
        <v>1247</v>
      </c>
      <c r="F45" s="79" t="s">
        <v>1315</v>
      </c>
      <c r="G45" s="362"/>
      <c r="H45" s="366" t="s">
        <v>1252</v>
      </c>
      <c r="I45" s="367">
        <v>0.01</v>
      </c>
      <c r="J45" s="368">
        <v>108749.81</v>
      </c>
      <c r="K45" s="369">
        <v>0.5</v>
      </c>
      <c r="L45" s="370">
        <f t="shared" si="3"/>
        <v>2.9775891253791807E-3</v>
      </c>
      <c r="M45" s="371">
        <f t="shared" si="0"/>
        <v>1087.4981</v>
      </c>
      <c r="N45" s="371">
        <f t="shared" si="1"/>
        <v>543.74905000000001</v>
      </c>
      <c r="O45" s="370">
        <f t="shared" si="2"/>
        <v>5.0000000000000001E-3</v>
      </c>
    </row>
    <row r="46" spans="1:15" ht="16.8">
      <c r="A46" s="79">
        <v>42</v>
      </c>
      <c r="B46" s="364" t="s">
        <v>1272</v>
      </c>
      <c r="C46" s="362"/>
      <c r="D46" s="362"/>
      <c r="E46" s="79" t="s">
        <v>1247</v>
      </c>
      <c r="F46" s="79" t="s">
        <v>1315</v>
      </c>
      <c r="G46" s="362"/>
      <c r="H46" s="366" t="s">
        <v>1304</v>
      </c>
      <c r="I46" s="367">
        <v>0.01</v>
      </c>
      <c r="J46" s="368">
        <v>116529.54</v>
      </c>
      <c r="K46" s="369">
        <v>0.5</v>
      </c>
      <c r="L46" s="370">
        <f t="shared" si="3"/>
        <v>3.1905995154330683E-3</v>
      </c>
      <c r="M46" s="371">
        <f t="shared" si="0"/>
        <v>1165.2954</v>
      </c>
      <c r="N46" s="371">
        <f t="shared" si="1"/>
        <v>582.64769999999999</v>
      </c>
      <c r="O46" s="370">
        <f t="shared" si="2"/>
        <v>5.0000000000000001E-3</v>
      </c>
    </row>
    <row r="47" spans="1:15" ht="16.8">
      <c r="A47" s="79">
        <v>43</v>
      </c>
      <c r="B47" s="364" t="s">
        <v>1273</v>
      </c>
      <c r="C47" s="362"/>
      <c r="D47" s="362"/>
      <c r="E47" s="79" t="s">
        <v>1247</v>
      </c>
      <c r="F47" s="79" t="s">
        <v>1315</v>
      </c>
      <c r="G47" s="362"/>
      <c r="H47" s="366" t="s">
        <v>1305</v>
      </c>
      <c r="I47" s="367">
        <v>0.01</v>
      </c>
      <c r="J47" s="368">
        <v>108075.1</v>
      </c>
      <c r="K47" s="369">
        <v>0.5</v>
      </c>
      <c r="L47" s="370">
        <f t="shared" si="3"/>
        <v>2.959115445666227E-3</v>
      </c>
      <c r="M47" s="371">
        <f t="shared" si="0"/>
        <v>1080.751</v>
      </c>
      <c r="N47" s="371">
        <f t="shared" si="1"/>
        <v>540.37549999999999</v>
      </c>
      <c r="O47" s="370">
        <f t="shared" si="2"/>
        <v>5.0000000000000001E-3</v>
      </c>
    </row>
    <row r="48" spans="1:15" ht="16.8">
      <c r="A48" s="79">
        <v>44</v>
      </c>
      <c r="B48" s="364" t="s">
        <v>776</v>
      </c>
      <c r="C48" s="362"/>
      <c r="D48" s="362"/>
      <c r="E48" s="79" t="s">
        <v>1247</v>
      </c>
      <c r="F48" s="79" t="s">
        <v>1315</v>
      </c>
      <c r="G48" s="362"/>
      <c r="H48" s="366" t="s">
        <v>1251</v>
      </c>
      <c r="I48" s="367">
        <v>0.01</v>
      </c>
      <c r="J48" s="368">
        <v>139411.47</v>
      </c>
      <c r="K48" s="369">
        <v>0.5</v>
      </c>
      <c r="L48" s="370">
        <f t="shared" si="3"/>
        <v>3.8171108255281175E-3</v>
      </c>
      <c r="M48" s="371">
        <f t="shared" si="0"/>
        <v>1394.1147000000001</v>
      </c>
      <c r="N48" s="371">
        <f t="shared" si="1"/>
        <v>697.05735000000004</v>
      </c>
      <c r="O48" s="370">
        <f t="shared" si="2"/>
        <v>5.0000000000000001E-3</v>
      </c>
    </row>
    <row r="49" spans="1:15" ht="16.8">
      <c r="A49" s="79">
        <v>45</v>
      </c>
      <c r="B49" s="364" t="s">
        <v>1274</v>
      </c>
      <c r="C49" s="362"/>
      <c r="D49" s="362"/>
      <c r="E49" s="79" t="s">
        <v>1247</v>
      </c>
      <c r="F49" s="79" t="s">
        <v>1315</v>
      </c>
      <c r="G49" s="362"/>
      <c r="H49" s="366" t="s">
        <v>1260</v>
      </c>
      <c r="I49" s="367">
        <v>0.01</v>
      </c>
      <c r="J49" s="368">
        <v>106646.18</v>
      </c>
      <c r="K49" s="369">
        <v>0.5</v>
      </c>
      <c r="L49" s="370">
        <f t="shared" si="3"/>
        <v>2.9199913621111677E-3</v>
      </c>
      <c r="M49" s="371">
        <f t="shared" si="0"/>
        <v>1066.4618</v>
      </c>
      <c r="N49" s="371">
        <f t="shared" si="1"/>
        <v>533.23090000000002</v>
      </c>
      <c r="O49" s="370">
        <f t="shared" si="2"/>
        <v>5.0000000000000001E-3</v>
      </c>
    </row>
    <row r="50" spans="1:15" ht="16.8">
      <c r="A50" s="79">
        <v>46</v>
      </c>
      <c r="B50" s="364" t="s">
        <v>1275</v>
      </c>
      <c r="C50" s="362"/>
      <c r="D50" s="362"/>
      <c r="E50" s="79" t="s">
        <v>1247</v>
      </c>
      <c r="F50" s="79" t="s">
        <v>1315</v>
      </c>
      <c r="G50" s="362"/>
      <c r="H50" s="366" t="s">
        <v>1260</v>
      </c>
      <c r="I50" s="367">
        <v>0.01</v>
      </c>
      <c r="J50" s="368">
        <v>107104.43</v>
      </c>
      <c r="K50" s="369">
        <v>0.5</v>
      </c>
      <c r="L50" s="370">
        <f t="shared" si="3"/>
        <v>2.9325383285537295E-3</v>
      </c>
      <c r="M50" s="371">
        <f t="shared" si="0"/>
        <v>1071.0443</v>
      </c>
      <c r="N50" s="371">
        <f t="shared" si="1"/>
        <v>535.52215000000001</v>
      </c>
      <c r="O50" s="370">
        <f t="shared" si="2"/>
        <v>5.0000000000000001E-3</v>
      </c>
    </row>
    <row r="51" spans="1:15" ht="16.8">
      <c r="A51" s="79">
        <v>47</v>
      </c>
      <c r="B51" s="364" t="s">
        <v>865</v>
      </c>
      <c r="C51" s="362"/>
      <c r="D51" s="362"/>
      <c r="E51" s="79" t="s">
        <v>1247</v>
      </c>
      <c r="F51" s="79" t="s">
        <v>1315</v>
      </c>
      <c r="G51" s="362"/>
      <c r="H51" s="366" t="s">
        <v>1250</v>
      </c>
      <c r="I51" s="367">
        <v>0</v>
      </c>
      <c r="J51" s="368">
        <v>222.97</v>
      </c>
      <c r="K51" s="369">
        <v>0.75</v>
      </c>
      <c r="L51" s="370">
        <f t="shared" si="3"/>
        <v>6.1049582273826126E-6</v>
      </c>
      <c r="M51" s="371">
        <f t="shared" si="0"/>
        <v>0</v>
      </c>
      <c r="N51" s="371">
        <f t="shared" si="1"/>
        <v>0</v>
      </c>
      <c r="O51" s="370">
        <f t="shared" si="2"/>
        <v>0</v>
      </c>
    </row>
    <row r="52" spans="1:15" ht="16.8">
      <c r="A52" s="79">
        <v>48</v>
      </c>
      <c r="B52" s="364" t="s">
        <v>1276</v>
      </c>
      <c r="C52" s="362"/>
      <c r="D52" s="362"/>
      <c r="E52" s="79" t="s">
        <v>1247</v>
      </c>
      <c r="F52" s="79" t="s">
        <v>1315</v>
      </c>
      <c r="G52" s="362"/>
      <c r="H52" s="366" t="s">
        <v>1304</v>
      </c>
      <c r="I52" s="367">
        <v>6.0000000000000001E-3</v>
      </c>
      <c r="J52" s="368">
        <v>96571</v>
      </c>
      <c r="K52" s="369">
        <v>0.5</v>
      </c>
      <c r="L52" s="370">
        <f t="shared" si="3"/>
        <v>2.6441311430980235E-3</v>
      </c>
      <c r="M52" s="371">
        <f t="shared" si="0"/>
        <v>579.42600000000004</v>
      </c>
      <c r="N52" s="371">
        <f t="shared" si="1"/>
        <v>289.71300000000002</v>
      </c>
      <c r="O52" s="370">
        <f t="shared" si="2"/>
        <v>3.0000000000000001E-3</v>
      </c>
    </row>
    <row r="53" spans="1:15" ht="16.8">
      <c r="A53" s="79">
        <v>49</v>
      </c>
      <c r="B53" s="364" t="s">
        <v>1277</v>
      </c>
      <c r="C53" s="362"/>
      <c r="D53" s="362"/>
      <c r="E53" s="79" t="s">
        <v>1247</v>
      </c>
      <c r="F53" s="79" t="s">
        <v>1315</v>
      </c>
      <c r="G53" s="362"/>
      <c r="H53" s="366" t="s">
        <v>1306</v>
      </c>
      <c r="I53" s="367">
        <v>0.01</v>
      </c>
      <c r="J53" s="368">
        <v>330890.38</v>
      </c>
      <c r="K53" s="369">
        <v>0.5</v>
      </c>
      <c r="L53" s="370">
        <f t="shared" si="3"/>
        <v>9.0598374119512E-3</v>
      </c>
      <c r="M53" s="371">
        <f t="shared" si="0"/>
        <v>3308.9038</v>
      </c>
      <c r="N53" s="371">
        <f t="shared" si="1"/>
        <v>1654.4519</v>
      </c>
      <c r="O53" s="370">
        <f t="shared" si="2"/>
        <v>5.0000000000000001E-3</v>
      </c>
    </row>
    <row r="54" spans="1:15" ht="16.8">
      <c r="A54" s="79">
        <v>50</v>
      </c>
      <c r="B54" s="364" t="s">
        <v>1278</v>
      </c>
      <c r="C54" s="362"/>
      <c r="D54" s="362"/>
      <c r="E54" s="79" t="s">
        <v>1247</v>
      </c>
      <c r="F54" s="79" t="s">
        <v>1315</v>
      </c>
      <c r="G54" s="362"/>
      <c r="H54" s="366" t="s">
        <v>1248</v>
      </c>
      <c r="I54" s="367">
        <v>0.01</v>
      </c>
      <c r="J54" s="368">
        <v>127599.37000000001</v>
      </c>
      <c r="K54" s="369">
        <v>0.5</v>
      </c>
      <c r="L54" s="370">
        <f t="shared" si="3"/>
        <v>3.4936934282205597E-3</v>
      </c>
      <c r="M54" s="371">
        <f t="shared" si="0"/>
        <v>1275.9937000000002</v>
      </c>
      <c r="N54" s="371">
        <f t="shared" si="1"/>
        <v>637.99685000000011</v>
      </c>
      <c r="O54" s="370">
        <f t="shared" si="2"/>
        <v>5.0000000000000001E-3</v>
      </c>
    </row>
    <row r="55" spans="1:15" ht="16.8">
      <c r="A55" s="79">
        <v>51</v>
      </c>
      <c r="B55" s="364" t="s">
        <v>1279</v>
      </c>
      <c r="C55" s="362"/>
      <c r="D55" s="362"/>
      <c r="E55" s="79" t="s">
        <v>1247</v>
      </c>
      <c r="F55" s="79" t="s">
        <v>1315</v>
      </c>
      <c r="G55" s="362"/>
      <c r="H55" s="366" t="s">
        <v>1307</v>
      </c>
      <c r="I55" s="367">
        <v>0.01</v>
      </c>
      <c r="J55" s="368">
        <v>202670.64</v>
      </c>
      <c r="K55" s="369">
        <v>0.5</v>
      </c>
      <c r="L55" s="370">
        <f t="shared" si="3"/>
        <v>5.5491581428752735E-3</v>
      </c>
      <c r="M55" s="371">
        <f t="shared" si="0"/>
        <v>2026.7064000000003</v>
      </c>
      <c r="N55" s="371">
        <f t="shared" si="1"/>
        <v>1013.3532000000001</v>
      </c>
      <c r="O55" s="370">
        <f t="shared" si="2"/>
        <v>5.0000000000000001E-3</v>
      </c>
    </row>
    <row r="56" spans="1:15" ht="16.8">
      <c r="A56" s="79">
        <v>52</v>
      </c>
      <c r="B56" s="364" t="s">
        <v>1280</v>
      </c>
      <c r="C56" s="362"/>
      <c r="D56" s="362"/>
      <c r="E56" s="79" t="s">
        <v>1247</v>
      </c>
      <c r="F56" s="79" t="s">
        <v>1315</v>
      </c>
      <c r="G56" s="362"/>
      <c r="H56" s="366" t="s">
        <v>1248</v>
      </c>
      <c r="I56" s="367">
        <v>0.01</v>
      </c>
      <c r="J56" s="368">
        <v>124100.16</v>
      </c>
      <c r="K56" s="369">
        <v>0.5</v>
      </c>
      <c r="L56" s="370">
        <f t="shared" si="3"/>
        <v>3.3978844365228447E-3</v>
      </c>
      <c r="M56" s="371">
        <f t="shared" si="0"/>
        <v>1241.0016000000001</v>
      </c>
      <c r="N56" s="371">
        <f t="shared" si="1"/>
        <v>620.50080000000003</v>
      </c>
      <c r="O56" s="370">
        <f t="shared" si="2"/>
        <v>5.0000000000000001E-3</v>
      </c>
    </row>
    <row r="57" spans="1:15" ht="16.8">
      <c r="A57" s="79">
        <v>53</v>
      </c>
      <c r="B57" s="364" t="s">
        <v>1281</v>
      </c>
      <c r="C57" s="362"/>
      <c r="D57" s="362"/>
      <c r="E57" s="79" t="s">
        <v>1247</v>
      </c>
      <c r="F57" s="79" t="s">
        <v>1315</v>
      </c>
      <c r="G57" s="362"/>
      <c r="H57" s="366" t="s">
        <v>1256</v>
      </c>
      <c r="I57" s="367">
        <v>0.01</v>
      </c>
      <c r="J57" s="368">
        <v>213601.82</v>
      </c>
      <c r="K57" s="369">
        <v>0.5</v>
      </c>
      <c r="L57" s="370">
        <f t="shared" si="3"/>
        <v>5.8484557940211689E-3</v>
      </c>
      <c r="M57" s="371">
        <f t="shared" si="0"/>
        <v>2136.0182</v>
      </c>
      <c r="N57" s="371">
        <f t="shared" si="1"/>
        <v>1068.0091</v>
      </c>
      <c r="O57" s="370">
        <f t="shared" si="2"/>
        <v>5.0000000000000001E-3</v>
      </c>
    </row>
    <row r="58" spans="1:15" ht="16.8">
      <c r="A58" s="79">
        <v>54</v>
      </c>
      <c r="B58" s="364" t="s">
        <v>1282</v>
      </c>
      <c r="C58" s="362"/>
      <c r="D58" s="362"/>
      <c r="E58" s="79" t="s">
        <v>1247</v>
      </c>
      <c r="F58" s="79" t="s">
        <v>1315</v>
      </c>
      <c r="G58" s="362"/>
      <c r="H58" s="366" t="s">
        <v>1256</v>
      </c>
      <c r="I58" s="367">
        <v>0.01</v>
      </c>
      <c r="J58" s="368">
        <v>229003.96000000002</v>
      </c>
      <c r="K58" s="369">
        <v>0.5</v>
      </c>
      <c r="L58" s="370">
        <f t="shared" si="3"/>
        <v>6.2701691245692194E-3</v>
      </c>
      <c r="M58" s="371">
        <f t="shared" si="0"/>
        <v>2290.0396000000001</v>
      </c>
      <c r="N58" s="371">
        <f t="shared" si="1"/>
        <v>1145.0198</v>
      </c>
      <c r="O58" s="370">
        <f t="shared" si="2"/>
        <v>5.0000000000000001E-3</v>
      </c>
    </row>
    <row r="59" spans="1:15" ht="16.8">
      <c r="A59" s="79">
        <v>55</v>
      </c>
      <c r="B59" s="364" t="s">
        <v>1283</v>
      </c>
      <c r="C59" s="362"/>
      <c r="D59" s="362"/>
      <c r="E59" s="79" t="s">
        <v>1247</v>
      </c>
      <c r="F59" s="79" t="s">
        <v>1315</v>
      </c>
      <c r="G59" s="362"/>
      <c r="H59" s="366" t="s">
        <v>1259</v>
      </c>
      <c r="I59" s="367">
        <v>0.01</v>
      </c>
      <c r="J59" s="368">
        <v>162173.898112</v>
      </c>
      <c r="K59" s="369">
        <v>0.5</v>
      </c>
      <c r="L59" s="370">
        <f t="shared" si="3"/>
        <v>4.4403501526912321E-3</v>
      </c>
      <c r="M59" s="371">
        <f t="shared" si="0"/>
        <v>1621.7389811200001</v>
      </c>
      <c r="N59" s="371">
        <f t="shared" si="1"/>
        <v>810.86949056000003</v>
      </c>
      <c r="O59" s="370">
        <f t="shared" si="2"/>
        <v>5.0000000000000001E-3</v>
      </c>
    </row>
    <row r="60" spans="1:15" ht="16.8">
      <c r="A60" s="79">
        <v>56</v>
      </c>
      <c r="B60" s="364" t="s">
        <v>1284</v>
      </c>
      <c r="C60" s="362"/>
      <c r="D60" s="362"/>
      <c r="E60" s="79" t="s">
        <v>1247</v>
      </c>
      <c r="F60" s="79" t="s">
        <v>1315</v>
      </c>
      <c r="G60" s="362"/>
      <c r="H60" s="366" t="s">
        <v>1307</v>
      </c>
      <c r="I60" s="367">
        <v>0.01</v>
      </c>
      <c r="J60" s="368">
        <v>222258.74000000002</v>
      </c>
      <c r="K60" s="369">
        <v>0.5</v>
      </c>
      <c r="L60" s="370">
        <f t="shared" si="3"/>
        <v>6.0854838021738049E-3</v>
      </c>
      <c r="M60" s="371">
        <f t="shared" si="0"/>
        <v>2222.5874000000003</v>
      </c>
      <c r="N60" s="371">
        <f t="shared" si="1"/>
        <v>1111.2937000000002</v>
      </c>
      <c r="O60" s="370">
        <f t="shared" si="2"/>
        <v>5.0000000000000001E-3</v>
      </c>
    </row>
    <row r="61" spans="1:15" ht="16.8">
      <c r="A61" s="79">
        <v>57</v>
      </c>
      <c r="B61" s="364" t="s">
        <v>1285</v>
      </c>
      <c r="C61" s="362"/>
      <c r="D61" s="362"/>
      <c r="E61" s="79" t="s">
        <v>1247</v>
      </c>
      <c r="F61" s="79" t="s">
        <v>1315</v>
      </c>
      <c r="G61" s="362"/>
      <c r="H61" s="366" t="s">
        <v>1259</v>
      </c>
      <c r="I61" s="367">
        <v>0.01</v>
      </c>
      <c r="J61" s="368">
        <v>0</v>
      </c>
      <c r="K61" s="369">
        <v>0.5</v>
      </c>
      <c r="L61" s="370">
        <f t="shared" si="3"/>
        <v>0</v>
      </c>
      <c r="M61" s="371">
        <f t="shared" si="0"/>
        <v>0</v>
      </c>
      <c r="N61" s="371">
        <f t="shared" si="1"/>
        <v>0</v>
      </c>
      <c r="O61" s="370">
        <f t="shared" si="2"/>
        <v>5.0000000000000001E-3</v>
      </c>
    </row>
    <row r="62" spans="1:15" ht="16.8">
      <c r="A62" s="79">
        <v>58</v>
      </c>
      <c r="B62" s="364" t="s">
        <v>1286</v>
      </c>
      <c r="C62" s="362"/>
      <c r="D62" s="362"/>
      <c r="E62" s="79" t="s">
        <v>1247</v>
      </c>
      <c r="F62" s="79" t="s">
        <v>1315</v>
      </c>
      <c r="G62" s="362"/>
      <c r="H62" s="366" t="s">
        <v>1250</v>
      </c>
      <c r="I62" s="367">
        <v>0</v>
      </c>
      <c r="J62" s="368">
        <v>33235.18</v>
      </c>
      <c r="K62" s="369">
        <v>0.5</v>
      </c>
      <c r="L62" s="370">
        <f t="shared" si="3"/>
        <v>9.099851351282328E-4</v>
      </c>
      <c r="M62" s="371">
        <f t="shared" si="0"/>
        <v>0</v>
      </c>
      <c r="N62" s="371">
        <f t="shared" si="1"/>
        <v>0</v>
      </c>
      <c r="O62" s="370">
        <f t="shared" si="2"/>
        <v>0</v>
      </c>
    </row>
    <row r="63" spans="1:15" ht="16.8">
      <c r="A63" s="79">
        <v>59</v>
      </c>
      <c r="B63" s="364" t="s">
        <v>1287</v>
      </c>
      <c r="C63" s="362"/>
      <c r="D63" s="362"/>
      <c r="E63" s="79" t="s">
        <v>1247</v>
      </c>
      <c r="F63" s="79" t="s">
        <v>1315</v>
      </c>
      <c r="G63" s="362"/>
      <c r="H63" s="366" t="s">
        <v>1308</v>
      </c>
      <c r="I63" s="367">
        <v>0.01</v>
      </c>
      <c r="J63" s="368">
        <v>2278582.0699999998</v>
      </c>
      <c r="K63" s="369">
        <v>0.5</v>
      </c>
      <c r="L63" s="370">
        <f t="shared" si="3"/>
        <v>6.2387982038000646E-2</v>
      </c>
      <c r="M63" s="371">
        <f t="shared" si="0"/>
        <v>22785.8207</v>
      </c>
      <c r="N63" s="371">
        <f t="shared" si="1"/>
        <v>11392.91035</v>
      </c>
      <c r="O63" s="370">
        <f t="shared" si="2"/>
        <v>5.0000000000000001E-3</v>
      </c>
    </row>
    <row r="64" spans="1:15" ht="16.8">
      <c r="A64" s="79">
        <v>60</v>
      </c>
      <c r="B64" s="364" t="s">
        <v>1288</v>
      </c>
      <c r="C64" s="362"/>
      <c r="D64" s="362"/>
      <c r="E64" s="79" t="s">
        <v>1247</v>
      </c>
      <c r="F64" s="79" t="s">
        <v>1315</v>
      </c>
      <c r="G64" s="362"/>
      <c r="H64" s="366" t="s">
        <v>1309</v>
      </c>
      <c r="I64" s="367">
        <v>0.01</v>
      </c>
      <c r="J64" s="368">
        <v>115822</v>
      </c>
      <c r="K64" s="369">
        <v>0.5</v>
      </c>
      <c r="L64" s="370">
        <f t="shared" si="3"/>
        <v>3.1712269444853971E-3</v>
      </c>
      <c r="M64" s="371">
        <f t="shared" si="0"/>
        <v>1158.22</v>
      </c>
      <c r="N64" s="371">
        <f t="shared" si="1"/>
        <v>579.11</v>
      </c>
      <c r="O64" s="370">
        <f t="shared" si="2"/>
        <v>5.0000000000000001E-3</v>
      </c>
    </row>
    <row r="65" spans="1:15" ht="16.8">
      <c r="A65" s="79">
        <v>61</v>
      </c>
      <c r="B65" s="364" t="s">
        <v>1289</v>
      </c>
      <c r="C65" s="362"/>
      <c r="D65" s="362"/>
      <c r="E65" s="79" t="s">
        <v>1247</v>
      </c>
      <c r="F65" s="79" t="s">
        <v>1315</v>
      </c>
      <c r="G65" s="362"/>
      <c r="H65" s="366" t="s">
        <v>1249</v>
      </c>
      <c r="I65" s="367">
        <v>8.0000000000000002E-3</v>
      </c>
      <c r="J65" s="368">
        <v>540250.53</v>
      </c>
      <c r="K65" s="369">
        <v>0.5</v>
      </c>
      <c r="L65" s="370">
        <f t="shared" si="3"/>
        <v>1.479215552752082E-2</v>
      </c>
      <c r="M65" s="371">
        <f t="shared" si="0"/>
        <v>4322.0042400000002</v>
      </c>
      <c r="N65" s="371">
        <f t="shared" si="1"/>
        <v>2161.0021200000001</v>
      </c>
      <c r="O65" s="370">
        <f t="shared" si="2"/>
        <v>4.0000000000000001E-3</v>
      </c>
    </row>
    <row r="66" spans="1:15" ht="16.8">
      <c r="A66" s="79">
        <v>62</v>
      </c>
      <c r="B66" s="364" t="s">
        <v>1290</v>
      </c>
      <c r="C66" s="362"/>
      <c r="D66" s="362"/>
      <c r="E66" s="79" t="s">
        <v>1247</v>
      </c>
      <c r="F66" s="79" t="s">
        <v>1315</v>
      </c>
      <c r="G66" s="362"/>
      <c r="H66" s="366" t="s">
        <v>1260</v>
      </c>
      <c r="I66" s="367">
        <v>0.01</v>
      </c>
      <c r="J66" s="368">
        <v>172911.027585</v>
      </c>
      <c r="K66" s="369">
        <v>0.5</v>
      </c>
      <c r="L66" s="370">
        <f t="shared" si="3"/>
        <v>4.7343346659202033E-3</v>
      </c>
      <c r="M66" s="371">
        <f t="shared" si="0"/>
        <v>1729.1102758500001</v>
      </c>
      <c r="N66" s="371">
        <f t="shared" si="1"/>
        <v>864.55513792500005</v>
      </c>
      <c r="O66" s="370">
        <f t="shared" si="2"/>
        <v>5.0000000000000001E-3</v>
      </c>
    </row>
    <row r="67" spans="1:15" ht="16.8">
      <c r="A67" s="79">
        <v>63</v>
      </c>
      <c r="B67" s="364" t="s">
        <v>1291</v>
      </c>
      <c r="C67" s="362"/>
      <c r="D67" s="362"/>
      <c r="E67" s="79" t="s">
        <v>1247</v>
      </c>
      <c r="F67" s="79" t="s">
        <v>1315</v>
      </c>
      <c r="G67" s="362"/>
      <c r="H67" s="366" t="s">
        <v>1262</v>
      </c>
      <c r="I67" s="367">
        <v>0.01</v>
      </c>
      <c r="J67" s="368">
        <v>355384.18</v>
      </c>
      <c r="K67" s="369">
        <v>0.5</v>
      </c>
      <c r="L67" s="370">
        <f t="shared" si="3"/>
        <v>9.7304820091161301E-3</v>
      </c>
      <c r="M67" s="371">
        <f t="shared" si="0"/>
        <v>3553.8418000000001</v>
      </c>
      <c r="N67" s="371">
        <f t="shared" si="1"/>
        <v>1776.9209000000001</v>
      </c>
      <c r="O67" s="370">
        <f t="shared" si="2"/>
        <v>5.0000000000000001E-3</v>
      </c>
    </row>
    <row r="68" spans="1:15" ht="16.8">
      <c r="A68" s="79">
        <v>64</v>
      </c>
      <c r="B68" s="364" t="s">
        <v>1292</v>
      </c>
      <c r="C68" s="362"/>
      <c r="D68" s="362"/>
      <c r="E68" s="79" t="s">
        <v>1247</v>
      </c>
      <c r="F68" s="79" t="s">
        <v>1315</v>
      </c>
      <c r="G68" s="362"/>
      <c r="H68" s="366" t="s">
        <v>1248</v>
      </c>
      <c r="I68" s="367">
        <v>6.4999999999999997E-3</v>
      </c>
      <c r="J68" s="368">
        <v>731169.41</v>
      </c>
      <c r="K68" s="369">
        <v>0.5</v>
      </c>
      <c r="L68" s="370">
        <f t="shared" si="3"/>
        <v>2.0019548393012475E-2</v>
      </c>
      <c r="M68" s="371">
        <f t="shared" si="0"/>
        <v>4752.601165</v>
      </c>
      <c r="N68" s="371">
        <f t="shared" si="1"/>
        <v>2376.3005825</v>
      </c>
      <c r="O68" s="370">
        <f t="shared" si="2"/>
        <v>3.2499999999999999E-3</v>
      </c>
    </row>
    <row r="69" spans="1:15" ht="16.8">
      <c r="A69" s="79">
        <v>65</v>
      </c>
      <c r="B69" s="364" t="s">
        <v>897</v>
      </c>
      <c r="C69" s="362"/>
      <c r="D69" s="362"/>
      <c r="E69" s="79" t="s">
        <v>1247</v>
      </c>
      <c r="F69" s="79" t="s">
        <v>1315</v>
      </c>
      <c r="G69" s="362"/>
      <c r="H69" s="366" t="s">
        <v>1255</v>
      </c>
      <c r="I69" s="367">
        <v>6.0000000000000001E-3</v>
      </c>
      <c r="J69" s="368">
        <v>358482.73000000004</v>
      </c>
      <c r="K69" s="369">
        <v>0.5</v>
      </c>
      <c r="L69" s="370">
        <f t="shared" si="3"/>
        <v>9.8153208588064762E-3</v>
      </c>
      <c r="M69" s="371">
        <f t="shared" si="0"/>
        <v>2150.8963800000001</v>
      </c>
      <c r="N69" s="371">
        <f t="shared" si="1"/>
        <v>1075.4481900000001</v>
      </c>
      <c r="O69" s="370">
        <f t="shared" si="2"/>
        <v>3.0000000000000001E-3</v>
      </c>
    </row>
    <row r="70" spans="1:15" ht="16.8">
      <c r="A70" s="79">
        <v>66</v>
      </c>
      <c r="B70" s="364" t="s">
        <v>1293</v>
      </c>
      <c r="C70" s="362"/>
      <c r="D70" s="362"/>
      <c r="E70" s="79" t="s">
        <v>1247</v>
      </c>
      <c r="F70" s="79" t="s">
        <v>1315</v>
      </c>
      <c r="G70" s="362"/>
      <c r="H70" s="366" t="s">
        <v>1310</v>
      </c>
      <c r="I70" s="367">
        <v>0.01</v>
      </c>
      <c r="J70" s="368">
        <v>555948.88</v>
      </c>
      <c r="K70" s="369">
        <v>0.5</v>
      </c>
      <c r="L70" s="370">
        <f t="shared" si="3"/>
        <v>1.5221979140512844E-2</v>
      </c>
      <c r="M70" s="371">
        <f t="shared" ref="M70:M88" si="4">J70*I70</f>
        <v>5559.4888000000001</v>
      </c>
      <c r="N70" s="371">
        <f t="shared" ref="N70:N88" si="5">M70*K70</f>
        <v>2779.7444</v>
      </c>
      <c r="O70" s="370">
        <f t="shared" ref="O70:O88" si="6">I70*K70</f>
        <v>5.0000000000000001E-3</v>
      </c>
    </row>
    <row r="71" spans="1:15" ht="16.8">
      <c r="A71" s="79">
        <v>67</v>
      </c>
      <c r="B71" s="364" t="s">
        <v>1294</v>
      </c>
      <c r="C71" s="362"/>
      <c r="D71" s="362"/>
      <c r="E71" s="79" t="s">
        <v>1247</v>
      </c>
      <c r="F71" s="79" t="s">
        <v>1315</v>
      </c>
      <c r="G71" s="362"/>
      <c r="H71" s="366" t="s">
        <v>1309</v>
      </c>
      <c r="I71" s="367">
        <v>0.01</v>
      </c>
      <c r="J71" s="368">
        <v>10148.880000000001</v>
      </c>
      <c r="K71" s="369">
        <v>0.5</v>
      </c>
      <c r="L71" s="370">
        <f t="shared" si="3"/>
        <v>2.778781381114897E-4</v>
      </c>
      <c r="M71" s="371">
        <f t="shared" si="4"/>
        <v>101.48880000000001</v>
      </c>
      <c r="N71" s="371">
        <f t="shared" si="5"/>
        <v>50.744400000000006</v>
      </c>
      <c r="O71" s="370">
        <f t="shared" si="6"/>
        <v>5.0000000000000001E-3</v>
      </c>
    </row>
    <row r="72" spans="1:15" ht="16.8">
      <c r="A72" s="79">
        <v>68</v>
      </c>
      <c r="B72" s="364" t="s">
        <v>1295</v>
      </c>
      <c r="C72" s="362"/>
      <c r="D72" s="362"/>
      <c r="E72" s="79" t="s">
        <v>1247</v>
      </c>
      <c r="F72" s="79" t="s">
        <v>1315</v>
      </c>
      <c r="G72" s="362"/>
      <c r="H72" s="366" t="s">
        <v>1311</v>
      </c>
      <c r="I72" s="367">
        <v>0.01</v>
      </c>
      <c r="J72" s="368">
        <v>53826.869999999995</v>
      </c>
      <c r="K72" s="369">
        <v>0.5</v>
      </c>
      <c r="L72" s="370">
        <f t="shared" ref="L72:L88" si="7">J72/$J$2</f>
        <v>1.4737892669899732E-3</v>
      </c>
      <c r="M72" s="371">
        <f t="shared" si="4"/>
        <v>538.26869999999997</v>
      </c>
      <c r="N72" s="371">
        <f t="shared" si="5"/>
        <v>269.13434999999998</v>
      </c>
      <c r="O72" s="370">
        <f t="shared" si="6"/>
        <v>5.0000000000000001E-3</v>
      </c>
    </row>
    <row r="73" spans="1:15" ht="16.8">
      <c r="A73" s="79">
        <v>69</v>
      </c>
      <c r="B73" s="364" t="s">
        <v>1296</v>
      </c>
      <c r="C73" s="362"/>
      <c r="D73" s="362"/>
      <c r="E73" s="79" t="s">
        <v>1247</v>
      </c>
      <c r="F73" s="79" t="s">
        <v>1315</v>
      </c>
      <c r="G73" s="362"/>
      <c r="H73" s="366" t="s">
        <v>1309</v>
      </c>
      <c r="I73" s="367">
        <v>0.01</v>
      </c>
      <c r="J73" s="368">
        <v>60865.549999999996</v>
      </c>
      <c r="K73" s="369">
        <v>0.5</v>
      </c>
      <c r="L73" s="370">
        <f t="shared" si="7"/>
        <v>1.6665095763406187E-3</v>
      </c>
      <c r="M73" s="371">
        <f t="shared" si="4"/>
        <v>608.65549999999996</v>
      </c>
      <c r="N73" s="371">
        <f t="shared" si="5"/>
        <v>304.32774999999998</v>
      </c>
      <c r="O73" s="370">
        <f t="shared" si="6"/>
        <v>5.0000000000000001E-3</v>
      </c>
    </row>
    <row r="74" spans="1:15" ht="16.8">
      <c r="A74" s="79">
        <v>70</v>
      </c>
      <c r="B74" s="364" t="s">
        <v>1297</v>
      </c>
      <c r="C74" s="362"/>
      <c r="D74" s="362"/>
      <c r="E74" s="79" t="s">
        <v>1247</v>
      </c>
      <c r="F74" s="79" t="s">
        <v>1315</v>
      </c>
      <c r="G74" s="362"/>
      <c r="H74" s="366" t="s">
        <v>1250</v>
      </c>
      <c r="I74" s="367">
        <v>0</v>
      </c>
      <c r="J74" s="368">
        <v>8437.39</v>
      </c>
      <c r="K74" s="369">
        <v>0.75</v>
      </c>
      <c r="L74" s="370">
        <f t="shared" si="7"/>
        <v>2.3101723773662726E-4</v>
      </c>
      <c r="M74" s="371">
        <f t="shared" si="4"/>
        <v>0</v>
      </c>
      <c r="N74" s="371">
        <f t="shared" si="5"/>
        <v>0</v>
      </c>
      <c r="O74" s="370">
        <f t="shared" si="6"/>
        <v>0</v>
      </c>
    </row>
    <row r="75" spans="1:15" ht="16.8">
      <c r="A75" s="79">
        <v>71</v>
      </c>
      <c r="B75" s="364" t="s">
        <v>1298</v>
      </c>
      <c r="C75" s="362"/>
      <c r="D75" s="362"/>
      <c r="E75" s="79" t="s">
        <v>1247</v>
      </c>
      <c r="F75" s="79" t="s">
        <v>1315</v>
      </c>
      <c r="G75" s="362"/>
      <c r="H75" s="366" t="s">
        <v>1312</v>
      </c>
      <c r="I75" s="367">
        <v>0.01</v>
      </c>
      <c r="J75" s="368">
        <v>77701.710000000006</v>
      </c>
      <c r="K75" s="369">
        <v>0.5</v>
      </c>
      <c r="L75" s="370">
        <f t="shared" si="7"/>
        <v>2.1274866293501272E-3</v>
      </c>
      <c r="M75" s="371">
        <f t="shared" si="4"/>
        <v>777.01710000000003</v>
      </c>
      <c r="N75" s="371">
        <f t="shared" si="5"/>
        <v>388.50855000000001</v>
      </c>
      <c r="O75" s="370">
        <f t="shared" si="6"/>
        <v>5.0000000000000001E-3</v>
      </c>
    </row>
    <row r="76" spans="1:15" ht="16.8">
      <c r="A76" s="79">
        <v>72</v>
      </c>
      <c r="B76" s="364" t="s">
        <v>1299</v>
      </c>
      <c r="C76" s="362"/>
      <c r="D76" s="362"/>
      <c r="E76" s="79" t="s">
        <v>1247</v>
      </c>
      <c r="F76" s="79" t="s">
        <v>1315</v>
      </c>
      <c r="G76" s="362"/>
      <c r="H76" s="366" t="s">
        <v>1250</v>
      </c>
      <c r="I76" s="367">
        <v>7.4999999999999997E-3</v>
      </c>
      <c r="J76" s="368">
        <v>108940.36</v>
      </c>
      <c r="K76" s="369">
        <v>0.75</v>
      </c>
      <c r="L76" s="370">
        <f t="shared" si="7"/>
        <v>2.9828064182447133E-3</v>
      </c>
      <c r="M76" s="371">
        <f t="shared" si="4"/>
        <v>817.05269999999996</v>
      </c>
      <c r="N76" s="371">
        <f t="shared" si="5"/>
        <v>612.78952499999991</v>
      </c>
      <c r="O76" s="370">
        <f t="shared" si="6"/>
        <v>5.6249999999999998E-3</v>
      </c>
    </row>
    <row r="77" spans="1:15" ht="16.8">
      <c r="A77" s="79">
        <v>73</v>
      </c>
      <c r="B77" s="364" t="s">
        <v>821</v>
      </c>
      <c r="C77" s="362"/>
      <c r="D77" s="362"/>
      <c r="E77" s="79" t="s">
        <v>1247</v>
      </c>
      <c r="F77" s="79" t="s">
        <v>1315</v>
      </c>
      <c r="G77" s="362"/>
      <c r="H77" s="366" t="s">
        <v>1302</v>
      </c>
      <c r="I77" s="367">
        <v>0.01</v>
      </c>
      <c r="J77" s="368">
        <v>100496.47</v>
      </c>
      <c r="K77" s="369">
        <v>0.5</v>
      </c>
      <c r="L77" s="370">
        <f t="shared" si="7"/>
        <v>2.7516112093528724E-3</v>
      </c>
      <c r="M77" s="371">
        <f t="shared" si="4"/>
        <v>1004.9647</v>
      </c>
      <c r="N77" s="371">
        <f t="shared" si="5"/>
        <v>502.48235</v>
      </c>
      <c r="O77" s="370">
        <f t="shared" si="6"/>
        <v>5.0000000000000001E-3</v>
      </c>
    </row>
    <row r="78" spans="1:15" ht="16.8">
      <c r="A78" s="79">
        <v>74</v>
      </c>
      <c r="B78" s="364" t="s">
        <v>764</v>
      </c>
      <c r="C78" s="362"/>
      <c r="D78" s="362"/>
      <c r="E78" s="79" t="s">
        <v>1247</v>
      </c>
      <c r="F78" s="79" t="s">
        <v>1315</v>
      </c>
      <c r="G78" s="362"/>
      <c r="H78" s="366" t="s">
        <v>1302</v>
      </c>
      <c r="I78" s="367">
        <v>0.01</v>
      </c>
      <c r="J78" s="368">
        <v>103291.93000000001</v>
      </c>
      <c r="K78" s="369">
        <v>0.5</v>
      </c>
      <c r="L78" s="370">
        <f t="shared" si="7"/>
        <v>2.8281514009764947E-3</v>
      </c>
      <c r="M78" s="371">
        <f t="shared" si="4"/>
        <v>1032.9193</v>
      </c>
      <c r="N78" s="371">
        <f t="shared" si="5"/>
        <v>516.45965000000001</v>
      </c>
      <c r="O78" s="370">
        <f t="shared" si="6"/>
        <v>5.0000000000000001E-3</v>
      </c>
    </row>
    <row r="79" spans="1:15" ht="16.8">
      <c r="A79" s="79">
        <v>75</v>
      </c>
      <c r="B79" s="364" t="s">
        <v>965</v>
      </c>
      <c r="C79" s="362"/>
      <c r="D79" s="362"/>
      <c r="E79" s="79" t="s">
        <v>1247</v>
      </c>
      <c r="F79" s="79" t="s">
        <v>1315</v>
      </c>
      <c r="G79" s="362"/>
      <c r="H79" s="366" t="s">
        <v>1313</v>
      </c>
      <c r="I79" s="367">
        <v>0.01</v>
      </c>
      <c r="J79" s="368">
        <v>20938.72</v>
      </c>
      <c r="K79" s="369">
        <v>0.5</v>
      </c>
      <c r="L79" s="370">
        <f t="shared" si="7"/>
        <v>5.7330587493770852E-4</v>
      </c>
      <c r="M79" s="371">
        <f t="shared" si="4"/>
        <v>209.38720000000001</v>
      </c>
      <c r="N79" s="371">
        <f t="shared" si="5"/>
        <v>104.6936</v>
      </c>
      <c r="O79" s="370">
        <f t="shared" si="6"/>
        <v>5.0000000000000001E-3</v>
      </c>
    </row>
    <row r="80" spans="1:15" ht="16.8">
      <c r="A80" s="79">
        <v>76</v>
      </c>
      <c r="B80" s="364" t="s">
        <v>1300</v>
      </c>
      <c r="C80" s="362"/>
      <c r="D80" s="362"/>
      <c r="E80" s="79" t="s">
        <v>1247</v>
      </c>
      <c r="F80" s="79" t="s">
        <v>1315</v>
      </c>
      <c r="G80" s="362"/>
      <c r="H80" s="366" t="s">
        <v>1302</v>
      </c>
      <c r="I80" s="367">
        <v>0.01</v>
      </c>
      <c r="J80" s="368">
        <v>101407.20000000001</v>
      </c>
      <c r="K80" s="369">
        <v>0.5</v>
      </c>
      <c r="L80" s="370">
        <f t="shared" si="7"/>
        <v>2.7765471586125227E-3</v>
      </c>
      <c r="M80" s="371">
        <f t="shared" si="4"/>
        <v>1014.0720000000001</v>
      </c>
      <c r="N80" s="371">
        <f t="shared" si="5"/>
        <v>507.03600000000006</v>
      </c>
      <c r="O80" s="370">
        <f t="shared" si="6"/>
        <v>5.0000000000000001E-3</v>
      </c>
    </row>
    <row r="81" spans="1:15" ht="16.8">
      <c r="A81" s="79">
        <v>77</v>
      </c>
      <c r="B81" s="364" t="s">
        <v>1301</v>
      </c>
      <c r="C81" s="362"/>
      <c r="D81" s="362"/>
      <c r="E81" s="79" t="s">
        <v>1247</v>
      </c>
      <c r="F81" s="79" t="s">
        <v>1315</v>
      </c>
      <c r="G81" s="362"/>
      <c r="H81" s="366" t="s">
        <v>1314</v>
      </c>
      <c r="I81" s="367">
        <v>0.01</v>
      </c>
      <c r="J81" s="368">
        <v>0</v>
      </c>
      <c r="K81" s="369">
        <v>0.5</v>
      </c>
      <c r="L81" s="370">
        <f t="shared" si="7"/>
        <v>0</v>
      </c>
      <c r="M81" s="371">
        <f t="shared" si="4"/>
        <v>0</v>
      </c>
      <c r="N81" s="371">
        <f t="shared" si="5"/>
        <v>0</v>
      </c>
      <c r="O81" s="370">
        <f t="shared" si="6"/>
        <v>5.0000000000000001E-3</v>
      </c>
    </row>
    <row r="82" spans="1:15" ht="16.8">
      <c r="A82" s="79">
        <v>78</v>
      </c>
      <c r="B82" s="364" t="s">
        <v>1318</v>
      </c>
      <c r="C82" s="362" t="s">
        <v>1319</v>
      </c>
      <c r="D82" s="102"/>
      <c r="E82" s="79" t="s">
        <v>1247</v>
      </c>
      <c r="F82" s="79" t="s">
        <v>1332</v>
      </c>
      <c r="G82" s="102"/>
      <c r="H82" s="366" t="s">
        <v>1323</v>
      </c>
      <c r="I82" s="367">
        <v>2.5000000000000001E-3</v>
      </c>
      <c r="J82" s="368">
        <v>1054917.03</v>
      </c>
      <c r="K82" s="369">
        <v>0.5</v>
      </c>
      <c r="L82" s="370">
        <f t="shared" si="7"/>
        <v>2.8883815766715393E-2</v>
      </c>
      <c r="M82" s="371">
        <f t="shared" si="4"/>
        <v>2637.2925749999999</v>
      </c>
      <c r="N82" s="371">
        <f t="shared" si="5"/>
        <v>1318.6462875</v>
      </c>
      <c r="O82" s="370">
        <f t="shared" si="6"/>
        <v>1.25E-3</v>
      </c>
    </row>
    <row r="83" spans="1:15" ht="16.8">
      <c r="A83" s="79">
        <v>79</v>
      </c>
      <c r="B83" s="364" t="s">
        <v>1321</v>
      </c>
      <c r="C83" s="362" t="s">
        <v>1322</v>
      </c>
      <c r="D83" s="102"/>
      <c r="E83" s="79" t="s">
        <v>1247</v>
      </c>
      <c r="F83" s="79" t="s">
        <v>1263</v>
      </c>
      <c r="G83" s="102"/>
      <c r="H83" s="366" t="s">
        <v>1324</v>
      </c>
      <c r="I83" s="367">
        <v>3.0000000000000001E-3</v>
      </c>
      <c r="J83" s="368">
        <v>575387</v>
      </c>
      <c r="K83" s="369">
        <v>0.5</v>
      </c>
      <c r="L83" s="370">
        <f t="shared" si="7"/>
        <v>1.5754198320756155E-2</v>
      </c>
      <c r="M83" s="371">
        <f t="shared" si="4"/>
        <v>1726.1610000000001</v>
      </c>
      <c r="N83" s="371">
        <f t="shared" si="5"/>
        <v>863.08050000000003</v>
      </c>
      <c r="O83" s="370">
        <f t="shared" si="6"/>
        <v>1.5E-3</v>
      </c>
    </row>
    <row r="84" spans="1:15" ht="16.8">
      <c r="A84" s="79">
        <v>80</v>
      </c>
      <c r="B84" s="364" t="s">
        <v>1325</v>
      </c>
      <c r="C84" s="362"/>
      <c r="D84" s="102"/>
      <c r="E84" s="79" t="s">
        <v>1247</v>
      </c>
      <c r="F84" s="79" t="s">
        <v>1263</v>
      </c>
      <c r="G84" s="102"/>
      <c r="H84" s="366" t="s">
        <v>1326</v>
      </c>
      <c r="I84" s="367">
        <v>5.0000000000000001E-3</v>
      </c>
      <c r="J84" s="368">
        <v>102619.12</v>
      </c>
      <c r="K84" s="369">
        <v>0.5</v>
      </c>
      <c r="L84" s="370">
        <f t="shared" si="7"/>
        <v>2.8097297436012183E-3</v>
      </c>
      <c r="M84" s="371">
        <f t="shared" si="4"/>
        <v>513.09559999999999</v>
      </c>
      <c r="N84" s="371">
        <f t="shared" si="5"/>
        <v>256.5478</v>
      </c>
      <c r="O84" s="370">
        <f t="shared" si="6"/>
        <v>2.5000000000000001E-3</v>
      </c>
    </row>
    <row r="85" spans="1:15" ht="16.8">
      <c r="A85" s="79">
        <v>81</v>
      </c>
      <c r="B85" s="364" t="s">
        <v>1327</v>
      </c>
      <c r="C85" s="362"/>
      <c r="D85" s="102"/>
      <c r="E85" s="79" t="s">
        <v>1247</v>
      </c>
      <c r="F85" s="79" t="s">
        <v>1263</v>
      </c>
      <c r="G85" s="102"/>
      <c r="H85" s="366" t="s">
        <v>1326</v>
      </c>
      <c r="I85" s="367">
        <v>5.0000000000000001E-3</v>
      </c>
      <c r="J85" s="368">
        <v>102619.12</v>
      </c>
      <c r="K85" s="369">
        <v>0.5</v>
      </c>
      <c r="L85" s="370">
        <f t="shared" si="7"/>
        <v>2.8097297436012183E-3</v>
      </c>
      <c r="M85" s="371">
        <f t="shared" si="4"/>
        <v>513.09559999999999</v>
      </c>
      <c r="N85" s="371">
        <f t="shared" si="5"/>
        <v>256.5478</v>
      </c>
      <c r="O85" s="370">
        <f t="shared" si="6"/>
        <v>2.5000000000000001E-3</v>
      </c>
    </row>
    <row r="86" spans="1:15" ht="16.8">
      <c r="A86" s="79">
        <v>82</v>
      </c>
      <c r="B86" s="364" t="s">
        <v>1328</v>
      </c>
      <c r="C86" s="362" t="s">
        <v>1329</v>
      </c>
      <c r="D86" s="102"/>
      <c r="E86" s="79" t="s">
        <v>1247</v>
      </c>
      <c r="F86" s="79" t="s">
        <v>1263</v>
      </c>
      <c r="G86" s="102"/>
      <c r="H86" s="366" t="s">
        <v>1326</v>
      </c>
      <c r="I86" s="367">
        <v>4.0000000000000001E-3</v>
      </c>
      <c r="J86" s="368">
        <v>2102871.16</v>
      </c>
      <c r="K86" s="369">
        <v>0.5</v>
      </c>
      <c r="L86" s="370">
        <f t="shared" si="7"/>
        <v>5.7576986093948151E-2</v>
      </c>
      <c r="M86" s="371">
        <f t="shared" si="4"/>
        <v>8411.4846400000006</v>
      </c>
      <c r="N86" s="371">
        <f t="shared" si="5"/>
        <v>4205.7423200000003</v>
      </c>
      <c r="O86" s="370">
        <f t="shared" si="6"/>
        <v>2E-3</v>
      </c>
    </row>
    <row r="87" spans="1:15" ht="16.8">
      <c r="A87" s="79">
        <v>83</v>
      </c>
      <c r="B87" s="364" t="s">
        <v>1330</v>
      </c>
      <c r="C87" s="102"/>
      <c r="D87" s="102"/>
      <c r="E87" s="79" t="s">
        <v>1247</v>
      </c>
      <c r="F87" s="79" t="s">
        <v>1263</v>
      </c>
      <c r="G87" s="102"/>
      <c r="H87" s="366" t="s">
        <v>1326</v>
      </c>
      <c r="I87" s="373">
        <v>7.0000000000000001E-3</v>
      </c>
      <c r="J87" s="368">
        <v>1104370.56</v>
      </c>
      <c r="K87" s="369">
        <v>0.5</v>
      </c>
      <c r="L87" s="370">
        <f t="shared" si="7"/>
        <v>3.0237862207252744E-2</v>
      </c>
      <c r="M87" s="371">
        <f t="shared" si="4"/>
        <v>7730.5939200000003</v>
      </c>
      <c r="N87" s="371">
        <f t="shared" si="5"/>
        <v>3865.2969600000001</v>
      </c>
      <c r="O87" s="370">
        <f t="shared" si="6"/>
        <v>3.5000000000000001E-3</v>
      </c>
    </row>
    <row r="88" spans="1:15" ht="16.8">
      <c r="A88" s="79">
        <v>84</v>
      </c>
      <c r="B88" s="364" t="s">
        <v>1331</v>
      </c>
      <c r="C88" s="102"/>
      <c r="D88" s="102"/>
      <c r="E88" s="79" t="s">
        <v>1247</v>
      </c>
      <c r="F88" s="79" t="s">
        <v>1263</v>
      </c>
      <c r="G88" s="102"/>
      <c r="H88" s="366" t="s">
        <v>1326</v>
      </c>
      <c r="I88" s="373">
        <v>4.0000000000000001E-3</v>
      </c>
      <c r="J88" s="368">
        <v>222664.09</v>
      </c>
      <c r="K88" s="369">
        <v>0.5</v>
      </c>
      <c r="L88" s="370">
        <f t="shared" si="7"/>
        <v>6.0965823572147037E-3</v>
      </c>
      <c r="M88" s="371">
        <f t="shared" si="4"/>
        <v>890.65635999999995</v>
      </c>
      <c r="N88" s="371">
        <f t="shared" si="5"/>
        <v>445.32817999999997</v>
      </c>
      <c r="O88" s="370">
        <f t="shared" si="6"/>
        <v>2E-3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AF52-8C1B-4380-A5A3-36CD65EBEB0C}">
  <dimension ref="A1:K10"/>
  <sheetViews>
    <sheetView showGridLines="0" workbookViewId="0">
      <selection sqref="A1:K10"/>
    </sheetView>
  </sheetViews>
  <sheetFormatPr defaultRowHeight="14.4"/>
  <cols>
    <col min="2" max="2" width="16.21875" bestFit="1" customWidth="1"/>
    <col min="3" max="3" width="17.44140625" bestFit="1" customWidth="1"/>
    <col min="4" max="4" width="11.5546875" customWidth="1"/>
    <col min="6" max="6" width="14.109375" bestFit="1" customWidth="1"/>
    <col min="7" max="7" width="15" bestFit="1" customWidth="1"/>
    <col min="9" max="9" width="20.109375" bestFit="1" customWidth="1"/>
    <col min="10" max="10" width="17.44140625" bestFit="1" customWidth="1"/>
  </cols>
  <sheetData>
    <row r="1" spans="1:11">
      <c r="A1" s="68" t="s">
        <v>1217</v>
      </c>
    </row>
    <row r="2" spans="1:11" ht="16.8">
      <c r="B2" s="341" t="s">
        <v>1199</v>
      </c>
      <c r="C2" s="341" t="s">
        <v>1216</v>
      </c>
      <c r="D2" s="341"/>
      <c r="E2" s="341"/>
      <c r="F2" s="341" t="s">
        <v>1200</v>
      </c>
      <c r="G2" s="341"/>
      <c r="H2" s="341"/>
      <c r="I2" s="341" t="s">
        <v>1201</v>
      </c>
      <c r="J2" s="341"/>
      <c r="K2" s="341"/>
    </row>
    <row r="3" spans="1:11" ht="16.8">
      <c r="B3" s="342" t="s">
        <v>1202</v>
      </c>
      <c r="C3" s="343" t="s">
        <v>1203</v>
      </c>
      <c r="D3" s="343" t="s">
        <v>1204</v>
      </c>
      <c r="E3" s="341"/>
      <c r="F3" s="344" t="s">
        <v>1205</v>
      </c>
      <c r="G3" s="344" t="s">
        <v>1206</v>
      </c>
      <c r="H3" s="341"/>
      <c r="I3" s="345" t="s">
        <v>1202</v>
      </c>
      <c r="J3" s="345" t="s">
        <v>1203</v>
      </c>
      <c r="K3" s="345" t="s">
        <v>1204</v>
      </c>
    </row>
    <row r="4" spans="1:11" ht="16.8">
      <c r="B4" s="346" t="s">
        <v>1207</v>
      </c>
      <c r="C4" s="347">
        <f>2155238.5+1142.97</f>
        <v>2156381.4700000002</v>
      </c>
      <c r="D4" s="348">
        <f>C4/$C$10</f>
        <v>0.48180272942340419</v>
      </c>
      <c r="E4" s="341"/>
      <c r="F4" s="349">
        <f>J4-C4</f>
        <v>529009.87999999989</v>
      </c>
      <c r="H4" s="341"/>
      <c r="I4" s="350" t="s">
        <v>1207</v>
      </c>
      <c r="J4" s="351">
        <f>$C$10*K4</f>
        <v>2685391.35</v>
      </c>
      <c r="K4" s="352">
        <v>0.6</v>
      </c>
    </row>
    <row r="5" spans="1:11" ht="16.8">
      <c r="B5" s="353" t="s">
        <v>1208</v>
      </c>
      <c r="C5" s="347">
        <f>1173063.04+93363.1</f>
        <v>1266426.1400000001</v>
      </c>
      <c r="D5" s="348">
        <f t="shared" ref="D5:D9" si="0">C5/$C$10</f>
        <v>0.28295901228698012</v>
      </c>
      <c r="E5" s="341"/>
      <c r="G5" s="354">
        <f>J5-C5</f>
        <v>-595078.30250000011</v>
      </c>
      <c r="H5" s="341"/>
      <c r="I5" s="353" t="s">
        <v>1208</v>
      </c>
      <c r="J5" s="351">
        <f t="shared" ref="J5:J9" si="1">$C$10*K5</f>
        <v>671347.83750000002</v>
      </c>
      <c r="K5" s="355">
        <v>0.15</v>
      </c>
    </row>
    <row r="6" spans="1:11" ht="16.8">
      <c r="B6" s="353" t="s">
        <v>1209</v>
      </c>
      <c r="C6" s="347">
        <v>289276.45</v>
      </c>
      <c r="D6" s="348">
        <f t="shared" si="0"/>
        <v>6.463336153965045E-2</v>
      </c>
      <c r="E6" s="341"/>
      <c r="F6" s="354">
        <f>J6-C6</f>
        <v>158288.77500000002</v>
      </c>
      <c r="G6" s="356"/>
      <c r="H6" s="341"/>
      <c r="I6" s="353" t="s">
        <v>1209</v>
      </c>
      <c r="J6" s="351">
        <f t="shared" si="1"/>
        <v>447565.22500000003</v>
      </c>
      <c r="K6" s="355">
        <v>0.1</v>
      </c>
    </row>
    <row r="7" spans="1:11" ht="16.8">
      <c r="B7" s="353" t="s">
        <v>1210</v>
      </c>
      <c r="C7" s="347">
        <v>0</v>
      </c>
      <c r="D7" s="348">
        <f t="shared" si="0"/>
        <v>0</v>
      </c>
      <c r="E7" s="341"/>
      <c r="F7" s="354">
        <f>J7-C7</f>
        <v>223782.61250000002</v>
      </c>
      <c r="G7" s="1"/>
      <c r="H7" s="341"/>
      <c r="I7" s="353" t="s">
        <v>1210</v>
      </c>
      <c r="J7" s="351">
        <f t="shared" si="1"/>
        <v>223782.61250000002</v>
      </c>
      <c r="K7" s="355">
        <v>0.05</v>
      </c>
    </row>
    <row r="8" spans="1:11" ht="24">
      <c r="B8" s="353" t="s">
        <v>1214</v>
      </c>
      <c r="C8" s="347">
        <f>103606.67</f>
        <v>103606.67</v>
      </c>
      <c r="D8" s="348">
        <f t="shared" si="0"/>
        <v>2.3148954434518455E-2</v>
      </c>
      <c r="E8" s="341"/>
      <c r="F8" s="354">
        <f>J8-C8</f>
        <v>120175.94250000002</v>
      </c>
      <c r="H8" s="341"/>
      <c r="I8" s="353" t="s">
        <v>1211</v>
      </c>
      <c r="J8" s="351">
        <f t="shared" si="1"/>
        <v>223782.61250000002</v>
      </c>
      <c r="K8" s="355">
        <v>0.05</v>
      </c>
    </row>
    <row r="9" spans="1:11" ht="16.8">
      <c r="B9" s="353" t="s">
        <v>1212</v>
      </c>
      <c r="C9" s="347">
        <f>659961.52</f>
        <v>659961.52</v>
      </c>
      <c r="D9" s="348">
        <f t="shared" si="0"/>
        <v>0.14745594231544687</v>
      </c>
      <c r="E9" s="341"/>
      <c r="G9" s="354">
        <f>J9-C9</f>
        <v>-436178.90749999997</v>
      </c>
      <c r="H9" s="341"/>
      <c r="I9" s="353" t="s">
        <v>1212</v>
      </c>
      <c r="J9" s="351">
        <f t="shared" si="1"/>
        <v>223782.61250000002</v>
      </c>
      <c r="K9" s="355">
        <v>0.05</v>
      </c>
    </row>
    <row r="10" spans="1:11" ht="16.8">
      <c r="B10" s="357" t="s">
        <v>1213</v>
      </c>
      <c r="C10" s="358">
        <f>SUM(C4:C9)</f>
        <v>4475652.25</v>
      </c>
      <c r="D10" s="359">
        <v>1</v>
      </c>
      <c r="E10" s="341"/>
      <c r="F10" s="360">
        <f>SUM(F4:F9)</f>
        <v>1031257.21</v>
      </c>
      <c r="G10" s="360">
        <f>SUM(G4:G9)</f>
        <v>-1031257.2100000001</v>
      </c>
      <c r="H10" s="341"/>
      <c r="I10" s="357" t="s">
        <v>1213</v>
      </c>
      <c r="J10" s="358">
        <f>C10</f>
        <v>4475652.25</v>
      </c>
      <c r="K10" s="359">
        <f>SUM(K4:K9)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BCD1-0C93-424D-850C-0691352740D9}">
  <dimension ref="A1:K26"/>
  <sheetViews>
    <sheetView showGridLines="0" workbookViewId="0">
      <selection activeCell="N20" sqref="N20"/>
    </sheetView>
  </sheetViews>
  <sheetFormatPr defaultRowHeight="14.4"/>
  <cols>
    <col min="2" max="2" width="16.21875" bestFit="1" customWidth="1"/>
    <col min="3" max="3" width="17.109375" bestFit="1" customWidth="1"/>
    <col min="6" max="6" width="14.109375" customWidth="1"/>
    <col min="7" max="7" width="13.5546875" bestFit="1" customWidth="1"/>
    <col min="10" max="10" width="17.109375" bestFit="1" customWidth="1"/>
  </cols>
  <sheetData>
    <row r="1" spans="1:11" ht="16.8">
      <c r="A1" s="69" t="s">
        <v>1215</v>
      </c>
      <c r="B1" s="69" t="s">
        <v>1347</v>
      </c>
    </row>
    <row r="2" spans="1:11" ht="16.8">
      <c r="B2" s="341" t="s">
        <v>1199</v>
      </c>
      <c r="C2" s="341" t="s">
        <v>1216</v>
      </c>
      <c r="D2" s="341"/>
      <c r="E2" s="341"/>
      <c r="F2" s="341" t="s">
        <v>1200</v>
      </c>
      <c r="G2" s="341"/>
      <c r="H2" s="341"/>
      <c r="I2" s="341" t="s">
        <v>1201</v>
      </c>
      <c r="J2" s="341"/>
      <c r="K2" s="341"/>
    </row>
    <row r="3" spans="1:11" ht="16.8">
      <c r="B3" s="342" t="s">
        <v>1202</v>
      </c>
      <c r="C3" s="343" t="s">
        <v>1203</v>
      </c>
      <c r="D3" s="343" t="s">
        <v>1204</v>
      </c>
      <c r="E3" s="341"/>
      <c r="F3" s="344" t="s">
        <v>1205</v>
      </c>
      <c r="G3" s="344" t="s">
        <v>1206</v>
      </c>
      <c r="H3" s="341"/>
      <c r="I3" s="345" t="s">
        <v>1202</v>
      </c>
      <c r="J3" s="345" t="s">
        <v>1203</v>
      </c>
      <c r="K3" s="345" t="s">
        <v>1204</v>
      </c>
    </row>
    <row r="4" spans="1:11" ht="16.8">
      <c r="B4" s="346" t="s">
        <v>1207</v>
      </c>
      <c r="C4" s="347">
        <v>2027941.16</v>
      </c>
      <c r="D4" s="348">
        <f>C4/$C$10</f>
        <v>0.91635642229161329</v>
      </c>
      <c r="E4" s="341"/>
      <c r="F4" s="349">
        <f>J4-C4</f>
        <v>185107.2899999998</v>
      </c>
      <c r="H4" s="341"/>
      <c r="I4" s="350" t="s">
        <v>1207</v>
      </c>
      <c r="J4" s="351">
        <f>$C$10*K4</f>
        <v>2213048.4499999997</v>
      </c>
      <c r="K4" s="352">
        <v>1</v>
      </c>
    </row>
    <row r="5" spans="1:11" ht="24">
      <c r="B5" s="353" t="s">
        <v>1208</v>
      </c>
      <c r="C5" s="347">
        <v>37967.379999999997</v>
      </c>
      <c r="D5" s="348">
        <f t="shared" ref="D5:D9" si="0">C5/$C$10</f>
        <v>1.7156144954711679E-2</v>
      </c>
      <c r="E5" s="341"/>
      <c r="F5" s="356"/>
      <c r="G5" s="354">
        <f>J5-C5</f>
        <v>-37967.379999999997</v>
      </c>
      <c r="H5" s="341"/>
      <c r="I5" s="353" t="s">
        <v>1208</v>
      </c>
      <c r="J5" s="351">
        <f t="shared" ref="J5:J9" si="1">$C$10*K5</f>
        <v>0</v>
      </c>
      <c r="K5" s="355">
        <v>0</v>
      </c>
    </row>
    <row r="6" spans="1:11" ht="16.8">
      <c r="B6" s="353" t="s">
        <v>1209</v>
      </c>
      <c r="C6" s="347">
        <v>147139.91</v>
      </c>
      <c r="D6" s="348">
        <f t="shared" si="0"/>
        <v>6.6487432753675149E-2</v>
      </c>
      <c r="E6" s="341"/>
      <c r="G6" s="354">
        <f>J6-C6</f>
        <v>-147139.91</v>
      </c>
      <c r="H6" s="341"/>
      <c r="I6" s="353" t="s">
        <v>1209</v>
      </c>
      <c r="J6" s="351">
        <f t="shared" si="1"/>
        <v>0</v>
      </c>
      <c r="K6" s="355">
        <v>0</v>
      </c>
    </row>
    <row r="7" spans="1:11" ht="24">
      <c r="B7" s="353" t="s">
        <v>1210</v>
      </c>
      <c r="C7" s="347">
        <v>0</v>
      </c>
      <c r="D7" s="348">
        <f t="shared" si="0"/>
        <v>0</v>
      </c>
      <c r="E7" s="341"/>
      <c r="F7" s="354">
        <f>J7-C7</f>
        <v>0</v>
      </c>
      <c r="G7" s="1"/>
      <c r="H7" s="341"/>
      <c r="I7" s="353" t="s">
        <v>1210</v>
      </c>
      <c r="J7" s="351">
        <f t="shared" si="1"/>
        <v>0</v>
      </c>
      <c r="K7" s="355">
        <v>0</v>
      </c>
    </row>
    <row r="8" spans="1:11" ht="24">
      <c r="B8" s="353" t="s">
        <v>1214</v>
      </c>
      <c r="C8" s="347">
        <v>0</v>
      </c>
      <c r="D8" s="348">
        <f t="shared" si="0"/>
        <v>0</v>
      </c>
      <c r="E8" s="341"/>
      <c r="F8" s="354">
        <f>J8-C8</f>
        <v>0</v>
      </c>
      <c r="H8" s="341"/>
      <c r="I8" s="353" t="s">
        <v>1211</v>
      </c>
      <c r="J8" s="351">
        <f t="shared" si="1"/>
        <v>0</v>
      </c>
      <c r="K8" s="355">
        <v>0</v>
      </c>
    </row>
    <row r="9" spans="1:11" ht="24">
      <c r="B9" s="353" t="s">
        <v>1212</v>
      </c>
      <c r="C9" s="347">
        <v>0</v>
      </c>
      <c r="D9" s="348">
        <f t="shared" si="0"/>
        <v>0</v>
      </c>
      <c r="E9" s="341"/>
      <c r="G9" s="354">
        <f>J9-C9</f>
        <v>0</v>
      </c>
      <c r="H9" s="341"/>
      <c r="I9" s="353" t="s">
        <v>1212</v>
      </c>
      <c r="J9" s="351">
        <f t="shared" si="1"/>
        <v>0</v>
      </c>
      <c r="K9" s="355">
        <v>0</v>
      </c>
    </row>
    <row r="10" spans="1:11" ht="24">
      <c r="B10" s="357" t="s">
        <v>1213</v>
      </c>
      <c r="C10" s="358">
        <f>SUM(C4:C9)</f>
        <v>2213048.4499999997</v>
      </c>
      <c r="D10" s="359">
        <v>1</v>
      </c>
      <c r="E10" s="341"/>
      <c r="F10" s="360">
        <f>SUM(F4:F9)</f>
        <v>185107.2899999998</v>
      </c>
      <c r="G10" s="360">
        <f>SUM(G4:G9)</f>
        <v>-185107.29</v>
      </c>
      <c r="H10" s="341"/>
      <c r="I10" s="357" t="s">
        <v>1213</v>
      </c>
      <c r="J10" s="358">
        <f>C10</f>
        <v>2213048.4499999997</v>
      </c>
      <c r="K10" s="359">
        <f>SUM(K4:K9)</f>
        <v>1</v>
      </c>
    </row>
    <row r="14" spans="1:11" ht="16.8">
      <c r="A14" s="69" t="s">
        <v>1215</v>
      </c>
      <c r="B14" s="69" t="s">
        <v>1348</v>
      </c>
    </row>
    <row r="15" spans="1:11" ht="16.8">
      <c r="B15" s="341" t="s">
        <v>1199</v>
      </c>
      <c r="C15" s="341" t="s">
        <v>1216</v>
      </c>
      <c r="D15" s="341"/>
      <c r="E15" s="341"/>
      <c r="F15" s="341" t="s">
        <v>1200</v>
      </c>
      <c r="G15" s="341"/>
      <c r="H15" s="341"/>
      <c r="I15" s="341" t="s">
        <v>1201</v>
      </c>
      <c r="J15" s="341"/>
      <c r="K15" s="341"/>
    </row>
    <row r="16" spans="1:11" ht="16.8">
      <c r="B16" s="342" t="s">
        <v>1202</v>
      </c>
      <c r="C16" s="343" t="s">
        <v>1203</v>
      </c>
      <c r="D16" s="343" t="s">
        <v>1204</v>
      </c>
      <c r="E16" s="341"/>
      <c r="F16" s="344" t="s">
        <v>1205</v>
      </c>
      <c r="G16" s="344" t="s">
        <v>1206</v>
      </c>
      <c r="H16" s="341"/>
      <c r="I16" s="345" t="s">
        <v>1202</v>
      </c>
      <c r="J16" s="345" t="s">
        <v>1203</v>
      </c>
      <c r="K16" s="345" t="s">
        <v>1204</v>
      </c>
    </row>
    <row r="17" spans="2:11" ht="16.8">
      <c r="B17" s="346" t="s">
        <v>1207</v>
      </c>
      <c r="C17" s="347">
        <v>1819583.61</v>
      </c>
      <c r="D17" s="348">
        <f>C17/$C$10</f>
        <v>0.82220685679068628</v>
      </c>
      <c r="E17" s="341"/>
      <c r="F17" s="349">
        <f>J17-C17</f>
        <v>100794.6100000001</v>
      </c>
      <c r="H17" s="341"/>
      <c r="I17" s="350" t="s">
        <v>1207</v>
      </c>
      <c r="J17" s="351">
        <f>$C$23*K17</f>
        <v>1920378.2200000002</v>
      </c>
      <c r="K17" s="352">
        <v>1</v>
      </c>
    </row>
    <row r="18" spans="2:11" ht="24">
      <c r="B18" s="353" t="s">
        <v>1208</v>
      </c>
      <c r="C18" s="347">
        <v>100794.61</v>
      </c>
      <c r="D18" s="348">
        <f t="shared" ref="D18:D22" si="2">C18/$C$10</f>
        <v>4.5545595714364055E-2</v>
      </c>
      <c r="E18" s="341"/>
      <c r="G18" s="354">
        <f>J18-C18</f>
        <v>-100794.61</v>
      </c>
      <c r="H18" s="341"/>
      <c r="I18" s="353" t="s">
        <v>1208</v>
      </c>
      <c r="J18" s="351">
        <f t="shared" ref="J18:J22" si="3">$C$23*K18</f>
        <v>0</v>
      </c>
      <c r="K18" s="355">
        <v>0</v>
      </c>
    </row>
    <row r="19" spans="2:11" ht="16.8">
      <c r="B19" s="353" t="s">
        <v>1209</v>
      </c>
      <c r="C19" s="347">
        <v>0</v>
      </c>
      <c r="D19" s="348">
        <f t="shared" si="2"/>
        <v>0</v>
      </c>
      <c r="E19" s="341"/>
      <c r="F19" s="354">
        <f>J19-C19</f>
        <v>0</v>
      </c>
      <c r="G19" s="356"/>
      <c r="H19" s="341"/>
      <c r="I19" s="353" t="s">
        <v>1209</v>
      </c>
      <c r="J19" s="351">
        <f t="shared" si="3"/>
        <v>0</v>
      </c>
      <c r="K19" s="355">
        <v>0</v>
      </c>
    </row>
    <row r="20" spans="2:11" ht="24">
      <c r="B20" s="353" t="s">
        <v>1210</v>
      </c>
      <c r="C20" s="347">
        <v>0</v>
      </c>
      <c r="D20" s="348">
        <f t="shared" si="2"/>
        <v>0</v>
      </c>
      <c r="E20" s="341"/>
      <c r="F20" s="354">
        <f>J20-C20</f>
        <v>0</v>
      </c>
      <c r="G20" s="1"/>
      <c r="H20" s="341"/>
      <c r="I20" s="353" t="s">
        <v>1210</v>
      </c>
      <c r="J20" s="351">
        <f t="shared" si="3"/>
        <v>0</v>
      </c>
      <c r="K20" s="355">
        <v>0</v>
      </c>
    </row>
    <row r="21" spans="2:11" ht="24">
      <c r="B21" s="353" t="s">
        <v>1214</v>
      </c>
      <c r="C21" s="347">
        <v>0</v>
      </c>
      <c r="D21" s="348">
        <f t="shared" si="2"/>
        <v>0</v>
      </c>
      <c r="E21" s="341"/>
      <c r="F21" s="354">
        <f>J21-C21</f>
        <v>0</v>
      </c>
      <c r="H21" s="341"/>
      <c r="I21" s="353" t="s">
        <v>1211</v>
      </c>
      <c r="J21" s="351">
        <f t="shared" si="3"/>
        <v>0</v>
      </c>
      <c r="K21" s="355">
        <v>0</v>
      </c>
    </row>
    <row r="22" spans="2:11" ht="24">
      <c r="B22" s="353" t="s">
        <v>1212</v>
      </c>
      <c r="C22" s="347">
        <v>0</v>
      </c>
      <c r="D22" s="348">
        <f t="shared" si="2"/>
        <v>0</v>
      </c>
      <c r="E22" s="341"/>
      <c r="G22" s="354">
        <f>J22-C22</f>
        <v>0</v>
      </c>
      <c r="H22" s="341"/>
      <c r="I22" s="353" t="s">
        <v>1212</v>
      </c>
      <c r="J22" s="351">
        <f t="shared" si="3"/>
        <v>0</v>
      </c>
      <c r="K22" s="355">
        <v>0</v>
      </c>
    </row>
    <row r="23" spans="2:11" ht="24">
      <c r="B23" s="357" t="s">
        <v>1213</v>
      </c>
      <c r="C23" s="358">
        <f>SUM(C17:C22)</f>
        <v>1920378.2200000002</v>
      </c>
      <c r="D23" s="359">
        <v>1</v>
      </c>
      <c r="E23" s="341"/>
      <c r="F23" s="360">
        <f>SUM(F17:F22)</f>
        <v>100794.6100000001</v>
      </c>
      <c r="G23" s="360">
        <f>SUM(G17:G22)</f>
        <v>-100794.61</v>
      </c>
      <c r="H23" s="341"/>
      <c r="I23" s="357" t="s">
        <v>1213</v>
      </c>
      <c r="J23" s="358">
        <f>C23</f>
        <v>1920378.2200000002</v>
      </c>
      <c r="K23" s="359">
        <f>SUM(K17:K22)</f>
        <v>1</v>
      </c>
    </row>
    <row r="26" spans="2:11">
      <c r="B26" s="384" t="s">
        <v>1349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Carteiras Offshore</vt:lpstr>
      <vt:lpstr>Infos Macro</vt:lpstr>
      <vt:lpstr>Carteiras Brasil</vt:lpstr>
      <vt:lpstr>PL AVIN1</vt:lpstr>
      <vt:lpstr>PL_ONSHORE</vt:lpstr>
      <vt:lpstr>PL SWM ONSHORE</vt:lpstr>
      <vt:lpstr>pl swm offs</vt:lpstr>
      <vt:lpstr>MARCO ASSAN</vt:lpstr>
      <vt:lpstr>Gabriel e Nova Malha</vt:lpstr>
      <vt:lpstr>Total</vt:lpstr>
      <vt:lpstr>Veiculos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Meyer</dc:creator>
  <cp:lastModifiedBy>Pedro Augusto Bernardes Duarte</cp:lastModifiedBy>
  <dcterms:created xsi:type="dcterms:W3CDTF">2025-07-29T12:31:12Z</dcterms:created>
  <dcterms:modified xsi:type="dcterms:W3CDTF">2025-08-01T17:54:04Z</dcterms:modified>
</cp:coreProperties>
</file>