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30" windowWidth="21795" windowHeight="7965"/>
  </bookViews>
  <sheets>
    <sheet name="techcrunch-Status" sheetId="1" r:id="rId1"/>
  </sheets>
  <calcPr calcId="0"/>
</workbook>
</file>

<file path=xl/calcChain.xml><?xml version="1.0" encoding="utf-8"?>
<calcChain xmlns="http://schemas.openxmlformats.org/spreadsheetml/2006/main">
  <c r="A2" i="1" l="1"/>
  <c r="B2" i="1"/>
  <c r="B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B51" i="1"/>
  <c r="A52" i="1"/>
  <c r="B52" i="1"/>
  <c r="A53" i="1"/>
  <c r="B53" i="1"/>
  <c r="A54" i="1"/>
  <c r="B54" i="1"/>
  <c r="A55" i="1"/>
  <c r="B55" i="1"/>
  <c r="A56" i="1"/>
  <c r="B56" i="1"/>
  <c r="A57" i="1"/>
  <c r="B57" i="1"/>
  <c r="A58" i="1"/>
  <c r="B58" i="1"/>
  <c r="A59" i="1"/>
  <c r="B59" i="1"/>
  <c r="A60" i="1"/>
  <c r="B60" i="1"/>
  <c r="A61" i="1"/>
  <c r="B61" i="1"/>
  <c r="A62" i="1"/>
  <c r="B62" i="1"/>
  <c r="A63" i="1"/>
  <c r="A64" i="1"/>
  <c r="B64" i="1"/>
  <c r="A65" i="1"/>
  <c r="B65" i="1"/>
  <c r="A66" i="1"/>
  <c r="B66" i="1"/>
  <c r="A67" i="1"/>
  <c r="B67" i="1"/>
  <c r="B68" i="1"/>
  <c r="A69" i="1"/>
  <c r="B69" i="1"/>
  <c r="A70" i="1"/>
  <c r="B70" i="1"/>
  <c r="A71" i="1"/>
  <c r="A72" i="1"/>
  <c r="B72" i="1"/>
  <c r="A73" i="1"/>
  <c r="B73" i="1"/>
  <c r="A74" i="1"/>
  <c r="B74" i="1"/>
  <c r="A75" i="1"/>
  <c r="B75" i="1"/>
  <c r="A76" i="1"/>
  <c r="B76" i="1"/>
  <c r="A77" i="1"/>
  <c r="B77" i="1"/>
  <c r="A78" i="1"/>
  <c r="A79" i="1"/>
  <c r="B79" i="1"/>
  <c r="A80" i="1"/>
  <c r="B80" i="1"/>
  <c r="A81" i="1"/>
  <c r="B81" i="1"/>
  <c r="A82" i="1"/>
  <c r="B82" i="1"/>
  <c r="A83" i="1"/>
  <c r="B83" i="1"/>
  <c r="A84" i="1"/>
  <c r="B84" i="1"/>
  <c r="A85" i="1"/>
  <c r="B85" i="1"/>
  <c r="B86" i="1"/>
  <c r="A87" i="1"/>
  <c r="B87" i="1"/>
  <c r="A88" i="1"/>
  <c r="B88" i="1"/>
  <c r="A89" i="1"/>
  <c r="B89" i="1"/>
  <c r="A90" i="1"/>
  <c r="B90" i="1"/>
  <c r="A91" i="1"/>
  <c r="B91" i="1"/>
  <c r="A92" i="1"/>
  <c r="B92" i="1"/>
  <c r="A93" i="1"/>
  <c r="B93" i="1"/>
  <c r="A94" i="1"/>
  <c r="B94" i="1"/>
  <c r="A95" i="1"/>
  <c r="B95" i="1"/>
  <c r="A96" i="1"/>
  <c r="B96" i="1"/>
  <c r="A97" i="1"/>
  <c r="B97" i="1"/>
  <c r="A98" i="1"/>
  <c r="B98" i="1"/>
  <c r="A99" i="1"/>
  <c r="A100" i="1"/>
  <c r="B100" i="1"/>
  <c r="A101" i="1"/>
  <c r="B101" i="1"/>
  <c r="A102" i="1"/>
  <c r="B102" i="1"/>
  <c r="A103" i="1"/>
  <c r="B103" i="1"/>
  <c r="A104" i="1"/>
  <c r="B104" i="1"/>
  <c r="A105" i="1"/>
  <c r="B105" i="1"/>
  <c r="A106" i="1"/>
  <c r="B106" i="1"/>
  <c r="A107" i="1"/>
  <c r="B107" i="1"/>
  <c r="A108" i="1"/>
  <c r="B108" i="1"/>
  <c r="A109" i="1"/>
  <c r="B109" i="1"/>
  <c r="A110" i="1"/>
  <c r="A111" i="1"/>
  <c r="B111" i="1"/>
  <c r="A112" i="1"/>
  <c r="B112" i="1"/>
  <c r="A113" i="1"/>
  <c r="B113" i="1"/>
  <c r="A114" i="1"/>
  <c r="B114" i="1"/>
  <c r="A115" i="1"/>
  <c r="B115" i="1"/>
  <c r="A116" i="1"/>
  <c r="B116" i="1"/>
  <c r="A117" i="1"/>
  <c r="B117" i="1"/>
  <c r="A118" i="1"/>
  <c r="A119" i="1"/>
  <c r="B119" i="1"/>
  <c r="A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A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A202" i="1"/>
  <c r="B202" i="1"/>
  <c r="B203" i="1"/>
  <c r="A204" i="1"/>
  <c r="B204" i="1"/>
  <c r="B205" i="1"/>
  <c r="A206" i="1"/>
  <c r="B206" i="1"/>
  <c r="A207" i="1"/>
  <c r="B207" i="1"/>
  <c r="A208" i="1"/>
  <c r="B208"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B344" i="1"/>
  <c r="A345" i="1"/>
  <c r="B345" i="1"/>
  <c r="A346" i="1"/>
  <c r="B346" i="1"/>
  <c r="A347" i="1"/>
  <c r="B347" i="1"/>
  <c r="A348" i="1"/>
  <c r="B348" i="1"/>
  <c r="A349" i="1"/>
  <c r="B349" i="1"/>
  <c r="A350" i="1"/>
  <c r="B350" i="1"/>
  <c r="A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9" i="1"/>
  <c r="A370" i="1"/>
  <c r="B370" i="1"/>
  <c r="A371" i="1"/>
  <c r="B371" i="1"/>
  <c r="A372" i="1"/>
  <c r="B372" i="1"/>
  <c r="B373" i="1"/>
  <c r="A374" i="1"/>
  <c r="B374" i="1"/>
  <c r="A375" i="1"/>
  <c r="B375" i="1"/>
  <c r="A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A454" i="1"/>
  <c r="B454" i="1"/>
  <c r="A455" i="1"/>
  <c r="B455" i="1"/>
  <c r="A456" i="1"/>
  <c r="B456" i="1"/>
  <c r="A457" i="1"/>
  <c r="B457" i="1"/>
  <c r="A458" i="1"/>
  <c r="B458" i="1"/>
  <c r="A459" i="1"/>
  <c r="B459" i="1"/>
  <c r="A460" i="1"/>
  <c r="B460" i="1"/>
  <c r="A461" i="1"/>
  <c r="B461" i="1"/>
  <c r="A462" i="1"/>
  <c r="A463" i="1"/>
  <c r="B463" i="1"/>
  <c r="A464" i="1"/>
  <c r="B464" i="1"/>
  <c r="A465" i="1"/>
  <c r="A466" i="1"/>
  <c r="B466" i="1"/>
  <c r="A467" i="1"/>
  <c r="B467" i="1"/>
  <c r="A468" i="1"/>
  <c r="B468" i="1"/>
  <c r="A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A484" i="1"/>
  <c r="B484" i="1"/>
  <c r="A485" i="1"/>
  <c r="B485" i="1"/>
  <c r="A486" i="1"/>
  <c r="B486" i="1"/>
  <c r="A487" i="1"/>
  <c r="B487" i="1"/>
  <c r="A488" i="1"/>
  <c r="B488" i="1"/>
  <c r="A489" i="1"/>
  <c r="B489" i="1"/>
  <c r="A490" i="1"/>
  <c r="A491" i="1"/>
  <c r="B491" i="1"/>
  <c r="B492" i="1"/>
  <c r="A493" i="1"/>
  <c r="B493" i="1"/>
  <c r="A494" i="1"/>
  <c r="B494" i="1"/>
  <c r="A495" i="1"/>
  <c r="B495" i="1"/>
  <c r="A496" i="1"/>
  <c r="B496" i="1"/>
  <c r="A497" i="1"/>
  <c r="B497" i="1"/>
  <c r="A498" i="1"/>
  <c r="B498" i="1"/>
  <c r="A499" i="1"/>
  <c r="B499" i="1"/>
  <c r="A500" i="1"/>
  <c r="B500" i="1"/>
  <c r="A501" i="1"/>
  <c r="B501" i="1"/>
  <c r="A502" i="1"/>
  <c r="B502" i="1"/>
  <c r="A503" i="1"/>
  <c r="B503" i="1"/>
  <c r="A504" i="1"/>
  <c r="B504" i="1"/>
  <c r="A505" i="1"/>
  <c r="B505" i="1"/>
  <c r="A506" i="1"/>
  <c r="B506" i="1"/>
  <c r="A507" i="1"/>
  <c r="B507" i="1"/>
  <c r="A508" i="1"/>
  <c r="B508" i="1"/>
  <c r="A509" i="1"/>
  <c r="B509" i="1"/>
  <c r="A510" i="1"/>
  <c r="B510" i="1"/>
  <c r="A511" i="1"/>
  <c r="B511" i="1"/>
  <c r="A512" i="1"/>
  <c r="B512" i="1"/>
  <c r="A513" i="1"/>
  <c r="B513" i="1"/>
  <c r="A514" i="1"/>
  <c r="B514" i="1"/>
  <c r="A515" i="1"/>
  <c r="B515" i="1"/>
  <c r="A516" i="1"/>
  <c r="B516" i="1"/>
  <c r="A517" i="1"/>
  <c r="B517" i="1"/>
  <c r="A518" i="1"/>
  <c r="B518" i="1"/>
  <c r="A519" i="1"/>
  <c r="B519" i="1"/>
  <c r="A520" i="1"/>
  <c r="B520" i="1"/>
  <c r="A521" i="1"/>
  <c r="A522" i="1"/>
  <c r="B522" i="1"/>
  <c r="A523" i="1"/>
  <c r="B523" i="1"/>
  <c r="A524" i="1"/>
  <c r="B524" i="1"/>
  <c r="A525" i="1"/>
  <c r="B525" i="1"/>
  <c r="A526" i="1"/>
  <c r="B526" i="1"/>
  <c r="A527" i="1"/>
  <c r="B527" i="1"/>
  <c r="A528" i="1"/>
  <c r="B528" i="1"/>
  <c r="A529" i="1"/>
  <c r="A530" i="1"/>
  <c r="B530" i="1"/>
  <c r="A531" i="1"/>
  <c r="B531" i="1"/>
  <c r="A532" i="1"/>
  <c r="B532" i="1"/>
  <c r="A533" i="1"/>
  <c r="B533" i="1"/>
  <c r="A534" i="1"/>
  <c r="B534" i="1"/>
  <c r="A535" i="1"/>
  <c r="B535" i="1"/>
  <c r="A536" i="1"/>
  <c r="B536" i="1"/>
  <c r="A537" i="1"/>
  <c r="B537" i="1"/>
  <c r="A538" i="1"/>
  <c r="B538" i="1"/>
  <c r="A539" i="1"/>
  <c r="B539" i="1"/>
  <c r="A540" i="1"/>
  <c r="B540" i="1"/>
  <c r="A541" i="1"/>
  <c r="B541" i="1"/>
  <c r="A542" i="1"/>
  <c r="A543" i="1"/>
  <c r="B543" i="1"/>
  <c r="A544" i="1"/>
  <c r="B544" i="1"/>
  <c r="A545" i="1"/>
  <c r="B545" i="1"/>
  <c r="A546" i="1"/>
  <c r="B546" i="1"/>
  <c r="A547" i="1"/>
  <c r="B547" i="1"/>
  <c r="A548" i="1"/>
  <c r="B548" i="1"/>
  <c r="A549" i="1"/>
  <c r="B549" i="1"/>
  <c r="A550" i="1"/>
  <c r="B550" i="1"/>
  <c r="A551" i="1"/>
  <c r="B551" i="1"/>
  <c r="A552" i="1"/>
  <c r="B552" i="1"/>
  <c r="A553" i="1"/>
  <c r="B553" i="1"/>
  <c r="A554" i="1"/>
  <c r="B554" i="1"/>
  <c r="A555" i="1"/>
  <c r="B555" i="1"/>
  <c r="A556" i="1"/>
  <c r="B556" i="1"/>
  <c r="A557" i="1"/>
  <c r="B557" i="1"/>
  <c r="A558" i="1"/>
  <c r="B558" i="1"/>
  <c r="A559" i="1"/>
  <c r="B559" i="1"/>
  <c r="A560" i="1"/>
  <c r="B560" i="1"/>
  <c r="A561" i="1"/>
  <c r="B561" i="1"/>
  <c r="A562" i="1"/>
  <c r="B562" i="1"/>
  <c r="A563" i="1"/>
  <c r="B563" i="1"/>
  <c r="A564" i="1"/>
  <c r="B564" i="1"/>
  <c r="A565" i="1"/>
  <c r="B565" i="1"/>
  <c r="A566" i="1"/>
  <c r="B566" i="1"/>
  <c r="A567" i="1"/>
  <c r="B567" i="1"/>
  <c r="A568" i="1"/>
  <c r="B568" i="1"/>
  <c r="A569" i="1"/>
  <c r="B569" i="1"/>
  <c r="A570" i="1"/>
  <c r="B570" i="1"/>
  <c r="A571" i="1"/>
  <c r="B571" i="1"/>
  <c r="A572" i="1"/>
  <c r="B572" i="1"/>
  <c r="A573" i="1"/>
  <c r="B573" i="1"/>
  <c r="A574" i="1"/>
  <c r="B574" i="1"/>
  <c r="A575" i="1"/>
  <c r="B575" i="1"/>
  <c r="A576" i="1"/>
  <c r="B576" i="1"/>
  <c r="A577" i="1"/>
  <c r="A578" i="1"/>
  <c r="B578" i="1"/>
  <c r="A579" i="1"/>
  <c r="B579" i="1"/>
  <c r="A580" i="1"/>
  <c r="B580" i="1"/>
  <c r="A581" i="1"/>
  <c r="B581" i="1"/>
  <c r="A582" i="1"/>
  <c r="B582" i="1"/>
  <c r="A583" i="1"/>
  <c r="B583" i="1"/>
  <c r="A584" i="1"/>
  <c r="B584" i="1"/>
  <c r="A585" i="1"/>
  <c r="B585" i="1"/>
  <c r="A586" i="1"/>
  <c r="A587" i="1"/>
  <c r="B587" i="1"/>
  <c r="A588" i="1"/>
  <c r="A589" i="1"/>
  <c r="B589" i="1"/>
  <c r="A590" i="1"/>
  <c r="B590" i="1"/>
  <c r="A591" i="1"/>
  <c r="B591" i="1"/>
  <c r="A592" i="1"/>
  <c r="B592" i="1"/>
  <c r="A593" i="1"/>
  <c r="B593" i="1"/>
  <c r="A594" i="1"/>
  <c r="A595" i="1"/>
  <c r="B595" i="1"/>
  <c r="A596" i="1"/>
  <c r="B596" i="1"/>
  <c r="A597" i="1"/>
  <c r="B597" i="1"/>
  <c r="A598" i="1"/>
  <c r="B598" i="1"/>
  <c r="A599" i="1"/>
  <c r="B599" i="1"/>
  <c r="A600" i="1"/>
  <c r="B600" i="1"/>
  <c r="A601" i="1"/>
  <c r="B601" i="1"/>
  <c r="B602" i="1"/>
  <c r="A603" i="1"/>
  <c r="A604" i="1"/>
  <c r="B604" i="1"/>
  <c r="A605" i="1"/>
  <c r="B605" i="1"/>
  <c r="A606" i="1"/>
  <c r="B606" i="1"/>
  <c r="A607" i="1"/>
  <c r="B607" i="1"/>
  <c r="A608" i="1"/>
  <c r="B608" i="1"/>
  <c r="A609" i="1"/>
  <c r="B609" i="1"/>
  <c r="A610" i="1"/>
  <c r="B610" i="1"/>
  <c r="A611" i="1"/>
  <c r="B611" i="1"/>
  <c r="A612" i="1"/>
  <c r="B612" i="1"/>
  <c r="A613" i="1"/>
  <c r="A614" i="1"/>
  <c r="B614" i="1"/>
  <c r="A615" i="1"/>
  <c r="B615" i="1"/>
  <c r="A616" i="1"/>
  <c r="B616" i="1"/>
  <c r="A617" i="1"/>
  <c r="B617" i="1"/>
  <c r="A618" i="1"/>
  <c r="B618" i="1"/>
  <c r="A619" i="1"/>
  <c r="B619" i="1"/>
  <c r="A620" i="1"/>
  <c r="B620" i="1"/>
  <c r="A621" i="1"/>
  <c r="B621" i="1"/>
  <c r="A622" i="1"/>
  <c r="B622" i="1"/>
  <c r="A623" i="1"/>
  <c r="B623" i="1"/>
  <c r="A624" i="1"/>
  <c r="B624" i="1"/>
  <c r="A625" i="1"/>
  <c r="B625" i="1"/>
  <c r="A626" i="1"/>
  <c r="B626" i="1"/>
  <c r="A627" i="1"/>
  <c r="A628" i="1"/>
  <c r="B628" i="1"/>
  <c r="A629" i="1"/>
  <c r="B629" i="1"/>
  <c r="A630" i="1"/>
  <c r="B630" i="1"/>
  <c r="A631" i="1"/>
  <c r="B631" i="1"/>
  <c r="A632" i="1"/>
  <c r="B632" i="1"/>
  <c r="A633" i="1"/>
  <c r="A634" i="1"/>
  <c r="B634" i="1"/>
  <c r="A635" i="1"/>
  <c r="B635" i="1"/>
  <c r="A636" i="1"/>
  <c r="B636" i="1"/>
  <c r="A637" i="1"/>
  <c r="B637" i="1"/>
  <c r="A638" i="1"/>
  <c r="B638" i="1"/>
  <c r="A639" i="1"/>
  <c r="A640" i="1"/>
  <c r="B640" i="1"/>
  <c r="A641" i="1"/>
  <c r="B641" i="1"/>
  <c r="A642" i="1"/>
  <c r="B642" i="1"/>
  <c r="A643" i="1"/>
  <c r="B643" i="1"/>
  <c r="A644" i="1"/>
  <c r="B644" i="1"/>
  <c r="A645" i="1"/>
  <c r="B645" i="1"/>
  <c r="A646" i="1"/>
  <c r="B646" i="1"/>
  <c r="A647" i="1"/>
  <c r="B647" i="1"/>
  <c r="A648" i="1"/>
  <c r="B648" i="1"/>
  <c r="A649" i="1"/>
  <c r="B649" i="1"/>
  <c r="A650" i="1"/>
  <c r="A651" i="1"/>
  <c r="A652" i="1"/>
  <c r="B652" i="1"/>
  <c r="A653" i="1"/>
  <c r="B653" i="1"/>
  <c r="A654" i="1"/>
  <c r="B654" i="1"/>
  <c r="A655" i="1"/>
  <c r="B655" i="1"/>
  <c r="A656" i="1"/>
  <c r="B656" i="1"/>
  <c r="A657" i="1"/>
  <c r="B657" i="1"/>
  <c r="A658" i="1"/>
  <c r="B658" i="1"/>
  <c r="A659" i="1"/>
  <c r="B659" i="1"/>
  <c r="A660" i="1"/>
  <c r="B660" i="1"/>
  <c r="A661" i="1"/>
  <c r="B661" i="1"/>
  <c r="A662" i="1"/>
  <c r="B662" i="1"/>
  <c r="A663" i="1"/>
  <c r="B663" i="1"/>
  <c r="A664" i="1"/>
  <c r="B664" i="1"/>
  <c r="A665" i="1"/>
  <c r="B665" i="1"/>
  <c r="A666" i="1"/>
  <c r="B666" i="1"/>
  <c r="A667" i="1"/>
  <c r="B667" i="1"/>
  <c r="A668" i="1"/>
  <c r="B668" i="1"/>
  <c r="A669" i="1"/>
  <c r="B669" i="1"/>
  <c r="A670" i="1"/>
  <c r="B670" i="1"/>
  <c r="A671" i="1"/>
  <c r="B671" i="1"/>
  <c r="A672" i="1"/>
  <c r="B672" i="1"/>
  <c r="A673" i="1"/>
  <c r="B673" i="1"/>
  <c r="A674" i="1"/>
  <c r="A675" i="1"/>
  <c r="B675" i="1"/>
  <c r="A676" i="1"/>
  <c r="B676" i="1"/>
  <c r="A677" i="1"/>
  <c r="B677" i="1"/>
  <c r="A678" i="1"/>
  <c r="A679" i="1"/>
  <c r="B679" i="1"/>
  <c r="A680" i="1"/>
  <c r="B680" i="1"/>
  <c r="A681" i="1"/>
  <c r="B681" i="1"/>
  <c r="A682" i="1"/>
  <c r="B682" i="1"/>
  <c r="A683" i="1"/>
  <c r="B683" i="1"/>
  <c r="A684" i="1"/>
  <c r="B684" i="1"/>
  <c r="A685" i="1"/>
  <c r="B685" i="1"/>
  <c r="A686" i="1"/>
  <c r="B686" i="1"/>
  <c r="A687" i="1"/>
  <c r="B687" i="1"/>
  <c r="A688" i="1"/>
  <c r="B688" i="1"/>
  <c r="A689" i="1"/>
  <c r="A690" i="1"/>
  <c r="B690" i="1"/>
  <c r="A691" i="1"/>
  <c r="B691" i="1"/>
  <c r="A692" i="1"/>
  <c r="B692" i="1"/>
  <c r="A693" i="1"/>
  <c r="B693" i="1"/>
  <c r="A694" i="1"/>
  <c r="B694" i="1"/>
  <c r="A695" i="1"/>
  <c r="B695" i="1"/>
  <c r="A696" i="1"/>
  <c r="B696" i="1"/>
  <c r="A697" i="1"/>
  <c r="B697" i="1"/>
  <c r="A698" i="1"/>
  <c r="B698" i="1"/>
  <c r="A699" i="1"/>
  <c r="B699" i="1"/>
  <c r="A700" i="1"/>
  <c r="B700" i="1"/>
  <c r="A701" i="1"/>
  <c r="B701" i="1"/>
  <c r="A702" i="1"/>
  <c r="B702" i="1"/>
  <c r="A703" i="1"/>
  <c r="B703" i="1"/>
  <c r="A704" i="1"/>
  <c r="B704" i="1"/>
  <c r="A705" i="1"/>
  <c r="B705" i="1"/>
  <c r="A706" i="1"/>
  <c r="B706" i="1"/>
  <c r="A707" i="1"/>
  <c r="B707" i="1"/>
  <c r="A708" i="1"/>
  <c r="B708" i="1"/>
  <c r="A709" i="1"/>
  <c r="B709" i="1"/>
  <c r="A710" i="1"/>
  <c r="B710" i="1"/>
  <c r="A711" i="1"/>
  <c r="B711" i="1"/>
  <c r="A712" i="1"/>
  <c r="B712" i="1"/>
  <c r="A713" i="1"/>
  <c r="B713" i="1"/>
  <c r="A714" i="1"/>
  <c r="B714" i="1"/>
  <c r="A715" i="1"/>
  <c r="B715" i="1"/>
  <c r="A716" i="1"/>
  <c r="B716" i="1"/>
  <c r="A717" i="1"/>
  <c r="B717" i="1"/>
  <c r="A718" i="1"/>
  <c r="B718" i="1"/>
  <c r="A719" i="1"/>
  <c r="B719" i="1"/>
  <c r="A720" i="1"/>
  <c r="B720" i="1"/>
  <c r="A721" i="1"/>
  <c r="B721" i="1"/>
  <c r="A722" i="1"/>
  <c r="B722" i="1"/>
  <c r="A723" i="1"/>
  <c r="B723" i="1"/>
  <c r="A724" i="1"/>
  <c r="B724" i="1"/>
  <c r="A725" i="1"/>
  <c r="B725" i="1"/>
  <c r="A726" i="1"/>
  <c r="B726" i="1"/>
  <c r="A727" i="1"/>
  <c r="B727" i="1"/>
  <c r="A728" i="1"/>
  <c r="B728" i="1"/>
  <c r="A729" i="1"/>
  <c r="B729" i="1"/>
  <c r="A730" i="1"/>
  <c r="B730" i="1"/>
  <c r="A731" i="1"/>
  <c r="B731" i="1"/>
  <c r="A732" i="1"/>
  <c r="B732" i="1"/>
  <c r="A733" i="1"/>
  <c r="B733" i="1"/>
  <c r="A734" i="1"/>
  <c r="B734" i="1"/>
  <c r="A735" i="1"/>
  <c r="B735" i="1"/>
  <c r="A736" i="1"/>
  <c r="B736" i="1"/>
  <c r="A737" i="1"/>
  <c r="B737" i="1"/>
  <c r="A738" i="1"/>
  <c r="B738" i="1"/>
  <c r="A739" i="1"/>
  <c r="B739" i="1"/>
  <c r="A740" i="1"/>
  <c r="B740" i="1"/>
  <c r="A741" i="1"/>
  <c r="B741" i="1"/>
  <c r="A742" i="1"/>
  <c r="B742" i="1"/>
  <c r="A743" i="1"/>
  <c r="B743" i="1"/>
  <c r="A744" i="1"/>
  <c r="B744" i="1"/>
  <c r="A745" i="1"/>
  <c r="B745" i="1"/>
  <c r="A746" i="1"/>
  <c r="B746" i="1"/>
  <c r="A747" i="1"/>
  <c r="B747" i="1"/>
  <c r="A748" i="1"/>
  <c r="B748" i="1"/>
  <c r="A749" i="1"/>
  <c r="B749" i="1"/>
  <c r="A750" i="1"/>
  <c r="B750" i="1"/>
  <c r="A751" i="1"/>
  <c r="B751" i="1"/>
  <c r="A752" i="1"/>
  <c r="B752" i="1"/>
  <c r="A753" i="1"/>
  <c r="B753" i="1"/>
  <c r="A754" i="1"/>
  <c r="B754" i="1"/>
  <c r="A755" i="1"/>
  <c r="B755" i="1"/>
  <c r="A756" i="1"/>
  <c r="A757" i="1"/>
  <c r="B757" i="1"/>
  <c r="A758" i="1"/>
  <c r="B758" i="1"/>
  <c r="A759" i="1"/>
  <c r="B759" i="1"/>
  <c r="A760" i="1"/>
  <c r="B760" i="1"/>
  <c r="A761" i="1"/>
  <c r="B761" i="1"/>
  <c r="A762" i="1"/>
  <c r="B762" i="1"/>
  <c r="A763" i="1"/>
  <c r="B763" i="1"/>
  <c r="A764" i="1"/>
  <c r="B764" i="1"/>
  <c r="A765" i="1"/>
  <c r="B765" i="1"/>
  <c r="A766" i="1"/>
  <c r="B766" i="1"/>
  <c r="A767" i="1"/>
  <c r="B767" i="1"/>
  <c r="A768" i="1"/>
  <c r="B768" i="1"/>
  <c r="A769" i="1"/>
  <c r="B769" i="1"/>
  <c r="A770" i="1"/>
  <c r="B770" i="1"/>
  <c r="A771" i="1"/>
  <c r="B771" i="1"/>
  <c r="A772" i="1"/>
  <c r="B772" i="1"/>
  <c r="A773" i="1"/>
  <c r="B773" i="1"/>
  <c r="A774" i="1"/>
  <c r="B774" i="1"/>
  <c r="B775" i="1"/>
  <c r="A776" i="1"/>
  <c r="B776" i="1"/>
  <c r="A777" i="1"/>
  <c r="B777" i="1"/>
  <c r="A778" i="1"/>
  <c r="B778" i="1"/>
  <c r="A779" i="1"/>
  <c r="A780" i="1"/>
  <c r="B780" i="1"/>
  <c r="A781" i="1"/>
  <c r="B781" i="1"/>
  <c r="A782" i="1"/>
  <c r="B782" i="1"/>
  <c r="A783" i="1"/>
  <c r="B783" i="1"/>
  <c r="A784" i="1"/>
  <c r="B784" i="1"/>
  <c r="A785" i="1"/>
  <c r="B785" i="1"/>
  <c r="A786" i="1"/>
  <c r="B786" i="1"/>
  <c r="A787" i="1"/>
  <c r="B787" i="1"/>
  <c r="A788" i="1"/>
  <c r="B788" i="1"/>
  <c r="A789" i="1"/>
  <c r="B789"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03" i="1"/>
  <c r="B803" i="1"/>
  <c r="A804" i="1"/>
  <c r="B804" i="1"/>
  <c r="A805" i="1"/>
  <c r="B805" i="1"/>
  <c r="A806" i="1"/>
  <c r="B806" i="1"/>
  <c r="A807" i="1"/>
  <c r="B807" i="1"/>
  <c r="A808" i="1"/>
  <c r="B808" i="1"/>
  <c r="A809" i="1"/>
  <c r="B809" i="1"/>
  <c r="B810" i="1"/>
  <c r="A811" i="1"/>
  <c r="B811" i="1"/>
  <c r="A812" i="1"/>
  <c r="B812" i="1"/>
  <c r="A813" i="1"/>
  <c r="B813" i="1"/>
  <c r="A814" i="1"/>
  <c r="B814" i="1"/>
  <c r="A815" i="1"/>
  <c r="B815" i="1"/>
  <c r="A816" i="1"/>
  <c r="B816" i="1"/>
  <c r="A817" i="1"/>
  <c r="B817" i="1"/>
  <c r="A818" i="1"/>
  <c r="B818" i="1"/>
  <c r="A819" i="1"/>
  <c r="B819" i="1"/>
  <c r="A820" i="1"/>
  <c r="B820" i="1"/>
  <c r="A821" i="1"/>
  <c r="B821" i="1"/>
  <c r="A822" i="1"/>
  <c r="B822" i="1"/>
  <c r="A823" i="1"/>
  <c r="B823" i="1"/>
  <c r="A824" i="1"/>
  <c r="B824" i="1"/>
  <c r="A825" i="1"/>
  <c r="B825" i="1"/>
  <c r="A826" i="1"/>
  <c r="B826" i="1"/>
  <c r="A827" i="1"/>
  <c r="B827" i="1"/>
  <c r="A828" i="1"/>
  <c r="B828" i="1"/>
  <c r="B829" i="1"/>
  <c r="A830" i="1"/>
  <c r="B830" i="1"/>
  <c r="A831" i="1"/>
  <c r="B831" i="1"/>
  <c r="A832" i="1"/>
  <c r="B832" i="1"/>
  <c r="A833" i="1"/>
  <c r="B833" i="1"/>
  <c r="A834" i="1"/>
  <c r="B834" i="1"/>
  <c r="A835" i="1"/>
  <c r="B835" i="1"/>
  <c r="A836" i="1"/>
  <c r="B836" i="1"/>
  <c r="A837" i="1"/>
  <c r="B837" i="1"/>
  <c r="A838" i="1"/>
  <c r="B838" i="1"/>
  <c r="A839" i="1"/>
  <c r="B839" i="1"/>
  <c r="A840" i="1"/>
  <c r="B840" i="1"/>
  <c r="A841" i="1"/>
  <c r="B841" i="1"/>
  <c r="A842" i="1"/>
  <c r="B842" i="1"/>
  <c r="A843" i="1"/>
  <c r="B843" i="1"/>
  <c r="A844" i="1"/>
  <c r="B844" i="1"/>
  <c r="A845" i="1"/>
  <c r="B845" i="1"/>
  <c r="A846" i="1"/>
  <c r="B846" i="1"/>
  <c r="A847" i="1"/>
  <c r="B847" i="1"/>
  <c r="A848" i="1"/>
  <c r="B848" i="1"/>
  <c r="A849" i="1"/>
  <c r="B849" i="1"/>
  <c r="A850" i="1"/>
  <c r="B850" i="1"/>
  <c r="A851" i="1"/>
  <c r="B851" i="1"/>
  <c r="A852" i="1"/>
  <c r="B852" i="1"/>
  <c r="A853" i="1"/>
  <c r="B853" i="1"/>
  <c r="A854" i="1"/>
  <c r="B854" i="1"/>
  <c r="A855" i="1"/>
  <c r="B855" i="1"/>
  <c r="A856" i="1"/>
  <c r="B856" i="1"/>
  <c r="A857" i="1"/>
  <c r="B857" i="1"/>
  <c r="A858" i="1"/>
  <c r="B858" i="1"/>
  <c r="A859" i="1"/>
  <c r="B859" i="1"/>
  <c r="A860" i="1"/>
  <c r="B860" i="1"/>
  <c r="A861" i="1"/>
  <c r="B861" i="1"/>
  <c r="A862" i="1"/>
  <c r="B862" i="1"/>
  <c r="A863" i="1"/>
  <c r="B863" i="1"/>
  <c r="A864" i="1"/>
  <c r="B864" i="1"/>
  <c r="A865" i="1"/>
  <c r="B865" i="1"/>
  <c r="A866" i="1"/>
  <c r="B866" i="1"/>
  <c r="A867" i="1"/>
  <c r="B867" i="1"/>
  <c r="A868" i="1"/>
  <c r="B868" i="1"/>
  <c r="A869" i="1"/>
  <c r="B869" i="1"/>
  <c r="A870" i="1"/>
  <c r="B870" i="1"/>
  <c r="A871" i="1"/>
  <c r="B871" i="1"/>
  <c r="B872" i="1"/>
  <c r="A873" i="1"/>
  <c r="B873" i="1"/>
  <c r="A874" i="1"/>
  <c r="B874" i="1"/>
  <c r="A875" i="1"/>
  <c r="B875" i="1"/>
  <c r="A876" i="1"/>
  <c r="B876" i="1"/>
  <c r="A877" i="1"/>
  <c r="B877" i="1"/>
  <c r="A878" i="1"/>
  <c r="B878" i="1"/>
  <c r="A879" i="1"/>
  <c r="B879" i="1"/>
  <c r="A880" i="1"/>
  <c r="B880" i="1"/>
  <c r="A881" i="1"/>
  <c r="B881" i="1"/>
  <c r="A882" i="1"/>
  <c r="B882" i="1"/>
  <c r="A883" i="1"/>
  <c r="B883" i="1"/>
  <c r="A884" i="1"/>
  <c r="B884" i="1"/>
  <c r="A885" i="1"/>
  <c r="B885" i="1"/>
  <c r="A886" i="1"/>
  <c r="B886" i="1"/>
  <c r="B887" i="1"/>
  <c r="A888" i="1"/>
  <c r="B888" i="1"/>
  <c r="A889" i="1"/>
  <c r="B889" i="1"/>
  <c r="A890" i="1"/>
  <c r="B890" i="1"/>
  <c r="A891" i="1"/>
  <c r="B891" i="1"/>
  <c r="A892" i="1"/>
  <c r="B892" i="1"/>
  <c r="A893" i="1"/>
  <c r="B893" i="1"/>
  <c r="A894" i="1"/>
  <c r="B894" i="1"/>
  <c r="A895" i="1"/>
  <c r="B895" i="1"/>
  <c r="A896" i="1"/>
  <c r="B896" i="1"/>
  <c r="A897" i="1"/>
  <c r="B897" i="1"/>
  <c r="A898" i="1"/>
  <c r="B898" i="1"/>
  <c r="A899" i="1"/>
  <c r="B899" i="1"/>
  <c r="A900" i="1"/>
  <c r="B900" i="1"/>
  <c r="A901" i="1"/>
  <c r="B901" i="1"/>
  <c r="A902" i="1"/>
  <c r="B902" i="1"/>
  <c r="A903" i="1"/>
  <c r="B903" i="1"/>
  <c r="A904" i="1"/>
  <c r="B904" i="1"/>
  <c r="A905" i="1"/>
  <c r="B905" i="1"/>
  <c r="A906" i="1"/>
  <c r="B906" i="1"/>
  <c r="A907" i="1"/>
  <c r="B907" i="1"/>
  <c r="A908" i="1"/>
  <c r="B908" i="1"/>
  <c r="A909" i="1"/>
  <c r="B909" i="1"/>
  <c r="A910" i="1"/>
  <c r="B910" i="1"/>
  <c r="B911" i="1"/>
  <c r="A912" i="1"/>
  <c r="B912" i="1"/>
  <c r="A913" i="1"/>
  <c r="B913" i="1"/>
  <c r="A914" i="1"/>
  <c r="A915" i="1"/>
  <c r="B915" i="1"/>
  <c r="A916" i="1"/>
  <c r="B916" i="1"/>
  <c r="A917" i="1"/>
  <c r="B917" i="1"/>
  <c r="A918" i="1"/>
  <c r="B918" i="1"/>
  <c r="A919" i="1"/>
  <c r="B919" i="1"/>
  <c r="A920" i="1"/>
  <c r="A921" i="1"/>
  <c r="B921" i="1"/>
  <c r="A922" i="1"/>
  <c r="B922" i="1"/>
  <c r="A923" i="1"/>
  <c r="B923" i="1"/>
  <c r="A924" i="1"/>
  <c r="B924" i="1"/>
  <c r="A925" i="1"/>
  <c r="B925" i="1"/>
  <c r="A926" i="1"/>
  <c r="B926" i="1"/>
  <c r="A927" i="1"/>
  <c r="B927" i="1"/>
  <c r="A928" i="1"/>
  <c r="B928" i="1"/>
  <c r="A929" i="1"/>
  <c r="B929" i="1"/>
  <c r="A930" i="1"/>
  <c r="B930" i="1"/>
  <c r="A931" i="1"/>
  <c r="B931" i="1"/>
  <c r="A932" i="1"/>
  <c r="B932" i="1"/>
  <c r="A933" i="1"/>
  <c r="B933" i="1"/>
  <c r="A934" i="1"/>
  <c r="B934" i="1"/>
  <c r="A935" i="1"/>
  <c r="B935" i="1"/>
  <c r="A936" i="1"/>
  <c r="B936" i="1"/>
  <c r="A937" i="1"/>
  <c r="B937" i="1"/>
  <c r="A938" i="1"/>
  <c r="B938" i="1"/>
  <c r="A939" i="1"/>
  <c r="B939" i="1"/>
  <c r="A940" i="1"/>
  <c r="B940" i="1"/>
  <c r="A941" i="1"/>
  <c r="B941" i="1"/>
  <c r="A942" i="1"/>
  <c r="B942" i="1"/>
  <c r="A943" i="1"/>
  <c r="B943" i="1"/>
  <c r="A944" i="1"/>
  <c r="B944" i="1"/>
  <c r="A945" i="1"/>
  <c r="B945" i="1"/>
  <c r="A946" i="1"/>
  <c r="B946" i="1"/>
  <c r="A947" i="1"/>
  <c r="A948" i="1"/>
  <c r="B948" i="1"/>
  <c r="A949" i="1"/>
  <c r="B949" i="1"/>
  <c r="A950" i="1"/>
  <c r="B950" i="1"/>
  <c r="A951" i="1"/>
  <c r="B951" i="1"/>
  <c r="A952" i="1"/>
  <c r="B952" i="1"/>
  <c r="A953" i="1"/>
  <c r="B953" i="1"/>
  <c r="A954" i="1"/>
  <c r="B954" i="1"/>
  <c r="A955" i="1"/>
  <c r="B955" i="1"/>
  <c r="A956" i="1"/>
  <c r="B956" i="1"/>
  <c r="A957" i="1"/>
  <c r="B957" i="1"/>
  <c r="A958" i="1"/>
  <c r="B958" i="1"/>
  <c r="A959" i="1"/>
  <c r="B959" i="1"/>
  <c r="A960" i="1"/>
  <c r="B960" i="1"/>
  <c r="A961" i="1"/>
  <c r="B961" i="1"/>
  <c r="A962" i="1"/>
  <c r="B962" i="1"/>
  <c r="A963" i="1"/>
  <c r="B963" i="1"/>
  <c r="A964" i="1"/>
  <c r="B964" i="1"/>
  <c r="A965" i="1"/>
  <c r="B965" i="1"/>
  <c r="A966" i="1"/>
  <c r="B966" i="1"/>
  <c r="A967" i="1"/>
  <c r="A968" i="1"/>
  <c r="B968" i="1"/>
  <c r="A969" i="1"/>
  <c r="B969" i="1"/>
  <c r="A970" i="1"/>
  <c r="B970" i="1"/>
  <c r="A971" i="1"/>
  <c r="B971" i="1"/>
  <c r="A972" i="1"/>
  <c r="B972" i="1"/>
  <c r="A973" i="1"/>
  <c r="B973" i="1"/>
  <c r="A974" i="1"/>
  <c r="B974" i="1"/>
  <c r="A975" i="1"/>
  <c r="B975" i="1"/>
  <c r="A976" i="1"/>
  <c r="B976" i="1"/>
  <c r="A977" i="1"/>
  <c r="B977" i="1"/>
  <c r="A978" i="1"/>
  <c r="B978" i="1"/>
  <c r="A979" i="1"/>
  <c r="B979" i="1"/>
  <c r="A980" i="1"/>
  <c r="B980" i="1"/>
  <c r="A981" i="1"/>
  <c r="B981" i="1"/>
  <c r="A982" i="1"/>
  <c r="B982" i="1"/>
  <c r="A983" i="1"/>
  <c r="B983" i="1"/>
  <c r="A984" i="1"/>
  <c r="B984" i="1"/>
  <c r="A985" i="1"/>
  <c r="B985" i="1"/>
  <c r="A986" i="1"/>
  <c r="B986" i="1"/>
  <c r="A987" i="1"/>
  <c r="B987" i="1"/>
  <c r="A988" i="1"/>
  <c r="B988" i="1"/>
  <c r="A990" i="1"/>
  <c r="B990" i="1"/>
  <c r="A991" i="1"/>
  <c r="B991" i="1"/>
  <c r="A992" i="1"/>
  <c r="B992" i="1"/>
  <c r="A993" i="1"/>
  <c r="B993" i="1"/>
  <c r="A994" i="1"/>
  <c r="B994" i="1"/>
  <c r="A995" i="1"/>
  <c r="B995" i="1"/>
  <c r="A996" i="1"/>
  <c r="B996" i="1"/>
  <c r="A997" i="1"/>
  <c r="B997" i="1"/>
  <c r="A998" i="1"/>
  <c r="B998" i="1"/>
  <c r="A999" i="1"/>
  <c r="B999" i="1"/>
  <c r="A1000" i="1"/>
  <c r="A1001" i="1"/>
  <c r="B1001" i="1"/>
  <c r="B1002" i="1"/>
  <c r="A1003" i="1"/>
  <c r="B1003" i="1"/>
  <c r="A1004" i="1"/>
  <c r="B1004" i="1"/>
  <c r="A1005" i="1"/>
  <c r="B1005" i="1"/>
  <c r="A1006" i="1"/>
  <c r="B1006" i="1"/>
  <c r="A1007" i="1"/>
  <c r="B1007" i="1"/>
  <c r="A1008" i="1"/>
  <c r="B1008" i="1"/>
  <c r="A1009" i="1"/>
  <c r="B1009" i="1"/>
  <c r="A1010" i="1"/>
  <c r="B1010" i="1"/>
  <c r="A1011" i="1"/>
  <c r="B1011" i="1"/>
  <c r="A1012" i="1"/>
  <c r="B1012" i="1"/>
  <c r="A1013" i="1"/>
  <c r="B1013" i="1"/>
  <c r="A1014" i="1"/>
  <c r="B1014" i="1"/>
  <c r="A1015" i="1"/>
  <c r="A1016" i="1"/>
  <c r="B1016" i="1"/>
  <c r="A1017" i="1"/>
  <c r="B1017" i="1"/>
  <c r="A1018" i="1"/>
  <c r="B1018" i="1"/>
  <c r="A1019" i="1"/>
  <c r="B1019" i="1"/>
  <c r="A1020" i="1"/>
  <c r="B1020" i="1"/>
  <c r="A1021" i="1"/>
  <c r="B1021" i="1"/>
  <c r="A1022" i="1"/>
  <c r="B1022" i="1"/>
  <c r="A1023" i="1"/>
  <c r="B1023" i="1"/>
  <c r="A1024" i="1"/>
  <c r="B1024" i="1"/>
  <c r="A1025" i="1"/>
  <c r="B1025" i="1"/>
  <c r="A1026" i="1"/>
  <c r="B1026" i="1"/>
  <c r="A1027" i="1"/>
  <c r="B1027" i="1"/>
  <c r="A1028" i="1"/>
  <c r="B1028" i="1"/>
  <c r="A1029" i="1"/>
  <c r="B1029" i="1"/>
  <c r="A1030" i="1"/>
  <c r="B1030" i="1"/>
  <c r="A1031" i="1"/>
  <c r="B1031" i="1"/>
  <c r="B1032" i="1"/>
  <c r="A1033" i="1"/>
  <c r="B1033" i="1"/>
  <c r="A1034" i="1"/>
  <c r="A1035" i="1"/>
  <c r="B1035" i="1"/>
  <c r="A1036" i="1"/>
  <c r="B1036" i="1"/>
  <c r="A1037" i="1"/>
  <c r="B1037" i="1"/>
  <c r="A1038" i="1"/>
  <c r="B1038" i="1"/>
  <c r="A1039" i="1"/>
  <c r="B1039" i="1"/>
  <c r="A1040" i="1"/>
  <c r="B1040" i="1"/>
  <c r="A1041" i="1"/>
  <c r="B1041" i="1"/>
  <c r="A1042" i="1"/>
  <c r="B1042" i="1"/>
  <c r="A1043" i="1"/>
  <c r="A1044" i="1"/>
  <c r="B1044" i="1"/>
  <c r="A1045" i="1"/>
  <c r="B1045" i="1"/>
  <c r="A1046" i="1"/>
  <c r="B1046" i="1"/>
  <c r="A1047" i="1"/>
  <c r="A1048" i="1"/>
  <c r="B1048" i="1"/>
  <c r="A1049" i="1"/>
  <c r="B1049" i="1"/>
  <c r="A1050" i="1"/>
  <c r="B1050" i="1"/>
  <c r="A1051" i="1"/>
  <c r="B1051" i="1"/>
  <c r="A1052" i="1"/>
  <c r="B1052" i="1"/>
  <c r="A1053" i="1"/>
  <c r="B1053" i="1"/>
  <c r="A1054" i="1"/>
  <c r="B1054" i="1"/>
  <c r="A1055" i="1"/>
  <c r="B1055" i="1"/>
  <c r="A1056" i="1"/>
  <c r="B1056" i="1"/>
  <c r="A1057" i="1"/>
  <c r="B1057" i="1"/>
  <c r="A1058" i="1"/>
  <c r="B1058" i="1"/>
  <c r="A1059" i="1"/>
  <c r="A1060" i="1"/>
  <c r="B1060" i="1"/>
  <c r="A1061" i="1"/>
  <c r="B1061" i="1"/>
  <c r="A1062" i="1"/>
  <c r="B1062" i="1"/>
  <c r="A1064" i="1"/>
  <c r="B1064" i="1"/>
  <c r="A1065" i="1"/>
  <c r="B1065" i="1"/>
  <c r="A1066" i="1"/>
  <c r="B1066" i="1"/>
  <c r="A1067" i="1"/>
  <c r="B1067" i="1"/>
  <c r="A1068" i="1"/>
  <c r="B1068" i="1"/>
  <c r="A1069" i="1"/>
  <c r="B1069" i="1"/>
  <c r="A1070" i="1"/>
  <c r="B1070" i="1"/>
  <c r="A1071" i="1"/>
  <c r="B1071" i="1"/>
  <c r="A1072" i="1"/>
  <c r="B1072" i="1"/>
  <c r="A1073" i="1"/>
  <c r="B1073" i="1"/>
  <c r="A1074" i="1"/>
  <c r="B1074" i="1"/>
  <c r="A1075" i="1"/>
  <c r="B1075" i="1"/>
  <c r="A1076" i="1"/>
  <c r="B1076" i="1"/>
  <c r="A1077" i="1"/>
  <c r="B1077" i="1"/>
  <c r="A1078" i="1"/>
  <c r="B1078" i="1"/>
  <c r="A1079" i="1"/>
  <c r="B1079" i="1"/>
  <c r="A1080" i="1"/>
  <c r="B1080" i="1"/>
  <c r="A1081" i="1"/>
  <c r="B1081" i="1"/>
  <c r="A1082" i="1"/>
  <c r="B1082" i="1"/>
  <c r="A1083" i="1"/>
  <c r="B1083" i="1"/>
  <c r="A1084" i="1"/>
  <c r="B1084" i="1"/>
  <c r="A1085" i="1"/>
  <c r="B1085" i="1"/>
  <c r="B1086" i="1"/>
  <c r="A1087" i="1"/>
  <c r="B1087" i="1"/>
  <c r="A1088" i="1"/>
  <c r="B1088" i="1"/>
  <c r="A1089" i="1"/>
  <c r="B1089" i="1"/>
  <c r="A1090" i="1"/>
  <c r="B1090" i="1"/>
  <c r="A1091" i="1"/>
  <c r="B1091" i="1"/>
  <c r="A1092" i="1"/>
  <c r="B1092" i="1"/>
  <c r="A1093" i="1"/>
  <c r="B1093" i="1"/>
  <c r="A1094" i="1"/>
  <c r="B1094" i="1"/>
  <c r="A1095" i="1"/>
  <c r="B1095" i="1"/>
  <c r="A1096" i="1"/>
  <c r="B1096" i="1"/>
  <c r="A1097" i="1"/>
  <c r="B1097" i="1"/>
  <c r="A1098" i="1"/>
  <c r="B1098" i="1"/>
  <c r="A1099" i="1"/>
  <c r="B1099" i="1"/>
  <c r="A1100" i="1"/>
  <c r="B1100" i="1"/>
  <c r="A1101" i="1"/>
  <c r="B1101" i="1"/>
  <c r="A1102" i="1"/>
  <c r="B1102" i="1"/>
  <c r="A1103" i="1"/>
  <c r="B1103" i="1"/>
  <c r="A1104" i="1"/>
  <c r="B1104" i="1"/>
  <c r="A1105" i="1"/>
  <c r="B1105" i="1"/>
  <c r="A1106" i="1"/>
  <c r="B1106" i="1"/>
  <c r="A1107" i="1"/>
  <c r="B1107" i="1"/>
  <c r="A1108" i="1"/>
  <c r="B1108" i="1"/>
  <c r="A1109" i="1"/>
  <c r="B1109" i="1"/>
  <c r="A1110" i="1"/>
  <c r="B1110" i="1"/>
  <c r="A1111" i="1"/>
  <c r="B1111" i="1"/>
  <c r="A1112" i="1"/>
  <c r="B1112" i="1"/>
  <c r="A1113" i="1"/>
  <c r="B1113" i="1"/>
  <c r="A1114" i="1"/>
  <c r="B1114" i="1"/>
  <c r="A1115" i="1"/>
  <c r="B1115" i="1"/>
  <c r="A1116" i="1"/>
  <c r="B1116" i="1"/>
  <c r="A1117" i="1"/>
  <c r="B1117" i="1"/>
  <c r="A1118" i="1"/>
  <c r="B1118" i="1"/>
  <c r="A1119" i="1"/>
  <c r="B1119" i="1"/>
  <c r="A1120" i="1"/>
  <c r="B1120" i="1"/>
  <c r="A1121" i="1"/>
  <c r="B1121" i="1"/>
  <c r="A1122" i="1"/>
  <c r="B1122" i="1"/>
  <c r="A1123" i="1"/>
  <c r="B1123" i="1"/>
  <c r="A1124" i="1"/>
  <c r="B1124" i="1"/>
  <c r="A1125" i="1"/>
  <c r="B1125" i="1"/>
  <c r="A1126" i="1"/>
  <c r="B1126" i="1"/>
  <c r="A1127" i="1"/>
  <c r="B1127" i="1"/>
  <c r="A1128" i="1"/>
  <c r="A1129" i="1"/>
  <c r="B1129" i="1"/>
  <c r="A1130" i="1"/>
  <c r="B1130" i="1"/>
  <c r="A1131" i="1"/>
  <c r="B1131" i="1"/>
  <c r="A1132" i="1"/>
  <c r="A1133" i="1"/>
  <c r="B1133" i="1"/>
  <c r="A1134" i="1"/>
  <c r="B1134" i="1"/>
  <c r="A1135" i="1"/>
  <c r="B1135" i="1"/>
  <c r="A1136" i="1"/>
  <c r="B1136" i="1"/>
  <c r="A1137" i="1"/>
  <c r="B1137" i="1"/>
  <c r="A1138" i="1"/>
  <c r="B1138" i="1"/>
  <c r="A1139" i="1"/>
  <c r="B1139" i="1"/>
  <c r="A1140" i="1"/>
  <c r="B1140" i="1"/>
  <c r="A1141" i="1"/>
  <c r="B1141" i="1"/>
  <c r="A1142" i="1"/>
  <c r="B1142" i="1"/>
  <c r="A1143" i="1"/>
  <c r="B1143" i="1"/>
  <c r="A1144" i="1"/>
  <c r="B1144" i="1"/>
  <c r="A1145" i="1"/>
  <c r="B1145" i="1"/>
  <c r="A1146" i="1"/>
  <c r="B1146" i="1"/>
  <c r="A1147" i="1"/>
  <c r="B1147" i="1"/>
  <c r="A1148" i="1"/>
  <c r="B1148" i="1"/>
  <c r="A1149" i="1"/>
  <c r="B1149" i="1"/>
  <c r="A1150" i="1"/>
  <c r="A1151" i="1"/>
  <c r="B1151" i="1"/>
  <c r="A1152" i="1"/>
  <c r="B1152" i="1"/>
  <c r="A1153" i="1"/>
  <c r="B1153" i="1"/>
  <c r="A1154" i="1"/>
  <c r="B1154" i="1"/>
  <c r="A1155" i="1"/>
  <c r="B1155" i="1"/>
  <c r="A1156" i="1"/>
  <c r="B1156" i="1"/>
  <c r="A1157" i="1"/>
  <c r="B1157" i="1"/>
  <c r="A1158" i="1"/>
  <c r="A1159" i="1"/>
  <c r="B1159" i="1"/>
  <c r="A1160" i="1"/>
  <c r="B1160" i="1"/>
  <c r="A1161" i="1"/>
  <c r="B1161" i="1"/>
  <c r="A1162" i="1"/>
  <c r="B1162" i="1"/>
  <c r="A1163" i="1"/>
  <c r="B1163" i="1"/>
  <c r="A1164" i="1"/>
  <c r="B1164" i="1"/>
  <c r="A1165" i="1"/>
  <c r="B1165" i="1"/>
  <c r="A1166" i="1"/>
  <c r="B1166" i="1"/>
  <c r="A1167" i="1"/>
  <c r="B1167" i="1"/>
  <c r="A1168" i="1"/>
  <c r="B1168" i="1"/>
  <c r="A1169" i="1"/>
  <c r="B1169" i="1"/>
  <c r="A1170" i="1"/>
  <c r="B1170" i="1"/>
  <c r="A1171" i="1"/>
  <c r="B1171" i="1"/>
  <c r="A1172" i="1"/>
  <c r="B1172" i="1"/>
  <c r="A1173" i="1"/>
  <c r="B1173" i="1"/>
  <c r="A1174" i="1"/>
  <c r="B1174" i="1"/>
  <c r="A1175" i="1"/>
  <c r="B1175" i="1"/>
  <c r="A1176" i="1"/>
  <c r="B1176" i="1"/>
  <c r="A1177" i="1"/>
  <c r="B1177" i="1"/>
  <c r="A1178" i="1"/>
  <c r="B1178" i="1"/>
  <c r="A1179" i="1"/>
  <c r="B1179" i="1"/>
  <c r="A1180" i="1"/>
  <c r="B1180" i="1"/>
  <c r="A1181" i="1"/>
  <c r="B1181" i="1"/>
  <c r="A1182" i="1"/>
  <c r="B1182" i="1"/>
  <c r="A1183" i="1"/>
  <c r="B1183" i="1"/>
  <c r="A1184" i="1"/>
  <c r="B1184" i="1"/>
  <c r="A1185" i="1"/>
  <c r="B1185" i="1"/>
  <c r="A1186" i="1"/>
  <c r="B1186" i="1"/>
  <c r="A1187" i="1"/>
  <c r="B1187" i="1"/>
  <c r="A1188" i="1"/>
  <c r="B1188" i="1"/>
  <c r="A1189" i="1"/>
  <c r="B1189" i="1"/>
  <c r="A1190" i="1"/>
  <c r="B1190" i="1"/>
  <c r="A1191" i="1"/>
  <c r="B1191" i="1"/>
  <c r="A1192" i="1"/>
  <c r="B1192" i="1"/>
  <c r="A1193" i="1"/>
  <c r="B1193" i="1"/>
  <c r="A1194" i="1"/>
  <c r="B1194" i="1"/>
  <c r="A1195" i="1"/>
  <c r="B1195" i="1"/>
  <c r="A1196" i="1"/>
  <c r="B1196" i="1"/>
  <c r="A1197" i="1"/>
  <c r="B1197" i="1"/>
  <c r="A1198" i="1"/>
  <c r="B1198" i="1"/>
  <c r="A1199" i="1"/>
  <c r="B1199" i="1"/>
  <c r="A1200" i="1"/>
  <c r="B1200" i="1"/>
  <c r="A1201" i="1"/>
  <c r="B1201" i="1"/>
  <c r="A1202" i="1"/>
  <c r="B1202" i="1"/>
  <c r="A1203" i="1"/>
  <c r="B1203" i="1"/>
  <c r="A1204" i="1"/>
  <c r="B1204" i="1"/>
  <c r="A1205" i="1"/>
  <c r="B1205" i="1"/>
  <c r="A1206" i="1"/>
  <c r="A1207" i="1"/>
  <c r="B1207" i="1"/>
  <c r="A1208" i="1"/>
  <c r="B1208" i="1"/>
  <c r="A1209" i="1"/>
  <c r="B1209" i="1"/>
  <c r="A1210" i="1"/>
  <c r="B1210" i="1"/>
  <c r="A1211" i="1"/>
  <c r="B1211" i="1"/>
  <c r="A1212" i="1"/>
  <c r="B1212" i="1"/>
  <c r="A1213" i="1"/>
  <c r="B1213" i="1"/>
  <c r="A1214" i="1"/>
  <c r="B1214" i="1"/>
  <c r="A1215" i="1"/>
  <c r="B1215" i="1"/>
  <c r="A1216" i="1"/>
  <c r="B1216" i="1"/>
  <c r="A1217" i="1"/>
  <c r="B1217" i="1"/>
  <c r="A1218" i="1"/>
  <c r="B1218" i="1"/>
  <c r="A1219" i="1"/>
  <c r="B1219" i="1"/>
  <c r="A1220" i="1"/>
  <c r="B1220" i="1"/>
  <c r="A1221" i="1"/>
  <c r="B1221" i="1"/>
  <c r="A1222" i="1"/>
  <c r="B1222" i="1"/>
  <c r="A1223" i="1"/>
  <c r="B1223" i="1"/>
  <c r="A1224" i="1"/>
  <c r="B1224" i="1"/>
  <c r="A1225" i="1"/>
  <c r="B1225" i="1"/>
  <c r="A1226" i="1"/>
  <c r="B1226" i="1"/>
  <c r="A1227" i="1"/>
  <c r="B1227" i="1"/>
  <c r="A1228" i="1"/>
  <c r="B1228" i="1"/>
  <c r="A1229" i="1"/>
  <c r="B1229" i="1"/>
  <c r="A1230" i="1"/>
  <c r="B1230" i="1"/>
  <c r="A1231" i="1"/>
  <c r="B1231" i="1"/>
  <c r="A1232" i="1"/>
  <c r="B1232" i="1"/>
  <c r="A1233" i="1"/>
  <c r="B1233" i="1"/>
  <c r="A1234" i="1"/>
  <c r="B1234" i="1"/>
  <c r="A1235" i="1"/>
  <c r="A1236" i="1"/>
  <c r="B1236" i="1"/>
  <c r="A1237" i="1"/>
  <c r="B1237" i="1"/>
  <c r="A1238" i="1"/>
  <c r="B1238" i="1"/>
  <c r="A1239" i="1"/>
  <c r="B1239" i="1"/>
  <c r="A1240" i="1"/>
  <c r="B1240" i="1"/>
  <c r="A1241" i="1"/>
  <c r="B1241" i="1"/>
  <c r="A1242" i="1"/>
  <c r="B1242" i="1"/>
  <c r="A1243" i="1"/>
  <c r="B1243" i="1"/>
  <c r="A1244" i="1"/>
  <c r="B1244" i="1"/>
  <c r="A1245" i="1"/>
  <c r="B1245" i="1"/>
  <c r="A1246" i="1"/>
  <c r="B1246" i="1"/>
  <c r="A1247" i="1"/>
  <c r="B1247" i="1"/>
  <c r="A1248" i="1"/>
  <c r="B1248" i="1"/>
  <c r="A1249" i="1"/>
  <c r="B1249" i="1"/>
  <c r="A1250" i="1"/>
  <c r="B1250" i="1"/>
  <c r="A1251" i="1"/>
  <c r="B1251" i="1"/>
  <c r="A1252" i="1"/>
  <c r="B1252" i="1"/>
  <c r="A1253" i="1"/>
  <c r="B1253" i="1"/>
  <c r="A1254" i="1"/>
  <c r="B1254" i="1"/>
  <c r="A1255" i="1"/>
  <c r="B1255" i="1"/>
  <c r="A1256" i="1"/>
  <c r="B1256" i="1"/>
  <c r="A1257" i="1"/>
  <c r="A1258" i="1"/>
  <c r="B1258" i="1"/>
  <c r="A1259" i="1"/>
  <c r="B1259" i="1"/>
  <c r="A1260" i="1"/>
  <c r="B1260" i="1"/>
  <c r="A1261" i="1"/>
  <c r="B1261" i="1"/>
  <c r="A1262" i="1"/>
  <c r="B1262" i="1"/>
  <c r="A1263" i="1"/>
  <c r="B1263" i="1"/>
  <c r="A1264" i="1"/>
  <c r="B1264" i="1"/>
  <c r="A1265" i="1"/>
  <c r="B1265" i="1"/>
  <c r="A1266" i="1"/>
  <c r="B1266" i="1"/>
  <c r="A1267" i="1"/>
  <c r="B1267" i="1"/>
  <c r="A1268" i="1"/>
  <c r="B1268" i="1"/>
  <c r="A1269" i="1"/>
  <c r="B1269" i="1"/>
  <c r="A1270" i="1"/>
  <c r="B1270" i="1"/>
  <c r="A1271" i="1"/>
  <c r="B1271" i="1"/>
  <c r="A1272" i="1"/>
  <c r="B1272" i="1"/>
  <c r="A1273" i="1"/>
  <c r="B1273" i="1"/>
  <c r="A1274" i="1"/>
  <c r="B1274" i="1"/>
  <c r="A1275" i="1"/>
  <c r="B1275" i="1"/>
  <c r="A1276" i="1"/>
  <c r="B1276" i="1"/>
  <c r="A1277" i="1"/>
  <c r="B1277" i="1"/>
  <c r="A1278" i="1"/>
  <c r="B1278" i="1"/>
  <c r="A1279" i="1"/>
  <c r="B1279" i="1"/>
  <c r="A1280" i="1"/>
  <c r="B1280" i="1"/>
  <c r="A1281" i="1"/>
  <c r="B1281" i="1"/>
  <c r="A1282" i="1"/>
  <c r="B1282" i="1"/>
  <c r="A1283" i="1"/>
  <c r="B1283" i="1"/>
  <c r="A1284" i="1"/>
  <c r="B1284" i="1"/>
  <c r="A1285" i="1"/>
  <c r="B1285" i="1"/>
  <c r="A1286" i="1"/>
  <c r="B1286" i="1"/>
  <c r="A1287" i="1"/>
  <c r="B1287" i="1"/>
  <c r="A1288" i="1"/>
  <c r="B1288" i="1"/>
  <c r="A1289" i="1"/>
  <c r="B1289" i="1"/>
  <c r="A1290" i="1"/>
  <c r="B1290" i="1"/>
  <c r="A1291" i="1"/>
  <c r="A1292" i="1"/>
  <c r="B1292" i="1"/>
  <c r="A1293" i="1"/>
  <c r="B1293" i="1"/>
  <c r="A1294" i="1"/>
  <c r="B1294" i="1"/>
  <c r="A1295" i="1"/>
  <c r="B1295" i="1"/>
  <c r="A1296" i="1"/>
  <c r="B1296" i="1"/>
  <c r="A1297" i="1"/>
  <c r="B1297" i="1"/>
  <c r="A1298" i="1"/>
  <c r="B1298" i="1"/>
  <c r="A1299" i="1"/>
  <c r="B1299" i="1"/>
  <c r="A1300" i="1"/>
  <c r="B1300" i="1"/>
  <c r="A1301" i="1"/>
  <c r="B1301" i="1"/>
  <c r="A1302" i="1"/>
  <c r="B1302" i="1"/>
  <c r="A1303" i="1"/>
  <c r="B1303" i="1"/>
  <c r="A1304" i="1"/>
  <c r="B1304" i="1"/>
  <c r="A1305" i="1"/>
  <c r="B1305" i="1"/>
  <c r="A1306" i="1"/>
  <c r="B1306" i="1"/>
  <c r="A1307" i="1"/>
  <c r="B1307" i="1"/>
  <c r="A1308" i="1"/>
  <c r="B1308" i="1"/>
  <c r="A1309" i="1"/>
  <c r="B1309" i="1"/>
  <c r="A1310" i="1"/>
  <c r="B1310" i="1"/>
  <c r="A1311" i="1"/>
  <c r="B1311" i="1"/>
  <c r="A1312" i="1"/>
  <c r="B1312" i="1"/>
  <c r="A1313" i="1"/>
  <c r="B1313" i="1"/>
  <c r="A1314" i="1"/>
  <c r="B1314" i="1"/>
  <c r="A1315" i="1"/>
  <c r="B1315" i="1"/>
  <c r="A1316" i="1"/>
  <c r="B1316" i="1"/>
  <c r="A1317" i="1"/>
  <c r="B1317" i="1"/>
  <c r="A1318" i="1"/>
  <c r="B1318" i="1"/>
  <c r="A1319" i="1"/>
  <c r="B1319" i="1"/>
  <c r="A1320" i="1"/>
  <c r="B1320" i="1"/>
  <c r="A1321" i="1"/>
  <c r="A1322" i="1"/>
  <c r="A1323" i="1"/>
  <c r="B1323" i="1"/>
  <c r="A1324" i="1"/>
  <c r="B1324" i="1"/>
  <c r="A1325" i="1"/>
  <c r="B1325" i="1"/>
  <c r="A1326" i="1"/>
  <c r="B1326" i="1"/>
  <c r="A1327" i="1"/>
  <c r="B1327" i="1"/>
  <c r="A1328" i="1"/>
  <c r="B1328" i="1"/>
  <c r="A1329" i="1"/>
  <c r="B1329" i="1"/>
  <c r="A1330" i="1"/>
  <c r="B1330" i="1"/>
  <c r="A1331" i="1"/>
  <c r="B1331" i="1"/>
  <c r="A1332" i="1"/>
  <c r="B1332" i="1"/>
  <c r="A1333" i="1"/>
  <c r="B1333" i="1"/>
  <c r="A1334" i="1"/>
  <c r="B1334" i="1"/>
  <c r="A1335" i="1"/>
  <c r="B1335" i="1"/>
  <c r="A1336" i="1"/>
  <c r="B1336" i="1"/>
  <c r="A1337" i="1"/>
  <c r="B1337" i="1"/>
  <c r="A1338" i="1"/>
  <c r="B1338" i="1"/>
  <c r="A1339" i="1"/>
  <c r="B1339" i="1"/>
  <c r="A1340" i="1"/>
  <c r="B1340" i="1"/>
  <c r="A1341" i="1"/>
  <c r="B1341" i="1"/>
  <c r="A1342" i="1"/>
  <c r="B1342" i="1"/>
  <c r="A1343" i="1"/>
  <c r="B1343" i="1"/>
  <c r="A1344" i="1"/>
  <c r="A1345" i="1"/>
  <c r="B1345" i="1"/>
  <c r="A1346" i="1"/>
  <c r="B1346" i="1"/>
  <c r="A1347" i="1"/>
  <c r="A1348" i="1"/>
  <c r="B1348" i="1"/>
  <c r="A1349" i="1"/>
  <c r="B1349" i="1"/>
  <c r="A1350" i="1"/>
  <c r="B1350" i="1"/>
  <c r="A1351" i="1"/>
  <c r="B1351" i="1"/>
  <c r="A1352" i="1"/>
  <c r="B1352" i="1"/>
  <c r="A1353" i="1"/>
  <c r="B1353" i="1"/>
  <c r="A1354" i="1"/>
  <c r="B1354" i="1"/>
  <c r="A1355" i="1"/>
  <c r="B1355" i="1"/>
  <c r="A1356" i="1"/>
  <c r="B1356" i="1"/>
  <c r="A1357" i="1"/>
  <c r="B1357" i="1"/>
  <c r="A1358" i="1"/>
  <c r="B1358" i="1"/>
  <c r="A1359" i="1"/>
  <c r="B1359" i="1"/>
  <c r="A1360" i="1"/>
  <c r="B1360" i="1"/>
  <c r="A1361" i="1"/>
  <c r="B1361" i="1"/>
  <c r="A1362" i="1"/>
  <c r="B1362" i="1"/>
  <c r="A1363" i="1"/>
  <c r="B1363" i="1"/>
  <c r="A1364" i="1"/>
  <c r="B1364" i="1"/>
  <c r="A1365" i="1"/>
  <c r="B1365" i="1"/>
  <c r="A1366" i="1"/>
  <c r="B1366" i="1"/>
  <c r="A1367" i="1"/>
  <c r="B1367" i="1"/>
  <c r="A1368" i="1"/>
  <c r="B1368" i="1"/>
  <c r="A1369" i="1"/>
  <c r="B1369" i="1"/>
  <c r="A1370" i="1"/>
  <c r="B1370" i="1"/>
  <c r="A1371" i="1"/>
  <c r="B1371" i="1"/>
  <c r="A1372" i="1"/>
  <c r="A1373" i="1"/>
  <c r="B1373" i="1"/>
  <c r="A1374" i="1"/>
  <c r="B1374" i="1"/>
  <c r="A1375" i="1"/>
  <c r="B1375" i="1"/>
  <c r="A1376" i="1"/>
  <c r="B1376" i="1"/>
  <c r="A1377" i="1"/>
  <c r="B1377" i="1"/>
  <c r="A1378" i="1"/>
  <c r="B1378" i="1"/>
  <c r="A1379" i="1"/>
  <c r="B1379" i="1"/>
  <c r="A1380" i="1"/>
  <c r="B1380" i="1"/>
  <c r="A1381" i="1"/>
  <c r="B1381" i="1"/>
  <c r="A1382" i="1"/>
  <c r="B1382" i="1"/>
  <c r="A1383" i="1"/>
  <c r="B1383" i="1"/>
  <c r="A1384" i="1"/>
  <c r="B1384" i="1"/>
  <c r="A1385" i="1"/>
  <c r="B1385" i="1"/>
  <c r="A1386" i="1"/>
  <c r="B1386" i="1"/>
  <c r="A1387" i="1"/>
  <c r="B1387" i="1"/>
  <c r="A1388" i="1"/>
  <c r="B1388" i="1"/>
  <c r="A1389" i="1"/>
  <c r="B1389" i="1"/>
  <c r="A1390" i="1"/>
  <c r="B1390" i="1"/>
  <c r="A1391" i="1"/>
  <c r="B1391" i="1"/>
  <c r="A1392" i="1"/>
  <c r="B1392" i="1"/>
  <c r="A1393" i="1"/>
  <c r="B1393" i="1"/>
  <c r="A1394" i="1"/>
  <c r="B1394" i="1"/>
  <c r="A1395" i="1"/>
  <c r="B1395" i="1"/>
  <c r="A1396" i="1"/>
  <c r="B1396" i="1"/>
  <c r="A1397" i="1"/>
  <c r="B1397" i="1"/>
  <c r="A1398" i="1"/>
  <c r="B1398" i="1"/>
  <c r="A1399" i="1"/>
  <c r="A1400" i="1"/>
  <c r="B1400" i="1"/>
  <c r="A1401" i="1"/>
  <c r="A1402" i="1"/>
  <c r="B1402" i="1"/>
  <c r="A1403" i="1"/>
  <c r="B1403" i="1"/>
  <c r="A1404" i="1"/>
  <c r="B1404" i="1"/>
  <c r="A1405" i="1"/>
  <c r="B1405" i="1"/>
  <c r="A1406" i="1"/>
  <c r="B1406" i="1"/>
  <c r="A1407" i="1"/>
  <c r="B1407" i="1"/>
  <c r="A1408" i="1"/>
  <c r="A1409" i="1"/>
  <c r="B1409" i="1"/>
  <c r="A1410" i="1"/>
  <c r="A1411" i="1"/>
  <c r="B1411" i="1"/>
  <c r="A1412" i="1"/>
  <c r="B1412" i="1"/>
  <c r="A1413" i="1"/>
  <c r="B1413" i="1"/>
  <c r="A1414" i="1"/>
  <c r="B1414" i="1"/>
  <c r="A1415" i="1"/>
  <c r="B1415" i="1"/>
  <c r="A1416" i="1"/>
  <c r="B1416" i="1"/>
  <c r="A1417" i="1"/>
  <c r="B1417" i="1"/>
  <c r="A1418" i="1"/>
  <c r="B1418" i="1"/>
  <c r="A1419" i="1"/>
  <c r="B1419" i="1"/>
  <c r="A1420" i="1"/>
  <c r="B1420" i="1"/>
  <c r="A1421" i="1"/>
  <c r="B1421" i="1"/>
  <c r="A1422" i="1"/>
  <c r="B1422" i="1"/>
  <c r="A1423" i="1"/>
  <c r="B1423" i="1"/>
  <c r="A1424" i="1"/>
  <c r="B1424" i="1"/>
  <c r="A1425" i="1"/>
  <c r="B1425" i="1"/>
  <c r="A1426" i="1"/>
  <c r="B1426" i="1"/>
  <c r="A1427" i="1"/>
  <c r="B1427" i="1"/>
  <c r="A1428" i="1"/>
  <c r="B1428" i="1"/>
  <c r="A1429" i="1"/>
  <c r="B1429" i="1"/>
  <c r="A1430" i="1"/>
  <c r="B1430" i="1"/>
  <c r="A1431" i="1"/>
  <c r="B1431" i="1"/>
  <c r="A1432" i="1"/>
  <c r="A1433" i="1"/>
  <c r="B1433" i="1"/>
  <c r="A1434" i="1"/>
  <c r="B1434" i="1"/>
  <c r="A1435" i="1"/>
  <c r="B1435" i="1"/>
  <c r="A1436" i="1"/>
  <c r="B1436" i="1"/>
  <c r="A1437" i="1"/>
  <c r="B1437" i="1"/>
  <c r="A1438" i="1"/>
  <c r="B1438" i="1"/>
  <c r="A1439" i="1"/>
  <c r="B1439" i="1"/>
  <c r="A1440" i="1"/>
  <c r="B1440" i="1"/>
  <c r="A1441" i="1"/>
  <c r="B1441" i="1"/>
  <c r="A1442" i="1"/>
  <c r="B1442" i="1"/>
  <c r="A1443" i="1"/>
  <c r="B1443" i="1"/>
  <c r="A1444" i="1"/>
  <c r="B1444" i="1"/>
  <c r="A1445" i="1"/>
  <c r="B1445" i="1"/>
  <c r="A1446" i="1"/>
  <c r="B1446" i="1"/>
  <c r="A1447" i="1"/>
  <c r="B1447" i="1"/>
  <c r="A1448" i="1"/>
  <c r="A1449" i="1"/>
  <c r="B1449" i="1"/>
  <c r="A1450" i="1"/>
  <c r="B1450" i="1"/>
  <c r="A1451" i="1"/>
  <c r="B1451" i="1"/>
  <c r="A1452" i="1"/>
  <c r="B1452" i="1"/>
  <c r="A1453" i="1"/>
  <c r="B1453" i="1"/>
  <c r="A1454" i="1"/>
  <c r="B1454" i="1"/>
  <c r="A1455" i="1"/>
  <c r="B1455" i="1"/>
  <c r="A1456" i="1"/>
  <c r="B1456" i="1"/>
  <c r="A1457" i="1"/>
  <c r="B1457" i="1"/>
  <c r="A1458" i="1"/>
  <c r="B1458" i="1"/>
  <c r="A1459" i="1"/>
  <c r="B1459" i="1"/>
  <c r="A1460" i="1"/>
  <c r="B1460" i="1"/>
  <c r="A1461" i="1"/>
  <c r="B1461" i="1"/>
  <c r="A1462" i="1"/>
  <c r="B1462" i="1"/>
  <c r="A1463" i="1"/>
  <c r="B1463" i="1"/>
  <c r="A1464" i="1"/>
  <c r="B1464" i="1"/>
  <c r="A1465" i="1"/>
  <c r="B1465" i="1"/>
  <c r="B1466" i="1"/>
  <c r="A1467" i="1"/>
  <c r="B1467" i="1"/>
  <c r="A1468" i="1"/>
  <c r="B1468" i="1"/>
  <c r="A1469" i="1"/>
  <c r="B1469" i="1"/>
  <c r="A1470" i="1"/>
  <c r="B1470" i="1"/>
  <c r="A1471" i="1"/>
  <c r="B1471" i="1"/>
  <c r="A1472" i="1"/>
  <c r="B1472" i="1"/>
  <c r="A1473" i="1"/>
  <c r="B1473" i="1"/>
  <c r="A1474" i="1"/>
  <c r="B1474" i="1"/>
  <c r="A1475" i="1"/>
  <c r="B1475" i="1"/>
  <c r="A1476" i="1"/>
  <c r="B1476" i="1"/>
  <c r="A1477" i="1"/>
  <c r="B1477" i="1"/>
  <c r="A1478" i="1"/>
  <c r="B1478" i="1"/>
  <c r="A1479" i="1"/>
  <c r="B1479" i="1"/>
  <c r="A1480" i="1"/>
  <c r="B1480" i="1"/>
  <c r="A1481" i="1"/>
  <c r="B1481" i="1"/>
  <c r="A1482" i="1"/>
  <c r="B1482" i="1"/>
  <c r="A1483" i="1"/>
  <c r="B1483" i="1"/>
  <c r="A1484" i="1"/>
  <c r="B1484" i="1"/>
  <c r="A1485" i="1"/>
  <c r="B1485" i="1"/>
  <c r="A1486" i="1"/>
  <c r="B1486" i="1"/>
  <c r="A1487" i="1"/>
  <c r="B1487" i="1"/>
  <c r="A1488" i="1"/>
  <c r="B1488" i="1"/>
  <c r="A1489" i="1"/>
  <c r="B1489" i="1"/>
  <c r="A1490" i="1"/>
  <c r="B1490" i="1"/>
  <c r="A1491" i="1"/>
  <c r="B1491" i="1"/>
  <c r="A1492" i="1"/>
  <c r="B1492" i="1"/>
  <c r="A1493" i="1"/>
  <c r="B1493" i="1"/>
  <c r="A1494" i="1"/>
  <c r="B1494" i="1"/>
  <c r="A1495" i="1"/>
  <c r="B1495" i="1"/>
  <c r="A1496" i="1"/>
  <c r="B1496" i="1"/>
  <c r="A1497" i="1"/>
  <c r="A1498" i="1"/>
  <c r="B1498" i="1"/>
  <c r="A1499" i="1"/>
  <c r="B1499" i="1"/>
  <c r="A1500" i="1"/>
  <c r="B1500" i="1"/>
  <c r="A1501" i="1"/>
  <c r="B1501" i="1"/>
  <c r="A1502" i="1"/>
  <c r="B1502" i="1"/>
  <c r="A1503" i="1"/>
  <c r="B1503" i="1"/>
  <c r="A1504" i="1"/>
  <c r="B1504" i="1"/>
  <c r="A1505" i="1"/>
  <c r="B1505" i="1"/>
  <c r="A1506" i="1"/>
  <c r="B1506" i="1"/>
  <c r="A1507" i="1"/>
  <c r="B1507" i="1"/>
  <c r="A1508" i="1"/>
  <c r="B1508" i="1"/>
  <c r="A1509" i="1"/>
  <c r="B1509" i="1"/>
  <c r="A1510" i="1"/>
  <c r="B1510" i="1"/>
  <c r="A1511" i="1"/>
  <c r="B1511" i="1"/>
  <c r="A1512" i="1"/>
  <c r="B1512" i="1"/>
  <c r="A1513" i="1"/>
  <c r="B1513" i="1"/>
  <c r="A1514" i="1"/>
  <c r="B1514" i="1"/>
  <c r="A1515" i="1"/>
  <c r="B1515" i="1"/>
  <c r="A1516" i="1"/>
  <c r="B1516" i="1"/>
  <c r="A1517" i="1"/>
  <c r="B1517" i="1"/>
  <c r="A1518" i="1"/>
  <c r="B1518" i="1"/>
  <c r="A1519" i="1"/>
  <c r="B1519" i="1"/>
  <c r="A1520" i="1"/>
  <c r="B1520" i="1"/>
  <c r="A1521" i="1"/>
  <c r="B1521" i="1"/>
  <c r="A1522" i="1"/>
  <c r="B1522" i="1"/>
  <c r="A1523" i="1"/>
  <c r="B1523" i="1"/>
  <c r="A1524" i="1"/>
  <c r="B1524" i="1"/>
  <c r="A1525" i="1"/>
  <c r="A1526" i="1"/>
  <c r="B1526" i="1"/>
  <c r="A1527" i="1"/>
  <c r="B1527" i="1"/>
  <c r="A1528" i="1"/>
  <c r="B1528" i="1"/>
  <c r="A1529" i="1"/>
  <c r="B1529" i="1"/>
  <c r="A1530" i="1"/>
  <c r="B1530" i="1"/>
  <c r="A1531" i="1"/>
  <c r="B1531" i="1"/>
  <c r="A1532" i="1"/>
  <c r="B1532" i="1"/>
  <c r="A1533" i="1"/>
  <c r="B1533" i="1"/>
  <c r="A1534" i="1"/>
  <c r="B1534" i="1"/>
  <c r="A1535" i="1"/>
  <c r="B1535" i="1"/>
  <c r="A1536" i="1"/>
  <c r="B1536" i="1"/>
  <c r="A1537" i="1"/>
  <c r="B1537" i="1"/>
  <c r="A1538" i="1"/>
  <c r="B1538" i="1"/>
  <c r="A1539" i="1"/>
  <c r="B1539" i="1"/>
  <c r="A1540" i="1"/>
  <c r="B1540" i="1"/>
  <c r="A1541" i="1"/>
  <c r="B1541" i="1"/>
  <c r="A1542" i="1"/>
  <c r="B1542" i="1"/>
  <c r="A1543" i="1"/>
  <c r="B1543" i="1"/>
  <c r="A1544" i="1"/>
  <c r="B1544" i="1"/>
  <c r="A1545" i="1"/>
  <c r="B1545" i="1"/>
  <c r="A1546" i="1"/>
  <c r="B1546" i="1"/>
  <c r="A1547" i="1"/>
  <c r="B1547" i="1"/>
  <c r="A1548" i="1"/>
  <c r="B1548" i="1"/>
  <c r="A1549" i="1"/>
  <c r="B1549" i="1"/>
  <c r="A1550" i="1"/>
  <c r="B1550" i="1"/>
  <c r="A1551" i="1"/>
  <c r="B1551" i="1"/>
  <c r="A1552" i="1"/>
  <c r="B1552" i="1"/>
  <c r="A1553" i="1"/>
  <c r="B1553" i="1"/>
  <c r="A1554" i="1"/>
  <c r="B1554" i="1"/>
  <c r="A1555" i="1"/>
  <c r="B1555" i="1"/>
  <c r="A1556" i="1"/>
  <c r="B1556" i="1"/>
  <c r="A1557" i="1"/>
  <c r="B1557" i="1"/>
  <c r="A1558" i="1"/>
  <c r="B1558" i="1"/>
  <c r="A1559" i="1"/>
  <c r="B1559" i="1"/>
  <c r="A1560" i="1"/>
  <c r="B1560" i="1"/>
  <c r="A1561" i="1"/>
  <c r="B1561" i="1"/>
  <c r="A1562" i="1"/>
  <c r="B1562" i="1"/>
  <c r="A1563" i="1"/>
  <c r="B1563" i="1"/>
  <c r="A1564" i="1"/>
  <c r="B1564" i="1"/>
  <c r="A1565" i="1"/>
  <c r="B1565" i="1"/>
  <c r="A1566" i="1"/>
  <c r="B1566" i="1"/>
  <c r="A1567" i="1"/>
  <c r="B1567" i="1"/>
  <c r="A1568" i="1"/>
  <c r="B1568" i="1"/>
  <c r="A1569" i="1"/>
  <c r="B1569" i="1"/>
  <c r="A1570" i="1"/>
  <c r="B1570" i="1"/>
  <c r="A1571" i="1"/>
  <c r="B1571" i="1"/>
  <c r="A1572" i="1"/>
  <c r="B1572" i="1"/>
  <c r="A1573" i="1"/>
  <c r="A1574" i="1"/>
  <c r="B1574" i="1"/>
  <c r="A1575" i="1"/>
  <c r="B1575" i="1"/>
  <c r="A1576" i="1"/>
  <c r="B1576" i="1"/>
  <c r="A1577" i="1"/>
  <c r="B1577" i="1"/>
  <c r="A1578" i="1"/>
  <c r="B1578" i="1"/>
  <c r="A1579" i="1"/>
  <c r="B1579" i="1"/>
  <c r="A1580" i="1"/>
  <c r="B1580" i="1"/>
  <c r="A1581" i="1"/>
  <c r="B1581" i="1"/>
  <c r="A1582" i="1"/>
  <c r="A1583" i="1"/>
  <c r="B1583" i="1"/>
  <c r="A1584" i="1"/>
  <c r="A1585" i="1"/>
  <c r="B1585" i="1"/>
  <c r="A1586" i="1"/>
  <c r="B1586" i="1"/>
  <c r="A1587" i="1"/>
  <c r="A1588" i="1"/>
  <c r="B1588" i="1"/>
  <c r="A1589" i="1"/>
  <c r="B1589" i="1"/>
  <c r="A1590" i="1"/>
  <c r="B1590" i="1"/>
  <c r="A1591" i="1"/>
  <c r="A1592" i="1"/>
  <c r="B1592" i="1"/>
  <c r="A1593" i="1"/>
  <c r="B1593" i="1"/>
  <c r="A1594" i="1"/>
  <c r="B1594" i="1"/>
  <c r="A1595" i="1"/>
  <c r="B1595" i="1"/>
  <c r="A1596" i="1"/>
  <c r="B1596" i="1"/>
  <c r="A1597" i="1"/>
  <c r="B1597" i="1"/>
  <c r="A1598" i="1"/>
  <c r="B1598" i="1"/>
  <c r="A1599" i="1"/>
  <c r="A1600" i="1"/>
  <c r="B1600" i="1"/>
  <c r="A1601" i="1"/>
  <c r="B1601" i="1"/>
  <c r="A1602" i="1"/>
  <c r="B1602" i="1"/>
  <c r="A1603" i="1"/>
  <c r="B1603" i="1"/>
  <c r="A1604" i="1"/>
  <c r="B1604" i="1"/>
  <c r="A1605" i="1"/>
  <c r="B1605" i="1"/>
  <c r="A1606" i="1"/>
  <c r="B1606" i="1"/>
  <c r="A1607" i="1"/>
  <c r="B1607" i="1"/>
  <c r="A1608" i="1"/>
  <c r="B1608" i="1"/>
  <c r="A1609" i="1"/>
  <c r="B1609" i="1"/>
  <c r="A1610" i="1"/>
  <c r="B1610" i="1"/>
  <c r="A1611" i="1"/>
  <c r="B1611" i="1"/>
  <c r="A1612" i="1"/>
  <c r="B1612" i="1"/>
  <c r="A1613" i="1"/>
  <c r="B1613" i="1"/>
  <c r="A1614" i="1"/>
  <c r="B1614" i="1"/>
  <c r="A1615" i="1"/>
  <c r="B1615" i="1"/>
  <c r="A1616" i="1"/>
  <c r="B1616" i="1"/>
  <c r="A1617" i="1"/>
  <c r="B1617" i="1"/>
  <c r="A1618" i="1"/>
  <c r="B1618" i="1"/>
  <c r="A1619" i="1"/>
  <c r="B1619" i="1"/>
  <c r="A1620" i="1"/>
  <c r="B1620" i="1"/>
  <c r="A1621" i="1"/>
  <c r="B1621" i="1"/>
  <c r="A1622" i="1"/>
  <c r="B1622" i="1"/>
  <c r="A1623" i="1"/>
  <c r="B1623" i="1"/>
  <c r="A1624" i="1"/>
  <c r="B1624" i="1"/>
  <c r="A1625" i="1"/>
  <c r="B1625" i="1"/>
  <c r="A1626" i="1"/>
  <c r="B1626" i="1"/>
  <c r="A1627" i="1"/>
  <c r="B1627" i="1"/>
  <c r="A1628" i="1"/>
  <c r="B1628" i="1"/>
  <c r="A1629" i="1"/>
  <c r="B1629" i="1"/>
  <c r="A1630" i="1"/>
  <c r="B1630" i="1"/>
  <c r="A1631" i="1"/>
  <c r="B1631" i="1"/>
  <c r="A1632" i="1"/>
  <c r="B1632" i="1"/>
  <c r="A1633" i="1"/>
  <c r="B1633" i="1"/>
  <c r="A1634" i="1"/>
  <c r="B1634" i="1"/>
  <c r="A1635" i="1"/>
  <c r="B1635" i="1"/>
  <c r="A1636" i="1"/>
  <c r="B1636" i="1"/>
  <c r="A1637" i="1"/>
  <c r="B1637" i="1"/>
  <c r="A1638" i="1"/>
  <c r="B1638" i="1"/>
  <c r="A1639" i="1"/>
  <c r="B1639" i="1"/>
  <c r="A1640" i="1"/>
  <c r="B1640" i="1"/>
  <c r="A1641" i="1"/>
  <c r="B1641" i="1"/>
  <c r="A1642" i="1"/>
  <c r="B1642" i="1"/>
  <c r="A1643" i="1"/>
  <c r="B1643" i="1"/>
  <c r="A1644" i="1"/>
  <c r="B1644" i="1"/>
  <c r="A1645" i="1"/>
  <c r="B1645" i="1"/>
  <c r="A1646" i="1"/>
  <c r="B1646" i="1"/>
  <c r="A1647" i="1"/>
  <c r="B1647" i="1"/>
  <c r="A1648" i="1"/>
  <c r="B1648" i="1"/>
  <c r="A1649" i="1"/>
  <c r="A1650" i="1"/>
  <c r="B1650" i="1"/>
  <c r="A1651" i="1"/>
  <c r="B1651" i="1"/>
  <c r="A1652" i="1"/>
  <c r="B1652" i="1"/>
  <c r="A1653" i="1"/>
  <c r="B1653" i="1"/>
  <c r="A1654" i="1"/>
  <c r="B1654" i="1"/>
  <c r="A1655" i="1"/>
  <c r="B1655" i="1"/>
  <c r="A1656" i="1"/>
  <c r="B1656" i="1"/>
  <c r="A1657" i="1"/>
  <c r="B1657" i="1"/>
  <c r="A1658" i="1"/>
  <c r="B1658" i="1"/>
  <c r="A1659" i="1"/>
  <c r="B1659" i="1"/>
  <c r="A1660" i="1"/>
  <c r="B1660" i="1"/>
  <c r="A1661" i="1"/>
  <c r="B1661" i="1"/>
  <c r="A1662" i="1"/>
  <c r="B1662" i="1"/>
  <c r="A1663" i="1"/>
  <c r="B1663" i="1"/>
  <c r="A1664" i="1"/>
  <c r="B1664" i="1"/>
  <c r="A1665" i="1"/>
  <c r="A1666" i="1"/>
  <c r="B1666" i="1"/>
  <c r="A1667" i="1"/>
  <c r="B1667" i="1"/>
  <c r="A1668" i="1"/>
  <c r="B1668" i="1"/>
  <c r="A1669" i="1"/>
  <c r="A1670" i="1"/>
  <c r="B1670" i="1"/>
  <c r="A1671" i="1"/>
  <c r="B1671" i="1"/>
  <c r="A1672" i="1"/>
  <c r="A1673" i="1"/>
  <c r="B1673" i="1"/>
  <c r="A1674" i="1"/>
  <c r="B1674" i="1"/>
  <c r="A1675" i="1"/>
  <c r="B1675" i="1"/>
  <c r="A1676" i="1"/>
  <c r="B1676" i="1"/>
  <c r="A1677" i="1"/>
  <c r="B1677" i="1"/>
  <c r="A1678" i="1"/>
  <c r="B1678" i="1"/>
  <c r="A1679" i="1"/>
  <c r="B1679" i="1"/>
  <c r="A1680" i="1"/>
  <c r="B1680" i="1"/>
  <c r="A1681" i="1"/>
  <c r="B1681" i="1"/>
  <c r="A1682" i="1"/>
  <c r="B1682" i="1"/>
  <c r="A1683" i="1"/>
  <c r="B1683" i="1"/>
  <c r="A1684" i="1"/>
  <c r="B1684" i="1"/>
  <c r="A1685" i="1"/>
  <c r="B1685" i="1"/>
  <c r="A1686" i="1"/>
  <c r="B1686" i="1"/>
  <c r="A1687" i="1"/>
  <c r="B1687" i="1"/>
  <c r="A1688" i="1"/>
  <c r="B1688" i="1"/>
  <c r="A1689" i="1"/>
  <c r="B1689" i="1"/>
  <c r="A1690" i="1"/>
  <c r="A1691" i="1"/>
  <c r="B1691" i="1"/>
  <c r="A1692" i="1"/>
  <c r="B1692" i="1"/>
  <c r="A1693" i="1"/>
  <c r="B1693" i="1"/>
  <c r="A1694" i="1"/>
  <c r="B1694" i="1"/>
  <c r="A1695" i="1"/>
  <c r="B1695" i="1"/>
  <c r="A1696" i="1"/>
  <c r="B1696" i="1"/>
  <c r="A1697" i="1"/>
  <c r="B1697" i="1"/>
  <c r="A1698" i="1"/>
  <c r="B1698" i="1"/>
  <c r="A1699" i="1"/>
  <c r="B1699" i="1"/>
  <c r="A1700" i="1"/>
  <c r="B1700" i="1"/>
  <c r="A1701" i="1"/>
  <c r="B1701" i="1"/>
  <c r="A1702" i="1"/>
  <c r="B1702" i="1"/>
  <c r="A1703" i="1"/>
  <c r="B1703" i="1"/>
  <c r="A1704" i="1"/>
  <c r="B1704" i="1"/>
  <c r="A1705" i="1"/>
  <c r="B1705" i="1"/>
  <c r="A1706" i="1"/>
  <c r="B1706" i="1"/>
  <c r="A1707" i="1"/>
  <c r="B1707" i="1"/>
  <c r="A1708" i="1"/>
  <c r="B1708" i="1"/>
  <c r="A1709" i="1"/>
  <c r="B1709" i="1"/>
  <c r="A1710" i="1"/>
  <c r="B1710" i="1"/>
  <c r="A1711" i="1"/>
  <c r="B1711" i="1"/>
  <c r="A1712" i="1"/>
  <c r="B1712" i="1"/>
  <c r="A1713" i="1"/>
  <c r="B1713" i="1"/>
  <c r="A1714" i="1"/>
  <c r="B1714" i="1"/>
  <c r="A1715" i="1"/>
  <c r="B1715" i="1"/>
  <c r="A1716" i="1"/>
  <c r="B1716" i="1"/>
  <c r="A1717" i="1"/>
  <c r="B1717" i="1"/>
  <c r="A1718" i="1"/>
  <c r="B1718" i="1"/>
  <c r="A1719" i="1"/>
  <c r="B1719" i="1"/>
  <c r="A1720" i="1"/>
  <c r="A1721" i="1"/>
  <c r="B1721" i="1"/>
  <c r="A1722" i="1"/>
  <c r="B1722" i="1"/>
  <c r="A1723" i="1"/>
  <c r="B1723" i="1"/>
  <c r="A1724" i="1"/>
  <c r="B1724" i="1"/>
  <c r="A1725" i="1"/>
  <c r="A1726" i="1"/>
  <c r="B1726" i="1"/>
  <c r="A1727" i="1"/>
  <c r="B1727" i="1"/>
  <c r="A1728" i="1"/>
  <c r="B1728" i="1"/>
  <c r="A1729" i="1"/>
  <c r="A1730" i="1"/>
  <c r="B1730" i="1"/>
  <c r="A1731" i="1"/>
  <c r="B1731" i="1"/>
  <c r="A1732" i="1"/>
  <c r="B1732" i="1"/>
  <c r="A1733" i="1"/>
  <c r="B1733" i="1"/>
  <c r="A1734" i="1"/>
  <c r="B1734" i="1"/>
  <c r="A1735" i="1"/>
  <c r="B1735" i="1"/>
  <c r="A1736" i="1"/>
  <c r="B1736" i="1"/>
  <c r="A1737" i="1"/>
  <c r="B1737" i="1"/>
  <c r="A1738" i="1"/>
  <c r="B1738" i="1"/>
  <c r="A1739" i="1"/>
  <c r="B1739" i="1"/>
  <c r="A1740" i="1"/>
  <c r="B1740" i="1"/>
  <c r="A1741" i="1"/>
  <c r="B1741" i="1"/>
  <c r="A1742" i="1"/>
  <c r="B1742" i="1"/>
  <c r="A1743" i="1"/>
  <c r="B1743" i="1"/>
  <c r="A1744" i="1"/>
  <c r="B1744" i="1"/>
  <c r="A1745" i="1"/>
  <c r="B1745" i="1"/>
  <c r="A1746" i="1"/>
  <c r="B1746" i="1"/>
  <c r="A1747" i="1"/>
  <c r="B1747" i="1"/>
  <c r="A1748" i="1"/>
  <c r="A1749" i="1"/>
  <c r="B1749" i="1"/>
  <c r="A1750" i="1"/>
  <c r="B1750" i="1"/>
  <c r="A1751" i="1"/>
  <c r="B1751" i="1"/>
  <c r="A1752" i="1"/>
  <c r="B1752" i="1"/>
  <c r="A1753" i="1"/>
  <c r="B1753" i="1"/>
  <c r="A1754" i="1"/>
  <c r="B1754" i="1"/>
  <c r="A1755" i="1"/>
  <c r="B1755" i="1"/>
  <c r="A1756" i="1"/>
  <c r="B1756" i="1"/>
  <c r="A1757" i="1"/>
  <c r="B1757" i="1"/>
  <c r="A1758" i="1"/>
  <c r="B1758" i="1"/>
  <c r="A1759" i="1"/>
  <c r="B1759" i="1"/>
  <c r="A1760" i="1"/>
  <c r="B1760" i="1"/>
  <c r="A1761" i="1"/>
  <c r="B1761" i="1"/>
  <c r="A1762" i="1"/>
  <c r="B1762" i="1"/>
  <c r="A1763" i="1"/>
  <c r="B1763" i="1"/>
  <c r="A1764" i="1"/>
  <c r="B1764" i="1"/>
  <c r="A1765" i="1"/>
  <c r="B1765" i="1"/>
  <c r="A1766" i="1"/>
  <c r="B1766" i="1"/>
  <c r="A1767" i="1"/>
  <c r="B1767" i="1"/>
  <c r="A1768" i="1"/>
  <c r="B1768" i="1"/>
  <c r="A1769" i="1"/>
  <c r="B1769" i="1"/>
  <c r="A1770" i="1"/>
  <c r="B1770" i="1"/>
  <c r="A1771" i="1"/>
  <c r="B1771" i="1"/>
  <c r="A1772" i="1"/>
  <c r="B1772" i="1"/>
  <c r="A1773" i="1"/>
  <c r="B1773" i="1"/>
  <c r="A1774" i="1"/>
  <c r="B1774" i="1"/>
  <c r="A1775" i="1"/>
  <c r="B1775" i="1"/>
  <c r="A1776" i="1"/>
  <c r="A1777" i="1"/>
  <c r="B1777" i="1"/>
  <c r="A1778" i="1"/>
  <c r="B1778" i="1"/>
  <c r="A1779" i="1"/>
  <c r="B1779" i="1"/>
  <c r="A1780" i="1"/>
  <c r="B1780" i="1"/>
  <c r="A1781" i="1"/>
  <c r="B1781" i="1"/>
  <c r="A1782" i="1"/>
  <c r="B1782" i="1"/>
  <c r="A1783" i="1"/>
  <c r="B1783" i="1"/>
  <c r="A1784" i="1"/>
  <c r="B1784" i="1"/>
  <c r="A1785" i="1"/>
  <c r="B1785" i="1"/>
  <c r="A1786" i="1"/>
  <c r="B1786" i="1"/>
  <c r="A1787" i="1"/>
  <c r="B1787" i="1"/>
  <c r="A1788" i="1"/>
  <c r="B1788" i="1"/>
  <c r="A1789" i="1"/>
  <c r="A1790" i="1"/>
  <c r="B1790" i="1"/>
  <c r="A1791" i="1"/>
  <c r="B1791" i="1"/>
  <c r="A1792" i="1"/>
  <c r="B1792" i="1"/>
  <c r="A1793" i="1"/>
  <c r="B1793" i="1"/>
  <c r="A1794" i="1"/>
  <c r="B1794" i="1"/>
  <c r="A1795" i="1"/>
  <c r="B1795" i="1"/>
  <c r="A1796" i="1"/>
  <c r="B1796" i="1"/>
  <c r="A1797" i="1"/>
  <c r="A1798" i="1"/>
  <c r="B1798" i="1"/>
  <c r="A1799" i="1"/>
  <c r="B1799" i="1"/>
  <c r="A1800" i="1"/>
  <c r="B1800" i="1"/>
  <c r="A1801" i="1"/>
  <c r="B1801" i="1"/>
  <c r="A1802" i="1"/>
  <c r="B1802" i="1"/>
  <c r="A1803" i="1"/>
  <c r="B1803" i="1"/>
  <c r="A1804" i="1"/>
  <c r="B1804" i="1"/>
  <c r="A1805" i="1"/>
  <c r="B1805" i="1"/>
  <c r="A1806" i="1"/>
  <c r="B1806" i="1"/>
  <c r="A1807" i="1"/>
  <c r="B1807" i="1"/>
  <c r="A1808" i="1"/>
  <c r="B1808" i="1"/>
  <c r="A1809" i="1"/>
  <c r="A1810" i="1"/>
  <c r="B1810" i="1"/>
  <c r="A1811" i="1"/>
  <c r="B1811" i="1"/>
  <c r="A1812" i="1"/>
  <c r="B1812" i="1"/>
  <c r="A1813" i="1"/>
  <c r="B1813" i="1"/>
  <c r="A1814" i="1"/>
  <c r="B1814" i="1"/>
  <c r="A1815" i="1"/>
  <c r="B1815" i="1"/>
  <c r="A1816" i="1"/>
  <c r="B1816" i="1"/>
  <c r="A1817" i="1"/>
  <c r="B1817" i="1"/>
  <c r="A1818" i="1"/>
  <c r="B1818" i="1"/>
  <c r="A1819" i="1"/>
  <c r="B1819" i="1"/>
  <c r="A1820" i="1"/>
  <c r="B1820" i="1"/>
  <c r="A1821" i="1"/>
  <c r="B1821" i="1"/>
  <c r="A1822" i="1"/>
  <c r="B1822" i="1"/>
  <c r="A1823" i="1"/>
  <c r="B1823" i="1"/>
  <c r="A1824" i="1"/>
  <c r="B1824" i="1"/>
  <c r="A1825" i="1"/>
  <c r="B1825" i="1"/>
  <c r="A1826" i="1"/>
  <c r="B1826" i="1"/>
  <c r="A1827" i="1"/>
  <c r="B1827" i="1"/>
  <c r="A1828" i="1"/>
  <c r="B1828" i="1"/>
  <c r="A1829" i="1"/>
  <c r="B1829" i="1"/>
  <c r="A1830" i="1"/>
  <c r="B1830" i="1"/>
  <c r="A1831" i="1"/>
  <c r="B1831" i="1"/>
  <c r="A1832" i="1"/>
  <c r="B1832" i="1"/>
  <c r="A1833" i="1"/>
  <c r="B1833" i="1"/>
  <c r="A1834" i="1"/>
  <c r="B1834" i="1"/>
  <c r="A1835" i="1"/>
  <c r="B1835" i="1"/>
  <c r="A1836" i="1"/>
  <c r="B1836" i="1"/>
  <c r="A1837" i="1"/>
  <c r="B1837" i="1"/>
  <c r="A1838" i="1"/>
  <c r="B1838" i="1"/>
  <c r="A1839" i="1"/>
  <c r="B1839" i="1"/>
  <c r="A1840" i="1"/>
  <c r="B1840" i="1"/>
  <c r="A1841" i="1"/>
  <c r="B1841" i="1"/>
  <c r="A1842" i="1"/>
  <c r="B1842" i="1"/>
  <c r="A1843" i="1"/>
  <c r="B1843" i="1"/>
  <c r="A1844" i="1"/>
  <c r="B1844" i="1"/>
  <c r="A1845" i="1"/>
  <c r="B1845" i="1"/>
  <c r="A1846" i="1"/>
  <c r="B1846" i="1"/>
  <c r="A1847" i="1"/>
  <c r="B1847" i="1"/>
  <c r="A1848" i="1"/>
  <c r="B1848" i="1"/>
  <c r="A1849" i="1"/>
  <c r="B1849" i="1"/>
  <c r="A1850" i="1"/>
  <c r="B1850" i="1"/>
  <c r="A1851" i="1"/>
  <c r="B1851" i="1"/>
  <c r="A1852" i="1"/>
  <c r="B1852" i="1"/>
  <c r="A1853" i="1"/>
  <c r="B1853" i="1"/>
  <c r="A1854" i="1"/>
  <c r="B1854" i="1"/>
  <c r="A1855" i="1"/>
  <c r="B1855" i="1"/>
  <c r="A1856" i="1"/>
  <c r="B1856" i="1"/>
  <c r="A1857" i="1"/>
  <c r="B1857" i="1"/>
  <c r="A1858" i="1"/>
  <c r="B1858" i="1"/>
  <c r="A1859" i="1"/>
  <c r="B1859" i="1"/>
  <c r="A1860" i="1"/>
  <c r="B1860" i="1"/>
  <c r="A1861" i="1"/>
  <c r="B1861" i="1"/>
  <c r="A1862" i="1"/>
  <c r="B1862" i="1"/>
  <c r="A1863" i="1"/>
  <c r="A1864" i="1"/>
  <c r="B1864" i="1"/>
  <c r="A1865" i="1"/>
  <c r="B1865" i="1"/>
  <c r="A1866" i="1"/>
  <c r="B1866" i="1"/>
  <c r="A1867" i="1"/>
  <c r="A1868" i="1"/>
  <c r="B1868" i="1"/>
  <c r="A1869" i="1"/>
  <c r="B1869" i="1"/>
  <c r="A1870" i="1"/>
  <c r="B1870" i="1"/>
  <c r="A1871" i="1"/>
  <c r="B1871" i="1"/>
  <c r="A1872" i="1"/>
  <c r="B1872" i="1"/>
  <c r="A1873" i="1"/>
  <c r="B1873" i="1"/>
  <c r="A1874" i="1"/>
  <c r="B1874" i="1"/>
  <c r="A1875" i="1"/>
  <c r="B1875" i="1"/>
  <c r="A1876" i="1"/>
  <c r="B1876" i="1"/>
  <c r="A1877" i="1"/>
  <c r="B1877" i="1"/>
  <c r="A1878" i="1"/>
  <c r="B1878" i="1"/>
  <c r="A1879" i="1"/>
  <c r="B1879" i="1"/>
  <c r="A1880" i="1"/>
  <c r="B1880" i="1"/>
  <c r="A1881" i="1"/>
  <c r="B1881" i="1"/>
  <c r="A1882" i="1"/>
  <c r="B1882" i="1"/>
  <c r="A1883" i="1"/>
  <c r="B1883" i="1"/>
  <c r="A1884" i="1"/>
  <c r="B1884" i="1"/>
  <c r="A1885" i="1"/>
  <c r="B1885" i="1"/>
  <c r="A1886" i="1"/>
  <c r="B1886" i="1"/>
  <c r="A1887" i="1"/>
  <c r="B1887" i="1"/>
  <c r="A1888" i="1"/>
  <c r="B1888" i="1"/>
  <c r="A1889" i="1"/>
  <c r="B1889" i="1"/>
  <c r="A1890" i="1"/>
  <c r="B1890" i="1"/>
  <c r="A1891" i="1"/>
  <c r="B1891" i="1"/>
  <c r="A1892" i="1"/>
  <c r="B1892" i="1"/>
  <c r="A1893" i="1"/>
  <c r="B1893" i="1"/>
  <c r="A1894" i="1"/>
  <c r="B1894" i="1"/>
  <c r="A1895" i="1"/>
  <c r="B1895" i="1"/>
  <c r="A1896" i="1"/>
  <c r="B1896" i="1"/>
  <c r="A1897" i="1"/>
  <c r="B1897" i="1"/>
  <c r="A1898" i="1"/>
  <c r="B1898" i="1"/>
  <c r="A1899" i="1"/>
  <c r="B1899" i="1"/>
  <c r="A1900" i="1"/>
  <c r="B1900" i="1"/>
  <c r="A1901" i="1"/>
  <c r="B1901" i="1"/>
  <c r="A1902" i="1"/>
  <c r="B1902" i="1"/>
  <c r="A1903" i="1"/>
  <c r="B1903" i="1"/>
  <c r="A1904" i="1"/>
  <c r="B1904" i="1"/>
  <c r="A1905" i="1"/>
  <c r="B1905" i="1"/>
  <c r="A1906" i="1"/>
  <c r="B1906" i="1"/>
  <c r="A1907" i="1"/>
  <c r="B1907" i="1"/>
  <c r="A1908" i="1"/>
  <c r="B1908" i="1"/>
  <c r="A1909" i="1"/>
  <c r="B1909" i="1"/>
  <c r="A1910" i="1"/>
  <c r="B1910" i="1"/>
  <c r="A1911" i="1"/>
  <c r="B1911" i="1"/>
  <c r="A1912" i="1"/>
  <c r="B1912" i="1"/>
  <c r="A1913" i="1"/>
  <c r="A1914" i="1"/>
  <c r="B1914" i="1"/>
  <c r="A1915" i="1"/>
  <c r="B1915" i="1"/>
  <c r="A1916" i="1"/>
  <c r="B1916" i="1"/>
  <c r="A1917" i="1"/>
  <c r="B1917" i="1"/>
  <c r="A1918" i="1"/>
  <c r="B1918" i="1"/>
  <c r="A1919" i="1"/>
  <c r="B1919" i="1"/>
  <c r="A1920" i="1"/>
  <c r="A1921" i="1"/>
  <c r="B1921" i="1"/>
  <c r="A1922" i="1"/>
  <c r="B1922" i="1"/>
  <c r="A1923" i="1"/>
  <c r="B1923" i="1"/>
  <c r="A1924" i="1"/>
  <c r="B1924" i="1"/>
  <c r="A1925" i="1"/>
  <c r="B1925" i="1"/>
  <c r="A1926" i="1"/>
  <c r="B1926" i="1"/>
  <c r="A1927" i="1"/>
  <c r="B1927" i="1"/>
  <c r="A1928" i="1"/>
  <c r="B1928" i="1"/>
  <c r="A1929" i="1"/>
  <c r="B1929" i="1"/>
  <c r="A1930" i="1"/>
  <c r="B1930" i="1"/>
  <c r="A1931" i="1"/>
  <c r="B1931" i="1"/>
  <c r="A1932" i="1"/>
  <c r="B1932" i="1"/>
  <c r="A1933" i="1"/>
  <c r="B1933" i="1"/>
  <c r="A1934" i="1"/>
  <c r="B1934" i="1"/>
  <c r="A1935" i="1"/>
  <c r="B1935" i="1"/>
  <c r="A1936" i="1"/>
  <c r="B1936" i="1"/>
  <c r="A1937" i="1"/>
  <c r="B1937" i="1"/>
  <c r="A1938" i="1"/>
  <c r="B1938" i="1"/>
  <c r="A1939" i="1"/>
  <c r="B1939" i="1"/>
  <c r="A1940" i="1"/>
  <c r="B1940" i="1"/>
  <c r="A1941" i="1"/>
  <c r="B1941" i="1"/>
  <c r="A1942" i="1"/>
  <c r="B1942" i="1"/>
  <c r="A1943" i="1"/>
  <c r="B1943" i="1"/>
  <c r="A1944" i="1"/>
  <c r="B1944" i="1"/>
  <c r="A1945" i="1"/>
  <c r="B1945" i="1"/>
  <c r="A1946" i="1"/>
  <c r="B1946" i="1"/>
  <c r="A1947" i="1"/>
  <c r="B1947" i="1"/>
  <c r="A1948" i="1"/>
  <c r="B1948" i="1"/>
  <c r="A1949" i="1"/>
  <c r="B1949" i="1"/>
  <c r="A1950" i="1"/>
  <c r="B1950" i="1"/>
  <c r="A1951" i="1"/>
  <c r="B1951" i="1"/>
  <c r="A1952" i="1"/>
  <c r="B1952" i="1"/>
  <c r="A1953" i="1"/>
  <c r="B1953" i="1"/>
  <c r="A1954" i="1"/>
  <c r="B1954" i="1"/>
  <c r="A1955" i="1"/>
  <c r="B1955" i="1"/>
  <c r="A1956" i="1"/>
  <c r="B1956" i="1"/>
  <c r="A1957" i="1"/>
  <c r="B1957" i="1"/>
  <c r="A1958" i="1"/>
  <c r="B1958" i="1"/>
  <c r="A1959" i="1"/>
  <c r="B1959" i="1"/>
  <c r="A1960" i="1"/>
  <c r="B1960" i="1"/>
  <c r="A1961" i="1"/>
  <c r="B1961" i="1"/>
  <c r="A1962" i="1"/>
  <c r="B1962" i="1"/>
  <c r="A1963" i="1"/>
  <c r="B1963" i="1"/>
  <c r="A1964" i="1"/>
  <c r="B1964" i="1"/>
  <c r="A1965" i="1"/>
  <c r="B1965" i="1"/>
  <c r="A1966" i="1"/>
  <c r="B1966" i="1"/>
  <c r="A1967" i="1"/>
  <c r="B1967" i="1"/>
  <c r="A1968" i="1"/>
  <c r="B1968" i="1"/>
  <c r="A1969" i="1"/>
  <c r="B1969" i="1"/>
  <c r="A1970" i="1"/>
  <c r="B1970" i="1"/>
  <c r="A1971" i="1"/>
  <c r="B1971" i="1"/>
  <c r="A1972" i="1"/>
  <c r="B1972" i="1"/>
  <c r="A1973" i="1"/>
  <c r="B1973" i="1"/>
  <c r="A1974" i="1"/>
  <c r="B1974" i="1"/>
  <c r="A1975" i="1"/>
  <c r="B1975" i="1"/>
  <c r="A1976" i="1"/>
  <c r="B1976" i="1"/>
  <c r="A1977" i="1"/>
  <c r="B1977" i="1"/>
  <c r="A1978" i="1"/>
  <c r="B1978" i="1"/>
  <c r="A1979" i="1"/>
  <c r="B1979" i="1"/>
  <c r="A1980" i="1"/>
  <c r="B1980" i="1"/>
  <c r="A1981" i="1"/>
  <c r="B1981" i="1"/>
  <c r="A1982" i="1"/>
  <c r="B1982" i="1"/>
  <c r="A1983" i="1"/>
  <c r="A1984" i="1"/>
  <c r="B1984" i="1"/>
  <c r="A1985" i="1"/>
  <c r="B1985" i="1"/>
  <c r="A1986" i="1"/>
  <c r="B1986" i="1"/>
  <c r="A1987" i="1"/>
  <c r="B1987" i="1"/>
  <c r="A1988" i="1"/>
  <c r="B1988" i="1"/>
  <c r="A1989" i="1"/>
  <c r="A1990" i="1"/>
  <c r="B1990" i="1"/>
  <c r="A1991" i="1"/>
  <c r="B1991" i="1"/>
  <c r="A1992" i="1"/>
  <c r="B1992" i="1"/>
  <c r="A1993" i="1"/>
  <c r="B1993" i="1"/>
  <c r="A1994" i="1"/>
  <c r="B1994" i="1"/>
  <c r="A1995" i="1"/>
  <c r="B1995" i="1"/>
  <c r="A1996" i="1"/>
  <c r="B1996" i="1"/>
  <c r="A1997" i="1"/>
  <c r="B1997" i="1"/>
  <c r="A1998" i="1"/>
  <c r="B1998" i="1"/>
  <c r="A1999" i="1"/>
  <c r="B1999" i="1"/>
  <c r="A2000" i="1"/>
  <c r="A2001" i="1"/>
  <c r="B2001" i="1"/>
  <c r="A2002" i="1"/>
  <c r="B2002" i="1"/>
  <c r="A2003" i="1"/>
  <c r="B2003" i="1"/>
  <c r="A2004" i="1"/>
  <c r="B2004" i="1"/>
  <c r="A2005" i="1"/>
  <c r="B2005" i="1"/>
  <c r="A2006" i="1"/>
  <c r="B2006" i="1"/>
  <c r="A2007" i="1"/>
  <c r="B2007" i="1"/>
  <c r="A2008" i="1"/>
  <c r="B2008" i="1"/>
  <c r="A2009" i="1"/>
  <c r="B2009" i="1"/>
  <c r="A2010" i="1"/>
  <c r="B2010" i="1"/>
  <c r="A2011" i="1"/>
  <c r="A2012" i="1"/>
  <c r="A2013" i="1"/>
  <c r="B2013" i="1"/>
  <c r="A2014" i="1"/>
  <c r="B2014" i="1"/>
  <c r="A2015" i="1"/>
  <c r="B2015" i="1"/>
  <c r="A2016" i="1"/>
  <c r="B2016" i="1"/>
  <c r="A2017" i="1"/>
  <c r="B2017" i="1"/>
  <c r="A2018" i="1"/>
  <c r="B2018" i="1"/>
  <c r="A2019" i="1"/>
  <c r="B2019" i="1"/>
  <c r="A2020" i="1"/>
  <c r="B2020" i="1"/>
  <c r="A2021" i="1"/>
  <c r="B2021" i="1"/>
  <c r="A2022" i="1"/>
  <c r="B2022" i="1"/>
  <c r="A2023" i="1"/>
  <c r="B2023" i="1"/>
  <c r="A2024" i="1"/>
  <c r="B2024" i="1"/>
  <c r="A2025" i="1"/>
  <c r="B2025" i="1"/>
  <c r="A2026" i="1"/>
  <c r="B2026" i="1"/>
  <c r="A2027" i="1"/>
  <c r="B2027" i="1"/>
  <c r="A2028" i="1"/>
  <c r="B2028" i="1"/>
  <c r="A2029" i="1"/>
  <c r="B2029" i="1"/>
  <c r="A2030" i="1"/>
  <c r="B2030" i="1"/>
  <c r="A2031" i="1"/>
  <c r="B2031" i="1"/>
  <c r="A2032" i="1"/>
  <c r="B2032" i="1"/>
  <c r="A2033" i="1"/>
  <c r="B2033" i="1"/>
  <c r="A2034" i="1"/>
  <c r="B2034" i="1"/>
  <c r="A2035" i="1"/>
  <c r="B2035" i="1"/>
  <c r="A2036" i="1"/>
  <c r="B2036" i="1"/>
  <c r="A2037" i="1"/>
  <c r="A2038" i="1"/>
  <c r="A2039" i="1"/>
  <c r="B2039" i="1"/>
  <c r="A2040" i="1"/>
  <c r="B2040" i="1"/>
  <c r="A2041" i="1"/>
  <c r="A2042" i="1"/>
  <c r="B2042" i="1"/>
  <c r="A2043" i="1"/>
  <c r="B2043" i="1"/>
  <c r="A2044" i="1"/>
  <c r="B2044" i="1"/>
  <c r="A2045" i="1"/>
  <c r="B2045" i="1"/>
  <c r="A2046" i="1"/>
  <c r="B2046" i="1"/>
  <c r="A2047" i="1"/>
  <c r="B2047" i="1"/>
  <c r="A2048" i="1"/>
  <c r="B2048" i="1"/>
  <c r="A2049" i="1"/>
  <c r="B2049" i="1"/>
  <c r="A2050" i="1"/>
  <c r="B2050" i="1"/>
  <c r="A2051" i="1"/>
  <c r="B2051" i="1"/>
  <c r="A2052" i="1"/>
  <c r="B2052" i="1"/>
  <c r="A2053" i="1"/>
  <c r="B2053" i="1"/>
  <c r="A2054" i="1"/>
  <c r="B2054" i="1"/>
  <c r="A2055" i="1"/>
  <c r="B2055" i="1"/>
  <c r="A2056" i="1"/>
  <c r="B2056" i="1"/>
  <c r="A2057" i="1"/>
  <c r="B2057" i="1"/>
  <c r="A2058" i="1"/>
  <c r="B2058" i="1"/>
  <c r="A2059" i="1"/>
  <c r="A2060" i="1"/>
  <c r="A2061" i="1"/>
  <c r="B2061" i="1"/>
  <c r="A2062" i="1"/>
  <c r="B2062" i="1"/>
  <c r="A2063" i="1"/>
  <c r="B2063" i="1"/>
  <c r="A2064" i="1"/>
  <c r="B2064" i="1"/>
  <c r="A2065" i="1"/>
  <c r="B2065" i="1"/>
  <c r="A2066" i="1"/>
  <c r="B2066" i="1"/>
  <c r="A2067" i="1"/>
  <c r="B2067" i="1"/>
  <c r="A2068" i="1"/>
  <c r="B2068" i="1"/>
  <c r="A2069" i="1"/>
  <c r="B2069" i="1"/>
  <c r="A2070" i="1"/>
  <c r="B2070" i="1"/>
  <c r="A2071" i="1"/>
  <c r="B2071" i="1"/>
  <c r="A2072" i="1"/>
  <c r="B2072" i="1"/>
  <c r="A2073" i="1"/>
  <c r="B2073" i="1"/>
  <c r="A2074" i="1"/>
  <c r="A2075" i="1"/>
  <c r="B2075" i="1"/>
  <c r="A2076" i="1"/>
  <c r="B2076" i="1"/>
  <c r="A2077" i="1"/>
  <c r="B2077" i="1"/>
  <c r="A2078" i="1"/>
  <c r="B2078" i="1"/>
  <c r="A2079" i="1"/>
  <c r="B2079" i="1"/>
  <c r="A2080" i="1"/>
  <c r="B2080" i="1"/>
  <c r="A2081" i="1"/>
  <c r="B2081" i="1"/>
  <c r="A2082" i="1"/>
  <c r="B2082" i="1"/>
  <c r="A2083" i="1"/>
  <c r="B2083" i="1"/>
  <c r="A2084" i="1"/>
  <c r="B2084" i="1"/>
  <c r="A2085" i="1"/>
  <c r="B2085" i="1"/>
  <c r="A2086" i="1"/>
  <c r="B2086" i="1"/>
  <c r="A2087" i="1"/>
  <c r="A2088" i="1"/>
  <c r="B2088" i="1"/>
  <c r="A2089" i="1"/>
  <c r="B2089" i="1"/>
  <c r="A2090" i="1"/>
  <c r="B2090" i="1"/>
  <c r="A2091" i="1"/>
  <c r="B2091" i="1"/>
  <c r="A2092" i="1"/>
  <c r="B2092" i="1"/>
  <c r="A2093" i="1"/>
  <c r="A2094" i="1"/>
  <c r="B2094" i="1"/>
  <c r="A2095" i="1"/>
  <c r="B2095" i="1"/>
  <c r="A2096" i="1"/>
  <c r="B2096" i="1"/>
  <c r="A2097" i="1"/>
  <c r="B2097" i="1"/>
  <c r="A2098" i="1"/>
  <c r="B2098" i="1"/>
  <c r="A2099" i="1"/>
  <c r="B2099" i="1"/>
  <c r="A2100" i="1"/>
  <c r="B2100" i="1"/>
  <c r="A2101" i="1"/>
  <c r="B2101" i="1"/>
  <c r="A2102" i="1"/>
  <c r="B2102" i="1"/>
  <c r="A2103" i="1"/>
  <c r="B2103" i="1"/>
  <c r="A2104" i="1"/>
  <c r="B2104" i="1"/>
  <c r="A2105" i="1"/>
  <c r="B2105" i="1"/>
  <c r="A2106" i="1"/>
  <c r="B2106" i="1"/>
  <c r="A2107" i="1"/>
  <c r="B2107" i="1"/>
  <c r="A2108" i="1"/>
  <c r="B2108" i="1"/>
  <c r="A2109" i="1"/>
  <c r="B2109" i="1"/>
  <c r="A2110" i="1"/>
  <c r="B2110" i="1"/>
  <c r="A2111" i="1"/>
  <c r="B2111" i="1"/>
  <c r="A2112" i="1"/>
  <c r="B2112" i="1"/>
  <c r="A2113" i="1"/>
  <c r="B2113" i="1"/>
  <c r="A2114" i="1"/>
  <c r="B2114" i="1"/>
  <c r="A2115" i="1"/>
  <c r="B2115" i="1"/>
  <c r="A2116" i="1"/>
  <c r="B2116" i="1"/>
  <c r="A2117" i="1"/>
  <c r="B2117" i="1"/>
  <c r="A2118" i="1"/>
  <c r="B2118" i="1"/>
  <c r="A2119" i="1"/>
  <c r="B2119" i="1"/>
  <c r="A2120" i="1"/>
  <c r="B2120" i="1"/>
  <c r="A2121" i="1"/>
  <c r="B2121" i="1"/>
  <c r="A2122" i="1"/>
  <c r="B2122" i="1"/>
  <c r="A2123" i="1"/>
  <c r="B2123" i="1"/>
  <c r="A2124" i="1"/>
  <c r="A2125" i="1"/>
  <c r="B2125" i="1"/>
  <c r="A2126" i="1"/>
  <c r="B2126" i="1"/>
  <c r="A2127" i="1"/>
  <c r="B2127" i="1"/>
  <c r="A2128" i="1"/>
  <c r="B2128" i="1"/>
  <c r="A2129" i="1"/>
  <c r="B2129" i="1"/>
  <c r="A2130" i="1"/>
  <c r="B2130" i="1"/>
  <c r="A2131" i="1"/>
  <c r="B2131" i="1"/>
  <c r="A2132" i="1"/>
  <c r="B2132" i="1"/>
  <c r="A2133" i="1"/>
  <c r="B2133" i="1"/>
  <c r="A2134" i="1"/>
  <c r="B2134" i="1"/>
  <c r="A2135" i="1"/>
  <c r="B2135" i="1"/>
  <c r="A2136" i="1"/>
  <c r="B2136" i="1"/>
  <c r="A2137" i="1"/>
  <c r="B2137" i="1"/>
  <c r="A2138" i="1"/>
  <c r="B2138" i="1"/>
  <c r="A2139" i="1"/>
  <c r="B2139" i="1"/>
  <c r="A2140" i="1"/>
  <c r="B2140" i="1"/>
  <c r="A2141" i="1"/>
  <c r="B2141" i="1"/>
  <c r="A2142" i="1"/>
  <c r="B2142" i="1"/>
  <c r="A2143" i="1"/>
  <c r="B2143" i="1"/>
  <c r="A2144" i="1"/>
  <c r="A2145" i="1"/>
  <c r="B2145" i="1"/>
  <c r="A2146" i="1"/>
  <c r="B2146" i="1"/>
  <c r="A2147" i="1"/>
  <c r="B2147" i="1"/>
  <c r="A2148" i="1"/>
  <c r="B2148" i="1"/>
  <c r="B2149" i="1"/>
  <c r="A2150" i="1"/>
  <c r="B2150" i="1"/>
  <c r="A2151" i="1"/>
  <c r="B2151" i="1"/>
  <c r="A2152" i="1"/>
  <c r="B2152" i="1"/>
  <c r="A2153" i="1"/>
  <c r="A2154" i="1"/>
  <c r="B2154" i="1"/>
  <c r="A2155" i="1"/>
  <c r="B2155" i="1"/>
  <c r="A2156" i="1"/>
  <c r="B2156" i="1"/>
  <c r="A2157" i="1"/>
  <c r="B2157" i="1"/>
  <c r="A2158" i="1"/>
  <c r="B2158" i="1"/>
  <c r="A2159" i="1"/>
  <c r="B2159" i="1"/>
  <c r="A2160" i="1"/>
  <c r="B2160" i="1"/>
  <c r="A2161" i="1"/>
  <c r="B2161" i="1"/>
  <c r="A2162" i="1"/>
  <c r="B2162" i="1"/>
  <c r="A2163" i="1"/>
  <c r="B2163" i="1"/>
  <c r="A2164" i="1"/>
  <c r="B2164" i="1"/>
  <c r="A2165" i="1"/>
  <c r="B2165" i="1"/>
  <c r="A2166" i="1"/>
  <c r="B2166" i="1"/>
  <c r="A2167" i="1"/>
  <c r="B2167" i="1"/>
  <c r="A2168" i="1"/>
  <c r="B2168" i="1"/>
  <c r="A2169" i="1"/>
  <c r="B2169" i="1"/>
  <c r="A2170" i="1"/>
  <c r="B2170" i="1"/>
  <c r="A2171" i="1"/>
  <c r="A2172" i="1"/>
  <c r="B2172" i="1"/>
  <c r="A2173" i="1"/>
  <c r="B2173" i="1"/>
  <c r="A2174" i="1"/>
  <c r="B2174" i="1"/>
  <c r="A2175" i="1"/>
  <c r="B2175" i="1"/>
  <c r="A2176" i="1"/>
  <c r="B2176" i="1"/>
  <c r="A2177" i="1"/>
  <c r="B2177" i="1"/>
  <c r="A2178" i="1"/>
  <c r="B2178" i="1"/>
  <c r="A2179" i="1"/>
  <c r="B2179" i="1"/>
  <c r="A2180" i="1"/>
  <c r="B2180" i="1"/>
  <c r="A2181" i="1"/>
  <c r="B2181" i="1"/>
  <c r="A2182" i="1"/>
  <c r="A2183" i="1"/>
  <c r="B2183" i="1"/>
  <c r="A2184" i="1"/>
  <c r="B2184" i="1"/>
  <c r="A2185" i="1"/>
  <c r="B2185" i="1"/>
  <c r="A2186" i="1"/>
  <c r="B2186" i="1"/>
  <c r="A2187" i="1"/>
  <c r="B2187" i="1"/>
  <c r="A2188" i="1"/>
  <c r="A2189" i="1"/>
  <c r="B2189" i="1"/>
  <c r="A2190" i="1"/>
  <c r="B2190" i="1"/>
  <c r="A2191" i="1"/>
  <c r="B2191" i="1"/>
  <c r="A2192" i="1"/>
  <c r="B2192" i="1"/>
  <c r="A2193" i="1"/>
  <c r="B2193" i="1"/>
  <c r="A2194" i="1"/>
  <c r="B2194" i="1"/>
  <c r="A2195" i="1"/>
  <c r="B2195" i="1"/>
  <c r="A2196" i="1"/>
  <c r="B2196" i="1"/>
  <c r="A2197" i="1"/>
  <c r="B2197" i="1"/>
  <c r="A2198" i="1"/>
  <c r="B2198" i="1"/>
  <c r="A2199" i="1"/>
  <c r="B2199" i="1"/>
  <c r="A2200" i="1"/>
  <c r="B2200" i="1"/>
  <c r="A2201" i="1"/>
  <c r="B2201" i="1"/>
  <c r="A2202" i="1"/>
  <c r="B2202" i="1"/>
  <c r="A2203" i="1"/>
  <c r="B2203" i="1"/>
  <c r="A2204" i="1"/>
  <c r="B2204" i="1"/>
  <c r="A2205" i="1"/>
  <c r="B2205" i="1"/>
  <c r="A2206" i="1"/>
  <c r="B2206" i="1"/>
  <c r="A2207" i="1"/>
  <c r="B2207" i="1"/>
  <c r="A2208" i="1"/>
  <c r="B2208" i="1"/>
  <c r="A2209" i="1"/>
  <c r="B2209" i="1"/>
  <c r="A2210" i="1"/>
  <c r="B2210" i="1"/>
  <c r="A2211" i="1"/>
  <c r="B2211" i="1"/>
  <c r="A2212" i="1"/>
  <c r="B2212" i="1"/>
  <c r="A2213" i="1"/>
  <c r="B2213" i="1"/>
  <c r="A2214" i="1"/>
  <c r="B2214" i="1"/>
  <c r="A2215" i="1"/>
  <c r="B2215" i="1"/>
  <c r="A2216" i="1"/>
  <c r="B2216" i="1"/>
  <c r="A2217" i="1"/>
  <c r="B2217" i="1"/>
  <c r="A2218" i="1"/>
  <c r="B2218" i="1"/>
  <c r="A2219" i="1"/>
  <c r="B2219" i="1"/>
  <c r="A2220" i="1"/>
  <c r="B2220" i="1"/>
  <c r="A2221" i="1"/>
  <c r="B2221" i="1"/>
  <c r="A2222" i="1"/>
  <c r="B2222" i="1"/>
  <c r="A2223" i="1"/>
  <c r="B2223" i="1"/>
  <c r="A2224" i="1"/>
  <c r="B2224" i="1"/>
  <c r="A2225" i="1"/>
  <c r="B2225" i="1"/>
  <c r="A2226" i="1"/>
  <c r="B2226" i="1"/>
  <c r="A2227" i="1"/>
  <c r="B2227" i="1"/>
  <c r="A2228" i="1"/>
  <c r="B2228" i="1"/>
  <c r="A2229" i="1"/>
  <c r="B2229" i="1"/>
  <c r="A2230" i="1"/>
  <c r="A2231" i="1"/>
  <c r="B2231" i="1"/>
  <c r="A2232" i="1"/>
  <c r="B2232" i="1"/>
  <c r="A2233" i="1"/>
  <c r="B2233" i="1"/>
  <c r="A2234" i="1"/>
  <c r="B2234" i="1"/>
  <c r="A2235" i="1"/>
  <c r="B2235" i="1"/>
  <c r="A2236" i="1"/>
  <c r="B2236" i="1"/>
  <c r="A2237" i="1"/>
  <c r="B2237" i="1"/>
  <c r="A2238" i="1"/>
  <c r="B2238" i="1"/>
  <c r="A2239" i="1"/>
  <c r="B2239" i="1"/>
  <c r="A2240" i="1"/>
  <c r="B2240" i="1"/>
  <c r="A2241" i="1"/>
  <c r="B2241" i="1"/>
  <c r="A2242" i="1"/>
  <c r="B2242" i="1"/>
  <c r="A2243" i="1"/>
  <c r="B2243" i="1"/>
  <c r="A2244" i="1"/>
  <c r="B2244" i="1"/>
  <c r="A2245" i="1"/>
  <c r="B2245" i="1"/>
  <c r="A2246" i="1"/>
  <c r="B2246" i="1"/>
  <c r="A2247" i="1"/>
  <c r="B2247" i="1"/>
  <c r="A2248" i="1"/>
  <c r="B2248" i="1"/>
  <c r="A2249" i="1"/>
  <c r="B2249" i="1"/>
  <c r="A2250" i="1"/>
  <c r="B2250" i="1"/>
  <c r="A2251" i="1"/>
  <c r="B2251" i="1"/>
  <c r="A2252" i="1"/>
  <c r="B2252" i="1"/>
  <c r="A2253" i="1"/>
  <c r="B2253" i="1"/>
  <c r="A2254" i="1"/>
  <c r="B2254" i="1"/>
  <c r="A2255" i="1"/>
  <c r="B2255" i="1"/>
  <c r="A2256" i="1"/>
  <c r="B2256" i="1"/>
  <c r="A2257" i="1"/>
  <c r="B2257" i="1"/>
  <c r="A2258" i="1"/>
  <c r="B2258" i="1"/>
  <c r="A2259" i="1"/>
  <c r="B2259" i="1"/>
  <c r="A2260" i="1"/>
  <c r="B2260" i="1"/>
  <c r="A2261" i="1"/>
  <c r="B2261" i="1"/>
  <c r="A2262" i="1"/>
  <c r="B2262" i="1"/>
  <c r="A2263" i="1"/>
  <c r="B2263" i="1"/>
  <c r="A2264" i="1"/>
  <c r="B2264" i="1"/>
  <c r="A2265" i="1"/>
  <c r="B2265" i="1"/>
  <c r="A2266" i="1"/>
  <c r="B2266" i="1"/>
  <c r="A2267" i="1"/>
  <c r="B2267" i="1"/>
  <c r="A2268" i="1"/>
  <c r="B2268" i="1"/>
  <c r="A2269" i="1"/>
  <c r="B2269" i="1"/>
  <c r="A2270" i="1"/>
  <c r="B2270" i="1"/>
  <c r="A2271" i="1"/>
  <c r="B2271" i="1"/>
  <c r="A2272" i="1"/>
  <c r="B2272" i="1"/>
  <c r="A2273" i="1"/>
  <c r="B2273" i="1"/>
  <c r="A2274" i="1"/>
  <c r="B2274" i="1"/>
  <c r="A2275" i="1"/>
  <c r="A2276" i="1"/>
  <c r="B2276" i="1"/>
  <c r="A2277" i="1"/>
  <c r="B2277" i="1"/>
  <c r="A2278" i="1"/>
  <c r="B2278" i="1"/>
  <c r="A2279" i="1"/>
  <c r="B2279" i="1"/>
  <c r="A2280" i="1"/>
  <c r="B2280" i="1"/>
  <c r="A2281" i="1"/>
  <c r="B2281" i="1"/>
  <c r="A2282" i="1"/>
  <c r="B2282" i="1"/>
  <c r="A2283" i="1"/>
  <c r="B2283" i="1"/>
  <c r="A2284" i="1"/>
  <c r="B2284" i="1"/>
  <c r="A2285" i="1"/>
  <c r="B2285" i="1"/>
  <c r="A2286" i="1"/>
  <c r="B2286" i="1"/>
  <c r="A2287" i="1"/>
  <c r="B2287" i="1"/>
  <c r="A2288" i="1"/>
  <c r="B2288" i="1"/>
  <c r="A2289" i="1"/>
  <c r="B2289" i="1"/>
  <c r="A2290" i="1"/>
  <c r="B2290" i="1"/>
  <c r="A2291" i="1"/>
  <c r="B2291" i="1"/>
  <c r="A2292" i="1"/>
  <c r="B2292" i="1"/>
  <c r="A2293" i="1"/>
  <c r="A2294" i="1"/>
  <c r="B2294" i="1"/>
  <c r="A2295" i="1"/>
  <c r="B2295" i="1"/>
  <c r="A2296" i="1"/>
  <c r="B2296" i="1"/>
  <c r="A2297" i="1"/>
  <c r="B2297" i="1"/>
  <c r="A2298" i="1"/>
  <c r="B2298" i="1"/>
  <c r="A2299" i="1"/>
  <c r="B2299" i="1"/>
  <c r="A2300" i="1"/>
  <c r="B2300" i="1"/>
  <c r="A2301" i="1"/>
  <c r="B2301" i="1"/>
  <c r="A2302" i="1"/>
  <c r="B2302" i="1"/>
  <c r="A2303" i="1"/>
  <c r="B2303" i="1"/>
  <c r="A2304" i="1"/>
  <c r="B2304" i="1"/>
  <c r="A2305" i="1"/>
  <c r="B2306" i="1"/>
  <c r="A2307" i="1"/>
  <c r="B2307" i="1"/>
  <c r="A2308" i="1"/>
  <c r="B2308" i="1"/>
  <c r="A2309" i="1"/>
  <c r="B2309" i="1"/>
  <c r="A2310" i="1"/>
  <c r="A2311" i="1"/>
  <c r="B2311" i="1"/>
  <c r="A2312" i="1"/>
  <c r="B2312" i="1"/>
  <c r="A2313" i="1"/>
  <c r="B2313" i="1"/>
  <c r="A2314" i="1"/>
  <c r="B2314" i="1"/>
  <c r="A2315" i="1"/>
  <c r="B2315" i="1"/>
  <c r="A2316" i="1"/>
  <c r="B2316" i="1"/>
  <c r="A2317" i="1"/>
  <c r="B2317" i="1"/>
  <c r="A2318" i="1"/>
  <c r="B2318" i="1"/>
  <c r="A2319" i="1"/>
  <c r="B2319" i="1"/>
  <c r="A2320" i="1"/>
  <c r="B2320" i="1"/>
  <c r="A2321" i="1"/>
  <c r="B2321" i="1"/>
  <c r="A2322" i="1"/>
  <c r="B2322" i="1"/>
  <c r="A2323" i="1"/>
  <c r="B2323" i="1"/>
  <c r="A2324" i="1"/>
  <c r="B2324" i="1"/>
  <c r="A2325" i="1"/>
  <c r="B2325" i="1"/>
  <c r="A2326" i="1"/>
  <c r="B2326" i="1"/>
  <c r="A2327" i="1"/>
  <c r="B2327" i="1"/>
  <c r="A2328" i="1"/>
  <c r="B2328" i="1"/>
  <c r="A2329" i="1"/>
  <c r="B2329" i="1"/>
  <c r="A2330" i="1"/>
  <c r="B2330" i="1"/>
  <c r="A2331" i="1"/>
  <c r="B2331" i="1"/>
  <c r="A2332" i="1"/>
  <c r="B2332" i="1"/>
  <c r="A2333" i="1"/>
  <c r="B2333" i="1"/>
  <c r="A2334" i="1"/>
  <c r="B2334" i="1"/>
  <c r="A2335" i="1"/>
  <c r="B2335" i="1"/>
  <c r="A2336" i="1"/>
  <c r="B2336" i="1"/>
  <c r="A2337" i="1"/>
  <c r="B2337" i="1"/>
  <c r="A2338" i="1"/>
  <c r="B2338" i="1"/>
  <c r="B2339" i="1"/>
  <c r="A2340" i="1"/>
  <c r="B2340" i="1"/>
  <c r="A2341" i="1"/>
  <c r="B2341" i="1"/>
  <c r="A2342" i="1"/>
  <c r="B2342" i="1"/>
  <c r="A2343" i="1"/>
  <c r="B2343" i="1"/>
  <c r="A2344" i="1"/>
  <c r="B2344" i="1"/>
  <c r="A2345" i="1"/>
  <c r="A2346" i="1"/>
  <c r="B2346" i="1"/>
  <c r="A2347" i="1"/>
  <c r="B2347" i="1"/>
  <c r="A2348" i="1"/>
  <c r="B2348" i="1"/>
  <c r="A2349" i="1"/>
  <c r="B2349" i="1"/>
  <c r="A2350" i="1"/>
  <c r="A2351" i="1"/>
  <c r="B2351" i="1"/>
  <c r="A2352" i="1"/>
  <c r="B2352" i="1"/>
  <c r="A2353" i="1"/>
  <c r="B2353" i="1"/>
  <c r="A2354" i="1"/>
  <c r="A2355" i="1"/>
  <c r="B2355" i="1"/>
  <c r="A2356" i="1"/>
  <c r="B2356" i="1"/>
  <c r="A2357" i="1"/>
  <c r="B2357" i="1"/>
  <c r="A2358" i="1"/>
  <c r="B2358" i="1"/>
  <c r="A2359" i="1"/>
  <c r="B2359" i="1"/>
  <c r="A2360" i="1"/>
  <c r="B2360" i="1"/>
  <c r="A2361" i="1"/>
  <c r="B2361" i="1"/>
  <c r="A2362" i="1"/>
  <c r="A2363" i="1"/>
  <c r="B2363" i="1"/>
  <c r="A2364" i="1"/>
  <c r="B2364" i="1"/>
  <c r="A2365" i="1"/>
  <c r="B2365" i="1"/>
  <c r="A2366" i="1"/>
  <c r="B2366" i="1"/>
  <c r="A2367" i="1"/>
  <c r="B2367" i="1"/>
  <c r="A2368" i="1"/>
  <c r="B2368" i="1"/>
  <c r="A2369" i="1"/>
  <c r="A2370" i="1"/>
  <c r="B2370" i="1"/>
  <c r="A2371" i="1"/>
  <c r="B2371" i="1"/>
  <c r="A2372" i="1"/>
  <c r="B2372" i="1"/>
  <c r="A2373" i="1"/>
  <c r="B2373" i="1"/>
  <c r="A2374" i="1"/>
  <c r="B2374" i="1"/>
  <c r="A2375" i="1"/>
  <c r="B2375" i="1"/>
  <c r="A2376" i="1"/>
  <c r="B2376" i="1"/>
  <c r="A2377" i="1"/>
  <c r="B2377" i="1"/>
  <c r="A2378" i="1"/>
  <c r="B2378" i="1"/>
  <c r="A2379" i="1"/>
  <c r="B2379" i="1"/>
  <c r="A2380" i="1"/>
  <c r="B2380" i="1"/>
  <c r="A2381" i="1"/>
  <c r="B2381" i="1"/>
  <c r="A2382" i="1"/>
  <c r="B2382" i="1"/>
  <c r="A2383" i="1"/>
  <c r="B2383" i="1"/>
  <c r="A2384" i="1"/>
  <c r="B2384" i="1"/>
  <c r="A2385" i="1"/>
  <c r="B2385" i="1"/>
  <c r="A2386" i="1"/>
  <c r="B2386" i="1"/>
  <c r="A2387" i="1"/>
  <c r="B2387" i="1"/>
  <c r="A2388" i="1"/>
  <c r="B2388" i="1"/>
  <c r="A2389" i="1"/>
  <c r="B2389" i="1"/>
  <c r="A2390" i="1"/>
  <c r="B2390" i="1"/>
  <c r="A2391" i="1"/>
  <c r="B2391" i="1"/>
  <c r="A2392" i="1"/>
  <c r="B2392" i="1"/>
  <c r="A2393" i="1"/>
  <c r="B2393" i="1"/>
  <c r="A2394" i="1"/>
  <c r="B2394" i="1"/>
  <c r="A2395" i="1"/>
  <c r="B2395" i="1"/>
  <c r="A2396" i="1"/>
  <c r="B2396" i="1"/>
  <c r="A2397" i="1"/>
  <c r="B2397" i="1"/>
  <c r="A2398" i="1"/>
  <c r="B2398" i="1"/>
  <c r="A2399" i="1"/>
  <c r="B2399" i="1"/>
  <c r="A2400" i="1"/>
  <c r="B2400" i="1"/>
  <c r="A2401" i="1"/>
  <c r="B2401" i="1"/>
  <c r="A2402" i="1"/>
  <c r="B2402" i="1"/>
  <c r="A2403" i="1"/>
  <c r="B2403" i="1"/>
  <c r="A2404" i="1"/>
  <c r="A2405" i="1"/>
  <c r="B2405" i="1"/>
  <c r="A2406" i="1"/>
  <c r="B2406" i="1"/>
  <c r="A2407" i="1"/>
  <c r="B2407" i="1"/>
  <c r="A2408" i="1"/>
  <c r="B2408" i="1"/>
  <c r="A2409" i="1"/>
  <c r="B2409" i="1"/>
  <c r="A2410" i="1"/>
  <c r="B2410" i="1"/>
  <c r="A2411" i="1"/>
  <c r="B2411" i="1"/>
  <c r="A2412" i="1"/>
  <c r="B2412" i="1"/>
  <c r="A2413" i="1"/>
  <c r="A2414" i="1"/>
  <c r="B2414" i="1"/>
  <c r="A2415" i="1"/>
  <c r="B2415" i="1"/>
  <c r="A2416" i="1"/>
  <c r="B2416" i="1"/>
  <c r="A2417" i="1"/>
  <c r="B2417" i="1"/>
  <c r="A2418" i="1"/>
  <c r="B2418" i="1"/>
  <c r="A2419" i="1"/>
  <c r="B2419" i="1"/>
  <c r="A2420" i="1"/>
  <c r="B2420" i="1"/>
  <c r="A2421" i="1"/>
  <c r="B2421" i="1"/>
  <c r="A2422" i="1"/>
  <c r="B2422" i="1"/>
  <c r="A2423" i="1"/>
  <c r="B2423" i="1"/>
  <c r="A2424" i="1"/>
  <c r="B2424" i="1"/>
  <c r="A2425" i="1"/>
  <c r="B2425" i="1"/>
  <c r="A2426" i="1"/>
  <c r="B2426" i="1"/>
</calcChain>
</file>

<file path=xl/sharedStrings.xml><?xml version="1.0" encoding="utf-8"?>
<sst xmlns="http://schemas.openxmlformats.org/spreadsheetml/2006/main" count="5019" uniqueCount="143">
  <si>
    <t>Link Title</t>
  </si>
  <si>
    <t>Message</t>
  </si>
  <si>
    <t>Time Posted (PST)</t>
  </si>
  <si>
    <t># Likes</t>
  </si>
  <si>
    <t># Comments</t>
  </si>
  <si>
    <t>Has Question?</t>
  </si>
  <si>
    <t>Is Photo?</t>
  </si>
  <si>
    <t>No</t>
  </si>
  <si>
    <t>Yes</t>
  </si>
  <si>
    <t>[No Title]</t>
  </si>
  <si>
    <t>=HYPERLINK("http://www.facebook.com/8062627951/posts/10151392886112952","This browser extension makes YouTube comments "nicer" http://tcrn.ch/RLo60Q")</t>
  </si>
  <si>
    <t>=HYPERLINK("http://www.facebook.com/8062627951/posts/10151391765392952","Snapchat Co-founder Evan Spiegel Responds To Poke: "Welcome, Facebook· Seriously·" http://tcrn.ch/100LWb8")</t>
  </si>
  <si>
    <t>=HYPERLINK("http://www.facebook.com/8062627951/posts/10151391334947952","Facebook Launches Snapchat Competitor "Poke", An iOS App For Sending Expiring Messages http://tcrn.ch/VgDYD4")</t>
  </si>
  <si>
    <t>=HYPERLINK("http://www.facebook.com/8062627951/posts/10151389786107952","Meet Facebook's Stealth Marketing Platform, "Publishing Garage" http://tcrn.ch/VchbrZ")</t>
  </si>
  <si>
    <t>=HYPERLINK("http://www.facebook.com/8062627951/posts/10151389378602952","Flipboard "goes big" on Android, users rejoice. http://tcrn.ch/12Cg2jQ")</t>
  </si>
  <si>
    <t>=HYPERLINK("http://www.facebook.com/8062627951/posts/10151388310362952","Will you be "unplugged" for the Holiday? http://tcrn.ch/WsXQcZ")</t>
  </si>
  <si>
    <t>=HYPERLINK("http://www.facebook.com/8062627951/posts/10151388210147952","Facebook is testing "Collections" again. Pinterest, take notice. http://tcrn.ch/SUNgu7")</t>
  </si>
  <si>
    <t>=HYPERLINK("http://www.facebook.com/8062627951/posts/10151386864377952","Quit Instagram, they said. They’re selling your photos, they said. - http://tcrn.ch/ZLrWsM  "The real world: Quit, verb, to leave (a place), usually permanently.  The internet: Quit,</t>
  </si>
  <si>
    <t>=HYPERLINK("http://www.facebook.com/8062627951/posts/10151386755312952","Instagram founder "busts myths", says it won't sell your photos http://tcrn.ch/UaUOaQ  What do YOU think?")</t>
  </si>
  <si>
    <t>=HYPERLINK("http://www.facebook.com/8062627951/posts/10151384694152952","Twitter and Nielsen have teamed up to reinvent TV ratings. Hopefully this means less "Start-Ups: Silicon Valley" and more "The Walking Dead". - http://tcrn.ch/V3oKFC")</t>
  </si>
  <si>
    <t>=HYPERLINK("http://www.facebook.com/8062627951/posts/453973577983326","Beating out Google &amp; Apple, Facebook becomes "The Best Place To Work" - http://tcrn.ch/SU0Evb  Are you surprised?")</t>
  </si>
  <si>
    <t>=HYPERLINK("http://www.5min.com/Video/517587524","Fly or Die | Nook HD+ Vs. Kindle Fire HD 8.9"")</t>
  </si>
  <si>
    <t>=HYPERLINK("http://www.facebook.com/8062627951/posts/120906221406462","Who wants a "smart device" this holiday season? According to this report, everyone does.")</t>
  </si>
  <si>
    <t>=HYPERLINK("http://www.facebook.com/8062627951/posts/10151369480292952",""The Startup Chef" cookbook gives all money to charity http://tcrn.ch/UjXpu1")</t>
  </si>
  <si>
    <t>=HYPERLINK("http://www.facebook.com/8062627951/posts/102634159906296","Thinkful, a career &amp; training-oriented online school focused on tech, posted a new landing page which offered a bold entreaty to ex-Citi employees:  "Dear Citi Tech Talent, finance suc</t>
  </si>
  <si>
    <t>=HYPERLINK("http://www.facebook.com/8062627951/posts/10151365746072952","Instagram says it will exist "independent" from Facebook for a long time. Good news? http://tcrn.ch/YAc6Sp")</t>
  </si>
  <si>
    <t>=HYPERLINK("http://www.facebook.com/8062627951/posts/501086696578470","Awesome.  "More than 90 percent of all Dev Bootcamp graduates, who are called “Boots,” have found jobs in the tech community within three months after graduation."")</t>
  </si>
  <si>
    <t>=HYPERLINK("http://www.facebook.com/8062627951/posts/10151361254902952","Is Paper "Dead"? http://tcrn.ch/QAfmsz")</t>
  </si>
  <si>
    <t>=HYPERLINK("http://www.facebook.com/8062627951/posts/485877041451985",""Fundraising is a game. If you know you have a good product/team/traction, then get in to win. You are already here because you believe in something. Continue the journey to win. Perse</t>
  </si>
  <si>
    <t>=HYPERLINK("http://www.facebook.com/8062627951/posts/466739246697446","Introducing “Festivus on Copious"")</t>
  </si>
  <si>
    <t>=HYPERLINK("http://www.facebook.com/8062627951/posts/472181079500469",""The Microsoft Surface is a great kitchen computer, and sadly, that’s about it." Where do you use yours?")</t>
  </si>
  <si>
    <t>=HYPERLINK("http://www.facebook.com/8062627951/posts/10151350584807952","Google search for "Foolproof Suffocation" found on Casey Anthony's computer from the day her daughter disappeared http://tcrn.ch/XS6wdZ")</t>
  </si>
  <si>
    <t>=HYPERLINK("http://www.facebook.com/8062627951/posts/559010570791912",""But here’s the kicker, and the real lesson for you, dear reader: Netflix is going to die."")</t>
  </si>
  <si>
    <t>=HYPERLINK("http://www.facebook.com/8062627951/posts/495678377129170",""TechCrunch, coming to a browser near you... eh, unless you're using Internet Explorer 8"")</t>
  </si>
  <si>
    <t>=HYPERLINK("http://www.facebook.com/8062627951/posts/412550505480635","The Onion has a few things to say about "Social Media Experts"")</t>
  </si>
  <si>
    <t>=HYPERLINK("http://www.facebook.com/8062627951/posts/10151342110342952","Facebook's on-campus store even dropped the "The" http://techcrunch.com/2012/11/19/facebooks-new-on-campus-schwag-shop-dropped-the-the-its-simply-called-store/")</t>
  </si>
  <si>
    <t>=HYPERLINK("http://www.facebook.com/8062627951/posts/556738631007943",""People expect a better search experience on Facebook. We are working on improvements to better meet those expectations but are not in talks to enter into a new search partnership."")</t>
  </si>
  <si>
    <t>=HYPERLINK("http://www.facebook.com/8062627951/posts/138708702944262",""Gamification is actually really simple to understand. It boils down to one of three things: validation, completion and prizes." More here: http://tcrn.ch/T3r5ge")</t>
  </si>
  <si>
    <t xml:space="preserve">=HYPERLINK("http://www.facebook.com/8062627951/posts/329462443827367","Were you hoping for more scenes presented in real-time, depicting events backstage at key Apple product launches?  "There's no point in writing about someone unless they’re flawed." - </t>
  </si>
  <si>
    <t>=HYPERLINK("http://www.facebook.com/8062627951/posts/293905197387924",""In all cases, the companies have committed to staying on the road despite regulatory scrutiny."")</t>
  </si>
  <si>
    <t>=HYPERLINK("http://www.facebook.com/8062627951/posts/10151334707292952","Facebook finally launches a "Share" button for mobile  http://tcrn.ch/UDOdaz")</t>
  </si>
  <si>
    <t>=HYPERLINK("http://www.facebook.com/8062627951/posts/346817338748049",""Just one more reason to love Android."")</t>
  </si>
  <si>
    <t>=HYPERLINK("http://www.facebook.com/8062627951/posts/247644745363213","Y Combinator startup Chartio has come out of quiet mode with its web-based service for connecting databases to create charts &amp; graphs without ever needing to upload data.  "I am having</t>
  </si>
  <si>
    <t>=HYPERLINK("http://www.facebook.com/8062627951/posts/446766002027120",""Interactive Washroom Tech" is fancy talk for videos games while you pee.")</t>
  </si>
  <si>
    <t>=HYPERLINK("http://www.facebook.com/8062627951/posts/10151331676427952","The Facebook "All" link lets you see an unfiltered News Feed, but it might get shut down http://tcrn.ch/QBQiCc")</t>
  </si>
  <si>
    <t>=HYPERLINK("http://www.facebook.com/8062627951/posts/300120856754794","Samsung to Apple, "We're going to jack up mobile CPU prices by 20% and you're going to like it."")</t>
  </si>
  <si>
    <t>=HYPERLINK("http://www.facebook.com/8062627951/posts/132259723591712","Is Apple going in for the "kill"?")</t>
  </si>
  <si>
    <t>=HYPERLINK("http://www.facebook.com/8062627951/posts/280786602042958","The idea of a "code school" and workplace is really awesome. Would you go to one if it was in your area?")</t>
  </si>
  <si>
    <t>=HYPERLINK("http://www.facebook.com/8062627951/posts/421537047913382","What's this "social influence" thing all about anyways? Let's read and find out.")</t>
  </si>
  <si>
    <t>=HYPERLINK("http://www.facebook.com/8062627951/posts/10151325638447952","Reddit CEO asks users to pay because ads are "one of the reasons Digg failed" http://tcrn.ch/PHUIWZ")</t>
  </si>
  <si>
    <t>=HYPERLINK("http://www.facebook.com/8062627951/posts/10151325406297952","See everything you've ever shared with someone on Facebook's "Friendship Pages" http://tcrn.ch/RIab9d")</t>
  </si>
  <si>
    <t>=HYPERLINK("http://www.facebook.com/8062627951/posts/301363849970395",""That Show" again. But it runs deeper than annoyances.")</t>
  </si>
  <si>
    <t>=HYPERLINK("http://www.facebook.com/8062627951/posts/164251260385787","This is pretty darn funny. Do we take "social media" too seriously sometimes?")</t>
  </si>
  <si>
    <t>=HYPERLINK("http://www.facebook.com/8062627951/posts/464902756893511",""As a former bartender and longtime drinker, this is brilliant."")</t>
  </si>
  <si>
    <t>=HYPERLINK("http://www.facebook.com/8062627951/posts/10151293008132952","Facebook is shutting down "Questions" http://tcrn.ch/QwZhBd")</t>
  </si>
  <si>
    <t>=HYPERLINK("http://www.facebook.com/8062627951/posts/120703234749987",""On tonight's episode of 'To Catch A Troll' Anderson Cooper lures in notorious reddit troll, Violentacrez, with a plate of cookies." [VIDEO]")</t>
  </si>
  <si>
    <t>=HYPERLINK("http://www.facebook.com/8062627951/posts/376170795790378","What do you think of the new "Klout Card"? Think you'll use it?")</t>
  </si>
  <si>
    <t>=HYPERLINK("http://www.facebook.com/8062627951/posts/115747945248684",""I never even remotely thought of having this kind of feature, but when you think about it the only thing you can say is, "What took you so long?""")</t>
  </si>
  <si>
    <t>=HYPERLINK("http://www.youtube.com/watch?v=gUhRKVIjJtw","The Notorious B.I.G. - "Mo Money Mo Problems"")</t>
  </si>
  <si>
    <t>=HYPERLINK("http://www.facebook.com/8062627951/posts/381605128576443","Defining a successful IPO: $FB "flopped" yet Workday "wins" by handing $470M to investors? http://tcrn.ch/RDIjk5")</t>
  </si>
  <si>
    <t>=HYPERLINK("http://www.facebook.com/8062627951/posts/358455867578273",""Hey girl, you don’t need access to healthcare, my warm, soft kisses will make you well."  — Paul Ryan Gosling (@PaulRyanGosling) August 14, 2012")</t>
  </si>
  <si>
    <t>=HYPERLINK("http://www.facebook.com/8062627951/posts/408223435909538","So, what do you think of Apple's new ad, "Bounce"?")</t>
  </si>
  <si>
    <t>=HYPERLINK("http://www.facebook.com/8062627951/posts/125440650937456","“Box just works faster than the competition, and as much as 10 million times faster in Tokyo." - Box CEO Aaron Levie")</t>
  </si>
  <si>
    <t>=HYPERLINK("http://www.facebook.com/8062627951/posts/10151276423462952","Google+ is the "social spine" for consumers as well as brands and advertisers. - http://tcrn.ch/VS2caE    Agree, or disagree?")</t>
  </si>
  <si>
    <t>=HYPERLINK("http://www.facebook.com/8062627951/posts/10151276096542952","Facebook challenges Pinterest with new feature "Collections" http://tcrn.ch/TbV8B1")</t>
  </si>
  <si>
    <t>=HYPERLINK("http://www.facebook.com/8062627951/posts/231615233632896","Apple on the iPhone 5's purple flaring, "You're holding it wrong."")</t>
  </si>
  <si>
    <t>=HYPERLINK("http://www.facebook.com/8062627951/posts/10151272061552952",""Stay hungry. Stay foolish." - Steve Jobs")</t>
  </si>
  <si>
    <t>=HYPERLINK("http://www.facebook.com/8062627951/posts/360869847328015",""It's a powerful thing, this Internet of ours."")</t>
  </si>
  <si>
    <t>=HYPERLINK("http://www.facebook.com/8062627951/posts/535591573124988",""And so, readers, go build awesome stuff and change the world so we can write about it and change the world even more. Because between life and death there is meaning, even if it’s wha</t>
  </si>
  <si>
    <t>=HYPERLINK("http://www.facebook.com/8062627951/posts/190197011114808","“Literally patent wars prevent choice, prevent innovation and I think that is very bad." - Eric Schmidt")</t>
  </si>
  <si>
    <t>=HYPERLINK("http://www.facebook.com/8062627951/posts/10151258838257952","RIM employee’s OOO reply this week is both epic and sad.     "Hello my friend. I am travelling to San Jose for the biggest mobile developer event of the year – BlackBerry Jam America</t>
  </si>
  <si>
    <t xml:space="preserve">=HYPERLINK("http://www.facebook.com/8062627951/posts/365107250236028",""This golden child, this darling of the tech world, this industry titan, just came home with a dazed look and a big fat F on their report card. Not a “try harder” C like Apple TV. Not </t>
  </si>
  <si>
    <t>=HYPERLINK("http://www.facebook.com/8062627951/posts/10151250033467952",""Wait, they don't love you like i love you. Ma-a-a-a-ps, wait." http://bit.ly/Ta2ATB")</t>
  </si>
  <si>
    <t>=HYPERLINK("http://www.facebook.com/8062627951/posts/10151248214487952","Are you ready? Samsung's Galaxy Note II will launch on all five major U.S. wireless carriers by "mid-November" -- http://tcrn.ch/SATjgI")</t>
  </si>
  <si>
    <t>=HYPERLINK("http://www.facebook.com/8062627951/posts/487319534619046",""We have a very exciting update to share with you today – we are announcing Yahoo! Smart Phones, Smart Fun! As of today, Yahoo is moving off of blackberries as our corporate phones and</t>
  </si>
  <si>
    <t>=HYPERLINK("http://www.facebook.com/8062627951/posts/416157065098966","[Parody Video] "No other company on Earth would dare do this, Apple is going to start coasting."")</t>
  </si>
  <si>
    <t>=HYPERLINK("http://www.facebook.com/8062627951/posts/10151238094467952","Dave Grohl of the Foo Fighters - "What an amazing day, huh?" - http://tcrn.ch/RLUs4r")</t>
  </si>
  <si>
    <t>=HYPERLINK("http://www.facebook.com/8062627951/posts/114395088711187",""The first half year has been a little bit slow on product, but for the next six months I expect a lot of really cool stuff."")</t>
  </si>
  <si>
    <t>=HYPERLINK("http://www.facebook.com/8062627951/posts/276974249084525","“Everything I do breaks, but we fix things quickly." - Facebook's Mark Zuckerberg")</t>
  </si>
  <si>
    <t>=HYPERLINK("http://www.facebook.com/8062627951/posts/265455376906360",""We probably need to change the name of this conference." - Jack Dorsey")</t>
  </si>
  <si>
    <t>=HYPERLINK("http://www.facebook.com/8062627951/posts/10151230787342952","Behind the scenes of a taping of "Fly or Die" ")</t>
  </si>
  <si>
    <t>=HYPERLINK("http://www.facebook.com/8062627951/posts/347967658624597",""The Romney campaign’s experience is an important lesson for businesses and government everywhere: give power to smart geeks."")</t>
  </si>
  <si>
    <t>=HYPERLINK("http://www.facebook.com/8062627951/posts/10151229508972952","Hands-on with the 7" Kindle Fire HD: excellent display, super snappy, but new WiFi is a question mark - http://tcrn.ch/Qp5DmI")</t>
  </si>
  <si>
    <t>=HYPERLINK("http://www.facebook.com/8062627951/posts/10151229431587952","Amazon officially announces the new Kindle Paperwhite: "Paperwhite" display, frontlighting, 8 week battery, and 212 PPI - http://tcrn.ch/QfOBEn")</t>
  </si>
  <si>
    <t>=HYPERLINK("http://www.facebook.com/8062627951/posts/108807649270501","iPhone 5? Nope. It looks like Apple will call the next iPhone "The New iPhone"")</t>
  </si>
  <si>
    <t>=HYPERLINK("http://www.facebook.com/8062627951/posts/415536118503456",""The seeming lack of innovation amongst VMware’s customers is important since it gets to the very heart of corporate IT’s ability (or lack thereof) to deliver what the business, and in</t>
  </si>
  <si>
    <t>=HYPERLINK("http://www.facebook.com/8062627951/posts/278329838946462",""Go ahead and fire yourself. You’ll be really glad you did." Do you agree?")</t>
  </si>
  <si>
    <t>=HYPERLINK("http://www.facebook.com/8062627951/posts/10151208301327952","Facebook's got a new way to target you with ads, and it's working "very well" http://tcrn.ch/OC3oLs")</t>
  </si>
  <si>
    <t>=HYPERLINK("http://www.facebook.com/8062627951/posts/272427949536353",""Joking aside, this is remarkable."")</t>
  </si>
  <si>
    <t>=HYPERLINK("http://www.facebook.com/8062627951/posts/412084992189285","“I think Silicon Valley as we know it may be coming to an end …"")</t>
  </si>
  <si>
    <t>=HYPERLINK("http://www.facebook.com/8062627951/posts/356433854434793",""Culture, and, by association, brand, is so important and prevalent, you could almost test it like Rorschach — Hold up a name of a company to a user and they’ll immediately know what i</t>
  </si>
  <si>
    <t>=HYPERLINK("http://www.facebook.com/8062627951/posts/291872837586428",""When the magic happens, it happens, and all of a sudden you’ve got Kickstarter."")</t>
  </si>
  <si>
    <t>=HYPERLINK("http://www.facebook.com/8062627951/posts/503426413006566",""A few years ago, everyone was clicking. Today, we’re all scrolling."")</t>
  </si>
  <si>
    <t>=HYPERLINK("http://www.facebook.com/8062627951/posts/144133305727293",""No one would confuse the coordination of the average company — or even the best companies — for the elegance of the guitarist.  But this can change."")</t>
  </si>
  <si>
    <t>=HYPERLINK("http://www.facebook.com/8062627951/posts/334587549965497",""Who has two thumbs and wants to play some Megaman on a summer morning while you should be working on your TPS reports?" - Yep, all of us.")</t>
  </si>
  <si>
    <t>=HYPERLINK("http://www.facebook.com/8062627951/posts/446088308747595",""You always hear about Google programmers being the best in the industry, but I’ve been to a couple Google interviews and turned them down both times because the engineering quality ju</t>
  </si>
  <si>
    <t>=HYPERLINK("http://www.facebook.com/8062627951/posts/272923856147663",""Give teachers a reward upfront and threaten to take it away if performance doesn’t actually improve." Think this could work?")</t>
  </si>
  <si>
    <t>=HYPERLINK("http://www.facebook.com/8062627951/posts/337412333013972","Apple commercial from 1983, "I think, really, Mac is a big extension of who we think we are and where we think we are going."")</t>
  </si>
  <si>
    <t>=HYPERLINK("http://www.facebook.com/8062627951/posts/121332541346859",""The response has been overwhelming."")</t>
  </si>
  <si>
    <t>=HYPERLINK("http://www.facebook.com/8062627951/posts/545314632161482",""We’re supposed to be in this business not because we love money but because we love technology and its transformative power, and Facebook has both in spades."")</t>
  </si>
  <si>
    <t>=HYPERLINK("http://www.facebook.com/8062627951/posts/439502692761582",""..sometimes giants need to fall. It needs to get bad enough before people start to really consider what’s next."")</t>
  </si>
  <si>
    <t>=HYPERLINK("http://www.facebook.com/8062627951/posts/381997748532007",""Geek FBI"")</t>
  </si>
  <si>
    <t>=HYPERLINK("http://www.facebook.com/8062627951/posts/477885115585174",""The Startup CEO Starter Kit" by Carl The Startup Kid")</t>
  </si>
  <si>
    <t>=HYPERLINK("http://www.facebook.com/8062627951/posts/10151149678227952","A startup claims 80% of its Facebook ad clicks are coming from bots.    "The core issue is that Limited Run says it has discovered 80 percent of the clicks it is receiving on Faceboo</t>
  </si>
  <si>
    <t>=HYPERLINK("http://www.facebook.com/8062627951/posts/426933817350369",""A mobile experience that truly represents your identity could tie the knot for the myriad communication channels available."")</t>
  </si>
  <si>
    <t>=HYPERLINK("http://www.facebook.com/8062627951/posts/415332128518844",""To sum up: everybody hates PHP, except for the countless legions who use it, who should all be very ashamed of themselves."")</t>
  </si>
  <si>
    <t>=HYPERLINK("http://www.facebook.com/8062627951/posts/391281954270383","[TCTV] "Prepare to have your minds blown."")</t>
  </si>
  <si>
    <t>=HYPERLINK("http://www.facebook.com/8062627951/posts/250611181725363",""I gradually came to an understanding that when competing with hundreds of thousands of other apps for attention, marketing is not just another ingredient in an app’s success. It’s the</t>
  </si>
  <si>
    <t>=HYPERLINK("http://www.facebook.com/8062627951/posts/473655055980612",""Disruption doesn’t happen in a vacuum, it happens in context. And there is no greater example of disruption than what’s happening to enterprise technology market right now."")</t>
  </si>
  <si>
    <t>=HYPERLINK("http://www.facebook.com/8062627951/posts/139019706235957","2,400 miles. Five cities. Two Honda Pilots. Seven days. And five children under the age of 7.  Bonus video: John Biggs singing "Call Me Maybe"")</t>
  </si>
  <si>
    <t>=HYPERLINK("http://www.facebook.com/8062627951/posts/424416977610461","[Video] Durham has seen a huge boom in the IT sectors, with “investors being generally receptive." Go Durham.")</t>
  </si>
  <si>
    <t>=HYPERLINK("http://www.facebook.com/8062627951/posts/395339577180596",""Colleges are starting to become startup incubators..."")</t>
  </si>
  <si>
    <t>=HYPERLINK("http://www.facebook.com/8062627951/posts/100881200058632","[Video] "There isn't much more you can ask for."")</t>
  </si>
  <si>
    <t>=HYPERLINK("http://www.facebook.com/8062627951/posts/454990397852642",""Several million teens could be held liable for child pornography." Read on...")</t>
  </si>
  <si>
    <t>=HYPERLINK("http://www.facebook.com/8062627951/posts/455614087796003","Want something serious on the American holiday? Great read by editor (@alexia):  "What is clear after this io is that Google is now a hardware company, a social company and a mobile co</t>
  </si>
  <si>
    <t>=HYPERLINK("http://www.facebook.com/8062627951/posts/350194175050912","Its the fourth of July. Odds are you're at a barbeque doing some drinking (or you're Canadian). And I'd bet some good money that you're in the mood to read a post that starts "Dick fig</t>
  </si>
  <si>
    <t>=HYPERLINK("http://www.facebook.com/8062627951/posts/263390450432506","Uber's "Uber X" project:")</t>
  </si>
  <si>
    <t>=HYPERLINK("http://www.facebook.com/8062627951/posts/266712143429360",""And then they, too, will have to defend their positions against the next wave of “toys.”"")</t>
  </si>
  <si>
    <t>=HYPERLINK("http://www.facebook.com/8062627951/posts/342648262478678",""I want people to raise their voice. With that spirit we'll see a country that moves further and faster down the pathway of change.” -Newark Mayor Cory Booker")</t>
  </si>
  <si>
    <t>=HYPERLINK("http://www.facebook.com/8062627951/posts/437805369592654",""Chrome is the most popular browser in the world." - Google  Make sure you're following along!")</t>
  </si>
  <si>
    <t>=HYPERLINK("http://www.facebook.com/8062627951/posts/302980056465292","Think Google Now has what it takes to be a "Siri killer"?")</t>
  </si>
  <si>
    <t>=HYPERLINK("http://www.facebook.com/8062627951/posts/438950626125073","“In a couple of years, you will love your bank."")</t>
  </si>
  <si>
    <t>=HYPERLINK("http://www.facebook.com/8062627951/posts/455161367840983",""This startup is going to make a lot of recent grads happy."")</t>
  </si>
  <si>
    <t>=HYPERLINK("http://www.facebook.com/8062627951/posts/335348053212423",""If you're in business, you can't ignore China."")</t>
  </si>
  <si>
    <t>=HYPERLINK("http://www.facebook.com/8062627951/posts/411239922260513",""Butterfly in the sky, I can go twice as high. Take a look, it's in a book, it's Reading Rainbow.."")</t>
  </si>
  <si>
    <t>=HYPERLINK("http://www.facebook.com/8062627951/posts/254352331332837",""Software is better at investing than 99% of active investors."   Would you prefer to have software manage your money?")</t>
  </si>
  <si>
    <t>=HYPERLINK("http://www.facebook.com/8062627951/posts/430882683598773",""Magic, they call it."")</t>
  </si>
  <si>
    <t>=HYPERLINK("http://www.facebook.com/8062627951/posts/350270665045212","“KPCB generally denies each and every material allegation of the Complaint and further denies..."")</t>
  </si>
  <si>
    <t>=HYPERLINK("http://www.facebook.com/8062627951/posts/253117374788975","Did Apple's WWDC announcements "wow" you yesterday?")</t>
  </si>
  <si>
    <t>=HYPERLINK("http://www.facebook.com/8062627951/posts/425583200806366","[Photos] Here it is - the new MacBook Pro with the "Retina" display.")</t>
  </si>
  <si>
    <t>=HYPERLINK("http://www.facebook.com/8062627951/posts/306989719390926",""His work – and he worked endlessly, writing story after story, rain or shine – is there to remind us that we’re not worthless, that our greatest gift to posterity is our writing and o</t>
  </si>
  <si>
    <t>=HYPERLINK("http://www.facebook.com/8062627951/posts/371082649618767",""With its dead simple interface, anyone can create a shortened, tweet-friendly link in around 60 seconds, the company claims, allowing you to start collecting money online immediately.</t>
  </si>
  <si>
    <t>=HYPERLINK("http://www.facebook.com/8062627951/posts/368076753249216","Is there such a thing as a "perfect startup"? If so, would you consider Facebook one of them? ")</t>
  </si>
  <si>
    <t>=HYPERLINK("http://www.facebook.com/8062627951/posts/110433782429038",""When I was a boy of 14, my father was so ignorant I could hardly stand to have the old man around. But when I got to be 21, I was astonished at how much the old man had learned in sev</t>
  </si>
  <si>
    <t>=HYPERLINK("http://www.facebook.com/8062627951/posts/298417360248546",""There’s something terribly fun about tilting your smartphone around and watching this little quad-rotor aircraft dart around in response to it."")</t>
  </si>
  <si>
    <t>=HYPERLINK("http://techcrunch.com/2012/05/21/fred-wilson-angels/",""Google Hasn't Been Interested In Buying Twitter Since It Committed To Google+" -Fred Wilson")</t>
  </si>
  <si>
    <t>=HYPERLINK("http://www.facebook.com/8062627951/posts/356407351093360",""The company that’s been created isn’t what I want from Silicon Valley." ")</t>
  </si>
  <si>
    <t>=HYPERLINK("http://www.facebook.com/8062627951/posts/108762955928280","Pakistan Blocking Twitter Over Blasphemous Content: looks like "Everybody Draw Mohammed Day" strikes again... http://techcrunch.com/2012/05/20/report-pakistan-blocks-twitter-over-blasp</t>
  </si>
  <si>
    <t>=HYPERLINK("http://www.facebook.com/8062627951/posts/417289701625260",""If they hate then let 'em hate / and watch the money pile up"")</t>
  </si>
  <si>
    <t>=HYPERLINK("http://www.facebook.com/8062627951/posts/458560837502644","Watch Zuck's "Thank You" to all of you")</t>
  </si>
  <si>
    <t>=HYPERLINK("http://www.facebook.com/8062627951/posts/404366452937500","+ check out Facebook's new motivational poster for all the haters: "Likers Gonna Like"")</t>
  </si>
  <si>
    <t>=HYPERLINK("http://www.facebook.com/8062627951/posts/411081412265382",""There’s a lot of money floating around Silicon Valley right now, and it’s becoming easier and easier for entrepreneurs to get access to the capital they need to get their companies of</t>
  </si>
  <si>
    <t>=HYPERLINK("http://www.facebook.com/8062627951/posts/358332814227226",""Warren Buffett is like my ten year old.."")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</si>
</sst>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10" xfId="0" applyBorder="1" applyAlignment="1">
      <alignment horizontal="center" vertical="center"/>
    </xf>
    <xf numFmtId="0" fontId="0" fillId="0" borderId="0" xfId="0" applyAlignment="1">
      <alignment horizontal="center" vertical="center"/>
    </xf>
    <xf numFmtId="22" fontId="0" fillId="0" borderId="10" xfId="0" applyNumberFormat="1" applyBorder="1" applyAlignment="1">
      <alignment horizontal="center" vertical="center"/>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left" vertical="center" textRotation="0" wrapText="1" indent="0" justifyLastLine="0" shrinkToFit="0" readingOrder="0"/>
    </dxf>
    <dxf>
      <numFmt numFmtId="27" formatCode="m/d/yyyy\ h:mm"/>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G2426" totalsRowShown="0">
  <autoFilter ref="A1:G2426"/>
  <tableColumns count="7">
    <tableColumn id="1" name="Link Title" dataDxfId="2"/>
    <tableColumn id="2" name="Message" dataDxfId="0"/>
    <tableColumn id="3" name="Time Posted (PST)" dataDxfId="1"/>
    <tableColumn id="4" name="# Likes" dataDxfId="6"/>
    <tableColumn id="5" name="# Comments" dataDxfId="5"/>
    <tableColumn id="6" name="Has Question?" dataDxfId="4"/>
    <tableColumn id="7" name="Is Photo?"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6"/>
  <sheetViews>
    <sheetView tabSelected="1" workbookViewId="0">
      <selection activeCell="E3" sqref="E3"/>
    </sheetView>
  </sheetViews>
  <sheetFormatPr defaultRowHeight="15" x14ac:dyDescent="0.25"/>
  <cols>
    <col min="1" max="1" width="39.7109375" style="4" customWidth="1"/>
    <col min="2" max="2" width="56.5703125" style="4" customWidth="1"/>
    <col min="3" max="3" width="19.140625" style="2" customWidth="1"/>
    <col min="4" max="4" width="9.140625" style="2"/>
    <col min="5" max="5" width="14.140625" style="2" customWidth="1"/>
    <col min="6" max="6" width="15.85546875" style="2" customWidth="1"/>
    <col min="7" max="7" width="11.28515625" style="2" customWidth="1"/>
  </cols>
  <sheetData>
    <row r="1" spans="1:7" x14ac:dyDescent="0.25">
      <c r="A1" s="4" t="s">
        <v>0</v>
      </c>
      <c r="B1" s="4" t="s">
        <v>1</v>
      </c>
      <c r="C1" s="1" t="s">
        <v>2</v>
      </c>
      <c r="D1" s="2" t="s">
        <v>3</v>
      </c>
      <c r="E1" s="2" t="s">
        <v>4</v>
      </c>
      <c r="F1" s="2" t="s">
        <v>5</v>
      </c>
      <c r="G1" s="2" t="s">
        <v>6</v>
      </c>
    </row>
    <row r="2" spans="1:7" ht="30" x14ac:dyDescent="0.25">
      <c r="A2" s="4" t="str">
        <f>HYPERLINK("http://www.facebook.com/photo.php?fbid=10151409842302952&amp;set=a.114456157951.118433.8062627951&amp;type=1&amp;relevant_count=1","[Photo]")</f>
        <v>[Photo]</v>
      </c>
      <c r="B2" s="4" t="str">
        <f>HYPERLINK("http://www.facebook.com/8062627951/posts/10151409842357952","2012: The year crowdfunding was kickstarted into the mainstream - http://tcrn.ch/VsG9Yu")</f>
        <v>2012: The year crowdfunding was kickstarted into the mainstream - http://tcrn.ch/VsG9Yu</v>
      </c>
      <c r="C2" s="3">
        <v>41274.717187499999</v>
      </c>
      <c r="D2" s="2">
        <v>39</v>
      </c>
      <c r="E2" s="2">
        <v>2</v>
      </c>
      <c r="F2" s="2" t="s">
        <v>7</v>
      </c>
      <c r="G2" s="2" t="s">
        <v>8</v>
      </c>
    </row>
    <row r="3" spans="1:7" ht="45" x14ac:dyDescent="0.25">
      <c r="A3" s="4" t="s">
        <v>9</v>
      </c>
      <c r="B3" s="4" t="str">
        <f>HYPERLINK("http://www.facebook.com/8062627951/posts/10151409686542952","We just finished rounding up the top 25 TechCrunch stories of 2012. The post will go up later tonight. Any guesses which post was the most popular? Hint: It's not about Apple.")</f>
        <v>We just finished rounding up the top 25 TechCrunch stories of 2012. The post will go up later tonight. Any guesses which post was the most popular? Hint: It's not about Apple.</v>
      </c>
      <c r="C3" s="3">
        <v>41274.639317129629</v>
      </c>
      <c r="D3" s="2">
        <v>108</v>
      </c>
      <c r="E3" s="2">
        <v>43</v>
      </c>
      <c r="F3" s="2" t="s">
        <v>8</v>
      </c>
      <c r="G3" s="2" t="s">
        <v>7</v>
      </c>
    </row>
    <row r="4" spans="1:7" x14ac:dyDescent="0.25">
      <c r="A4" s="4" t="str">
        <f>HYPERLINK("http://www.facebook.com/photo.php?fbid=10151409516482952&amp;set=a.114456157951.118433.8062627951&amp;type=1&amp;relevant_count=1","[Photo]")</f>
        <v>[Photo]</v>
      </c>
      <c r="B4" s="4" t="str">
        <f>HYPERLINK("http://www.facebook.com/8062627951/posts/10151409516557952","The maximum, beautiful product - http://tcrn.ch/UhzpJL")</f>
        <v>The maximum, beautiful product - http://tcrn.ch/UhzpJL</v>
      </c>
      <c r="C4" s="3">
        <v>41274.568287037036</v>
      </c>
      <c r="D4" s="2">
        <v>31</v>
      </c>
      <c r="E4" s="2">
        <v>1</v>
      </c>
      <c r="F4" s="2" t="s">
        <v>7</v>
      </c>
      <c r="G4" s="2" t="s">
        <v>8</v>
      </c>
    </row>
    <row r="5" spans="1:7" ht="45" x14ac:dyDescent="0.25">
      <c r="A5" s="4" t="str">
        <f>HYPERLINK("http://www.facebook.com/photo.php?fbid=10151409473292952&amp;set=a.114456157951.118433.8062627951&amp;type=1&amp;relevant_count=1","[Photo]")</f>
        <v>[Photo]</v>
      </c>
      <c r="B5" s="4" t="str">
        <f>HYPERLINK("http://www.facebook.com/8062627951/posts/10151409473357952","Today is the last day to enter. Good luck everyone! TechCrunch giveaway: Nexus 4 and Nexus 10 - http://tcrn.ch/ZymgU5")</f>
        <v>Today is the last day to enter. Good luck everyone! TechCrunch giveaway: Nexus 4 and Nexus 10 - http://tcrn.ch/ZymgU5</v>
      </c>
      <c r="C5" s="3">
        <v>41274.552951388891</v>
      </c>
      <c r="D5" s="2">
        <v>132</v>
      </c>
      <c r="E5" s="2">
        <v>43</v>
      </c>
      <c r="F5" s="2" t="s">
        <v>7</v>
      </c>
      <c r="G5" s="2" t="s">
        <v>8</v>
      </c>
    </row>
    <row r="6" spans="1:7" ht="45" x14ac:dyDescent="0.25">
      <c r="A6" s="4" t="str">
        <f>HYPERLINK("http://www.facebook.com/photo.php?fbid=10151409429552952&amp;set=a.114456157951.118433.8062627951&amp;type=1&amp;relevant_count=1","[Photo]")</f>
        <v>[Photo]</v>
      </c>
      <c r="B6" s="4" t="str">
        <f>HYPERLINK("http://www.facebook.com/8062627951/posts/10151409429612952","7 apps that will keep your New Year’s Resolutions alive -   http://tcrn.ch/ZPf5ac    What are your New Year's Resolutions this year?")</f>
        <v>7 apps that will keep your New Year’s Resolutions alive -   http://tcrn.ch/ZPf5ac    What are your New Year's Resolutions this year?</v>
      </c>
      <c r="C6" s="3">
        <v>41274.53087962963</v>
      </c>
      <c r="D6" s="2">
        <v>81</v>
      </c>
      <c r="E6" s="2">
        <v>10</v>
      </c>
      <c r="F6" s="2" t="s">
        <v>8</v>
      </c>
      <c r="G6" s="2" t="s">
        <v>8</v>
      </c>
    </row>
    <row r="7" spans="1:7" ht="30" x14ac:dyDescent="0.25">
      <c r="A7" s="4" t="str">
        <f>HYPERLINK("http://techcrunch.com/2012/12/31/netflix-is-down-again-argh/","Netflix Is Down: Company Says Only DVD Website Affected")</f>
        <v>Netflix Is Down: Company Says Only DVD Website Affected</v>
      </c>
      <c r="B7" s="4" t="str">
        <f>HYPERLINK("http://www.facebook.com/8062627951/posts/110972115744002","Oh, Netflix.")</f>
        <v>Oh, Netflix.</v>
      </c>
      <c r="C7" s="3">
        <v>41274.52716435185</v>
      </c>
      <c r="D7" s="2">
        <v>42</v>
      </c>
      <c r="E7" s="2">
        <v>17</v>
      </c>
      <c r="F7" s="2" t="s">
        <v>7</v>
      </c>
      <c r="G7" s="2" t="s">
        <v>7</v>
      </c>
    </row>
    <row r="8" spans="1:7" ht="45" x14ac:dyDescent="0.25">
      <c r="A8" s="4" t="str">
        <f>HYPERLINK("http://techcrunch.com/2012/12/31/fab-looks-back-at-past-18-months-10-million-members-4-3-million-products-sold/","Fab Looks Back At Past 18 Months: 10 Million Members, 4.3 Million Products Sold")</f>
        <v>Fab Looks Back At Past 18 Months: 10 Million Members, 4.3 Million Products Sold</v>
      </c>
      <c r="B8" s="4" t="str">
        <f>HYPERLINK("http://www.facebook.com/8062627951/posts/311114255673292","Watch out, Internet. Fab is big business now.")</f>
        <v>Watch out, Internet. Fab is big business now.</v>
      </c>
      <c r="C8" s="3">
        <v>41274.435706018521</v>
      </c>
      <c r="D8" s="2">
        <v>58</v>
      </c>
      <c r="E8" s="2">
        <v>6</v>
      </c>
      <c r="F8" s="2" t="s">
        <v>7</v>
      </c>
      <c r="G8" s="2" t="s">
        <v>7</v>
      </c>
    </row>
    <row r="9" spans="1:7" ht="45" x14ac:dyDescent="0.25">
      <c r="A9" s="4" t="str">
        <f>HYPERLINK("http://techcrunch.com/2012/12/31/squeeze-into-some-yoga-pants-and-lace-up-your-shoes-runkeeper-3-0-hits-in-time-for-new-years/","Lace Up Your Shoes, RunKeeper 3.0 Hits In Time For New Years With A New Interface And Improved Socia")</f>
        <v>Lace Up Your Shoes, RunKeeper 3.0 Hits In Time For New Years With A New Interface And Improved Socia</v>
      </c>
      <c r="B9" s="4" t="str">
        <f>HYPERLINK("http://www.facebook.com/8062627951/posts/410231319054594","RunKeeper wants to help you lose a few pounds in 2013 with its redesigned app.")</f>
        <v>RunKeeper wants to help you lose a few pounds in 2013 with its redesigned app.</v>
      </c>
      <c r="C9" s="3">
        <v>41274.282060185185</v>
      </c>
      <c r="D9" s="2">
        <v>36</v>
      </c>
      <c r="E9" s="2">
        <v>2</v>
      </c>
      <c r="F9" s="2" t="s">
        <v>7</v>
      </c>
      <c r="G9" s="2" t="s">
        <v>7</v>
      </c>
    </row>
    <row r="10" spans="1:7" ht="30" x14ac:dyDescent="0.25">
      <c r="A10" s="4" t="str">
        <f>HYPERLINK("http://techcrunch.com/2012/12/31/samsung-sells-millionth-galaxy-note-ii-in-its-domestic-market/","Samsung Sells Millionth Galaxy Note II In Its Domestic Market")</f>
        <v>Samsung Sells Millionth Galaxy Note II In Its Domestic Market</v>
      </c>
      <c r="B10" s="4" t="str">
        <f>HYPERLINK("http://www.facebook.com/8062627951/posts/314884421960297","The Samsung Galaxy Note II is popular in South Korea.")</f>
        <v>The Samsung Galaxy Note II is popular in South Korea.</v>
      </c>
      <c r="C10" s="3">
        <v>41274.217175925929</v>
      </c>
      <c r="D10" s="2">
        <v>109</v>
      </c>
      <c r="E10" s="2">
        <v>12</v>
      </c>
      <c r="F10" s="2" t="s">
        <v>7</v>
      </c>
      <c r="G10" s="2" t="s">
        <v>7</v>
      </c>
    </row>
    <row r="11" spans="1:7" ht="30" x14ac:dyDescent="0.25">
      <c r="A11" s="4" t="str">
        <f>HYPERLINK("http://techcrunch.com/2012/12/30/im-bored-whats-next/","I’m Bored. What’s Next?")</f>
        <v>I’m Bored. What’s Next?</v>
      </c>
      <c r="B11" s="4" t="str">
        <f>HYPERLINK("http://www.facebook.com/8062627951/posts/481574525216973","What do you think is next?  Better yet - what would you like to see next?")</f>
        <v>What do you think is next?  Better yet - what would you like to see next?</v>
      </c>
      <c r="C11" s="3">
        <v>41273.946111111109</v>
      </c>
      <c r="D11" s="2">
        <v>62</v>
      </c>
      <c r="E11" s="2">
        <v>16</v>
      </c>
      <c r="F11" s="2" t="s">
        <v>8</v>
      </c>
      <c r="G11" s="2" t="s">
        <v>7</v>
      </c>
    </row>
    <row r="12" spans="1:7" ht="30" x14ac:dyDescent="0.25">
      <c r="A12" s="4" t="str">
        <f>HYPERLINK("http://www.facebook.com/photo.php?fbid=10151408051082952&amp;set=a.114456157951.118433.8062627951&amp;type=1&amp;relevant_count=1","[Photo]")</f>
        <v>[Photo]</v>
      </c>
      <c r="B12" s="4" t="str">
        <f>HYPERLINK("http://www.facebook.com/8062627951/posts/10151408051132952","2012: TechCrunch year in review - http://tcrn.ch/VqyFp2    Happy New Year!")</f>
        <v>2012: TechCrunch year in review - http://tcrn.ch/VqyFp2    Happy New Year!</v>
      </c>
      <c r="C12" s="3">
        <v>41273.764606481483</v>
      </c>
      <c r="D12" s="2">
        <v>62</v>
      </c>
      <c r="E12" s="2">
        <v>5</v>
      </c>
      <c r="F12" s="2" t="s">
        <v>7</v>
      </c>
      <c r="G12" s="2" t="s">
        <v>8</v>
      </c>
    </row>
    <row r="13" spans="1:7" ht="30" x14ac:dyDescent="0.25">
      <c r="A13" s="4" t="str">
        <f>HYPERLINK("http://www.facebook.com/photo.php?fbid=10151407918667952&amp;set=a.114456157951.118433.8062627951&amp;type=1&amp;relevant_count=1","[Photo]")</f>
        <v>[Photo]</v>
      </c>
      <c r="B13" s="4" t="str">
        <f>HYPERLINK("http://www.facebook.com/8062627951/posts/10151407918692952","Game Over: Zynga shuts down PetVille and 10 other titles to cut costs - http://tcrn.ch/UdEsfI")</f>
        <v>Game Over: Zynga shuts down PetVille and 10 other titles to cut costs - http://tcrn.ch/UdEsfI</v>
      </c>
      <c r="C13" s="3">
        <v>41273.683935185189</v>
      </c>
      <c r="D13" s="2">
        <v>214</v>
      </c>
      <c r="E13" s="2">
        <v>38</v>
      </c>
      <c r="F13" s="2" t="s">
        <v>7</v>
      </c>
      <c r="G13" s="2" t="s">
        <v>8</v>
      </c>
    </row>
    <row r="14" spans="1:7" x14ac:dyDescent="0.25">
      <c r="A14" s="4" t="str">
        <f>HYPERLINK("http://techcrunch.com/2012/12/30/road-tripping-in-the-digital-age/","Road Tripping In The Digital Age ")</f>
        <v xml:space="preserve">Road Tripping In The Digital Age </v>
      </c>
      <c r="B14" s="4" t="str">
        <f>HYPERLINK("http://www.facebook.com/8062627951/posts/404837829598490","Which apps do you use while road tripping?")</f>
        <v>Which apps do you use while road tripping?</v>
      </c>
      <c r="C14" s="3">
        <v>41273.65283564815</v>
      </c>
      <c r="D14" s="2">
        <v>30</v>
      </c>
      <c r="E14" s="2">
        <v>30</v>
      </c>
      <c r="F14" s="2" t="s">
        <v>8</v>
      </c>
      <c r="G14" s="2" t="s">
        <v>7</v>
      </c>
    </row>
    <row r="15" spans="1:7" ht="30" x14ac:dyDescent="0.25">
      <c r="A15" s="4" t="str">
        <f>HYPERLINK("http://www.facebook.com/photo.php?fbid=10151407701587952&amp;set=a.114456157951.118433.8062627951&amp;type=1&amp;relevant_count=1","[Photo]")</f>
        <v>[Photo]</v>
      </c>
      <c r="B15" s="4" t="str">
        <f>HYPERLINK("http://www.facebook.com/8062627951/posts/10151407701647952","Iterations: it’s early innings for digital pictures. Do you agree? - http://tcrn.ch/X7iCiE")</f>
        <v>Iterations: it’s early innings for digital pictures. Do you agree? - http://tcrn.ch/X7iCiE</v>
      </c>
      <c r="C15" s="3">
        <v>41273.578148148146</v>
      </c>
      <c r="D15" s="2">
        <v>49</v>
      </c>
      <c r="E15" s="2">
        <v>4</v>
      </c>
      <c r="F15" s="2" t="s">
        <v>8</v>
      </c>
      <c r="G15" s="2" t="s">
        <v>8</v>
      </c>
    </row>
    <row r="16" spans="1:7" ht="30" x14ac:dyDescent="0.25">
      <c r="A16" s="4" t="str">
        <f>HYPERLINK("http://www.facebook.com/photo.php?fbid=10151407491632952&amp;set=a.114456157951.118433.8062627951&amp;type=1&amp;relevant_count=1","[Photo]")</f>
        <v>[Photo]</v>
      </c>
      <c r="B16" s="4" t="str">
        <f>HYPERLINK("http://www.facebook.com/8062627951/posts/10151407491657952","How the Huang brothers bootstrapped Guitar Hero to a billion dollar business - http://tcrn.ch/UxxvXU")</f>
        <v>How the Huang brothers bootstrapped Guitar Hero to a billion dollar business - http://tcrn.ch/UxxvXU</v>
      </c>
      <c r="C16" s="3">
        <v>41273.527442129627</v>
      </c>
      <c r="D16" s="2">
        <v>150</v>
      </c>
      <c r="E16" s="2">
        <v>2</v>
      </c>
      <c r="F16" s="2" t="s">
        <v>7</v>
      </c>
      <c r="G16" s="2" t="s">
        <v>8</v>
      </c>
    </row>
    <row r="17" spans="1:7" x14ac:dyDescent="0.25">
      <c r="A17" s="4" t="str">
        <f>HYPERLINK("http://techcrunch.com/2012/12/30/amazon-is-not-a-commerce-company/","Amazon Is Not A Commerce Companyy")</f>
        <v>Amazon Is Not A Commerce Companyy</v>
      </c>
      <c r="B17" s="4" t="str">
        <f>HYPERLINK("http://www.facebook.com/8062627951/posts/545036225509516","Amazon is changing.")</f>
        <v>Amazon is changing.</v>
      </c>
      <c r="C17" s="3">
        <v>41273.478842592594</v>
      </c>
      <c r="D17" s="2">
        <v>178</v>
      </c>
      <c r="E17" s="2">
        <v>12</v>
      </c>
      <c r="F17" s="2" t="s">
        <v>7</v>
      </c>
      <c r="G17" s="2" t="s">
        <v>7</v>
      </c>
    </row>
    <row r="18" spans="1:7" ht="45" x14ac:dyDescent="0.25">
      <c r="A18" s="4" t="str">
        <f>HYPERLINK("http://techcrunch.com/2012/12/30/extreme-diet-hacking-how-cheesecake-made-me-leaner-and-stronger-with-carb-backloading/","Extreme Diet Hacking With Tech: How Cheesecake Made Me Leaner And Stronger With Carb Backloading")</f>
        <v>Extreme Diet Hacking With Tech: How Cheesecake Made Me Leaner And Stronger With Carb Backloading</v>
      </c>
      <c r="B18" s="4" t="str">
        <f>HYPERLINK("http://www.facebook.com/8062627951/posts/312932265474745","On validating fad diets with gadgets and science.")</f>
        <v>On validating fad diets with gadgets and science.</v>
      </c>
      <c r="C18" s="3">
        <v>41273.449143518519</v>
      </c>
      <c r="D18" s="2">
        <v>49</v>
      </c>
      <c r="E18" s="2">
        <v>6</v>
      </c>
      <c r="F18" s="2" t="s">
        <v>7</v>
      </c>
      <c r="G18" s="2" t="s">
        <v>7</v>
      </c>
    </row>
    <row r="19" spans="1:7" ht="45" x14ac:dyDescent="0.25">
      <c r="A19" s="4" t="str">
        <f>HYPERLINK("http://techcrunch.com/2012/12/30/foursquare-to-start-using-full-names-sharing-more-of-your-data-with-venues-from-january-28-according-to-new-privacy-policy/","Foursquare To Start Using Full Names, Sharing More Of Your Data With Venues From January 28, Accordi")</f>
        <v>Foursquare To Start Using Full Names, Sharing More Of Your Data With Venues From January 28, Accordi</v>
      </c>
      <c r="B19" s="4" t="str">
        <f>HYPERLINK("http://www.facebook.com/8062627951/posts/384165901677269","Take notice, Foursquare users. Things are about to change.")</f>
        <v>Take notice, Foursquare users. Things are about to change.</v>
      </c>
      <c r="C19" s="3">
        <v>41273.280509259261</v>
      </c>
      <c r="D19" s="2">
        <v>50</v>
      </c>
      <c r="E19" s="2">
        <v>11</v>
      </c>
      <c r="F19" s="2" t="s">
        <v>7</v>
      </c>
      <c r="G19" s="2" t="s">
        <v>7</v>
      </c>
    </row>
    <row r="20" spans="1:7" ht="45" x14ac:dyDescent="0.25">
      <c r="A20" s="4" t="str">
        <f>HYPERLINK("http://techcrunch.com/2012/12/29/intel-set-top-box/","Intel’s Cable TV Service And Set Top Box Will Soon Roll Out City By City | TechCrunch")</f>
        <v>Intel’s Cable TV Service And Set Top Box Will Soon Roll Out City By City | TechCrunch</v>
      </c>
      <c r="B20" s="4" t="str">
        <f>HYPERLINK("http://www.facebook.com/8062627951/posts/514223861944542","Your next cable service could have Intel inside.")</f>
        <v>Your next cable service could have Intel inside.</v>
      </c>
      <c r="C20" s="3">
        <v>41272.850844907407</v>
      </c>
      <c r="D20" s="2">
        <v>101</v>
      </c>
      <c r="E20" s="2">
        <v>7</v>
      </c>
      <c r="F20" s="2" t="s">
        <v>7</v>
      </c>
      <c r="G20" s="2" t="s">
        <v>7</v>
      </c>
    </row>
    <row r="21" spans="1:7" ht="45" x14ac:dyDescent="0.25">
      <c r="A21" s="4" t="str">
        <f>HYPERLINK("http://www.facebook.com/photo.php?fbid=10151405934122952&amp;set=a.114456157951.118433.8062627951&amp;type=1&amp;relevant_count=1","[Photo]")</f>
        <v>[Photo]</v>
      </c>
      <c r="B21" s="4" t="str">
        <f>HYPERLINK("http://www.facebook.com/8062627951/posts/10151405934182952","Michigan becomes the latest state to protect citizens from employers and schools snooping on private social feeds - http://tcrn.ch/Ut0uMJ")</f>
        <v>Michigan becomes the latest state to protect citizens from employers and schools snooping on private social feeds - http://tcrn.ch/Ut0uMJ</v>
      </c>
      <c r="C21" s="3">
        <v>41272.722256944442</v>
      </c>
      <c r="D21" s="2">
        <v>58</v>
      </c>
      <c r="E21" s="2">
        <v>1</v>
      </c>
      <c r="F21" s="2" t="s">
        <v>7</v>
      </c>
      <c r="G21" s="2" t="s">
        <v>8</v>
      </c>
    </row>
    <row r="22" spans="1:7" ht="30" x14ac:dyDescent="0.25">
      <c r="A22" s="4" t="str">
        <f>HYPERLINK("http://techcrunch.com/2012/12/29/the-10-best-ios-and-android-games-of-2012/","The 10 Best iOS And Android Games Of 2012")</f>
        <v>The 10 Best iOS And Android Games Of 2012</v>
      </c>
      <c r="B22" s="4" t="str">
        <f>HYPERLINK("http://www.facebook.com/8062627951/posts/153004991513928","Which have been your favorite this year?")</f>
        <v>Which have been your favorite this year?</v>
      </c>
      <c r="C22" s="3">
        <v>41272.705104166664</v>
      </c>
      <c r="D22" s="2">
        <v>66</v>
      </c>
      <c r="E22" s="2">
        <v>14</v>
      </c>
      <c r="F22" s="2" t="s">
        <v>8</v>
      </c>
      <c r="G22" s="2" t="s">
        <v>7</v>
      </c>
    </row>
    <row r="23" spans="1:7" x14ac:dyDescent="0.25">
      <c r="A23" s="4" t="str">
        <f>HYPERLINK("http://techcrunch.com/2012/12/29/unnatural-acts-and-the-rise-of-mobile/","Unnatural Acts And The Rise Of Mobile")</f>
        <v>Unnatural Acts And The Rise Of Mobile</v>
      </c>
      <c r="B23" s="4" t="str">
        <f>HYPERLINK("http://www.facebook.com/8062627951/posts/320221868081942","There is a new law emerging in cyberspace.")</f>
        <v>There is a new law emerging in cyberspace.</v>
      </c>
      <c r="C23" s="3">
        <v>41272.507430555554</v>
      </c>
      <c r="D23" s="2">
        <v>77</v>
      </c>
      <c r="E23" s="2">
        <v>3</v>
      </c>
      <c r="F23" s="2" t="s">
        <v>7</v>
      </c>
      <c r="G23" s="2" t="s">
        <v>7</v>
      </c>
    </row>
    <row r="24" spans="1:7" ht="30" x14ac:dyDescent="0.25">
      <c r="A24" s="4" t="str">
        <f>HYPERLINK("http://techcrunch.com/2012/12/29/samsung-to-build-a-massive-rd-complex-in-silicon-valley/","Samsung To Build A Massive R&amp;D Complex In Silicon Valley")</f>
        <v>Samsung To Build A Massive R&amp;D Complex In Silicon Valley</v>
      </c>
      <c r="B24" s="4" t="str">
        <f>HYPERLINK("http://www.facebook.com/8062627951/posts/555334234479085","It's clear that Samsung is committed to Silicon Valley.")</f>
        <v>It's clear that Samsung is committed to Silicon Valley.</v>
      </c>
      <c r="C24" s="3">
        <v>41272.37877314815</v>
      </c>
      <c r="D24" s="2">
        <v>161</v>
      </c>
      <c r="E24" s="2">
        <v>8</v>
      </c>
      <c r="F24" s="2" t="s">
        <v>7</v>
      </c>
      <c r="G24" s="2" t="s">
        <v>7</v>
      </c>
    </row>
    <row r="25" spans="1:7" ht="30" x14ac:dyDescent="0.25">
      <c r="A25" s="4" t="str">
        <f>HYPERLINK("http://techcrunch.com/2012/12/29/trade-a-bit-of-facebook-privacy-for-free-samsung-tectiles-flip-covers/","Trade A Bit Of Facebook Privacy For Free Samsung TecTiles, Flip Covers")</f>
        <v>Trade A Bit Of Facebook Privacy For Free Samsung TecTiles, Flip Covers</v>
      </c>
      <c r="B25" s="4" t="str">
        <f>HYPERLINK("http://www.facebook.com/8062627951/posts/453295991386817","Shady or good deal?")</f>
        <v>Shady or good deal?</v>
      </c>
      <c r="C25" s="3">
        <v>41272.332372685189</v>
      </c>
      <c r="D25" s="2">
        <v>27</v>
      </c>
      <c r="E25" s="2">
        <v>6</v>
      </c>
      <c r="F25" s="2" t="s">
        <v>8</v>
      </c>
      <c r="G25" s="2" t="s">
        <v>7</v>
      </c>
    </row>
    <row r="26" spans="1:7" x14ac:dyDescent="0.25">
      <c r="A26" s="4" t="str">
        <f>HYPERLINK("http://techcrunch.com/2012/12/29/in-which-i-gaze-into-techcrunchs-navel-be-afraid/","All Journalism Is Tech Journalism Now")</f>
        <v>All Journalism Is Tech Journalism Now</v>
      </c>
      <c r="B26" s="4" t="str">
        <f>HYPERLINK("http://www.facebook.com/8062627951/posts/457889934268212","You could say that tech is mainstream now.")</f>
        <v>You could say that tech is mainstream now.</v>
      </c>
      <c r="C26" s="3">
        <v>41272.286296296297</v>
      </c>
      <c r="D26" s="2">
        <v>32</v>
      </c>
      <c r="E26" s="2">
        <v>1</v>
      </c>
      <c r="F26" s="2" t="s">
        <v>7</v>
      </c>
      <c r="G26" s="2" t="s">
        <v>7</v>
      </c>
    </row>
    <row r="27" spans="1:7" ht="45" x14ac:dyDescent="0.25">
      <c r="A27" s="4" t="str">
        <f>HYPERLINK("http://techcrunch.com/2012/12/28/for-sex-reasons/","“Bug” Lets People Save Snapchat And Poke Videos, But Why Would Anyone Want To Do That?")</f>
        <v>“Bug” Lets People Save Snapchat And Poke Videos, But Why Would Anyone Want To Do That?</v>
      </c>
      <c r="B27" s="4" t="str">
        <f>HYPERLINK("http://www.facebook.com/8062627951/posts/309236082526691","It's a good question, really.")</f>
        <v>It's a good question, really.</v>
      </c>
      <c r="C27" s="3">
        <v>41271.614224537036</v>
      </c>
      <c r="D27" s="2">
        <v>44</v>
      </c>
      <c r="E27" s="2">
        <v>6</v>
      </c>
      <c r="F27" s="2" t="s">
        <v>7</v>
      </c>
      <c r="G27" s="2" t="s">
        <v>7</v>
      </c>
    </row>
    <row r="28" spans="1:7" ht="45" x14ac:dyDescent="0.25">
      <c r="A28" s="4" t="str">
        <f>HYPERLINK("http://techcrunch.com/2012/12/28/data-shows-online-buzz-about-snapchat-is-skyrocketing-after-the-launch-of-facebook-poke/","Data Shows Online Buzz About Snapchat Is Skyrocketing After The Launch Of Facebook Poke")</f>
        <v>Data Shows Online Buzz About Snapchat Is Skyrocketing After The Launch Of Facebook Poke</v>
      </c>
      <c r="B28" s="4" t="str">
        <f>HYPERLINK("http://www.facebook.com/8062627951/posts/114595065377139","What's Poke? Everyone is talking about about Snapchat, not Facebook's clone.")</f>
        <v>What's Poke? Everyone is talking about about Snapchat, not Facebook's clone.</v>
      </c>
      <c r="C28" s="3">
        <v>41271.479155092595</v>
      </c>
      <c r="D28" s="2">
        <v>68</v>
      </c>
      <c r="E28" s="2">
        <v>14</v>
      </c>
      <c r="F28" s="2" t="s">
        <v>8</v>
      </c>
      <c r="G28" s="2" t="s">
        <v>7</v>
      </c>
    </row>
    <row r="29" spans="1:7" x14ac:dyDescent="0.25">
      <c r="A29" s="4" t="str">
        <f>HYPERLINK("http://techcrunch.com/2012/12/28/rethinking-the-mobile-app-walkthrough/","Rethinking The Mobile App “Walkthrough”")</f>
        <v>Rethinking The Mobile App “Walkthrough”</v>
      </c>
      <c r="B29" s="4" t="str">
        <f>HYPERLINK("http://www.facebook.com/8062627951/posts/191337597672216","Are app walkthroughs unavoidable?")</f>
        <v>Are app walkthroughs unavoidable?</v>
      </c>
      <c r="C29" s="3">
        <v>41271.425150462965</v>
      </c>
      <c r="D29" s="2">
        <v>61</v>
      </c>
      <c r="E29" s="2">
        <v>9</v>
      </c>
      <c r="F29" s="2" t="s">
        <v>8</v>
      </c>
      <c r="G29" s="2" t="s">
        <v>7</v>
      </c>
    </row>
    <row r="30" spans="1:7" ht="45" x14ac:dyDescent="0.25">
      <c r="A30" s="4" t="str">
        <f>HYPERLINK("http://techcrunch.com/2012/12/28/kim-dotcom-to-host-megas-launch-event-at-his-new-mega-zealand-mansion-next-month/","Kim Dotcom To Host Mega’s Launch Event At His New Mega Zealand Mansion Next Month")</f>
        <v>Kim Dotcom To Host Mega’s Launch Event At His New Mega Zealand Mansion Next Month</v>
      </c>
      <c r="B30" s="4" t="str">
        <f>HYPERLINK("http://www.facebook.com/8062627951/posts/186162151529256","This should be epic.")</f>
        <v>This should be epic.</v>
      </c>
      <c r="C30" s="3">
        <v>41271.304097222222</v>
      </c>
      <c r="D30" s="2">
        <v>185</v>
      </c>
      <c r="E30" s="2">
        <v>12</v>
      </c>
      <c r="F30" s="2" t="s">
        <v>7</v>
      </c>
      <c r="G30" s="2" t="s">
        <v>7</v>
      </c>
    </row>
    <row r="31" spans="1:7" ht="45" x14ac:dyDescent="0.25">
      <c r="A31" s="4" t="str">
        <f>HYPERLINK("http://techcrunch.com/2012/12/28/early-apple-computer-and-tablet-designs-reveal-the-imac-and-ipad-that-might-have-been/","Early Apple Computer And Tablet Designs Reveal The iMac And iPad That Might Have Been")</f>
        <v>Early Apple Computer And Tablet Designs Reveal The iMac And iPad That Might Have Been</v>
      </c>
      <c r="B31" s="4" t="str">
        <f>HYPERLINK("http://www.facebook.com/8062627951/posts/292642584171549","A neat look at early Apple design prototypes.")</f>
        <v>A neat look at early Apple design prototypes.</v>
      </c>
      <c r="C31" s="3">
        <v>41271.266377314816</v>
      </c>
      <c r="D31" s="2">
        <v>109</v>
      </c>
      <c r="E31" s="2">
        <v>8</v>
      </c>
      <c r="F31" s="2" t="s">
        <v>7</v>
      </c>
      <c r="G31" s="2" t="s">
        <v>7</v>
      </c>
    </row>
    <row r="32" spans="1:7" ht="45" x14ac:dyDescent="0.25">
      <c r="A32" s="4" t="str">
        <f>HYPERLINK("http://techcrunch.com/2012/12/28/ouya-ships-1200-development-consoles-shows-off-its-pre-release-android-gaming-hardware-on-video/","OUYA Ships 1,200 Development Consoles, Shows Off Its Pre-Release Android Gaming Hardware On Video")</f>
        <v>OUYA Ships 1,200 Development Consoles, Shows Off Its Pre-Release Android Gaming Hardware On Video</v>
      </c>
      <c r="B32" s="4" t="str">
        <f>HYPERLINK("http://www.facebook.com/8062627951/posts/383104911781443","Is the OUYA the future of console gaming?")</f>
        <v>Is the OUYA the future of console gaming?</v>
      </c>
      <c r="C32" s="3">
        <v>41271.2108912037</v>
      </c>
      <c r="D32" s="2">
        <v>82</v>
      </c>
      <c r="E32" s="2">
        <v>14</v>
      </c>
      <c r="F32" s="2" t="s">
        <v>8</v>
      </c>
      <c r="G32" s="2" t="s">
        <v>7</v>
      </c>
    </row>
    <row r="33" spans="1:7" ht="45" x14ac:dyDescent="0.25">
      <c r="A33" s="4" t="str">
        <f>HYPERLINK("http://techcrunch.com/2012/12/27/one-in-four-americans-owns-a-tablet-overtaking-e-readers-as-printed-book-consumption-continues-to-decline-pew/","One In Four Americans Owns A Tablet, Overtaking E-Readers, As Printed Book Consumption Continues To.")</f>
        <v>One In Four Americans Owns A Tablet, Overtaking E-Readers, As Printed Book Consumption Continues To.</v>
      </c>
      <c r="B33" s="4" t="str">
        <f>HYPERLINK("http://www.facebook.com/8062627951/posts/527123713972161","Do you?")</f>
        <v>Do you?</v>
      </c>
      <c r="C33" s="3">
        <v>41270.708506944444</v>
      </c>
      <c r="D33" s="2">
        <v>80</v>
      </c>
      <c r="E33" s="2">
        <v>22</v>
      </c>
      <c r="F33" s="2" t="s">
        <v>8</v>
      </c>
      <c r="G33" s="2" t="s">
        <v>7</v>
      </c>
    </row>
    <row r="34" spans="1:7" ht="30" x14ac:dyDescent="0.25">
      <c r="A34" s="4" t="str">
        <f>HYPERLINK("http://www.facebook.com/photo.php?fbid=10151402002917952&amp;set=a.114456157951.118433.8062627951&amp;type=1&amp;relevant_count=1","[Photo]")</f>
        <v>[Photo]</v>
      </c>
      <c r="B34" s="4" t="str">
        <f>HYPERLINK("http://www.facebook.com/8062627951/posts/10151402002957952","The iMac in a world of MacBooks on the brink of iPads - http://tcrn.ch/W49LI0")</f>
        <v>The iMac in a world of MacBooks on the brink of iPads - http://tcrn.ch/W49LI0</v>
      </c>
      <c r="C34" s="3">
        <v>41270.551782407405</v>
      </c>
      <c r="D34" s="2">
        <v>155</v>
      </c>
      <c r="E34" s="2">
        <v>21</v>
      </c>
      <c r="F34" s="2" t="s">
        <v>7</v>
      </c>
      <c r="G34" s="2" t="s">
        <v>8</v>
      </c>
    </row>
    <row r="35" spans="1:7" ht="45" x14ac:dyDescent="0.25">
      <c r="A35" s="4" t="str">
        <f>HYPERLINK("http://techcrunch.com/2012/12/27/stanford-students-and-professors-are-bridging-the-cs-gender-gap-one-student-at-a-time/","Stanford Students And Professors Are Bridging The CS Gender Gap One Student At A Time")</f>
        <v>Stanford Students And Professors Are Bridging The CS Gender Gap One Student At A Time</v>
      </c>
      <c r="B35" s="4" t="str">
        <f>HYPERLINK("http://www.facebook.com/8062627951/posts/507738102581979","Read this.")</f>
        <v>Read this.</v>
      </c>
      <c r="C35" s="3">
        <v>41270.53052083333</v>
      </c>
      <c r="D35" s="2">
        <v>125</v>
      </c>
      <c r="E35" s="2">
        <v>13</v>
      </c>
      <c r="F35" s="2" t="s">
        <v>7</v>
      </c>
      <c r="G35" s="2" t="s">
        <v>7</v>
      </c>
    </row>
    <row r="36" spans="1:7" ht="45" x14ac:dyDescent="0.25">
      <c r="A36" s="4" t="str">
        <f>HYPERLINK("http://techcrunch.com/2012/12/27/looks-like-pbs-made-a-silicon-valley-tv-show-that-could-really-be-worth-watching/","Looks Like PBS Made A ‘Silicon Valley’ TV Show That Could Really Be Worth Watching")</f>
        <v>Looks Like PBS Made A ‘Silicon Valley’ TV Show That Could Really Be Worth Watching</v>
      </c>
      <c r="B36" s="4" t="str">
        <f>HYPERLINK("http://www.facebook.com/8062627951/posts/318803891557555","PBS to the rescue!")</f>
        <v>PBS to the rescue!</v>
      </c>
      <c r="C36" s="3">
        <v>41270.439293981479</v>
      </c>
      <c r="D36" s="2">
        <v>178</v>
      </c>
      <c r="E36" s="2">
        <v>7</v>
      </c>
      <c r="F36" s="2" t="s">
        <v>7</v>
      </c>
      <c r="G36" s="2" t="s">
        <v>7</v>
      </c>
    </row>
    <row r="37" spans="1:7" x14ac:dyDescent="0.25">
      <c r="A37" s="4" t="str">
        <f>HYPERLINK("http://www.facebook.com/photo.php?fbid=10151401595697952&amp;set=a.114456157951.118433.8062627951&amp;type=1&amp;relevant_count=1","[Photo]")</f>
        <v>[Photo]</v>
      </c>
      <c r="B37" s="4" t="str">
        <f>HYPERLINK("http://www.facebook.com/8062627951/posts/10151401595712952","In praise of dangerous toys - http://tcrn.ch/ZDBIOV")</f>
        <v>In praise of dangerous toys - http://tcrn.ch/ZDBIOV</v>
      </c>
      <c r="C37" s="3">
        <v>41270.356678240743</v>
      </c>
      <c r="D37" s="2">
        <v>353</v>
      </c>
      <c r="E37" s="2">
        <v>17</v>
      </c>
      <c r="F37" s="2" t="s">
        <v>7</v>
      </c>
      <c r="G37" s="2" t="s">
        <v>8</v>
      </c>
    </row>
    <row r="38" spans="1:7" ht="30" x14ac:dyDescent="0.25">
      <c r="A38" s="4" t="str">
        <f>HYPERLINK("http://techcrunch.com/2012/12/27/rumor-apple-building-bluetooth-smart-watch/","Rumor: Apple Building Bluetooth Smart Watch")</f>
        <v>Rumor: Apple Building Bluetooth Smart Watch</v>
      </c>
      <c r="B38" s="4" t="str">
        <f>HYPERLINK("http://www.facebook.com/8062627951/posts/453953464669028","Would you buy an Apple smartwatch?")</f>
        <v>Would you buy an Apple smartwatch?</v>
      </c>
      <c r="C38" s="3">
        <v>41270.295474537037</v>
      </c>
      <c r="D38" s="2">
        <v>437</v>
      </c>
      <c r="E38" s="2">
        <v>167</v>
      </c>
      <c r="F38" s="2" t="s">
        <v>8</v>
      </c>
      <c r="G38" s="2" t="s">
        <v>7</v>
      </c>
    </row>
    <row r="39" spans="1:7" ht="30" x14ac:dyDescent="0.25">
      <c r="A39" s="4" t="str">
        <f>HYPERLINK("http://www.facebook.com/photo.php?fbid=10151401347812952&amp;set=a.114456157951.118433.8062627951&amp;type=1&amp;relevant_count=1","[Photo]")</f>
        <v>[Photo]</v>
      </c>
      <c r="B39" s="4" t="str">
        <f>HYPERLINK("http://www.facebook.com/8062627951/posts/10151401347842952","Toshiba building a Lytro-style camera sensor for smartphones and tablets, planned for 2013 launch - http://tcrn.ch/Uo4kqc")</f>
        <v>Toshiba building a Lytro-style camera sensor for smartphones and tablets, planned for 2013 launch - http://tcrn.ch/Uo4kqc</v>
      </c>
      <c r="C39" s="3">
        <v>41270.204942129632</v>
      </c>
      <c r="D39" s="2">
        <v>89</v>
      </c>
      <c r="E39" s="2">
        <v>8</v>
      </c>
      <c r="F39" s="2" t="s">
        <v>7</v>
      </c>
      <c r="G39" s="2" t="s">
        <v>8</v>
      </c>
    </row>
    <row r="40" spans="1:7" ht="30" x14ac:dyDescent="0.25">
      <c r="A40" s="4" t="str">
        <f>HYPERLINK("http://www.facebook.com/photo.php?fbid=10151401090092952&amp;set=a.114456157951.118433.8062627951&amp;type=1&amp;relevant_count=1","[Photo]")</f>
        <v>[Photo]</v>
      </c>
      <c r="B40" s="4" t="str">
        <f>HYPERLINK("http://www.facebook.com/8062627951/posts/10151401090137952","Journalists’ addresses are posted in revenge for newspaper’s Google Map of gun permit owners - http://tcrn.ch/V55dmf")</f>
        <v>Journalists’ addresses are posted in revenge for newspaper’s Google Map of gun permit owners - http://tcrn.ch/V55dmf</v>
      </c>
      <c r="C40" s="3">
        <v>41269.967453703706</v>
      </c>
      <c r="D40" s="2">
        <v>234</v>
      </c>
      <c r="E40" s="2">
        <v>75</v>
      </c>
      <c r="F40" s="2" t="s">
        <v>7</v>
      </c>
      <c r="G40" s="2" t="s">
        <v>8</v>
      </c>
    </row>
    <row r="41" spans="1:7" ht="30" x14ac:dyDescent="0.25">
      <c r="A41" s="4" t="str">
        <f>HYPERLINK("http://techcrunch.com/2012/12/26/google-extends-free-gmail-voice-calls-in-the-u-s-and-canada-through-2013/","Google Extends Free Gmail Voice Calls In The U.S. And Canada Through 2013 ")</f>
        <v xml:space="preserve">Google Extends Free Gmail Voice Calls In The U.S. And Canada Through 2013 </v>
      </c>
      <c r="B41" s="4" t="str">
        <f>HYPERLINK("http://www.facebook.com/8062627951/posts/119184098249475","Nice.")</f>
        <v>Nice.</v>
      </c>
      <c r="C41" s="3">
        <v>41269.578182870369</v>
      </c>
      <c r="D41" s="2">
        <v>174</v>
      </c>
      <c r="E41" s="2">
        <v>5</v>
      </c>
      <c r="F41" s="2" t="s">
        <v>7</v>
      </c>
      <c r="G41" s="2" t="s">
        <v>7</v>
      </c>
    </row>
    <row r="42" spans="1:7" ht="30" x14ac:dyDescent="0.25">
      <c r="A42" s="4" t="str">
        <f>HYPERLINK("http://techcrunch.com/2012/12/26/inside-snapchat-the-little-photo-sharing-app-that-launched-a-sexting-scare/","Inside Snapchat, The Little Photo-Sharing App That Launched A Sexting Scare")</f>
        <v>Inside Snapchat, The Little Photo-Sharing App That Launched A Sexting Scare</v>
      </c>
      <c r="B42" s="4" t="str">
        <f>HYPERLINK("http://www.facebook.com/8062627951/posts/119438291556380","FYI: Snapchat isn't just for sexting.")</f>
        <v>FYI: Snapchat isn't just for sexting.</v>
      </c>
      <c r="C42" s="3">
        <v>41269.479444444441</v>
      </c>
      <c r="D42" s="2">
        <v>44</v>
      </c>
      <c r="E42" s="2">
        <v>9</v>
      </c>
      <c r="F42" s="2" t="s">
        <v>7</v>
      </c>
      <c r="G42" s="2" t="s">
        <v>7</v>
      </c>
    </row>
    <row r="43" spans="1:7" ht="30" x14ac:dyDescent="0.25">
      <c r="A43" s="4" t="str">
        <f>HYPERLINK("http://www.facebook.com/photo.php?fbid=10151399760847952&amp;set=a.114456157951.118433.8062627951&amp;type=1&amp;relevant_count=1","[Photo]")</f>
        <v>[Photo]</v>
      </c>
      <c r="B43" s="4" t="str">
        <f>HYPERLINK("http://www.facebook.com/8062627951/posts/10151399760892952","That Instagram Taco Bell commercial isn’t part of its business model - http://tcrn.ch/YfKlJa")</f>
        <v>That Instagram Taco Bell commercial isn’t part of its business model - http://tcrn.ch/YfKlJa</v>
      </c>
      <c r="C43" s="3">
        <v>41269.287326388891</v>
      </c>
      <c r="D43" s="2">
        <v>90</v>
      </c>
      <c r="E43" s="2">
        <v>5</v>
      </c>
      <c r="F43" s="2" t="s">
        <v>7</v>
      </c>
      <c r="G43" s="2" t="s">
        <v>8</v>
      </c>
    </row>
    <row r="44" spans="1:7" x14ac:dyDescent="0.25">
      <c r="A44" s="4" t="str">
        <f>HYPERLINK("http://techcrunch.com/2012/12/25/googles-mobile-future-is-now/","Google’s Mobile Future Is Now")</f>
        <v>Google’s Mobile Future Is Now</v>
      </c>
      <c r="B44" s="4" t="str">
        <f>HYPERLINK("http://www.facebook.com/8062627951/posts/394282013987818","Google is killing in mobile.")</f>
        <v>Google is killing in mobile.</v>
      </c>
      <c r="C44" s="3">
        <v>41269.250081018516</v>
      </c>
      <c r="D44" s="2">
        <v>359</v>
      </c>
      <c r="E44" s="2">
        <v>23</v>
      </c>
      <c r="F44" s="2" t="s">
        <v>7</v>
      </c>
      <c r="G44" s="2" t="s">
        <v>7</v>
      </c>
    </row>
    <row r="45" spans="1:7" ht="30" x14ac:dyDescent="0.25">
      <c r="A45" s="4" t="str">
        <f>HYPERLINK("http://techcrunch.com/2012/12/23/the-20-best-ios-and-android-apps-of-2012/","The 20 Best iOS And Android Apps Of 2012")</f>
        <v>The 20 Best iOS And Android Apps Of 2012</v>
      </c>
      <c r="B45" s="4" t="str">
        <f>HYPERLINK("http://www.facebook.com/8062627951/posts/184170948390290","So you got a smartphone for Christmas. You're going to want to start here.")</f>
        <v>So you got a smartphone for Christmas. You're going to want to start here.</v>
      </c>
      <c r="C45" s="3">
        <v>41269.226053240738</v>
      </c>
      <c r="D45" s="2">
        <v>204</v>
      </c>
      <c r="E45" s="2">
        <v>8</v>
      </c>
      <c r="F45" s="2" t="s">
        <v>7</v>
      </c>
      <c r="G45" s="2" t="s">
        <v>7</v>
      </c>
    </row>
    <row r="46" spans="1:7" x14ac:dyDescent="0.25">
      <c r="A46" s="4" t="str">
        <f>HYPERLINK("http://www.facebook.com/photo.php?fbid=10151399225702952&amp;set=a.114456157951.118433.8062627951&amp;type=1&amp;relevant_count=1","[Photo]")</f>
        <v>[Photo]</v>
      </c>
      <c r="B46" s="4" t="str">
        <f>HYPERLINK("http://www.facebook.com/8062627951/posts/10151399225737952","We hope everyone had a merry Christmas!")</f>
        <v>We hope everyone had a merry Christmas!</v>
      </c>
      <c r="C46" s="3">
        <v>41268.902719907404</v>
      </c>
      <c r="D46" s="2">
        <v>167</v>
      </c>
      <c r="E46" s="2">
        <v>12</v>
      </c>
      <c r="F46" s="2" t="s">
        <v>7</v>
      </c>
      <c r="G46" s="2" t="s">
        <v>8</v>
      </c>
    </row>
    <row r="47" spans="1:7" ht="30" x14ac:dyDescent="0.25">
      <c r="A47" s="4" t="str">
        <f>HYPERLINK("http://techcrunch.com/2012/12/25/twitter-winning-social-tv/","Twitter Is Already Winning The Social TV War, But It Will Soon Do More ")</f>
        <v xml:space="preserve">Twitter Is Already Winning The Social TV War, But It Will Soon Do More </v>
      </c>
      <c r="B47" s="4" t="str">
        <f>HYPERLINK("http://www.facebook.com/8062627951/posts/497047013679365","What do you think?")</f>
        <v>What do you think?</v>
      </c>
      <c r="C47" s="3">
        <v>41268.896273148152</v>
      </c>
      <c r="D47" s="2">
        <v>69</v>
      </c>
      <c r="E47" s="2">
        <v>7</v>
      </c>
      <c r="F47" s="2" t="s">
        <v>8</v>
      </c>
      <c r="G47" s="2" t="s">
        <v>7</v>
      </c>
    </row>
    <row r="48" spans="1:7" ht="45" x14ac:dyDescent="0.25">
      <c r="A48" s="4" t="str">
        <f>HYPERLINK("http://www.facebook.com/photo.php?fbid=10151398404597952&amp;set=a.114456157951.118433.8062627951&amp;type=1&amp;relevant_count=1","[Photo]")</f>
        <v>[Photo]</v>
      </c>
      <c r="B48" s="4" t="str">
        <f>HYPERLINK("http://www.facebook.com/8062627951/posts/10151398404657952","We are giving away a Nexus 4 AND a Nexus 10 for Christmas. Make sure to enter. Merry Christmas everyone! - http://tcrn.ch/ZymgU5")</f>
        <v>We are giving away a Nexus 4 AND a Nexus 10 for Christmas. Make sure to enter. Merry Christmas everyone! - http://tcrn.ch/ZymgU5</v>
      </c>
      <c r="C48" s="3">
        <v>41268.478773148148</v>
      </c>
      <c r="D48" s="2">
        <v>660</v>
      </c>
      <c r="E48" s="2">
        <v>417</v>
      </c>
      <c r="F48" s="2" t="s">
        <v>7</v>
      </c>
      <c r="G48" s="2" t="s">
        <v>8</v>
      </c>
    </row>
    <row r="49" spans="1:7" ht="30" x14ac:dyDescent="0.25">
      <c r="A49" s="4" t="str">
        <f>HYPERLINK("http://techcrunch.com/2012/12/25/jewel-in-the-night-the-first-christmas-carol-from-space/","“Jewel In The Night”, The First Christmas Carol From Space")</f>
        <v>“Jewel In The Night”, The First Christmas Carol From Space</v>
      </c>
      <c r="B49" s="4" t="str">
        <f>HYPERLINK("http://www.facebook.com/8062627951/posts/539835552712173","Spreading holiday cheer from 230 miles up.")</f>
        <v>Spreading holiday cheer from 230 miles up.</v>
      </c>
      <c r="C49" s="3">
        <v>41268.434652777774</v>
      </c>
      <c r="D49" s="2">
        <v>38</v>
      </c>
      <c r="E49" s="2">
        <v>4</v>
      </c>
      <c r="F49" s="2" t="s">
        <v>7</v>
      </c>
      <c r="G49" s="2" t="s">
        <v>7</v>
      </c>
    </row>
    <row r="50" spans="1:7" ht="30" x14ac:dyDescent="0.25">
      <c r="A50" s="4" t="str">
        <f>HYPERLINK("http://techcrunch.com/2012/12/25/15-things-european-startups-might-want-for-christmas/","15 Things European Startups Might Want For Christmas")</f>
        <v>15 Things European Startups Might Want For Christmas</v>
      </c>
      <c r="B50" s="4" t="str">
        <f>HYPERLINK("http://www.facebook.com/8062627951/posts/317889418320336","Did we miss any?")</f>
        <v>Did we miss any?</v>
      </c>
      <c r="C50" s="3">
        <v>41268.34783564815</v>
      </c>
      <c r="D50" s="2">
        <v>40</v>
      </c>
      <c r="E50" s="2">
        <v>6</v>
      </c>
      <c r="F50" s="2" t="s">
        <v>8</v>
      </c>
      <c r="G50" s="2" t="s">
        <v>7</v>
      </c>
    </row>
    <row r="51" spans="1:7" x14ac:dyDescent="0.25">
      <c r="A51" s="4" t="s">
        <v>9</v>
      </c>
      <c r="B51" s="4" t="str">
        <f>HYPERLINK("http://www.facebook.com/8062627951/posts/10151397771097952","So? What did ya get?")</f>
        <v>So? What did ya get?</v>
      </c>
      <c r="C51" s="3">
        <v>41268.188425925924</v>
      </c>
      <c r="D51" s="2">
        <v>113</v>
      </c>
      <c r="E51" s="2">
        <v>153</v>
      </c>
      <c r="F51" s="2" t="s">
        <v>8</v>
      </c>
      <c r="G51" s="2" t="s">
        <v>7</v>
      </c>
    </row>
    <row r="52" spans="1:7" ht="30" x14ac:dyDescent="0.25">
      <c r="A52" s="4" t="str">
        <f>HYPERLINK("http://techcrunch.com/2012/12/24/netflix-crippled-on-christmas-eve-by-aws-outages/","Netflix Crippled On Christmas Eve By AWS Outages")</f>
        <v>Netflix Crippled On Christmas Eve By AWS Outages</v>
      </c>
      <c r="B52" s="4" t="str">
        <f>HYPERLINK("http://www.facebook.com/8062627951/posts/221493221318346","Bah! humbug! An AWS outage made Netflix spotty most of the day.")</f>
        <v>Bah! humbug! An AWS outage made Netflix spotty most of the day.</v>
      </c>
      <c r="C52" s="3">
        <v>41267.778124999997</v>
      </c>
      <c r="D52" s="2">
        <v>62</v>
      </c>
      <c r="E52" s="2">
        <v>24</v>
      </c>
      <c r="F52" s="2" t="s">
        <v>7</v>
      </c>
      <c r="G52" s="2" t="s">
        <v>7</v>
      </c>
    </row>
    <row r="53" spans="1:7" x14ac:dyDescent="0.25">
      <c r="A53" s="4" t="str">
        <f>HYPERLINK("http://techcrunch.com/2012/12/24/gift-guide-13-inch-retina-macbook-pro/","Gift Guide: 13-inch Retina MacBook Pro")</f>
        <v>Gift Guide: 13-inch Retina MacBook Pro</v>
      </c>
      <c r="B53" s="4" t="str">
        <f>HYPERLINK("http://www.facebook.com/8062627951/posts/243029209161059","You deserve something nice this year.")</f>
        <v>You deserve something nice this year.</v>
      </c>
      <c r="C53" s="3">
        <v>41267.561678240738</v>
      </c>
      <c r="D53" s="2">
        <v>62</v>
      </c>
      <c r="E53" s="2">
        <v>22</v>
      </c>
      <c r="F53" s="2" t="s">
        <v>7</v>
      </c>
      <c r="G53" s="2" t="s">
        <v>7</v>
      </c>
    </row>
    <row r="54" spans="1:7" ht="45" x14ac:dyDescent="0.25">
      <c r="A54" s="4" t="str">
        <f>HYPERLINK("http://techcrunch.com/2012/12/24/security-loophole-in-facebooks-camera-app-allowed-hackers-to-hijack-accounts-over-wifi/","Security Loophole In Facebook’s Camera App Allowed Hackers To Hijack Accounts Over WiFi")</f>
        <v>Security Loophole In Facebook’s Camera App Allowed Hackers To Hijack Accounts Over WiFi</v>
      </c>
      <c r="B54" s="4" t="str">
        <f>HYPERLINK("http://www.facebook.com/8062627951/posts/462501840452276","Security warning: Update the Facebook Camera app ASAP.")</f>
        <v>Security warning: Update the Facebook Camera app ASAP.</v>
      </c>
      <c r="C54" s="3">
        <v>41267.498020833336</v>
      </c>
      <c r="D54" s="2">
        <v>101</v>
      </c>
      <c r="E54" s="2">
        <v>12</v>
      </c>
      <c r="F54" s="2" t="s">
        <v>7</v>
      </c>
      <c r="G54" s="2" t="s">
        <v>7</v>
      </c>
    </row>
    <row r="55" spans="1:7" ht="45" x14ac:dyDescent="0.25">
      <c r="A55" s="4" t="str">
        <f>HYPERLINK("http://techcrunch.com/2012/12/24/codecademy-launches-cards-to-teach-you-how-to-program-your-own-holiday-greetings/","Codecademy Launches ‘Cards’ To Teach You How To Program Your Own Holiday Greetings")</f>
        <v>Codecademy Launches ‘Cards’ To Teach You How To Program Your Own Holiday Greetings</v>
      </c>
      <c r="B55" s="4" t="str">
        <f>HYPERLINK("http://www.facebook.com/8062627951/posts/365293170233381","It's Christmas Eve and you're online. Here, do something productive.")</f>
        <v>It's Christmas Eve and you're online. Here, do something productive.</v>
      </c>
      <c r="C55" s="3">
        <v>41267.421701388892</v>
      </c>
      <c r="D55" s="2">
        <v>66</v>
      </c>
      <c r="E55" s="2">
        <v>2</v>
      </c>
      <c r="F55" s="2" t="s">
        <v>7</v>
      </c>
      <c r="G55" s="2" t="s">
        <v>7</v>
      </c>
    </row>
    <row r="56" spans="1:7" ht="30" x14ac:dyDescent="0.25">
      <c r="A56" s="4" t="str">
        <f>HYPERLINK("http://techcrunch.com/2012/12/24/psa-upate-the-nintendo-wii-u-and-other-electronics-before-christmas-morning/","PSA: Update The Wii U (And Other Electronics) Before Christmas Morning")</f>
        <v>PSA: Update The Wii U (And Other Electronics) Before Christmas Morning</v>
      </c>
      <c r="B56" s="4" t="str">
        <f>HYPERLINK("http://www.facebook.com/8062627951/posts/396490437095803","Don't be a grinch. Update electronics before wrapping.")</f>
        <v>Don't be a grinch. Update electronics before wrapping.</v>
      </c>
      <c r="C56" s="3">
        <v>41267.307534722226</v>
      </c>
      <c r="D56" s="2">
        <v>42</v>
      </c>
      <c r="E56" s="2">
        <v>6</v>
      </c>
      <c r="F56" s="2" t="s">
        <v>7</v>
      </c>
      <c r="G56" s="2" t="s">
        <v>7</v>
      </c>
    </row>
    <row r="57" spans="1:7" ht="45" x14ac:dyDescent="0.25">
      <c r="A57" s="4" t="str">
        <f>HYPERLINK("http://techcrunch.com/2012/12/23/changemakrs-holiday/","A Hackathon Ushers In A Holiday Version Of Changemakrs, The Platform For Inspirational Quotes")</f>
        <v>A Hackathon Ushers In A Holiday Version Of Changemakrs, The Platform For Inspirational Quotes</v>
      </c>
      <c r="B57" s="4" t="str">
        <f>HYPERLINK("http://www.facebook.com/8062627951/posts/318869064888232","Share some holiday cheer with Changemakrs, a fun service to make inspirational quote pics.")</f>
        <v>Share some holiday cheer with Changemakrs, a fun service to make inspirational quote pics.</v>
      </c>
      <c r="C57" s="3">
        <v>41267.280081018522</v>
      </c>
      <c r="D57" s="2">
        <v>28</v>
      </c>
      <c r="E57" s="2">
        <v>3</v>
      </c>
      <c r="F57" s="2" t="s">
        <v>7</v>
      </c>
      <c r="G57" s="2" t="s">
        <v>7</v>
      </c>
    </row>
    <row r="58" spans="1:7" ht="30" x14ac:dyDescent="0.25">
      <c r="A58" s="4" t="str">
        <f>HYPERLINK("http://www.facebook.com/photo.php?fbid=10151395706362952&amp;set=a.114456157951.118433.8062627951&amp;type=1&amp;relevant_count=1","[Photo]")</f>
        <v>[Photo]</v>
      </c>
      <c r="B58" s="4" t="str">
        <f>HYPERLINK("http://www.facebook.com/8062627951/posts/10151395706392952","Internet silence speaks louder than words - http://tcrn.ch/U5Zj31")</f>
        <v>Internet silence speaks louder than words - http://tcrn.ch/U5Zj31</v>
      </c>
      <c r="C58" s="3">
        <v>41267.228506944448</v>
      </c>
      <c r="D58" s="2">
        <v>98</v>
      </c>
      <c r="E58" s="2">
        <v>11</v>
      </c>
      <c r="F58" s="2" t="s">
        <v>7</v>
      </c>
      <c r="G58" s="2" t="s">
        <v>8</v>
      </c>
    </row>
    <row r="59" spans="1:7" x14ac:dyDescent="0.25">
      <c r="A59" s="4" t="str">
        <f>HYPERLINK("http://www.facebook.com/photo.php?fbid=10151393222957952&amp;set=a.114456157951.118433.8062627951&amp;type=1&amp;relevant_count=1","[Photo]")</f>
        <v>[Photo]</v>
      </c>
      <c r="B59" s="4" t="str">
        <f>HYPERLINK("http://www.facebook.com/8062627951/posts/10151393222977952","All Games Are (In A Sense) Violent http://t.co/mYhKpnNI")</f>
        <v>All Games Are (In A Sense) Violent http://t.co/mYhKpnNI</v>
      </c>
      <c r="C59" s="3">
        <v>41265.708680555559</v>
      </c>
      <c r="D59" s="2">
        <v>71</v>
      </c>
      <c r="E59" s="2">
        <v>11</v>
      </c>
      <c r="F59" s="2" t="s">
        <v>7</v>
      </c>
      <c r="G59" s="2" t="s">
        <v>8</v>
      </c>
    </row>
    <row r="60" spans="1:7" ht="30" x14ac:dyDescent="0.25">
      <c r="A60" s="4" t="str">
        <f>HYPERLINK("http://www.facebook.com/photo.php?fbid=10151393054277952&amp;set=a.114456157951.118433.8062627951&amp;type=1&amp;relevant_count=1","[Photo]")</f>
        <v>[Photo]</v>
      </c>
      <c r="B60" s="4" t="str">
        <f>HYPERLINK("http://www.facebook.com/8062627951/posts/10151393054347952","FYI: Facebook doesn't save your Pokes, so don't be scared to get silly http://tcrn.ch/VWEt5H")</f>
        <v>FYI: Facebook doesn't save your Pokes, so don't be scared to get silly http://tcrn.ch/VWEt5H</v>
      </c>
      <c r="C60" s="3">
        <v>41265.602025462962</v>
      </c>
      <c r="D60" s="2">
        <v>67</v>
      </c>
      <c r="E60" s="2">
        <v>17</v>
      </c>
      <c r="F60" s="2" t="s">
        <v>7</v>
      </c>
      <c r="G60" s="2" t="s">
        <v>8</v>
      </c>
    </row>
    <row r="61" spans="1:7" ht="30" x14ac:dyDescent="0.25">
      <c r="A61" s="4" t="str">
        <f>HYPERLINK("http://www.facebook.com/photo.php?fbid=10151393005277952&amp;set=a.114456157951.118433.8062627951&amp;type=1&amp;relevant_count=1","[Photo]")</f>
        <v>[Photo]</v>
      </c>
      <c r="B61" s="4" t="str">
        <f>HYPERLINK("http://www.facebook.com/8062627951/posts/10151393005307952","Guidebox Launches To Become Your On-Demand TV Guide And DVR For The Web (And The iPad) http://tcrn.ch/Tfz9fz")</f>
        <v>Guidebox Launches To Become Your On-Demand TV Guide And DVR For The Web (And The iPad) http://tcrn.ch/Tfz9fz</v>
      </c>
      <c r="C61" s="3">
        <v>41265.57912037037</v>
      </c>
      <c r="D61" s="2">
        <v>22</v>
      </c>
      <c r="E61" s="2">
        <v>1</v>
      </c>
      <c r="F61" s="2" t="s">
        <v>7</v>
      </c>
      <c r="G61" s="2" t="s">
        <v>8</v>
      </c>
    </row>
    <row r="62" spans="1:7" ht="30" x14ac:dyDescent="0.25">
      <c r="A62" s="4" t="str">
        <f>HYPERLINK("http://www.facebook.com/photo.php?fbid=10151392976877952&amp;set=a.114456157951.118433.8062627951&amp;type=1&amp;relevant_count=1","[Photo]")</f>
        <v>[Photo]</v>
      </c>
      <c r="B62" s="4" t="str">
        <f>HYPERLINK("http://www.facebook.com/8062627951/posts/10151392976932952","Are you going to use Facebook Gifts to buy last minute presents? http://tcrn.ch/TLgZ5u")</f>
        <v>Are you going to use Facebook Gifts to buy last minute presents? http://tcrn.ch/TLgZ5u</v>
      </c>
      <c r="C62" s="3">
        <v>41265.561041666668</v>
      </c>
      <c r="D62" s="2">
        <v>46</v>
      </c>
      <c r="E62" s="2">
        <v>50</v>
      </c>
      <c r="F62" s="2" t="s">
        <v>8</v>
      </c>
      <c r="G62" s="2" t="s">
        <v>8</v>
      </c>
    </row>
    <row r="63" spans="1:7" ht="45" x14ac:dyDescent="0.25">
      <c r="A63" s="4" t="str">
        <f>HYPERLINK("http://www.facebook.com/photo.php?fbid=10151392886077952&amp;set=a.114456157951.118433.8062627951&amp;type=1&amp;relevant_count=1","[Photo]")</f>
        <v>[Photo]</v>
      </c>
      <c r="B63" s="4" t="s">
        <v>10</v>
      </c>
      <c r="C63" s="3">
        <v>41265.538356481484</v>
      </c>
      <c r="D63" s="2">
        <v>42</v>
      </c>
      <c r="E63" s="2">
        <v>5</v>
      </c>
      <c r="F63" s="2" t="s">
        <v>7</v>
      </c>
      <c r="G63" s="2" t="s">
        <v>8</v>
      </c>
    </row>
    <row r="64" spans="1:7" x14ac:dyDescent="0.25">
      <c r="A64" s="4" t="str">
        <f>HYPERLINK("http://www.facebook.com/photo.php?fbid=10151392846892952&amp;set=a.114456157951.118433.8062627951&amp;type=1&amp;relevant_count=1","[Photo]")</f>
        <v>[Photo]</v>
      </c>
      <c r="B64" s="4" t="str">
        <f>HYPERLINK("http://www.facebook.com/8062627951/posts/10151392847162952","What’s Next For Social Mobile Games? http://tcrn.ch/UfukUQ")</f>
        <v>What’s Next For Social Mobile Games? http://tcrn.ch/UfukUQ</v>
      </c>
      <c r="C64" s="3">
        <v>41265.521423611113</v>
      </c>
      <c r="D64" s="2">
        <v>38</v>
      </c>
      <c r="E64" s="2">
        <v>5</v>
      </c>
      <c r="F64" s="2" t="s">
        <v>8</v>
      </c>
      <c r="G64" s="2" t="s">
        <v>8</v>
      </c>
    </row>
    <row r="65" spans="1:7" ht="30" x14ac:dyDescent="0.25">
      <c r="A65" s="4" t="str">
        <f>HYPERLINK("http://www.facebook.com/photo.php?fbid=10151392738422952&amp;set=a.114456157951.118433.8062627951&amp;type=1&amp;relevant_count=1","[Photo]")</f>
        <v>[Photo]</v>
      </c>
      <c r="B65" s="4" t="str">
        <f>HYPERLINK("http://www.facebook.com/8062627951/posts/10151392738477952","Guess who's the voice in the Poke push notification? Yep. http://tcrn.ch/UjINQA")</f>
        <v>Guess who's the voice in the Poke push notification? Yep. http://tcrn.ch/UjINQA</v>
      </c>
      <c r="C65" s="3">
        <v>41265.463541666664</v>
      </c>
      <c r="D65" s="2">
        <v>200</v>
      </c>
      <c r="E65" s="2">
        <v>35</v>
      </c>
      <c r="F65" s="2" t="s">
        <v>8</v>
      </c>
      <c r="G65" s="2" t="s">
        <v>8</v>
      </c>
    </row>
    <row r="66" spans="1:7" ht="30" x14ac:dyDescent="0.25">
      <c r="A66" s="4" t="str">
        <f>HYPERLINK("http://www.facebook.com/photo.php?fbid=10151392720002952&amp;set=a.114456157951.118433.8062627951&amp;type=1&amp;relevant_count=1","[Photo]")</f>
        <v>[Photo]</v>
      </c>
      <c r="B66" s="4" t="str">
        <f>HYPERLINK("http://www.facebook.com/8062627951/posts/10151392720052952","Airbnb Gets More International And Interactive http://tcrn.ch/TJMH2O")</f>
        <v>Airbnb Gets More International And Interactive http://tcrn.ch/TJMH2O</v>
      </c>
      <c r="C66" s="3">
        <v>41265.453865740739</v>
      </c>
      <c r="D66" s="2">
        <v>50</v>
      </c>
      <c r="E66" s="2">
        <v>1</v>
      </c>
      <c r="F66" s="2" t="s">
        <v>7</v>
      </c>
      <c r="G66" s="2" t="s">
        <v>8</v>
      </c>
    </row>
    <row r="67" spans="1:7" x14ac:dyDescent="0.25">
      <c r="A67" s="4" t="str">
        <f>HYPERLINK("http://www.facebook.com/photo.php?fbid=10151392651827952&amp;set=a.114456157951.118433.8062627951&amp;type=1&amp;relevant_count=1","[Photo]")</f>
        <v>[Photo]</v>
      </c>
      <c r="B67" s="4" t="str">
        <f>HYPERLINK("http://www.facebook.com/8062627951/posts/10151392651897952","Poke is already the #1 free iOS app http://tcrn.ch/Ufk9Q2")</f>
        <v>Poke is already the #1 free iOS app http://tcrn.ch/Ufk9Q2</v>
      </c>
      <c r="C67" s="3">
        <v>41265.41443287037</v>
      </c>
      <c r="D67" s="2">
        <v>109</v>
      </c>
      <c r="E67" s="2">
        <v>17</v>
      </c>
      <c r="F67" s="2" t="s">
        <v>7</v>
      </c>
      <c r="G67" s="2" t="s">
        <v>8</v>
      </c>
    </row>
    <row r="68" spans="1:7" ht="30" x14ac:dyDescent="0.25">
      <c r="A68" s="4" t="s">
        <v>9</v>
      </c>
      <c r="B68" s="4" t="str">
        <f>HYPERLINK("http://www.facebook.com/8062627951/posts/10151392618627952","I'm looking forward to getting _________ in my stocking this year.")</f>
        <v>I'm looking forward to getting _________ in my stocking this year.</v>
      </c>
      <c r="C68" s="3">
        <v>41265.393275462964</v>
      </c>
      <c r="D68" s="2">
        <v>75</v>
      </c>
      <c r="E68" s="2">
        <v>153</v>
      </c>
      <c r="F68" s="2" t="s">
        <v>7</v>
      </c>
      <c r="G68" s="2" t="s">
        <v>7</v>
      </c>
    </row>
    <row r="69" spans="1:7" ht="30" x14ac:dyDescent="0.25">
      <c r="A69" s="4" t="str">
        <f>HYPERLINK("http://www.facebook.com/photo.php?fbid=10151392605257952&amp;set=a.114456157951.118433.8062627951&amp;type=1&amp;relevant_count=1","[Photo]")</f>
        <v>[Photo]</v>
      </c>
      <c r="B69" s="4" t="str">
        <f>HYPERLINK("http://www.facebook.com/8062627951/posts/10151392605342952","Thin, Solar-Powered, Bluetooth 4·0 Game Controller Built Directly Into An iPhone Case http://tcrn.ch/RaRYlM")</f>
        <v>Thin, Solar-Powered, Bluetooth 4·0 Game Controller Built Directly Into An iPhone Case http://tcrn.ch/RaRYlM</v>
      </c>
      <c r="C69" s="3">
        <v>41265.384953703702</v>
      </c>
      <c r="D69" s="2">
        <v>33</v>
      </c>
      <c r="E69" s="2">
        <v>1</v>
      </c>
      <c r="F69" s="2" t="s">
        <v>7</v>
      </c>
      <c r="G69" s="2" t="s">
        <v>8</v>
      </c>
    </row>
    <row r="70" spans="1:7" ht="30" x14ac:dyDescent="0.25">
      <c r="A70" s="4" t="str">
        <f>HYPERLINK("http://www.facebook.com/photo.php?fbid=10151392524367952&amp;set=a.114456157951.118433.8062627951&amp;type=1&amp;relevant_count=1","[Photo]")</f>
        <v>[Photo]</v>
      </c>
      <c r="B70" s="4" t="str">
        <f>HYPERLINK("http://www.facebook.com/8062627951/posts/10151392524422952","A Whisper Is A Stronger Social Signal Than A Public Shout http://tcrn.ch/TKtKNG")</f>
        <v>A Whisper Is A Stronger Social Signal Than A Public Shout http://tcrn.ch/TKtKNG</v>
      </c>
      <c r="C70" s="3">
        <v>41265.340312499997</v>
      </c>
      <c r="D70" s="2">
        <v>41</v>
      </c>
      <c r="E70" s="2">
        <v>4</v>
      </c>
      <c r="F70" s="2" t="s">
        <v>7</v>
      </c>
      <c r="G70" s="2" t="s">
        <v>8</v>
      </c>
    </row>
    <row r="71" spans="1:7" ht="60" x14ac:dyDescent="0.25">
      <c r="A71" s="4" t="str">
        <f>HYPERLINK("http://www.facebook.com/photo.php?fbid=10151391765352952&amp;set=a.114456157951.118433.8062627951&amp;type=1&amp;relevant_count=1","[Photo]")</f>
        <v>[Photo]</v>
      </c>
      <c r="B71" s="4" t="s">
        <v>11</v>
      </c>
      <c r="C71" s="3">
        <v>41264.743298611109</v>
      </c>
      <c r="D71" s="2">
        <v>200</v>
      </c>
      <c r="E71" s="2">
        <v>15</v>
      </c>
      <c r="F71" s="2" t="s">
        <v>7</v>
      </c>
      <c r="G71" s="2" t="s">
        <v>8</v>
      </c>
    </row>
    <row r="72" spans="1:7" ht="45" x14ac:dyDescent="0.25">
      <c r="A72" s="4" t="str">
        <f>HYPERLINK("http://techcrunch.com/2012/12/21/the-weekly-good-googles-director-of-giving-discusses-global-concerns-and-action/","The Weekly Good: Google’s “Director Of Giving” Discusses Global Concerns And Action | TechCrunch")</f>
        <v>The Weekly Good: Google’s “Director Of Giving” Discusses Global Concerns And Action | TechCrunch</v>
      </c>
      <c r="B72" s="4" t="str">
        <f>HYPERLINK("http://www.facebook.com/8062627951/posts/344949525603700","She's awesome.")</f>
        <v>She's awesome.</v>
      </c>
      <c r="C72" s="3">
        <v>41264.739710648151</v>
      </c>
      <c r="D72" s="2">
        <v>22</v>
      </c>
      <c r="E72" s="2">
        <v>0</v>
      </c>
      <c r="F72" s="2" t="s">
        <v>7</v>
      </c>
      <c r="G72" s="2" t="s">
        <v>7</v>
      </c>
    </row>
    <row r="73" spans="1:7" ht="30" x14ac:dyDescent="0.25">
      <c r="A73" s="4" t="str">
        <f>HYPERLINK("http://www.facebook.com/photo.php?fbid=10151391730737952&amp;set=a.114456157951.118433.8062627951&amp;type=1&amp;relevant_count=1","[Photo]")</f>
        <v>[Photo]</v>
      </c>
      <c r="B73" s="4" t="str">
        <f>HYPERLINK("http://www.facebook.com/8062627951/posts/10151391730767952","Windows Azure gets a bunch of new features, real AWS competitor now? http://tcrn.ch/VbiMTp")</f>
        <v>Windows Azure gets a bunch of new features, real AWS competitor now? http://tcrn.ch/VbiMTp</v>
      </c>
      <c r="C73" s="3">
        <v>41264.7187037037</v>
      </c>
      <c r="D73" s="2">
        <v>58</v>
      </c>
      <c r="E73" s="2">
        <v>16</v>
      </c>
      <c r="F73" s="2" t="s">
        <v>8</v>
      </c>
      <c r="G73" s="2" t="s">
        <v>8</v>
      </c>
    </row>
    <row r="74" spans="1:7" ht="30" x14ac:dyDescent="0.25">
      <c r="A74" s="4" t="str">
        <f>HYPERLINK("http://www.facebook.com/photo.php?fbid=10151391665657952&amp;set=a.114456157951.118433.8062627951&amp;type=1&amp;relevant_count=1","[Photo]")</f>
        <v>[Photo]</v>
      </c>
      <c r="B74" s="4" t="str">
        <f>HYPERLINK("http://www.facebook.com/8062627951/posts/10151391665702952","Facebook's status box is calling you by name now. http://tcrn.ch/T7U7R9")</f>
        <v>Facebook's status box is calling you by name now. http://tcrn.ch/T7U7R9</v>
      </c>
      <c r="C74" s="3">
        <v>41264.674351851849</v>
      </c>
      <c r="D74" s="2">
        <v>91</v>
      </c>
      <c r="E74" s="2">
        <v>28</v>
      </c>
      <c r="F74" s="2" t="s">
        <v>7</v>
      </c>
      <c r="G74" s="2" t="s">
        <v>8</v>
      </c>
    </row>
    <row r="75" spans="1:7" ht="30" x14ac:dyDescent="0.25">
      <c r="A75" s="4" t="str">
        <f>HYPERLINK("http://www.facebook.com/photo.php?fbid=10151391599067952&amp;set=a.114456157951.118433.8062627951&amp;type=1&amp;relevant_count=1","[Photo]")</f>
        <v>[Photo]</v>
      </c>
      <c r="B75" s="4" t="str">
        <f>HYPERLINK("http://www.facebook.com/8062627951/posts/10151391599147952","Facebook Poke Vs· Snapchat: What's The Difference? http://t.co/bTJGbf7H")</f>
        <v>Facebook Poke Vs· Snapchat: What's The Difference? http://t.co/bTJGbf7H</v>
      </c>
      <c r="C75" s="3">
        <v>41264.631064814814</v>
      </c>
      <c r="D75" s="2">
        <v>50</v>
      </c>
      <c r="E75" s="2">
        <v>3</v>
      </c>
      <c r="F75" s="2" t="s">
        <v>8</v>
      </c>
      <c r="G75" s="2" t="s">
        <v>8</v>
      </c>
    </row>
    <row r="76" spans="1:7" ht="30" x14ac:dyDescent="0.25">
      <c r="A76" s="4" t="str">
        <f>HYPERLINK("http://www.facebook.com/photo.php?fbid=10151391508172952&amp;set=a.114456157951.118433.8062627951&amp;type=1&amp;relevant_count=1","[Photo]")</f>
        <v>[Photo]</v>
      </c>
      <c r="B76" s="4" t="str">
        <f>HYPERLINK("http://www.facebook.com/8062627951/posts/10151391508222952","YouTube launches Android API. Watch for cool new features in apps http://t.co/GRd7Offe")</f>
        <v>YouTube launches Android API. Watch for cool new features in apps http://t.co/GRd7Offe</v>
      </c>
      <c r="C76" s="3">
        <v>41264.599270833336</v>
      </c>
      <c r="D76" s="2">
        <v>75</v>
      </c>
      <c r="E76" s="2">
        <v>6</v>
      </c>
      <c r="F76" s="2" t="s">
        <v>7</v>
      </c>
      <c r="G76" s="2" t="s">
        <v>8</v>
      </c>
    </row>
    <row r="77" spans="1:7" ht="30" x14ac:dyDescent="0.25">
      <c r="A77" s="4" t="str">
        <f>HYPERLINK("http://www.facebook.com/photo.php?fbid=10151391391237952&amp;set=a.114456157951.118433.8062627951&amp;type=1&amp;relevant_count=1","[Photo]")</f>
        <v>[Photo]</v>
      </c>
      <c r="B77" s="4" t="str">
        <f>HYPERLINK("http://www.facebook.com/8062627951/posts/10151391391292952","These are some interesting looking chargers. http://t.co/Vg6jZfQE")</f>
        <v>These are some interesting looking chargers. http://t.co/Vg6jZfQE</v>
      </c>
      <c r="C77" s="3">
        <v>41264.541168981479</v>
      </c>
      <c r="D77" s="2">
        <v>137</v>
      </c>
      <c r="E77" s="2">
        <v>5</v>
      </c>
      <c r="F77" s="2" t="s">
        <v>7</v>
      </c>
      <c r="G77" s="2" t="s">
        <v>8</v>
      </c>
    </row>
    <row r="78" spans="1:7" ht="60" x14ac:dyDescent="0.25">
      <c r="A78" s="4" t="str">
        <f>HYPERLINK("http://www.facebook.com/photo.php?fbid=10151391334812952&amp;set=a.114456157951.118433.8062627951&amp;type=1&amp;relevant_count=1","[Photo]")</f>
        <v>[Photo]</v>
      </c>
      <c r="B78" s="4" t="s">
        <v>12</v>
      </c>
      <c r="C78" s="3">
        <v>41264.512256944443</v>
      </c>
      <c r="D78" s="2">
        <v>121</v>
      </c>
      <c r="E78" s="2">
        <v>13</v>
      </c>
      <c r="F78" s="2" t="s">
        <v>7</v>
      </c>
      <c r="G78" s="2" t="s">
        <v>8</v>
      </c>
    </row>
    <row r="79" spans="1:7" ht="30" x14ac:dyDescent="0.25">
      <c r="A79" s="4" t="str">
        <f>HYPERLINK("http://www.facebook.com/photo.php?fbid=10151391289047952&amp;set=a.114456157951.118433.8062627951&amp;type=1&amp;relevant_count=1","[Photo]")</f>
        <v>[Photo]</v>
      </c>
      <c r="B79" s="4" t="str">
        <f>HYPERLINK("http://www.facebook.com/8062627951/posts/10151391289107952","Obama Responds To White House Gun Control ePetitions http://tcrn.ch/Tctus5")</f>
        <v>Obama Responds To White House Gun Control ePetitions http://tcrn.ch/Tctus5</v>
      </c>
      <c r="C79" s="3">
        <v>41264.489560185182</v>
      </c>
      <c r="D79" s="2">
        <v>49</v>
      </c>
      <c r="E79" s="2">
        <v>12</v>
      </c>
      <c r="F79" s="2" t="s">
        <v>7</v>
      </c>
      <c r="G79" s="2" t="s">
        <v>8</v>
      </c>
    </row>
    <row r="80" spans="1:7" ht="30" x14ac:dyDescent="0.25">
      <c r="A80" s="4" t="str">
        <f>HYPERLINK("http://www.facebook.com/photo.php?fbid=10151391243492952&amp;set=a.114456157951.118433.8062627951&amp;type=1&amp;relevant_count=1","[Photo]")</f>
        <v>[Photo]</v>
      </c>
      <c r="B80" s="4" t="str">
        <f>HYPERLINK("http://www.facebook.com/8062627951/posts/10151391243557952","EU  vs. Samsung For Patent Abuse. FIGHT! http://tcrn.ch/VUK2BR")</f>
        <v>EU  vs. Samsung For Patent Abuse. FIGHT! http://tcrn.ch/VUK2BR</v>
      </c>
      <c r="C80" s="3">
        <v>41264.467534722222</v>
      </c>
      <c r="D80" s="2">
        <v>31</v>
      </c>
      <c r="E80" s="2">
        <v>4</v>
      </c>
      <c r="F80" s="2" t="s">
        <v>7</v>
      </c>
      <c r="G80" s="2" t="s">
        <v>8</v>
      </c>
    </row>
    <row r="81" spans="1:7" ht="30" x14ac:dyDescent="0.25">
      <c r="A81" s="4" t="str">
        <f>HYPERLINK("http://www.facebook.com/photo.php?fbid=10151391203612952&amp;set=a.114456157951.118433.8062627951&amp;type=1&amp;relevant_count=1","[Photo]")</f>
        <v>[Photo]</v>
      </c>
      <c r="B81" s="4" t="str">
        <f>HYPERLINK("http://www.facebook.com/8062627951/posts/10151391203707952","Instagram wants more brands on Instagram. Do you? http://tcrn.ch/UNIcUh")</f>
        <v>Instagram wants more brands on Instagram. Do you? http://tcrn.ch/UNIcUh</v>
      </c>
      <c r="C81" s="3">
        <v>41264.445856481485</v>
      </c>
      <c r="D81" s="2">
        <v>47</v>
      </c>
      <c r="E81" s="2">
        <v>21</v>
      </c>
      <c r="F81" s="2" t="s">
        <v>8</v>
      </c>
      <c r="G81" s="2" t="s">
        <v>8</v>
      </c>
    </row>
    <row r="82" spans="1:7" ht="30" x14ac:dyDescent="0.25">
      <c r="A82" s="4" t="str">
        <f>HYPERLINK("http://www.facebook.com/photo.php?fbid=10151391177142952&amp;set=a.114456157951.118433.8062627951&amp;type=1&amp;relevant_count=1","[Photo]")</f>
        <v>[Photo]</v>
      </c>
      <c r="B82" s="4" t="str">
        <f>HYPERLINK("http://www.facebook.com/8062627951/posts/10151391177187952","Expedia Buys Majority Stake In European Hotel Search Site Trivago For $632 Million http://tcrn.ch/XVaMDI")</f>
        <v>Expedia Buys Majority Stake In European Hotel Search Site Trivago For $632 Million http://tcrn.ch/XVaMDI</v>
      </c>
      <c r="C82" s="3">
        <v>41264.431157407409</v>
      </c>
      <c r="D82" s="2">
        <v>39</v>
      </c>
      <c r="E82" s="2">
        <v>7</v>
      </c>
      <c r="F82" s="2" t="s">
        <v>7</v>
      </c>
      <c r="G82" s="2" t="s">
        <v>8</v>
      </c>
    </row>
    <row r="83" spans="1:7" ht="30" x14ac:dyDescent="0.25">
      <c r="A83" s="4" t="str">
        <f>HYPERLINK("http://www.facebook.com/photo.php?fbid=10151391165082952&amp;set=a.114456157951.118433.8062627951&amp;type=1&amp;relevant_count=1","[Photo]")</f>
        <v>[Photo]</v>
      </c>
      <c r="B83" s="4" t="str">
        <f>HYPERLINK("http://www.facebook.com/8062627951/posts/10151391165122952","Medium adds stats and talks about its lack of commenting. http://tcrn.ch/12Evtbp")</f>
        <v>Medium adds stats and talks about its lack of commenting. http://tcrn.ch/12Evtbp</v>
      </c>
      <c r="C83" s="3">
        <v>41264.422638888886</v>
      </c>
      <c r="D83" s="2">
        <v>14</v>
      </c>
      <c r="E83" s="2">
        <v>2</v>
      </c>
      <c r="F83" s="2" t="s">
        <v>7</v>
      </c>
      <c r="G83" s="2" t="s">
        <v>8</v>
      </c>
    </row>
    <row r="84" spans="1:7" x14ac:dyDescent="0.25">
      <c r="A84" s="4" t="str">
        <f>HYPERLINK("http://www.facebook.com/photo.php?fbid=10151391110342952&amp;set=a.114456157951.118433.8062627951&amp;type=1&amp;relevant_count=1","[Photo]")</f>
        <v>[Photo]</v>
      </c>
      <c r="B84" s="4" t="str">
        <f>HYPERLINK("http://www.facebook.com/8062627951/posts/10151391110407952","Quora plans to expand past Q&amp;A http://tcrn.ch/VUC8Zf")</f>
        <v>Quora plans to expand past Q&amp;A http://tcrn.ch/VUC8Zf</v>
      </c>
      <c r="C84" s="3">
        <v>41264.389606481483</v>
      </c>
      <c r="D84" s="2">
        <v>46</v>
      </c>
      <c r="E84" s="2">
        <v>0</v>
      </c>
      <c r="F84" s="2" t="s">
        <v>7</v>
      </c>
      <c r="G84" s="2" t="s">
        <v>8</v>
      </c>
    </row>
    <row r="85" spans="1:7" ht="45" x14ac:dyDescent="0.25">
      <c r="A85" s="4" t="str">
        <f>HYPERLINK("http://techcrunch.com/2012/12/21/raspberry-pi-used-to-replace-a-30-foot-gsm-base-station-and-create-a-working-mobile-network/","Raspberry Pi Used To Replace A 30-Foot GSM Base Station And Create A Working Mobile Network")</f>
        <v>Raspberry Pi Used To Replace A 30-Foot GSM Base Station And Create A Working Mobile Network</v>
      </c>
      <c r="B85" s="4" t="str">
        <f>HYPERLINK("http://www.facebook.com/8062627951/posts/429566633775184","The Raspberry Pi proves once again it's about the perfect computer. [video]")</f>
        <v>The Raspberry Pi proves once again it's about the perfect computer. [video]</v>
      </c>
      <c r="C85" s="3">
        <v>41264.35565972222</v>
      </c>
      <c r="D85" s="2">
        <v>158</v>
      </c>
      <c r="E85" s="2">
        <v>7</v>
      </c>
      <c r="F85" s="2" t="s">
        <v>7</v>
      </c>
      <c r="G85" s="2" t="s">
        <v>7</v>
      </c>
    </row>
    <row r="86" spans="1:7" x14ac:dyDescent="0.25">
      <c r="A86" s="4" t="s">
        <v>9</v>
      </c>
      <c r="B86" s="4" t="str">
        <f>HYPERLINK("http://www.facebook.com/8062627951/posts/10151391009237952","I am really looking forward to _________ during the holidays.")</f>
        <v>I am really looking forward to _________ during the holidays.</v>
      </c>
      <c r="C86" s="3">
        <v>41264.336643518516</v>
      </c>
      <c r="D86" s="2">
        <v>59</v>
      </c>
      <c r="E86" s="2">
        <v>146</v>
      </c>
      <c r="F86" s="2" t="s">
        <v>7</v>
      </c>
      <c r="G86" s="2" t="s">
        <v>7</v>
      </c>
    </row>
    <row r="87" spans="1:7" ht="45" x14ac:dyDescent="0.25">
      <c r="A87" s="4" t="str">
        <f>HYPERLINK("http://www.facebook.com/photo.php?fbid=10151390999317952&amp;set=a.114456157951.118433.8062627951&amp;type=1&amp;relevant_count=1","[Photo]")</f>
        <v>[Photo]</v>
      </c>
      <c r="B87" s="4" t="str">
        <f>HYPERLINK("http://www.facebook.com/8062627951/posts/10151390999362952","PSY did it! Gangnam Style now has more than 1 billion views on YouTube! How many times have you seen it? - http://tcrn.ch/WuFmoI")</f>
        <v>PSY did it! Gangnam Style now has more than 1 billion views on YouTube! How many times have you seen it? - http://tcrn.ch/WuFmoI</v>
      </c>
      <c r="C87" s="3">
        <v>41264.331365740742</v>
      </c>
      <c r="D87" s="2">
        <v>1219</v>
      </c>
      <c r="E87" s="2">
        <v>229</v>
      </c>
      <c r="F87" s="2" t="s">
        <v>8</v>
      </c>
      <c r="G87" s="2" t="s">
        <v>8</v>
      </c>
    </row>
    <row r="88" spans="1:7" ht="45" x14ac:dyDescent="0.25">
      <c r="A88" s="4" t="str">
        <f>HYPERLINK("http://techcrunch.com/2012/12/21/halo-4-ios-scam-apps-look-to-lure-unsuspecting-iphone-and-ipad-owners-over-holiday-freeze/","Halo 4 iOS Scam Apps Look To Lure Unsuspecting iPhone And iPad Owners Over Holiday Freeze | TechCrun")</f>
        <v>Halo 4 iOS Scam Apps Look To Lure Unsuspecting iPhone And iPad Owners Over Holiday Freeze | TechCrun</v>
      </c>
      <c r="B88" s="4" t="str">
        <f>HYPERLINK("http://www.facebook.com/8062627951/posts/145230235627698","PSA: Despite Apple's best efforts, there are still scams in the App Store.")</f>
        <v>PSA: Despite Apple's best efforts, there are still scams in the App Store.</v>
      </c>
      <c r="C88" s="3">
        <v>41264.292511574073</v>
      </c>
      <c r="D88" s="2">
        <v>23</v>
      </c>
      <c r="E88" s="2">
        <v>6</v>
      </c>
      <c r="F88" s="2" t="s">
        <v>7</v>
      </c>
      <c r="G88" s="2" t="s">
        <v>7</v>
      </c>
    </row>
    <row r="89" spans="1:7" ht="45" x14ac:dyDescent="0.25">
      <c r="A89" s="4" t="str">
        <f>HYPERLINK("http://techcrunch.com/2012/12/21/apple-reaches-highest-ever-u-s-sales-share-53-3-on-iphone-5-strength-android-consolidates-lead-in-europe/","Apple Reaches Highest-Ever U.S. Smartphone Sales Share At 53.3%; Android Consolidates In Europe")</f>
        <v>Apple Reaches Highest-Ever U.S. Smartphone Sales Share At 53.3%; Android Consolidates In Europe</v>
      </c>
      <c r="B89" s="4" t="str">
        <f>HYPERLINK("http://www.facebook.com/8062627951/posts/423479711056712","Android might be winning worldwide, but Apple has a significant chunk of the US smartphone market.")</f>
        <v>Android might be winning worldwide, but Apple has a significant chunk of the US smartphone market.</v>
      </c>
      <c r="C89" s="3">
        <v>41264.226875</v>
      </c>
      <c r="D89" s="2">
        <v>68</v>
      </c>
      <c r="E89" s="2">
        <v>20</v>
      </c>
      <c r="F89" s="2" t="s">
        <v>7</v>
      </c>
      <c r="G89" s="2" t="s">
        <v>7</v>
      </c>
    </row>
    <row r="90" spans="1:7" ht="30" x14ac:dyDescent="0.25">
      <c r="A90" s="4" t="str">
        <f>HYPERLINK("http://www.facebook.com/photo.php?fbid=10151390339487952&amp;set=a.114456157951.118433.8062627951&amp;type=1&amp;relevant_count=1","[Photo]")</f>
        <v>[Photo]</v>
      </c>
      <c r="B90" s="4" t="str">
        <f>HYPERLINK("http://www.facebook.com/8062627951/posts/10151390339522952","iOS Instagram Gets Update With Facebook Sign-in, New Filter And Album Uploading Option http://tcrn.ch/TEJ3r0")</f>
        <v>iOS Instagram Gets Update With Facebook Sign-in, New Filter And Album Uploading Option http://tcrn.ch/TEJ3r0</v>
      </c>
      <c r="C90" s="3">
        <v>41263.872870370367</v>
      </c>
      <c r="D90" s="2">
        <v>89</v>
      </c>
      <c r="E90" s="2">
        <v>15</v>
      </c>
      <c r="F90" s="2" t="s">
        <v>7</v>
      </c>
      <c r="G90" s="2" t="s">
        <v>8</v>
      </c>
    </row>
    <row r="91" spans="1:7" ht="30" x14ac:dyDescent="0.25">
      <c r="A91" s="4" t="str">
        <f>HYPERLINK("http://www.facebook.com/photo.php?fbid=10151390139267952&amp;set=a.114456157951.118433.8062627951&amp;type=1&amp;relevant_count=1","[Photo]")</f>
        <v>[Photo]</v>
      </c>
      <c r="B91" s="4" t="str">
        <f>HYPERLINK("http://www.facebook.com/8062627951/posts/10151390139287952","Instagram Reverts To Original Ad Terms After Outcry, Says It Needs To Figure Out Ad Program First http://t.co/Hvv3gM5R")</f>
        <v>Instagram Reverts To Original Ad Terms After Outcry, Says It Needs To Figure Out Ad Program First http://t.co/Hvv3gM5R</v>
      </c>
      <c r="C91" s="3">
        <v>41263.741863425923</v>
      </c>
      <c r="D91" s="2">
        <v>127</v>
      </c>
      <c r="E91" s="2">
        <v>20</v>
      </c>
      <c r="F91" s="2" t="s">
        <v>7</v>
      </c>
      <c r="G91" s="2" t="s">
        <v>8</v>
      </c>
    </row>
    <row r="92" spans="1:7" ht="30" x14ac:dyDescent="0.25">
      <c r="A92" s="4" t="str">
        <f>HYPERLINK("http://www.facebook.com/photo.php?fbid=10151390022537952&amp;set=a.114456157951.118433.8062627951&amp;type=1&amp;relevant_count=1","[Photo]")</f>
        <v>[Photo]</v>
      </c>
      <c r="B92" s="4" t="str">
        <f>HYPERLINK("http://www.facebook.com/8062627951/posts/10151390022557952","Gift Guide: ThinkGeek iCade 8-Bitty Wireless Game Controller http://tcrn.ch/R7OVuB")</f>
        <v>Gift Guide: ThinkGeek iCade 8-Bitty Wireless Game Controller http://tcrn.ch/R7OVuB</v>
      </c>
      <c r="C92" s="3">
        <v>41263.671365740738</v>
      </c>
      <c r="D92" s="2">
        <v>28</v>
      </c>
      <c r="E92" s="2">
        <v>5</v>
      </c>
      <c r="F92" s="2" t="s">
        <v>7</v>
      </c>
      <c r="G92" s="2" t="s">
        <v>8</v>
      </c>
    </row>
    <row r="93" spans="1:7" ht="30" x14ac:dyDescent="0.25">
      <c r="A93" s="4" t="str">
        <f>HYPERLINK("http://www.facebook.com/photo.php?fbid=10151389993467952&amp;set=a.114456157951.118433.8062627951&amp;type=1&amp;relevant_count=1","[Photo]")</f>
        <v>[Photo]</v>
      </c>
      <c r="B93" s="4" t="str">
        <f>HYPERLINK("http://www.facebook.com/8062627951/posts/10151389993492952","TechCrunch Goes To Athens On January 4th To Meet With Greek Geeks http://tcrn.ch/USbpNd")</f>
        <v>TechCrunch Goes To Athens On January 4th To Meet With Greek Geeks http://tcrn.ch/USbpNd</v>
      </c>
      <c r="C93" s="3">
        <v>41263.655231481483</v>
      </c>
      <c r="D93" s="2">
        <v>54</v>
      </c>
      <c r="E93" s="2">
        <v>6</v>
      </c>
      <c r="F93" s="2" t="s">
        <v>7</v>
      </c>
      <c r="G93" s="2" t="s">
        <v>8</v>
      </c>
    </row>
    <row r="94" spans="1:7" ht="30" x14ac:dyDescent="0.25">
      <c r="A94" s="4" t="str">
        <f>HYPERLINK("http://www.facebook.com/photo.php?fbid=10151389932842952&amp;set=a.114456157951.118433.8062627951&amp;type=1&amp;relevant_count=1","[Photo]")</f>
        <v>[Photo]</v>
      </c>
      <c r="B94" s="4" t="str">
        <f>HYPERLINK("http://www.facebook.com/8062627951/posts/10151389932882952","Overstock May Take On Amazon (And Google) With A New Locker Delivery System http://tcrn.ch/TDQWwS")</f>
        <v>Overstock May Take On Amazon (And Google) With A New Locker Delivery System http://tcrn.ch/TDQWwS</v>
      </c>
      <c r="C94" s="3">
        <v>41263.621296296296</v>
      </c>
      <c r="D94" s="2">
        <v>29</v>
      </c>
      <c r="E94" s="2">
        <v>2</v>
      </c>
      <c r="F94" s="2" t="s">
        <v>7</v>
      </c>
      <c r="G94" s="2" t="s">
        <v>8</v>
      </c>
    </row>
    <row r="95" spans="1:7" ht="45" x14ac:dyDescent="0.25">
      <c r="A95" s="4" t="str">
        <f>HYPERLINK("http://www.facebook.com/photo.php?fbid=10151389923867952&amp;set=a.114456157951.118433.8062627951&amp;type=1&amp;relevant_count=1","[Photo]")</f>
        <v>[Photo]</v>
      </c>
      <c r="B95" s="4" t="str">
        <f>HYPERLINK("http://www.facebook.com/8062627951/posts/10151389923917952","Disrupt NYC tickets are on sale. Get yours http://techcrunch.com/events/disrupt-ny-2013/purchase-tickets/")</f>
        <v>Disrupt NYC tickets are on sale. Get yours http://techcrunch.com/events/disrupt-ny-2013/purchase-tickets/</v>
      </c>
      <c r="C95" s="3">
        <v>41263.615451388891</v>
      </c>
      <c r="D95" s="2">
        <v>18</v>
      </c>
      <c r="E95" s="2">
        <v>1</v>
      </c>
      <c r="F95" s="2" t="s">
        <v>7</v>
      </c>
      <c r="G95" s="2" t="s">
        <v>8</v>
      </c>
    </row>
    <row r="96" spans="1:7" ht="30" x14ac:dyDescent="0.25">
      <c r="A96" s="4" t="str">
        <f>HYPERLINK("http://www.facebook.com/photo.php?fbid=10151389888102952&amp;set=a.114456157951.118433.8062627951&amp;type=1&amp;relevant_count=1","[Photo]")</f>
        <v>[Photo]</v>
      </c>
      <c r="B96" s="4" t="str">
        <f>HYPERLINK("http://www.facebook.com/8062627951/posts/10151389888167952","Adobe Acquires Social Media Platform Behance To Power Its Creative Cloud Community Features http://tcrn.ch/VSYlXo")</f>
        <v>Adobe Acquires Social Media Platform Behance To Power Its Creative Cloud Community Features http://tcrn.ch/VSYlXo</v>
      </c>
      <c r="C96" s="3">
        <v>41263.59584490741</v>
      </c>
      <c r="D96" s="2">
        <v>103</v>
      </c>
      <c r="E96" s="2">
        <v>9</v>
      </c>
      <c r="F96" s="2" t="s">
        <v>7</v>
      </c>
      <c r="G96" s="2" t="s">
        <v>8</v>
      </c>
    </row>
    <row r="97" spans="1:7" ht="30" x14ac:dyDescent="0.25">
      <c r="A97" s="4" t="str">
        <f>HYPERLINK("http://www.facebook.com/photo.php?fbid=10151389851412952&amp;set=a.114456157951.118433.8062627951&amp;type=1&amp;relevant_count=1","[Photo]")</f>
        <v>[Photo]</v>
      </c>
      <c r="B97" s="4" t="str">
        <f>HYPERLINK("http://www.facebook.com/8062627951/posts/10151389851452952","Spike in iOS 6 due to China sales, not Google Maps, says Chitika http://tcrn.ch/VcwZuU")</f>
        <v>Spike in iOS 6 due to China sales, not Google Maps, says Chitika http://tcrn.ch/VcwZuU</v>
      </c>
      <c r="C97" s="3">
        <v>41263.579444444447</v>
      </c>
      <c r="D97" s="2">
        <v>51</v>
      </c>
      <c r="E97" s="2">
        <v>9</v>
      </c>
      <c r="F97" s="2" t="s">
        <v>7</v>
      </c>
      <c r="G97" s="2" t="s">
        <v>8</v>
      </c>
    </row>
    <row r="98" spans="1:7" x14ac:dyDescent="0.25">
      <c r="A98" s="4" t="str">
        <f>HYPERLINK("http://www.facebook.com/photo.php?fbid=10151389815567952&amp;set=a.114456157951.118433.8062627951&amp;type=1&amp;relevant_count=1","[Photo]")</f>
        <v>[Photo]</v>
      </c>
      <c r="B98" s="4" t="str">
        <f>HYPERLINK("http://www.facebook.com/8062627951/posts/10151389815612952","RIM numbers are in, and it ain't pretty. http://tcrn.ch/T16r5p")</f>
        <v>RIM numbers are in, and it ain't pretty. http://tcrn.ch/T16r5p</v>
      </c>
      <c r="C98" s="3">
        <v>41263.559710648151</v>
      </c>
      <c r="D98" s="2">
        <v>39</v>
      </c>
      <c r="E98" s="2">
        <v>21</v>
      </c>
      <c r="F98" s="2" t="s">
        <v>7</v>
      </c>
      <c r="G98" s="2" t="s">
        <v>8</v>
      </c>
    </row>
    <row r="99" spans="1:7" ht="45" x14ac:dyDescent="0.25">
      <c r="A99" s="4" t="str">
        <f>HYPERLINK("http://www.facebook.com/photo.php?fbid=10151389786052952&amp;set=a.114456157951.118433.8062627951&amp;type=1&amp;relevant_count=1","[Photo]")</f>
        <v>[Photo]</v>
      </c>
      <c r="B99" s="4" t="s">
        <v>13</v>
      </c>
      <c r="C99" s="3">
        <v>41263.54277777778</v>
      </c>
      <c r="D99" s="2">
        <v>42</v>
      </c>
      <c r="E99" s="2">
        <v>2</v>
      </c>
      <c r="F99" s="2" t="s">
        <v>7</v>
      </c>
      <c r="G99" s="2" t="s">
        <v>8</v>
      </c>
    </row>
    <row r="100" spans="1:7" ht="45" x14ac:dyDescent="0.25">
      <c r="A100" s="4" t="str">
        <f>HYPERLINK("http://www.facebook.com/photo.php?fbid=10151389743072952&amp;set=a.114456157951.118433.8062627951&amp;type=1&amp;relevant_count=1","[Photo]")</f>
        <v>[Photo]</v>
      </c>
      <c r="B100" s="4" t="str">
        <f>HYPERLINK("http://www.facebook.com/8062627951/posts/10151389743137952","After Fining Them, California Regulator Decides To Evaluate Ride-Sharing Services Like Lyft And SideCar http://t.co/ZmRnHLC7")</f>
        <v>After Fining Them, California Regulator Decides To Evaluate Ride-Sharing Services Like Lyft And SideCar http://t.co/ZmRnHLC7</v>
      </c>
      <c r="C100" s="3">
        <v>41263.520335648151</v>
      </c>
      <c r="D100" s="2">
        <v>45</v>
      </c>
      <c r="E100" s="2">
        <v>6</v>
      </c>
      <c r="F100" s="2" t="s">
        <v>7</v>
      </c>
      <c r="G100" s="2" t="s">
        <v>8</v>
      </c>
    </row>
    <row r="101" spans="1:7" ht="45" x14ac:dyDescent="0.25">
      <c r="A101" s="4" t="str">
        <f>HYPERLINK("http://www.facebook.com/photo.php?fbid=10151389708272952&amp;set=a.114456157951.118433.8062627951&amp;type=1&amp;relevant_count=1","[Photo]")</f>
        <v>[Photo]</v>
      </c>
      <c r="B101" s="4" t="str">
        <f>HYPERLINK("http://www.facebook.com/8062627951/posts/10151389708377952","Delicious Previews Its Next Update With Better Search, Enhanced Profiles And Keyboard Shortcuts http://t.co/aRnWcpvy")</f>
        <v>Delicious Previews Its Next Update With Better Search, Enhanced Profiles And Keyboard Shortcuts http://t.co/aRnWcpvy</v>
      </c>
      <c r="C101" s="3">
        <v>41263.502650462964</v>
      </c>
      <c r="D101" s="2">
        <v>22</v>
      </c>
      <c r="E101" s="2">
        <v>3</v>
      </c>
      <c r="F101" s="2" t="s">
        <v>7</v>
      </c>
      <c r="G101" s="2" t="s">
        <v>8</v>
      </c>
    </row>
    <row r="102" spans="1:7" ht="45" x14ac:dyDescent="0.25">
      <c r="A102" s="4" t="str">
        <f>HYPERLINK("http://www.facebook.com/photo.php?fbid=10151389665892952&amp;set=a.114456157951.118433.8062627951&amp;type=1&amp;relevant_count=1","[Photo]")</f>
        <v>[Photo]</v>
      </c>
      <c r="B102" s="4" t="str">
        <f>HYPERLINK("http://www.facebook.com/8062627951/posts/10151389665942952","Websites Will Have a SOPA Blackout-Style Moment Of Silence On Friday For Sandy Hook Victims http://tcrn.ch/12CxLaW")</f>
        <v>Websites Will Have a SOPA Blackout-Style Moment Of Silence On Friday For Sandy Hook Victims http://tcrn.ch/12CxLaW</v>
      </c>
      <c r="C102" s="3">
        <v>41263.480995370373</v>
      </c>
      <c r="D102" s="2">
        <v>117</v>
      </c>
      <c r="E102" s="2">
        <v>10</v>
      </c>
      <c r="F102" s="2" t="s">
        <v>7</v>
      </c>
      <c r="G102" s="2" t="s">
        <v>8</v>
      </c>
    </row>
    <row r="103" spans="1:7" ht="45" x14ac:dyDescent="0.25">
      <c r="A103" s="4" t="str">
        <f>HYPERLINK("http://www.facebook.com/photo.php?fbid=10151389588012952&amp;set=a.114456157951.118433.8062627951&amp;type=1&amp;relevant_count=1","[Photo]")</f>
        <v>[Photo]</v>
      </c>
      <c r="B103" s="4" t="str">
        <f>HYPERLINK("http://www.facebook.com/8062627951/posts/10151389588072952","Facebook Tries Letting You Pay To Guarantee Message Delivery, Changes Messaging Privacy Settings http://tcrn.ch/ZUO7wG")</f>
        <v>Facebook Tries Letting You Pay To Guarantee Message Delivery, Changes Messaging Privacy Settings http://tcrn.ch/ZUO7wG</v>
      </c>
      <c r="C103" s="3">
        <v>41263.439814814818</v>
      </c>
      <c r="D103" s="2">
        <v>74</v>
      </c>
      <c r="E103" s="2">
        <v>26</v>
      </c>
      <c r="F103" s="2" t="s">
        <v>7</v>
      </c>
      <c r="G103" s="2" t="s">
        <v>8</v>
      </c>
    </row>
    <row r="104" spans="1:7" ht="30" x14ac:dyDescent="0.25">
      <c r="A104" s="4" t="str">
        <f>HYPERLINK("http://www.facebook.com/photo.php?fbid=10151389549027952&amp;set=a.114456157951.118433.8062627951&amp;type=1&amp;relevant_count=1","[Photo]")</f>
        <v>[Photo]</v>
      </c>
      <c r="B104" s="4" t="str">
        <f>HYPERLINK("http://www.facebook.com/8062627951/posts/10151389549072952","Path gets new search feature, best place to store your social stuff? http://tcrn.ch/R7hUhV")</f>
        <v>Path gets new search feature, best place to store your social stuff? http://tcrn.ch/R7hUhV</v>
      </c>
      <c r="C104" s="3">
        <v>41263.41851851852</v>
      </c>
      <c r="D104" s="2">
        <v>22</v>
      </c>
      <c r="E104" s="2">
        <v>2</v>
      </c>
      <c r="F104" s="2" t="s">
        <v>8</v>
      </c>
      <c r="G104" s="2" t="s">
        <v>8</v>
      </c>
    </row>
    <row r="105" spans="1:7" ht="30" x14ac:dyDescent="0.25">
      <c r="A105" s="4" t="str">
        <f>HYPERLINK("http://www.facebook.com/photo.php?fbid=10151389522432952&amp;set=a.114456157951.118433.8062627951&amp;type=1&amp;relevant_count=1","[Photo]")</f>
        <v>[Photo]</v>
      </c>
      <c r="B105" s="4" t="str">
        <f>HYPERLINK("http://www.facebook.com/8062627951/posts/10151389522482952","Soundtracking 2·0 for Android is out, has some new cool features. http://tcrn.ch/R7ckw8")</f>
        <v>Soundtracking 2·0 for Android is out, has some new cool features. http://tcrn.ch/R7ckw8</v>
      </c>
      <c r="C105" s="3">
        <v>41263.402754629627</v>
      </c>
      <c r="D105" s="2">
        <v>17</v>
      </c>
      <c r="E105" s="2">
        <v>3</v>
      </c>
      <c r="F105" s="2" t="s">
        <v>7</v>
      </c>
      <c r="G105" s="2" t="s">
        <v>8</v>
      </c>
    </row>
    <row r="106" spans="1:7" ht="30" x14ac:dyDescent="0.25">
      <c r="A106" s="4" t="str">
        <f>HYPERLINK("http://www.facebook.com/photo.php?fbid=10151389483697952&amp;set=a.114456157951.118433.8062627951&amp;type=1&amp;relevant_count=1","[Photo]")</f>
        <v>[Photo]</v>
      </c>
      <c r="B106" s="4" t="str">
        <f>HYPERLINK("http://www.facebook.com/8062627951/posts/10151389483737952","Viewers will get to decide which Amazon-produced shows survive. http://tcrn.ch/12CkKOE")</f>
        <v>Viewers will get to decide which Amazon-produced shows survive. http://tcrn.ch/12CkKOE</v>
      </c>
      <c r="C106" s="3">
        <v>41263.379583333335</v>
      </c>
      <c r="D106" s="2">
        <v>30</v>
      </c>
      <c r="E106" s="2">
        <v>2</v>
      </c>
      <c r="F106" s="2" t="s">
        <v>7</v>
      </c>
      <c r="G106" s="2" t="s">
        <v>8</v>
      </c>
    </row>
    <row r="107" spans="1:7" ht="30" x14ac:dyDescent="0.25">
      <c r="A107" s="4" t="str">
        <f>HYPERLINK("http://www.facebook.com/photo.php?fbid=10151389458397952&amp;set=a.114456157951.118433.8062627951&amp;type=1&amp;relevant_count=1","[Photo]")</f>
        <v>[Photo]</v>
      </c>
      <c r="B107" s="4" t="str">
        <f>HYPERLINK("http://www.facebook.com/8062627951/posts/10151389458532952","Maybe violent video games do cause some violence, but does censorship help? http://tcrn.ch/VSnQIs")</f>
        <v>Maybe violent video games do cause some violence, but does censorship help? http://tcrn.ch/VSnQIs</v>
      </c>
      <c r="C107" s="3">
        <v>41263.36314814815</v>
      </c>
      <c r="D107" s="2">
        <v>52</v>
      </c>
      <c r="E107" s="2">
        <v>26</v>
      </c>
      <c r="F107" s="2" t="s">
        <v>8</v>
      </c>
      <c r="G107" s="2" t="s">
        <v>8</v>
      </c>
    </row>
    <row r="108" spans="1:7" ht="30" x14ac:dyDescent="0.25">
      <c r="A108" s="4" t="str">
        <f>HYPERLINK("http://www.facebook.com/photo.php?fbid=10151389426312952&amp;set=a.114456157951.118433.8062627951&amp;type=1&amp;relevant_count=1","[Photo]")</f>
        <v>[Photo]</v>
      </c>
      <c r="B108" s="4" t="str">
        <f>HYPERLINK("http://www.facebook.com/8062627951/posts/10151389426357952","Maker Studios Raises $36 Million Round Led By Time Warner http://tcrn.ch/12rG36y")</f>
        <v>Maker Studios Raises $36 Million Round Led By Time Warner http://tcrn.ch/12rG36y</v>
      </c>
      <c r="C108" s="3">
        <v>41263.342592592591</v>
      </c>
      <c r="D108" s="2">
        <v>22</v>
      </c>
      <c r="E108" s="2">
        <v>3</v>
      </c>
      <c r="F108" s="2" t="s">
        <v>7</v>
      </c>
      <c r="G108" s="2" t="s">
        <v>8</v>
      </c>
    </row>
    <row r="109" spans="1:7" ht="45" x14ac:dyDescent="0.25">
      <c r="A109" s="4" t="str">
        <f>HYPERLINK("http://causes.com/momentforsandyhook","A pledge to observe the moment of silence on Friday, Dec. 21 and support preventing gun violence in.")</f>
        <v>A pledge to observe the moment of silence on Friday, Dec. 21 and support preventing gun violence in.</v>
      </c>
      <c r="B109" s="4" t="str">
        <f>HYPERLINK("http://www.facebook.com/8062627951/posts/224107754390934","We will be observing a #momentforSandyHook victims this Friday at 9:30am ET. Join us. http://causes.com/momentforsandyhook")</f>
        <v>We will be observing a #momentforSandyHook victims this Friday at 9:30am ET. Join us. http://causes.com/momentforsandyhook</v>
      </c>
      <c r="C109" s="3">
        <v>41263.318472222221</v>
      </c>
      <c r="D109" s="2">
        <v>26</v>
      </c>
      <c r="E109" s="2">
        <v>1</v>
      </c>
      <c r="F109" s="2" t="s">
        <v>7</v>
      </c>
      <c r="G109" s="2" t="s">
        <v>7</v>
      </c>
    </row>
    <row r="110" spans="1:7" ht="45" x14ac:dyDescent="0.25">
      <c r="A110" s="4" t="str">
        <f>HYPERLINK("http://www.facebook.com/photo.php?fbid=10151389378557952&amp;set=a.114456157951.118433.8062627951&amp;type=1&amp;relevant_count=1","[Photo]")</f>
        <v>[Photo]</v>
      </c>
      <c r="B110" s="4" t="s">
        <v>14</v>
      </c>
      <c r="C110" s="3">
        <v>41263.314745370371</v>
      </c>
      <c r="D110" s="2">
        <v>60</v>
      </c>
      <c r="E110" s="2">
        <v>7</v>
      </c>
      <c r="F110" s="2" t="s">
        <v>7</v>
      </c>
      <c r="G110" s="2" t="s">
        <v>8</v>
      </c>
    </row>
    <row r="111" spans="1:7" ht="30" x14ac:dyDescent="0.25">
      <c r="A111" s="4" t="str">
        <f>HYPERLINK("http://www.facebook.com/photo.php?fbid=10151389335527952&amp;set=a.114456157951.118433.8062627951&amp;type=1&amp;relevant_count=1","[Photo]")</f>
        <v>[Photo]</v>
      </c>
      <c r="B111" s="4" t="str">
        <f>HYPERLINK("http://www.facebook.com/8062627951/posts/10151389335677952","Pocket Sees 240M Saves In 2012 From 7·4M Users. Wow. http://t.co/NBeB5SQA")</f>
        <v>Pocket Sees 240M Saves In 2012 From 7·4M Users. Wow. http://t.co/NBeB5SQA</v>
      </c>
      <c r="C111" s="3">
        <v>41263.286423611113</v>
      </c>
      <c r="D111" s="2">
        <v>55</v>
      </c>
      <c r="E111" s="2">
        <v>2</v>
      </c>
      <c r="F111" s="2" t="s">
        <v>7</v>
      </c>
      <c r="G111" s="2" t="s">
        <v>8</v>
      </c>
    </row>
    <row r="112" spans="1:7" ht="30" x14ac:dyDescent="0.25">
      <c r="A112" s="4" t="str">
        <f>HYPERLINK("http://www.facebook.com/photo.php?fbid=10151389292837952&amp;set=a.114456157951.118433.8062627951&amp;type=1&amp;relevant_count=1","[Photo]")</f>
        <v>[Photo]</v>
      </c>
      <c r="B112" s="4" t="str">
        <f>HYPERLINK("http://www.facebook.com/8062627951/posts/10151389292912952","Meet Rabbit, the new video chat app that feels like a party http://tcrn.ch/T9GrTg")</f>
        <v>Meet Rabbit, the new video chat app that feels like a party http://tcrn.ch/T9GrTg</v>
      </c>
      <c r="C112" s="3">
        <v>41263.260775462964</v>
      </c>
      <c r="D112" s="2">
        <v>120</v>
      </c>
      <c r="E112" s="2">
        <v>16</v>
      </c>
      <c r="F112" s="2" t="s">
        <v>7</v>
      </c>
      <c r="G112" s="2" t="s">
        <v>8</v>
      </c>
    </row>
    <row r="113" spans="1:7" ht="30" x14ac:dyDescent="0.25">
      <c r="A113" s="4" t="str">
        <f>HYPERLINK("http://techcrunch.com/2012/12/20/snapquide-ipad-tablet/","Snapguide Comes To The iPad Because The Future Of The How-To Is On The Tablet")</f>
        <v>Snapguide Comes To The iPad Because The Future Of The How-To Is On The Tablet</v>
      </c>
      <c r="B113" s="4" t="str">
        <f>HYPERLINK("http://www.facebook.com/8062627951/posts/407419412671364","Snapguide just released its gorgeous iPad app.")</f>
        <v>Snapguide just released its gorgeous iPad app.</v>
      </c>
      <c r="C113" s="3">
        <v>41263.227627314816</v>
      </c>
      <c r="D113" s="2">
        <v>32</v>
      </c>
      <c r="E113" s="2">
        <v>1</v>
      </c>
      <c r="F113" s="2" t="s">
        <v>7</v>
      </c>
      <c r="G113" s="2" t="s">
        <v>7</v>
      </c>
    </row>
    <row r="114" spans="1:7" ht="30" x14ac:dyDescent="0.25">
      <c r="A114" s="4" t="str">
        <f>HYPERLINK("http://www.facebook.com/photo.php?fbid=10151388887972952&amp;set=a.114456157951.118433.8062627951&amp;type=1&amp;relevant_count=1","[Photo]")</f>
        <v>[Photo]</v>
      </c>
      <c r="B114" s="4" t="str">
        <f>HYPERLINK("http://www.facebook.com/8062627951/posts/10151388888012952","Foursquare and Facebook rivalry heating up? http://t.co/lLXerNTx")</f>
        <v>Foursquare and Facebook rivalry heating up? http://t.co/lLXerNTx</v>
      </c>
      <c r="C114" s="3">
        <v>41262.934421296297</v>
      </c>
      <c r="D114" s="2">
        <v>81</v>
      </c>
      <c r="E114" s="2">
        <v>7</v>
      </c>
      <c r="F114" s="2" t="s">
        <v>8</v>
      </c>
      <c r="G114" s="2" t="s">
        <v>8</v>
      </c>
    </row>
    <row r="115" spans="1:7" ht="30" x14ac:dyDescent="0.25">
      <c r="A115" s="4" t="str">
        <f>HYPERLINK("http://www.facebook.com/photo.php?fbid=10151388859822952&amp;set=a.114456157951.118433.8062627951&amp;type=1&amp;relevant_count=1","[Photo]")</f>
        <v>[Photo]</v>
      </c>
      <c r="B115" s="4" t="str">
        <f>HYPERLINK("http://www.facebook.com/8062627951/posts/10151388859857952","Tumblr Finally Releases Its Native iPad app http://t.co/qTDESnqN")</f>
        <v>Tumblr Finally Releases Its Native iPad app http://t.co/qTDESnqN</v>
      </c>
      <c r="C115" s="3">
        <v>41262.914513888885</v>
      </c>
      <c r="D115" s="2">
        <v>74</v>
      </c>
      <c r="E115" s="2">
        <v>8</v>
      </c>
      <c r="F115" s="2" t="s">
        <v>7</v>
      </c>
      <c r="G115" s="2" t="s">
        <v>8</v>
      </c>
    </row>
    <row r="116" spans="1:7" ht="30" x14ac:dyDescent="0.25">
      <c r="A116" s="4" t="str">
        <f>HYPERLINK("http://www.facebook.com/photo.php?fbid=10151388481407952&amp;set=a.114456157951.118433.8062627951&amp;type=1&amp;relevant_count=1","[Photo]")</f>
        <v>[Photo]</v>
      </c>
      <c r="B116" s="4" t="str">
        <f>HYPERLINK("http://www.facebook.com/8062627951/posts/10151388481442952","How To Explain Your Privacy Policy And Terms Of Service Changes http://tcrn.ch/VQTN3N")</f>
        <v>How To Explain Your Privacy Policy And Terms Of Service Changes http://tcrn.ch/VQTN3N</v>
      </c>
      <c r="C116" s="3">
        <v>41262.711180555554</v>
      </c>
      <c r="D116" s="2">
        <v>33</v>
      </c>
      <c r="E116" s="2">
        <v>9</v>
      </c>
      <c r="F116" s="2" t="s">
        <v>7</v>
      </c>
      <c r="G116" s="2" t="s">
        <v>8</v>
      </c>
    </row>
    <row r="117" spans="1:7" ht="30" x14ac:dyDescent="0.25">
      <c r="A117" s="4" t="str">
        <f>HYPERLINK("http://www.facebook.com/photo.php?fbid=10151388416512952&amp;set=a.114456157951.118433.8062627951&amp;type=1&amp;relevant_count=1","[Photo]")</f>
        <v>[Photo]</v>
      </c>
      <c r="B117" s="4" t="str">
        <f>HYPERLINK("http://www.facebook.com/8062627951/posts/10151388416582952","Google search results, now with more indoor street view.  http://tcrn.ch/V7zWRQ")</f>
        <v>Google search results, now with more indoor street view.  http://tcrn.ch/V7zWRQ</v>
      </c>
      <c r="C117" s="3">
        <v>41262.672314814816</v>
      </c>
      <c r="D117" s="2">
        <v>184</v>
      </c>
      <c r="E117" s="2">
        <v>15</v>
      </c>
      <c r="F117" s="2" t="s">
        <v>7</v>
      </c>
      <c r="G117" s="2" t="s">
        <v>8</v>
      </c>
    </row>
    <row r="118" spans="1:7" ht="45" x14ac:dyDescent="0.25">
      <c r="A118" s="4" t="str">
        <f>HYPERLINK("http://www.facebook.com/photo.php?fbid=10151388310312952&amp;set=a.114456157951.118433.8062627951&amp;type=1&amp;relevant_count=1","[Photo]")</f>
        <v>[Photo]</v>
      </c>
      <c r="B118" s="4" t="s">
        <v>15</v>
      </c>
      <c r="C118" s="3">
        <v>41262.627905092595</v>
      </c>
      <c r="D118" s="2">
        <v>28</v>
      </c>
      <c r="E118" s="2">
        <v>14</v>
      </c>
      <c r="F118" s="2" t="s">
        <v>8</v>
      </c>
      <c r="G118" s="2" t="s">
        <v>8</v>
      </c>
    </row>
    <row r="119" spans="1:7" ht="30" x14ac:dyDescent="0.25">
      <c r="A119" s="4" t="str">
        <f>HYPERLINK("http://www.facebook.com/photo.php?fbid=10151388256342952&amp;set=a.114456157951.118433.8062627951&amp;type=1&amp;relevant_count=1","[Photo]")</f>
        <v>[Photo]</v>
      </c>
      <c r="B119" s="4" t="str">
        <f>HYPERLINK("http://www.facebook.com/8062627951/posts/10151388256397952","Cha-Ching. Facebook might be able advertise to kids now thanks to updated Federal rules. http://tcrn.ch/URR0Jd")</f>
        <v>Cha-Ching. Facebook might be able advertise to kids now thanks to updated Federal rules. http://tcrn.ch/URR0Jd</v>
      </c>
      <c r="C119" s="3">
        <v>41262.600821759261</v>
      </c>
      <c r="D119" s="2">
        <v>24</v>
      </c>
      <c r="E119" s="2">
        <v>8</v>
      </c>
      <c r="F119" s="2" t="s">
        <v>7</v>
      </c>
      <c r="G119" s="2" t="s">
        <v>8</v>
      </c>
    </row>
    <row r="120" spans="1:7" ht="45" x14ac:dyDescent="0.25">
      <c r="A120" s="4" t="str">
        <f>HYPERLINK("http://www.facebook.com/photo.php?fbid=10151388210072952&amp;set=a.114456157951.118433.8062627951&amp;type=1&amp;relevant_count=1","[Photo]")</f>
        <v>[Photo]</v>
      </c>
      <c r="B120" s="4" t="s">
        <v>16</v>
      </c>
      <c r="C120" s="3">
        <v>41262.573622685188</v>
      </c>
      <c r="D120" s="2">
        <v>59</v>
      </c>
      <c r="E120" s="2">
        <v>4</v>
      </c>
      <c r="F120" s="2" t="s">
        <v>7</v>
      </c>
      <c r="G120" s="2" t="s">
        <v>8</v>
      </c>
    </row>
    <row r="121" spans="1:7" ht="30" x14ac:dyDescent="0.25">
      <c r="A121" s="4" t="str">
        <f>HYPERLINK("http://www.facebook.com/photo.php?fbid=10151388202252952&amp;set=a.114456157951.118433.8062627951&amp;type=1&amp;relevant_count=1","[Photo]")</f>
        <v>[Photo]</v>
      </c>
      <c r="B121" s="4" t="str">
        <f>HYPERLINK("http://www.facebook.com/8062627951/posts/10151388202312952","Tony Hsieh from Zappos talks about building a great company culture http://tcrn.ch/TZmrQx")</f>
        <v>Tony Hsieh from Zappos talks about building a great company culture http://tcrn.ch/TZmrQx</v>
      </c>
      <c r="C121" s="3">
        <v>41262.569699074076</v>
      </c>
      <c r="D121" s="2">
        <v>101</v>
      </c>
      <c r="E121" s="2">
        <v>4</v>
      </c>
      <c r="F121" s="2" t="s">
        <v>7</v>
      </c>
      <c r="G121" s="2" t="s">
        <v>8</v>
      </c>
    </row>
    <row r="122" spans="1:7" ht="60" x14ac:dyDescent="0.25">
      <c r="A122" s="4" t="str">
        <f>HYPERLINK("http://www.facebook.com/photo.php?fbid=10151388161992952&amp;set=a.114456157951.118433.8062627951&amp;type=1&amp;relevant_count=1","[Photo]")</f>
        <v>[Photo]</v>
      </c>
      <c r="B122" s="4" t="str">
        <f>HYPERLINK("http://www.facebook.com/8062627951/posts/10151388162027952","Are you paying too much for bandwidth? Data caps have something to do with it. http://techcrunch.com/2012/12/19/report-data-caps-help-carriers-rake-in-huge-profits/ via")</f>
        <v>Are you paying too much for bandwidth? Data caps have something to do with it. http://techcrunch.com/2012/12/19/report-data-caps-help-carriers-rake-in-huge-profits/ via</v>
      </c>
      <c r="C122" s="3">
        <v>41262.549849537034</v>
      </c>
      <c r="D122" s="2">
        <v>23</v>
      </c>
      <c r="E122" s="2">
        <v>8</v>
      </c>
      <c r="F122" s="2" t="s">
        <v>8</v>
      </c>
      <c r="G122" s="2" t="s">
        <v>8</v>
      </c>
    </row>
    <row r="123" spans="1:7" ht="30" x14ac:dyDescent="0.25">
      <c r="A123" s="4" t="str">
        <f>HYPERLINK("http://www.facebook.com/photo.php?fbid=10151388102237952&amp;set=a.114456157951.118433.8062627951&amp;type=1&amp;relevant_count=1","[Photo]")</f>
        <v>[Photo]</v>
      </c>
      <c r="B123" s="4" t="str">
        <f>HYPERLINK("http://www.facebook.com/8062627951/posts/10151388102277952","Dropbox gets serious about photos, acquires Snapjoy. Do you use Dropbox? http://tcrn.ch/U971Ml")</f>
        <v>Dropbox gets serious about photos, acquires Snapjoy. Do you use Dropbox? http://tcrn.ch/U971Ml</v>
      </c>
      <c r="C123" s="3">
        <v>41262.517569444448</v>
      </c>
      <c r="D123" s="2">
        <v>181</v>
      </c>
      <c r="E123" s="2">
        <v>30</v>
      </c>
      <c r="F123" s="2" t="s">
        <v>8</v>
      </c>
      <c r="G123" s="2" t="s">
        <v>8</v>
      </c>
    </row>
    <row r="124" spans="1:7" ht="30" x14ac:dyDescent="0.25">
      <c r="A124" s="4" t="str">
        <f>HYPERLINK("http://www.facebook.com/photo.php?fbid=10151388073557952&amp;set=a.114456157951.118433.8062627951&amp;type=1&amp;relevant_count=1","[Photo]")</f>
        <v>[Photo]</v>
      </c>
      <c r="B124" s="4" t="str">
        <f>HYPERLINK("http://www.facebook.com/8062627951/posts/10151388073617952","AngelList makes it easier for smaller investors to...invest. That's cool. http://tcrn.ch/12AiaJ2")</f>
        <v>AngelList makes it easier for smaller investors to...invest. That's cool. http://tcrn.ch/12AiaJ2</v>
      </c>
      <c r="C124" s="3">
        <v>41262.500428240739</v>
      </c>
      <c r="D124" s="2">
        <v>147</v>
      </c>
      <c r="E124" s="2">
        <v>13</v>
      </c>
      <c r="F124" s="2" t="s">
        <v>7</v>
      </c>
      <c r="G124" s="2" t="s">
        <v>8</v>
      </c>
    </row>
    <row r="125" spans="1:7" ht="30" x14ac:dyDescent="0.25">
      <c r="A125" s="4" t="str">
        <f>HYPERLINK("http://www.facebook.com/photo.php?fbid=10151388034322952&amp;set=a.114456157951.118433.8062627951&amp;type=1&amp;relevant_count=1","[Photo]")</f>
        <v>[Photo]</v>
      </c>
      <c r="B125" s="4" t="str">
        <f>HYPERLINK("http://www.facebook.com/8062627951/posts/10151388034362952","CBS is live streaming the Super Bowl. Will you watch it online? http://tcrn.ch/ZPPrRq")</f>
        <v>CBS is live streaming the Super Bowl. Will you watch it online? http://tcrn.ch/ZPPrRq</v>
      </c>
      <c r="C125" s="3">
        <v>41262.478368055556</v>
      </c>
      <c r="D125" s="2">
        <v>48</v>
      </c>
      <c r="E125" s="2">
        <v>15</v>
      </c>
      <c r="F125" s="2" t="s">
        <v>8</v>
      </c>
      <c r="G125" s="2" t="s">
        <v>8</v>
      </c>
    </row>
    <row r="126" spans="1:7" ht="60" x14ac:dyDescent="0.25">
      <c r="A126" s="4" t="str">
        <f>HYPERLINK("http://techcrunch.com/2012/12/19/nothing-says-happy-holidays-like-first-round-capital-gangnam-style-and-carly-rae-jepson/","First Round Capital Parodies “Call Me Maybe” And “Gangnam Style” In Latest Holiday Video | TechCrunc")</f>
        <v>First Round Capital Parodies “Call Me Maybe” And “Gangnam Style” In Latest Holiday Video | TechCrunc</v>
      </c>
      <c r="B126" s="4" t="str">
        <f>HYPERLINK("http://www.facebook.com/8062627951/posts/308526645924037","First Round Capital goes Gangnam Style for the Holidays.  http://techcrunch.com/2012/12/19/nothing-says-happy-holidays-like-first-round-capital-gangnam-style-and-carly-rae-jepson/")</f>
        <v>First Round Capital goes Gangnam Style for the Holidays.  http://techcrunch.com/2012/12/19/nothing-says-happy-holidays-like-first-round-capital-gangnam-style-and-carly-rae-jepson/</v>
      </c>
      <c r="C126" s="3">
        <v>41262.457141203704</v>
      </c>
      <c r="D126" s="2">
        <v>65</v>
      </c>
      <c r="E126" s="2">
        <v>1</v>
      </c>
      <c r="F126" s="2" t="s">
        <v>7</v>
      </c>
      <c r="G126" s="2" t="s">
        <v>7</v>
      </c>
    </row>
    <row r="127" spans="1:7" ht="30" x14ac:dyDescent="0.25">
      <c r="A127" s="4" t="str">
        <f>HYPERLINK("http://www.facebook.com/photo.php?fbid=10151387950772952&amp;set=a.114456157951.118433.8062627951&amp;type=1&amp;relevant_count=1","[Photo]")</f>
        <v>[Photo]</v>
      </c>
      <c r="B127" s="4" t="str">
        <f>HYPERLINK("http://www.facebook.com/8062627951/posts/10151387950832952","Twitter suspends Anonymous' account, things escalate quickly. http://tcrn.ch/Ws7nRq")</f>
        <v>Twitter suspends Anonymous' account, things escalate quickly. http://tcrn.ch/Ws7nRq</v>
      </c>
      <c r="C127" s="3">
        <v>41262.429918981485</v>
      </c>
      <c r="D127" s="2">
        <v>311</v>
      </c>
      <c r="E127" s="2">
        <v>67</v>
      </c>
      <c r="F127" s="2" t="s">
        <v>7</v>
      </c>
      <c r="G127" s="2" t="s">
        <v>8</v>
      </c>
    </row>
    <row r="128" spans="1:7" ht="30" x14ac:dyDescent="0.25">
      <c r="A128" s="4" t="str">
        <f>HYPERLINK("http://www.facebook.com/photo.php?fbid=10151387940687952&amp;set=a.114456157951.118433.8062627951&amp;type=1&amp;relevant_count=1","[Photo]")</f>
        <v>[Photo]</v>
      </c>
      <c r="B128" s="4" t="str">
        <f>HYPERLINK("http://www.facebook.com/8062627951/posts/10151387940727952","It's a bird, it's a plane...it's a Hexcopter? http://tcrn.ch/U8PAeT")</f>
        <v>It's a bird, it's a plane...it's a Hexcopter? http://tcrn.ch/U8PAeT</v>
      </c>
      <c r="C128" s="3">
        <v>41262.423854166664</v>
      </c>
      <c r="D128" s="2">
        <v>153</v>
      </c>
      <c r="E128" s="2">
        <v>10</v>
      </c>
      <c r="F128" s="2" t="s">
        <v>8</v>
      </c>
      <c r="G128" s="2" t="s">
        <v>8</v>
      </c>
    </row>
    <row r="129" spans="1:7" ht="30" x14ac:dyDescent="0.25">
      <c r="A129" s="4" t="str">
        <f>HYPERLINK("http://techcrunch.com/2012/12/19/htc-reportedly-cutting-new-smartphone-models-shipment-volumes/","HTC Reportedly Cutting New Smartphone Models, Shipment Volumes | TechCrunch")</f>
        <v>HTC Reportedly Cutting New Smartphone Models, Shipment Volumes | TechCrunch</v>
      </c>
      <c r="B129" s="4" t="str">
        <f>HYPERLINK("http://www.facebook.com/8062627951/posts/100351293471466","HTC is having money issues. Less phones. Good thing or bad?")</f>
        <v>HTC is having money issues. Less phones. Good thing or bad?</v>
      </c>
      <c r="C129" s="3">
        <v>41262.397164351853</v>
      </c>
      <c r="D129" s="2">
        <v>18</v>
      </c>
      <c r="E129" s="2">
        <v>24</v>
      </c>
      <c r="F129" s="2" t="s">
        <v>8</v>
      </c>
      <c r="G129" s="2" t="s">
        <v>7</v>
      </c>
    </row>
    <row r="130" spans="1:7" ht="45" x14ac:dyDescent="0.25">
      <c r="A130" s="4" t="str">
        <f>HYPERLINK("http://techcrunch.com/2012/12/19/redbox-instant-by-verizon-launches-into-beta-as-app-goes-live-in-google-play/","Redbox Instant By Verizon Launches Into Beta As App Goes Live In Google Play | TechCrunch")</f>
        <v>Redbox Instant By Verizon Launches Into Beta As App Goes Live In Google Play | TechCrunch</v>
      </c>
      <c r="B130" s="4" t="str">
        <f>HYPERLINK("http://www.facebook.com/8062627951/posts/469475949765328","Oh, a Netflix competitor? Which will you use?")</f>
        <v>Oh, a Netflix competitor? Which will you use?</v>
      </c>
      <c r="C130" s="3">
        <v>41262.390509259261</v>
      </c>
      <c r="D130" s="2">
        <v>55</v>
      </c>
      <c r="E130" s="2">
        <v>15</v>
      </c>
      <c r="F130" s="2" t="s">
        <v>8</v>
      </c>
      <c r="G130" s="2" t="s">
        <v>7</v>
      </c>
    </row>
    <row r="131" spans="1:7" ht="45" x14ac:dyDescent="0.25">
      <c r="A131" s="4" t="str">
        <f>HYPERLINK("http://techcrunch.com/2012/12/19/lte-phone-shipments-will-triple-to-275m-units-in-2013-with-amazon-mozilla-among-those-waiting-in-the-wings-to-pounce/","LTE Phone Shipments Will Triple To 275M Units In 2013, With Amazon + Mozilla Among Those Waiting In.")</f>
        <v>LTE Phone Shipments Will Triple To 275M Units In 2013, With Amazon + Mozilla Among Those Waiting In.</v>
      </c>
      <c r="B131" s="4" t="str">
        <f>HYPERLINK("http://www.facebook.com/8062627951/posts/517105684986598","Obvious news flash: LTE phones will be popular next year.")</f>
        <v>Obvious news flash: LTE phones will be popular next year.</v>
      </c>
      <c r="C131" s="3">
        <v>41262.220381944448</v>
      </c>
      <c r="D131" s="2">
        <v>35</v>
      </c>
      <c r="E131" s="2">
        <v>8</v>
      </c>
      <c r="F131" s="2" t="s">
        <v>7</v>
      </c>
      <c r="G131" s="2" t="s">
        <v>7</v>
      </c>
    </row>
    <row r="132" spans="1:7" ht="45" x14ac:dyDescent="0.25">
      <c r="A132" s="4" t="str">
        <f>HYPERLINK("http://techcrunch.com/2012/12/18/keep-track-of-santa-claus-with-these-google-tools/","Keep Track of Santa Claus With These Google Tools")</f>
        <v>Keep Track of Santa Claus With These Google Tools</v>
      </c>
      <c r="B132" s="4" t="str">
        <f>HYPERLINK("http://www.facebook.com/8062627951/posts/455072144553453","Google has some fun tools to follow Santa around the globe. Hopefully the big guy isn't using Apple Maps on his end, though.")</f>
        <v>Google has some fun tools to follow Santa around the globe. Hopefully the big guy isn't using Apple Maps on his end, though.</v>
      </c>
      <c r="C132" s="3">
        <v>41262.182662037034</v>
      </c>
      <c r="D132" s="2">
        <v>131</v>
      </c>
      <c r="E132" s="2">
        <v>7</v>
      </c>
      <c r="F132" s="2" t="s">
        <v>7</v>
      </c>
      <c r="G132" s="2" t="s">
        <v>7</v>
      </c>
    </row>
    <row r="133" spans="1:7" ht="45" x14ac:dyDescent="0.25">
      <c r="A133" s="4" t="str">
        <f>HYPERLINK("http://techcrunch.com/2012/12/18/lady-ada-aka-limor-fried-named-entrepreneur-of-the-year/","Lady Ada AKA Limor Fried Named Entrepreneur Of The Year")</f>
        <v>Lady Ada AKA Limor Fried Named Entrepreneur Of The Year</v>
      </c>
      <c r="B133" s="4" t="str">
        <f>HYPERLINK("http://www.facebook.com/8062627951/posts/381124351976931","Congratulations to Limor Fried, founder of Adafruit Industries, for being named Entrepreneur Magazine's 2012 Entrepreneur of the Year.")</f>
        <v>Congratulations to Limor Fried, founder of Adafruit Industries, for being named Entrepreneur Magazine's 2012 Entrepreneur of the Year.</v>
      </c>
      <c r="C133" s="3">
        <v>41261.71234953704</v>
      </c>
      <c r="D133" s="2">
        <v>203</v>
      </c>
      <c r="E133" s="2">
        <v>4</v>
      </c>
      <c r="F133" s="2" t="s">
        <v>7</v>
      </c>
      <c r="G133" s="2" t="s">
        <v>7</v>
      </c>
    </row>
    <row r="134" spans="1:7" ht="75" x14ac:dyDescent="0.25">
      <c r="A134" s="4" t="str">
        <f>HYPERLINK("http://www.facebook.com/photo.php?fbid=10151386863862952&amp;set=a.114456157951.118433.8062627951&amp;type=1&amp;relevant_count=1","[Photo]")</f>
        <v>[Photo]</v>
      </c>
      <c r="B134" s="4" t="s">
        <v>17</v>
      </c>
      <c r="C134" s="3">
        <v>41261.660995370374</v>
      </c>
      <c r="D134" s="2">
        <v>265</v>
      </c>
      <c r="E134" s="2">
        <v>20</v>
      </c>
      <c r="F134" s="2" t="s">
        <v>7</v>
      </c>
      <c r="G134" s="2" t="s">
        <v>8</v>
      </c>
    </row>
    <row r="135" spans="1:7" ht="60" x14ac:dyDescent="0.25">
      <c r="A135" s="4" t="str">
        <f>HYPERLINK("http://www.facebook.com/photo.php?fbid=10151386755242952&amp;set=a.114456157951.118433.8062627951&amp;type=1&amp;relevant_count=1","[Photo]")</f>
        <v>[Photo]</v>
      </c>
      <c r="B135" s="4" t="s">
        <v>18</v>
      </c>
      <c r="C135" s="3">
        <v>41261.608541666668</v>
      </c>
      <c r="D135" s="2">
        <v>138</v>
      </c>
      <c r="E135" s="2">
        <v>78</v>
      </c>
      <c r="F135" s="2" t="s">
        <v>8</v>
      </c>
      <c r="G135" s="2" t="s">
        <v>8</v>
      </c>
    </row>
    <row r="136" spans="1:7" ht="30" x14ac:dyDescent="0.25">
      <c r="A136" s="4" t="str">
        <f>HYPERLINK("http://techcrunch.com/2012/12/18/print-happy-25th-birthday-perl/","print “Happy 25th Birthday, Perl”;")</f>
        <v>print “Happy 25th Birthday, Perl”;</v>
      </c>
      <c r="B136" s="4" t="str">
        <f>HYPERLINK("http://www.facebook.com/8062627951/posts/186010868204985","Perl, that boon to the Linux hacker and confuser of non-monks, is 25 years old today. Happy birthday, Perl!")</f>
        <v>Perl, that boon to the Linux hacker and confuser of non-monks, is 25 years old today. Happy birthday, Perl!</v>
      </c>
      <c r="C136" s="3">
        <v>41261.563622685186</v>
      </c>
      <c r="D136" s="2">
        <v>168</v>
      </c>
      <c r="E136" s="2">
        <v>10</v>
      </c>
      <c r="F136" s="2" t="s">
        <v>7</v>
      </c>
      <c r="G136" s="2" t="s">
        <v>7</v>
      </c>
    </row>
    <row r="137" spans="1:7" ht="45" x14ac:dyDescent="0.25">
      <c r="A137" s="4" t="str">
        <f>HYPERLINK("http://www.facebook.com/photo.php?fbid=10151386609217952&amp;set=a.114456157951.118433.8062627951&amp;type=1&amp;relevant_count=1","[Photo]")</f>
        <v>[Photo]</v>
      </c>
      <c r="B137" s="4" t="str">
        <f>HYPERLINK("http://www.facebook.com/8062627951/posts/10151386609282952","Instagram speaks out on users’ concerns about TOS changes. Think there will there be a Beacon-like apology? - http://tcrn.ch/UIQFr4")</f>
        <v>Instagram speaks out on users’ concerns about TOS changes. Think there will there be a Beacon-like apology? - http://tcrn.ch/UIQFr4</v>
      </c>
      <c r="C137" s="3">
        <v>41261.543275462966</v>
      </c>
      <c r="D137" s="2">
        <v>69</v>
      </c>
      <c r="E137" s="2">
        <v>34</v>
      </c>
      <c r="F137" s="2" t="s">
        <v>8</v>
      </c>
      <c r="G137" s="2" t="s">
        <v>8</v>
      </c>
    </row>
    <row r="138" spans="1:7" ht="45" x14ac:dyDescent="0.25">
      <c r="A138" s="4" t="str">
        <f>HYPERLINK("http://www.facebook.com/photo.php?fbid=10151386513402952&amp;set=a.114456157951.118433.8062627951&amp;type=1&amp;relevant_count=1","[Photo]")</f>
        <v>[Photo]</v>
      </c>
      <c r="B138" s="4" t="str">
        <f>HYPERLINK("http://www.facebook.com/8062627951/posts/10151386513487952","And the backlash continues: Mark Zuckerberg's sister doesn’t seem to like the Instagram changes either - http://tcrn.ch/R3FD2G")</f>
        <v>And the backlash continues: Mark Zuckerberg's sister doesn’t seem to like the Instagram changes either - http://tcrn.ch/R3FD2G</v>
      </c>
      <c r="C138" s="3">
        <v>41261.496099537035</v>
      </c>
      <c r="D138" s="2">
        <v>232</v>
      </c>
      <c r="E138" s="2">
        <v>52</v>
      </c>
      <c r="F138" s="2" t="s">
        <v>7</v>
      </c>
      <c r="G138" s="2" t="s">
        <v>8</v>
      </c>
    </row>
    <row r="139" spans="1:7" ht="45" x14ac:dyDescent="0.25">
      <c r="A139" s="4" t="str">
        <f>HYPERLINK("http://www.facebook.com/photo.php?fbid=10151386483857952&amp;set=a.114456157951.118433.8062627951&amp;type=1&amp;relevant_count=1","[Photo]")</f>
        <v>[Photo]</v>
      </c>
      <c r="B139" s="4" t="str">
        <f>HYPERLINK("http://www.facebook.com/8062627951/posts/10151386483902952","Google would like you to schedule holiday time with your family using Google+ Hangouts. Think you will? - http://tcrn.ch/12yjbBj")</f>
        <v>Google would like you to schedule holiday time with your family using Google+ Hangouts. Think you will? - http://tcrn.ch/12yjbBj</v>
      </c>
      <c r="C139" s="3">
        <v>41261.477754629632</v>
      </c>
      <c r="D139" s="2">
        <v>44</v>
      </c>
      <c r="E139" s="2">
        <v>10</v>
      </c>
      <c r="F139" s="2" t="s">
        <v>8</v>
      </c>
      <c r="G139" s="2" t="s">
        <v>8</v>
      </c>
    </row>
    <row r="140" spans="1:7" ht="45" x14ac:dyDescent="0.25">
      <c r="A140" s="4" t="str">
        <f>HYPERLINK("http://techcrunch.com/2012/12/18/apple-release-ios-6-0-2-to-zap-wi-fi-bugs-but-users-finding-it-hard-to-download-over-the-air/","Apple Releases iOS 6.0.2 To Zap Wi-Fi Bugs, But Users Finding It Hard To Download Over-The-Air ")</f>
        <v xml:space="preserve">Apple Releases iOS 6.0.2 To Zap Wi-Fi Bugs, But Users Finding It Hard To Download Over-The-Air </v>
      </c>
      <c r="B140" s="4" t="str">
        <f>HYPERLINK("http://www.facebook.com/8062627951/posts/302679749849370","Oops. Are you having trouble downloading it too?")</f>
        <v>Oops. Are you having trouble downloading it too?</v>
      </c>
      <c r="C140" s="3">
        <v>41261.462650462963</v>
      </c>
      <c r="D140" s="2">
        <v>60</v>
      </c>
      <c r="E140" s="2">
        <v>27</v>
      </c>
      <c r="F140" s="2" t="s">
        <v>8</v>
      </c>
      <c r="G140" s="2" t="s">
        <v>7</v>
      </c>
    </row>
    <row r="141" spans="1:7" ht="30" x14ac:dyDescent="0.25">
      <c r="A141" s="4" t="str">
        <f>HYPERLINK("http://www.facebook.com/photo.php?fbid=10151386431742952&amp;set=a.114456157951.118433.8062627951&amp;type=1&amp;relevant_count=1","[Photo]")</f>
        <v>[Photo]</v>
      </c>
      <c r="B141" s="4" t="str">
        <f>HYPERLINK("http://www.facebook.com/8062627951/posts/10151386431792952","Google Music launches its iTunes Match-like scan-and-match feature in the U.S. - http://tcrn.ch/ZgoEPm")</f>
        <v>Google Music launches its iTunes Match-like scan-and-match feature in the U.S. - http://tcrn.ch/ZgoEPm</v>
      </c>
      <c r="C141" s="3">
        <v>41261.448020833333</v>
      </c>
      <c r="D141" s="2">
        <v>98</v>
      </c>
      <c r="E141" s="2">
        <v>16</v>
      </c>
      <c r="F141" s="2" t="s">
        <v>7</v>
      </c>
      <c r="G141" s="2" t="s">
        <v>8</v>
      </c>
    </row>
    <row r="142" spans="1:7" ht="45" x14ac:dyDescent="0.25">
      <c r="A142" s="4" t="str">
        <f>HYPERLINK("http://www.facebook.com/photo.php?fbid=10151386366562952&amp;set=a.114456157951.118433.8062627951&amp;type=1&amp;relevant_count=1","[Photo]")</f>
        <v>[Photo]</v>
      </c>
      <c r="B142" s="4" t="str">
        <f>HYPERLINK("http://www.facebook.com/8062627951/posts/10151386366627952","Ibotta offers a new take on mobile couponing by offering cash back for engaging with brands, then buying their products - http://tcrn.ch/V2AfJg")</f>
        <v>Ibotta offers a new take on mobile couponing by offering cash back for engaging with brands, then buying their products - http://tcrn.ch/V2AfJg</v>
      </c>
      <c r="C142" s="3">
        <v>41261.415266203701</v>
      </c>
      <c r="D142" s="2">
        <v>65</v>
      </c>
      <c r="E142" s="2">
        <v>3</v>
      </c>
      <c r="F142" s="2" t="s">
        <v>7</v>
      </c>
      <c r="G142" s="2" t="s">
        <v>8</v>
      </c>
    </row>
    <row r="143" spans="1:7" ht="30" x14ac:dyDescent="0.25">
      <c r="A143" s="4" t="str">
        <f>HYPERLINK("http://techcrunch.com/2012/12/18/twitter-passes-200m-monthly-active-users-a-42-increase-over-9-months/","Twitter Passes 200M Monthly Active Users, A 42% Increase Over 9 Months")</f>
        <v>Twitter Passes 200M Monthly Active Users, A 42% Increase Over 9 Months</v>
      </c>
      <c r="B143" s="4" t="str">
        <f>HYPERLINK("http://www.facebook.com/8062627951/posts/306706709446343","Watch out, Facebook. Twitter is coming for you.")</f>
        <v>Watch out, Facebook. Twitter is coming for you.</v>
      </c>
      <c r="C143" s="3">
        <v>41261.390393518515</v>
      </c>
      <c r="D143" s="2">
        <v>128</v>
      </c>
      <c r="E143" s="2">
        <v>13</v>
      </c>
      <c r="F143" s="2" t="s">
        <v>7</v>
      </c>
      <c r="G143" s="2" t="s">
        <v>7</v>
      </c>
    </row>
    <row r="144" spans="1:7" ht="45" x14ac:dyDescent="0.25">
      <c r="A144" s="4" t="str">
        <f>HYPERLINK("http://techcrunch.com/2012/12/18/facebook-users-must-be-allowed-to-use-pseudonyms-says-german-privacy-regulator-real-name-policy-erodes-online-freedoms/","Facebook Users Must Be Allowed To Use Pseudonyms, Says German Privacy Regulator; Real-Name Policy ‘E")</f>
        <v>Facebook Users Must Be Allowed To Use Pseudonyms, Says German Privacy Regulator; Real-Name Policy ‘E</v>
      </c>
      <c r="B144" s="4" t="str">
        <f>HYPERLINK("http://www.facebook.com/8062627951/posts/451002851626969","A win for anonymous trolls everywhere!")</f>
        <v>A win for anonymous trolls everywhere!</v>
      </c>
      <c r="C144" s="3">
        <v>41261.212256944447</v>
      </c>
      <c r="D144" s="2">
        <v>59</v>
      </c>
      <c r="E144" s="2">
        <v>18</v>
      </c>
      <c r="F144" s="2" t="s">
        <v>7</v>
      </c>
      <c r="G144" s="2" t="s">
        <v>7</v>
      </c>
    </row>
    <row r="145" spans="1:7" ht="30" x14ac:dyDescent="0.25">
      <c r="A145" s="4" t="str">
        <f>HYPERLINK("http://techcrunch.com/2012/12/17/more-than-half-of-the-forbes-30-under-30-in-tech-are-y-combinator-alums/","More Than Half Of The Forbes’ 30 Under 30 In Tech Are Y Combinator Alums")</f>
        <v>More Than Half Of The Forbes’ 30 Under 30 In Tech Are Y Combinator Alums</v>
      </c>
      <c r="B145" s="4" t="str">
        <f>HYPERLINK("http://www.facebook.com/8062627951/posts/440907205972003","Forbes just discovered Y Combinator.")</f>
        <v>Forbes just discovered Y Combinator.</v>
      </c>
      <c r="C145" s="3">
        <v>41261.18478009259</v>
      </c>
      <c r="D145" s="2">
        <v>140</v>
      </c>
      <c r="E145" s="2">
        <v>8</v>
      </c>
      <c r="F145" s="2" t="s">
        <v>7</v>
      </c>
      <c r="G145" s="2" t="s">
        <v>7</v>
      </c>
    </row>
    <row r="146" spans="1:7" ht="30" x14ac:dyDescent="0.25">
      <c r="A146" s="4" t="str">
        <f>HYPERLINK("http://www.facebook.com/photo.php?fbid=10151385747677952&amp;set=a.114456157951.118433.8062627951&amp;type=1&amp;relevant_count=1","[Photo]")</f>
        <v>[Photo]</v>
      </c>
      <c r="B146" s="4" t="str">
        <f>HYPERLINK("http://www.facebook.com/8062627951/posts/10151385747702952","Mobile photosharing, the final social frontier - http://tcrn.ch/TtKWa6")</f>
        <v>Mobile photosharing, the final social frontier - http://tcrn.ch/TtKWa6</v>
      </c>
      <c r="C146" s="3">
        <v>41260.973032407404</v>
      </c>
      <c r="D146" s="2">
        <v>45</v>
      </c>
      <c r="E146" s="2">
        <v>2</v>
      </c>
      <c r="F146" s="2" t="s">
        <v>7</v>
      </c>
      <c r="G146" s="2" t="s">
        <v>8</v>
      </c>
    </row>
    <row r="147" spans="1:7" ht="45" x14ac:dyDescent="0.25">
      <c r="A147" s="4" t="str">
        <f>HYPERLINK("http://www.facebook.com/photo.php?fbid=10151385556827952&amp;set=a.114456157951.118433.8062627951&amp;type=1&amp;relevant_count=1","[Photo]")</f>
        <v>[Photo]</v>
      </c>
      <c r="B147" s="4" t="str">
        <f>HYPERLINK("http://www.facebook.com/8062627951/posts/10151385556897952","Facebook is building a standalone app to compete with the red-hot impermanent photo messaging app Snapchat. Here's why it's good for both companies - http://tcrn.ch/WkzEpg")</f>
        <v>Facebook is building a standalone app to compete with the red-hot impermanent photo messaging app Snapchat. Here's why it's good for both companies - http://tcrn.ch/WkzEpg</v>
      </c>
      <c r="C147" s="3">
        <v>41260.827488425923</v>
      </c>
      <c r="D147" s="2">
        <v>76</v>
      </c>
      <c r="E147" s="2">
        <v>10</v>
      </c>
      <c r="F147" s="2" t="s">
        <v>7</v>
      </c>
      <c r="G147" s="2" t="s">
        <v>8</v>
      </c>
    </row>
    <row r="148" spans="1:7" ht="45" x14ac:dyDescent="0.25">
      <c r="A148" s="4" t="str">
        <f>HYPERLINK("http://www.facebook.com/photo.php?fbid=10151385469612952&amp;set=a.114456157951.118433.8062627951&amp;type=1&amp;relevant_count=1","[Photo]")</f>
        <v>[Photo]</v>
      </c>
      <c r="B148" s="4" t="str">
        <f>HYPERLINK("http://www.facebook.com/8062627951/posts/10151385469722952","What the Twitter/Instagram standoff has meant for traffic to Instagram - http://tcrn.ch/U8w8jl    Guess: do you think it helped it, or hurt it?")</f>
        <v>What the Twitter/Instagram standoff has meant for traffic to Instagram - http://tcrn.ch/U8w8jl    Guess: do you think it helped it, or hurt it?</v>
      </c>
      <c r="C148" s="3">
        <v>41260.774687500001</v>
      </c>
      <c r="D148" s="2">
        <v>55</v>
      </c>
      <c r="E148" s="2">
        <v>6</v>
      </c>
      <c r="F148" s="2" t="s">
        <v>8</v>
      </c>
      <c r="G148" s="2" t="s">
        <v>8</v>
      </c>
    </row>
    <row r="149" spans="1:7" x14ac:dyDescent="0.25">
      <c r="A149" s="4" t="str">
        <f>HYPERLINK("http://techcrunch.com/2012/12/17/programming-your-culture/","Programming Your Culture")</f>
        <v>Programming Your Culture</v>
      </c>
      <c r="B149" s="4" t="str">
        <f>HYPERLINK("http://www.facebook.com/8062627951/posts/313574172081561","How would you describe your company's culture?")</f>
        <v>How would you describe your company's culture?</v>
      </c>
      <c r="C149" s="3">
        <v>41260.742754629631</v>
      </c>
      <c r="D149" s="2">
        <v>53</v>
      </c>
      <c r="E149" s="2">
        <v>8</v>
      </c>
      <c r="F149" s="2" t="s">
        <v>8</v>
      </c>
      <c r="G149" s="2" t="s">
        <v>7</v>
      </c>
    </row>
    <row r="150" spans="1:7" ht="45" x14ac:dyDescent="0.25">
      <c r="A150" s="4" t="str">
        <f>HYPERLINK("http://www.facebook.com/photo.php?fbid=10151385310697952&amp;set=a.114456157951.118433.8062627951&amp;type=1&amp;relevant_count=1","[Photo]")</f>
        <v>[Photo]</v>
      </c>
      <c r="B150" s="4" t="str">
        <f>HYPERLINK("http://www.facebook.com/8062627951/posts/10151385310812952","The 6th Annual Crunchies Awards are coming up fast. Have you bought your ticket yet? Make sure you do so soon! #Crunchies - http://bit.ly/S0YsiB")</f>
        <v>The 6th Annual Crunchies Awards are coming up fast. Have you bought your ticket yet? Make sure you do so soon! #Crunchies - http://bit.ly/S0YsiB</v>
      </c>
      <c r="C150" s="3">
        <v>41260.697847222225</v>
      </c>
      <c r="D150" s="2">
        <v>22</v>
      </c>
      <c r="E150" s="2">
        <v>1</v>
      </c>
      <c r="F150" s="2" t="s">
        <v>8</v>
      </c>
      <c r="G150" s="2" t="s">
        <v>8</v>
      </c>
    </row>
    <row r="151" spans="1:7" ht="30" x14ac:dyDescent="0.25">
      <c r="A151" s="4" t="str">
        <f>HYPERLINK("http://techcrunch.com/2012/12/16/nra-facebook-page-down/","National Rifle Association Hides Facebook Page To Avoid Hosting Flame Wars")</f>
        <v>National Rifle Association Hides Facebook Page To Avoid Hosting Flame Wars</v>
      </c>
      <c r="B151" s="4" t="str">
        <f>HYPERLINK("http://www.facebook.com/8062627951/posts/115805498586719","What do you think of this move by the NRA?")</f>
        <v>What do you think of this move by the NRA?</v>
      </c>
      <c r="C151" s="3">
        <v>41260.688472222224</v>
      </c>
      <c r="D151" s="2">
        <v>80</v>
      </c>
      <c r="E151" s="2">
        <v>101</v>
      </c>
      <c r="F151" s="2" t="s">
        <v>8</v>
      </c>
      <c r="G151" s="2" t="s">
        <v>7</v>
      </c>
    </row>
    <row r="152" spans="1:7" ht="30" x14ac:dyDescent="0.25">
      <c r="A152" s="4" t="str">
        <f>HYPERLINK("http://www.facebook.com/photo.php?fbid=10151385180032952&amp;set=a.114456157951.118433.8062627951&amp;type=1&amp;relevant_count=1","[Photo]")</f>
        <v>[Photo]</v>
      </c>
      <c r="B152" s="4" t="str">
        <f>HYPERLINK("http://www.facebook.com/8062627951/posts/10151385180097952","AOL to pay a $1,056 bonus to all employees to celebrate $1.056 billion patent sale - http://tcrn.ch/Ydy8cx")</f>
        <v>AOL to pay a $1,056 bonus to all employees to celebrate $1.056 billion patent sale - http://tcrn.ch/Ydy8cx</v>
      </c>
      <c r="C152" s="3">
        <v>41260.646967592591</v>
      </c>
      <c r="D152" s="2">
        <v>198</v>
      </c>
      <c r="E152" s="2">
        <v>28</v>
      </c>
      <c r="F152" s="2" t="s">
        <v>7</v>
      </c>
      <c r="G152" s="2" t="s">
        <v>8</v>
      </c>
    </row>
    <row r="153" spans="1:7" ht="60" x14ac:dyDescent="0.25">
      <c r="A153" s="4" t="str">
        <f>HYPERLINK("http://techcrunch.com/2012/12/17/ask-a-vc-submit-your-questions-now-for-true-ventures-and-shasta-ventures/","Ask A VC: Submit Your Questions Now For True Ventures And Shasta Ventures")</f>
        <v>Ask A VC: Submit Your Questions Now For True Ventures And Shasta Ventures</v>
      </c>
      <c r="B153" s="4" t="str">
        <f>HYPERLINK("http://www.facebook.com/8062627951/posts/497269410313936","Tomorrow, we will have True Ventures’ partners Tony Conrad &amp; Puneet Agarwal in the studio, and Thursday, Shasta Ventures’ co-founder Rob Coneybeer will be in the hot seat.  Have questions for them? Ge...")</f>
        <v>Tomorrow, we will have True Ventures’ partners Tony Conrad &amp; Puneet Agarwal in the studio, and Thursday, Shasta Ventures’ co-founder Rob Coneybeer will be in the hot seat.  Have questions for them? Ge...</v>
      </c>
      <c r="C153" s="3">
        <v>41260.605879629627</v>
      </c>
      <c r="D153" s="2">
        <v>23</v>
      </c>
      <c r="E153" s="2">
        <v>2</v>
      </c>
      <c r="F153" s="2" t="s">
        <v>8</v>
      </c>
      <c r="G153" s="2" t="s">
        <v>7</v>
      </c>
    </row>
    <row r="154" spans="1:7" x14ac:dyDescent="0.25">
      <c r="A154" s="4" t="str">
        <f>HYPERLINK("http://www.facebook.com/photo.php?fbid=10151385032852952&amp;set=a.114456157951.118433.8062627951&amp;type=1&amp;relevant_count=1","[Photo]")</f>
        <v>[Photo]</v>
      </c>
      <c r="B154" s="4" t="str">
        <f>HYPERLINK("http://www.facebook.com/8062627951/posts/10151385033127952","“Gun” “Control” - http://tcrn.ch/ZAZ8TY")</f>
        <v>“Gun” “Control” - http://tcrn.ch/ZAZ8TY</v>
      </c>
      <c r="C154" s="3">
        <v>41260.579224537039</v>
      </c>
      <c r="D154" s="2">
        <v>40</v>
      </c>
      <c r="E154" s="2">
        <v>22</v>
      </c>
      <c r="F154" s="2" t="s">
        <v>7</v>
      </c>
      <c r="G154" s="2" t="s">
        <v>8</v>
      </c>
    </row>
    <row r="155" spans="1:7" ht="45" x14ac:dyDescent="0.25">
      <c r="A155" s="4" t="str">
        <f>HYPERLINK("http://www.facebook.com/photo.php?fbid=10151384999157952&amp;set=a.114456157951.118433.8062627951&amp;type=1&amp;relevant_count=1","[Photo]")</f>
        <v>[Photo]</v>
      </c>
      <c r="B155" s="4" t="str">
        <f>HYPERLINK("http://www.facebook.com/8062627951/posts/10151384999212952","HTC’s rumored “M7&lt;U+2033&gt; flagship phone could sport a smaller screen and land on Verizon and Sprint shelves - http://tcrn.ch/12kG248")</f>
        <v>HTC’s rumored “M7&lt;U+2033&gt; flagship phone could sport a smaller screen and land on Verizon and Sprint shelves - http://tcrn.ch/12kG248</v>
      </c>
      <c r="C155" s="3">
        <v>41260.562604166669</v>
      </c>
      <c r="D155" s="2">
        <v>32</v>
      </c>
      <c r="E155" s="2">
        <v>4</v>
      </c>
      <c r="F155" s="2" t="s">
        <v>7</v>
      </c>
      <c r="G155" s="2" t="s">
        <v>8</v>
      </c>
    </row>
    <row r="156" spans="1:7" ht="45" x14ac:dyDescent="0.25">
      <c r="A156" s="4" t="str">
        <f>HYPERLINK("http://www.facebook.com/photo.php?fbid=10151384950757952&amp;set=a.114456157951.118433.8062627951&amp;type=1&amp;relevant_count=1","[Photo]")</f>
        <v>[Photo]</v>
      </c>
      <c r="B156" s="4" t="str">
        <f>HYPERLINK("http://www.facebook.com/8062627951/posts/10151384950847952","As Facebook launches Nearby, Foursquare continues its focus on discovery with latest iOS update - http://tcrn.ch/UMFwXm    Do you find yourself using Foursquare often still?")</f>
        <v>As Facebook launches Nearby, Foursquare continues its focus on discovery with latest iOS update - http://tcrn.ch/UMFwXm    Do you find yourself using Foursquare often still?</v>
      </c>
      <c r="C156" s="3">
        <v>41260.538275462961</v>
      </c>
      <c r="D156" s="2">
        <v>46</v>
      </c>
      <c r="E156" s="2">
        <v>19</v>
      </c>
      <c r="F156" s="2" t="s">
        <v>8</v>
      </c>
      <c r="G156" s="2" t="s">
        <v>8</v>
      </c>
    </row>
    <row r="157" spans="1:7" ht="30" x14ac:dyDescent="0.25">
      <c r="A157" s="4" t="str">
        <f>HYPERLINK("http://www.facebook.com/photo.php?fbid=10151384938497952&amp;set=a.114456157951.118433.8062627951&amp;type=1&amp;relevant_count=1","[Photo]")</f>
        <v>[Photo]</v>
      </c>
      <c r="B157" s="4" t="str">
        <f>HYPERLINK("http://www.facebook.com/8062627951/posts/10151384938552952","Yelp stock's down, is it because of Facebook's new nearby features? http://tcrn.ch/UMzZjs")</f>
        <v>Yelp stock's down, is it because of Facebook's new nearby features? http://tcrn.ch/UMzZjs</v>
      </c>
      <c r="C157" s="3">
        <v>41260.531608796293</v>
      </c>
      <c r="D157" s="2">
        <v>91</v>
      </c>
      <c r="E157" s="2">
        <v>27</v>
      </c>
      <c r="F157" s="2" t="s">
        <v>8</v>
      </c>
      <c r="G157" s="2" t="s">
        <v>8</v>
      </c>
    </row>
    <row r="158" spans="1:7" ht="30" x14ac:dyDescent="0.25">
      <c r="A158" s="4" t="str">
        <f>HYPERLINK("http://www.facebook.com/photo.php?fbid=10151384896962952&amp;set=a.114456157951.118433.8062627951&amp;type=1&amp;relevant_count=1","[Photo]")</f>
        <v>[Photo]</v>
      </c>
      <c r="B158" s="4" t="str">
        <f>HYPERLINK("http://www.facebook.com/8062627951/posts/10151384897007952","New YouTube app for iPhone, will you use it? http://tcrn.ch/XAmfZe")</f>
        <v>New YouTube app for iPhone, will you use it? http://tcrn.ch/XAmfZe</v>
      </c>
      <c r="C158" s="3">
        <v>41260.510104166664</v>
      </c>
      <c r="D158" s="2">
        <v>146</v>
      </c>
      <c r="E158" s="2">
        <v>23</v>
      </c>
      <c r="F158" s="2" t="s">
        <v>8</v>
      </c>
      <c r="G158" s="2" t="s">
        <v>8</v>
      </c>
    </row>
    <row r="159" spans="1:7" ht="30" x14ac:dyDescent="0.25">
      <c r="A159" s="4" t="str">
        <f>HYPERLINK("http://www.facebook.com/photo.php?fbid=10151384864607952&amp;set=a.114456157951.118433.8062627951&amp;type=1&amp;relevant_count=1","[Photo]")</f>
        <v>[Photo]</v>
      </c>
      <c r="B159" s="4" t="str">
        <f>HYPERLINK("http://www.facebook.com/8062627951/posts/10151384864647952","Here's a shocker: Google Maps For iOS Was Downloaded Over 10M Times In Its First 48 Hours http://tcrn.ch/RAeqpC")</f>
        <v>Here's a shocker: Google Maps For iOS Was Downloaded Over 10M Times In Its First 48 Hours http://tcrn.ch/RAeqpC</v>
      </c>
      <c r="C159" s="3">
        <v>41260.491828703707</v>
      </c>
      <c r="D159" s="2">
        <v>424</v>
      </c>
      <c r="E159" s="2">
        <v>24</v>
      </c>
      <c r="F159" s="2" t="s">
        <v>7</v>
      </c>
      <c r="G159" s="2" t="s">
        <v>8</v>
      </c>
    </row>
    <row r="160" spans="1:7" ht="45" x14ac:dyDescent="0.25">
      <c r="A160" s="4" t="str">
        <f>HYPERLINK("http://www.facebook.com/photo.php?fbid=10151384851127952&amp;set=a.114456157951.118433.8062627951&amp;type=1&amp;relevant_count=1","[Photo]")</f>
        <v>[Photo]</v>
      </c>
      <c r="B160" s="4" t="str">
        <f>HYPERLINK("http://www.facebook.com/8062627951/posts/10151384851177952","Check out Facebook's new Nearby feature. TechCrunch got the first look at this potential Yelp and Foursquare-killer: http://tcrn.ch/UMzZjs")</f>
        <v>Check out Facebook's new Nearby feature. TechCrunch got the first look at this potential Yelp and Foursquare-killer: http://tcrn.ch/UMzZjs</v>
      </c>
      <c r="C160" s="3">
        <v>41260.485312500001</v>
      </c>
      <c r="D160" s="2">
        <v>200</v>
      </c>
      <c r="E160" s="2">
        <v>25</v>
      </c>
      <c r="F160" s="2" t="s">
        <v>7</v>
      </c>
      <c r="G160" s="2" t="s">
        <v>8</v>
      </c>
    </row>
    <row r="161" spans="1:7" ht="30" x14ac:dyDescent="0.25">
      <c r="A161" s="4" t="str">
        <f>HYPERLINK("http://www.facebook.com/photo.php?fbid=10151384811522952&amp;set=a.114456157951.118433.8062627951&amp;type=1&amp;relevant_count=1","[Photo]")</f>
        <v>[Photo]</v>
      </c>
      <c r="B161" s="4" t="str">
        <f>HYPERLINK("http://www.facebook.com/8062627951/posts/10151384811567952","Morgan Stanley got fined $5M over the Facebook IPO, uh oh. http://tcrn.ch/UYvDDU")</f>
        <v>Morgan Stanley got fined $5M over the Facebook IPO, uh oh. http://tcrn.ch/UYvDDU</v>
      </c>
      <c r="C161" s="3">
        <v>41260.465601851851</v>
      </c>
      <c r="D161" s="2">
        <v>115</v>
      </c>
      <c r="E161" s="2">
        <v>38</v>
      </c>
      <c r="F161" s="2" t="s">
        <v>7</v>
      </c>
      <c r="G161" s="2" t="s">
        <v>8</v>
      </c>
    </row>
    <row r="162" spans="1:7" ht="75" x14ac:dyDescent="0.25">
      <c r="A162" s="4" t="str">
        <f>HYPERLINK("http://www.facebook.com/photo.php?fbid=10151384694132952&amp;set=a.114456157951.118433.8062627951&amp;type=1&amp;relevant_count=1","[Photo]")</f>
        <v>[Photo]</v>
      </c>
      <c r="B162" s="4" t="s">
        <v>19</v>
      </c>
      <c r="C162" s="3">
        <v>41260.407048611109</v>
      </c>
      <c r="D162" s="2">
        <v>59</v>
      </c>
      <c r="E162" s="2">
        <v>7</v>
      </c>
      <c r="F162" s="2" t="s">
        <v>7</v>
      </c>
      <c r="G162" s="2" t="s">
        <v>8</v>
      </c>
    </row>
    <row r="163" spans="1:7" ht="45" x14ac:dyDescent="0.25">
      <c r="A163" s="4" t="str">
        <f>HYPERLINK("http://techcrunch.com/2012/12/17/you-can-now-reserve-a-blackberry-10-smartphone-through-rogers-its-like-a-mystery-grab-bag/","You Can Now Reserve A BlackBerry 10 Smartphone Through Rogers: It’s Like A Mystery Grab Bag")</f>
        <v>You Can Now Reserve A BlackBerry 10 Smartphone Through Rogers: It’s Like A Mystery Grab Bag</v>
      </c>
      <c r="B163" s="4" t="str">
        <f>HYPERLINK("http://www.facebook.com/8062627951/posts/119536518212458","Reserve your BlackBerry 10 device before it's announced! How fun.")</f>
        <v>Reserve your BlackBerry 10 device before it's announced! How fun.</v>
      </c>
      <c r="C163" s="3">
        <v>41260.36645833333</v>
      </c>
      <c r="D163" s="2">
        <v>45</v>
      </c>
      <c r="E163" s="2">
        <v>19</v>
      </c>
      <c r="F163" s="2" t="s">
        <v>7</v>
      </c>
      <c r="G163" s="2" t="s">
        <v>7</v>
      </c>
    </row>
    <row r="164" spans="1:7" ht="30" x14ac:dyDescent="0.25">
      <c r="A164" s="4" t="str">
        <f>HYPERLINK("http://www.facebook.com/photo.php?fbid=10151384489712952&amp;set=a.114456157951.118433.8062627951&amp;type=1&amp;relevant_count=1","[Photo]")</f>
        <v>[Photo]</v>
      </c>
      <c r="B164" s="4" t="str">
        <f>HYPERLINK("http://www.facebook.com/8062627951/posts/10151384489747952","A list of the best annual tech startup events in Europe in 2013 - http://tcrn.ch/ZDe8Rh")</f>
        <v>A list of the best annual tech startup events in Europe in 2013 - http://tcrn.ch/ZDe8Rh</v>
      </c>
      <c r="C164" s="3">
        <v>41260.299525462964</v>
      </c>
      <c r="D164" s="2">
        <v>85</v>
      </c>
      <c r="E164" s="2">
        <v>5</v>
      </c>
      <c r="F164" s="2" t="s">
        <v>7</v>
      </c>
      <c r="G164" s="2" t="s">
        <v>8</v>
      </c>
    </row>
    <row r="165" spans="1:7" ht="45" x14ac:dyDescent="0.25">
      <c r="A165" s="4" t="str">
        <f>HYPERLINK("http://techcrunch.com/2012/12/17/instagram-will-share-users-data-with-facebook-according-to-its-new-privacy-policy/","Instagram Will Share User Data With Facebook According To Its New Privacy Policy")</f>
        <v>Instagram Will Share User Data With Facebook According To Its New Privacy Policy</v>
      </c>
      <c r="B165" s="4" t="str">
        <f>HYPERLINK("http://www.facebook.com/8062627951/posts/304557499661229","Take note, Instagram users.")</f>
        <v>Take note, Instagram users.</v>
      </c>
      <c r="C165" s="3">
        <v>41260.27270833333</v>
      </c>
      <c r="D165" s="2">
        <v>33</v>
      </c>
      <c r="E165" s="2">
        <v>16</v>
      </c>
      <c r="F165" s="2" t="s">
        <v>7</v>
      </c>
      <c r="G165" s="2" t="s">
        <v>7</v>
      </c>
    </row>
    <row r="166" spans="1:7" ht="45" x14ac:dyDescent="0.25">
      <c r="A166" s="4" t="str">
        <f>HYPERLINK("http://techcrunch.com/2012/12/17/raspberry-pi-gets-own-app-store-one-stop-shop-to-make-it-even-easier-for-kids-to-get-coding-and-earn-pocket-money-from-apps/","Raspberry Pi Gets Own App Store: One-Stop-Shop To Make It Even Easier For Kids To Get Coding — And E")</f>
        <v>Raspberry Pi Gets Own App Store: One-Stop-Shop To Make It Even Easier For Kids To Get Coding — And E</v>
      </c>
      <c r="B166" s="4" t="str">
        <f>HYPERLINK("http://www.facebook.com/8062627951/posts/486394821411071","Raspberry Pi just got an app store and that's awesome.")</f>
        <v>Raspberry Pi just got an app store and that's awesome.</v>
      </c>
      <c r="C166" s="3">
        <v>41260.204826388886</v>
      </c>
      <c r="D166" s="2">
        <v>81</v>
      </c>
      <c r="E166" s="2">
        <v>1</v>
      </c>
      <c r="F166" s="2" t="s">
        <v>7</v>
      </c>
      <c r="G166" s="2" t="s">
        <v>7</v>
      </c>
    </row>
    <row r="167" spans="1:7" ht="30" x14ac:dyDescent="0.25">
      <c r="A167" s="4" t="str">
        <f>HYPERLINK("http://techcrunch.com/2012/12/17/the-simple-trick-to-use-google-maps-with-siri/","The Simple Trick To Use Google Maps With Siri")</f>
        <v>The Simple Trick To Use Google Maps With Siri</v>
      </c>
      <c r="B167" s="4" t="str">
        <f>HYPERLINK("http://www.facebook.com/8062627951/posts/312530315515667","Want to use Google Maps with Siri? It's actually pretty easy with this trick.")</f>
        <v>Want to use Google Maps with Siri? It's actually pretty easy with this trick.</v>
      </c>
      <c r="C167" s="3">
        <v>41260.164606481485</v>
      </c>
      <c r="D167" s="2">
        <v>139</v>
      </c>
      <c r="E167" s="2">
        <v>10</v>
      </c>
      <c r="F167" s="2" t="s">
        <v>8</v>
      </c>
      <c r="G167" s="2" t="s">
        <v>7</v>
      </c>
    </row>
    <row r="168" spans="1:7" ht="30" x14ac:dyDescent="0.25">
      <c r="A168" s="4" t="str">
        <f>HYPERLINK("http://techcrunch.com/2012/12/16/google-ftc-antitrust-suit-reportedly-coming-to-a-close/","Google-FTC Antitrust Suit Reportedly Coming To A Close | TechCrunch")</f>
        <v>Google-FTC Antitrust Suit Reportedly Coming To A Close | TechCrunch</v>
      </c>
      <c r="B168" s="4" t="str">
        <f>HYPERLINK("http://www.facebook.com/8062627951/posts/115384028629137","It sounds like Google and the FTC are going to hug it out.")</f>
        <v>It sounds like Google and the FTC are going to hug it out.</v>
      </c>
      <c r="C168" s="3">
        <v>41259.814803240741</v>
      </c>
      <c r="D168" s="2">
        <v>34</v>
      </c>
      <c r="E168" s="2">
        <v>3</v>
      </c>
      <c r="F168" s="2" t="s">
        <v>7</v>
      </c>
      <c r="G168" s="2" t="s">
        <v>7</v>
      </c>
    </row>
    <row r="169" spans="1:7" ht="45" x14ac:dyDescent="0.25">
      <c r="A169" s="4" t="str">
        <f>HYPERLINK("http://techcrunch.com/2012/12/16/holiday-e-commerce-sales-up-13-percent-to-34b-this-past-week-was-heaviest-online-shopping-period-on-record/","Holiday E-Commerce Sales Up 13 Percent To $34B; This Past Week Was Heaviest Online Shopping Period O")</f>
        <v>Holiday E-Commerce Sales Up 13 Percent To $34B; This Past Week Was Heaviest Online Shopping Period O</v>
      </c>
      <c r="B169" s="4" t="str">
        <f>HYPERLINK("http://www.facebook.com/8062627951/posts/205135699623383","Do you do your holiday shopping online?")</f>
        <v>Do you do your holiday shopping online?</v>
      </c>
      <c r="C169" s="3">
        <v>41259.774421296293</v>
      </c>
      <c r="D169" s="2">
        <v>36</v>
      </c>
      <c r="E169" s="2">
        <v>4</v>
      </c>
      <c r="F169" s="2" t="s">
        <v>8</v>
      </c>
      <c r="G169" s="2" t="s">
        <v>7</v>
      </c>
    </row>
    <row r="170" spans="1:7" ht="45" x14ac:dyDescent="0.25">
      <c r="A170" s="4" t="str">
        <f>HYPERLINK("http://www.facebook.com/photo.php?fbid=10151383364157952&amp;set=a.114456157951.118433.8062627951&amp;type=1&amp;relevant_count=1","[Photo]")</f>
        <v>[Photo]</v>
      </c>
      <c r="B170" s="4" t="str">
        <f>HYPERLINK("http://www.facebook.com/8062627951/posts/10151383364217952","The week that was in technology, click and watch! http://techcrunch.com/2012/12/16/crunchweek-4-google-apple-instagram-twitter-levchin-yahoo/")</f>
        <v>The week that was in technology, click and watch! http://techcrunch.com/2012/12/16/crunchweek-4-google-apple-instagram-twitter-levchin-yahoo/</v>
      </c>
      <c r="C170" s="3">
        <v>41259.577731481484</v>
      </c>
      <c r="D170" s="2">
        <v>25</v>
      </c>
      <c r="E170" s="2">
        <v>2</v>
      </c>
      <c r="F170" s="2" t="s">
        <v>7</v>
      </c>
      <c r="G170" s="2" t="s">
        <v>8</v>
      </c>
    </row>
    <row r="171" spans="1:7" ht="45" x14ac:dyDescent="0.25">
      <c r="A171" s="4" t="str">
        <f>HYPERLINK("http://techcrunch.com/2012/12/15/inside-1871-downtown-chicagos-huge-new-center-for-all-things-tech-tctv/","Inside 1871, Downtown Chicago’s Huge New Center For All Things Tech [TCTV] | TechCrunch")</f>
        <v>Inside 1871, Downtown Chicago’s Huge New Center For All Things Tech [TCTV] | TechCrunch</v>
      </c>
      <c r="B171" s="4" t="str">
        <f>HYPERLINK("http://www.facebook.com/8062627951/posts/173420942782206","Important technology movements DO happen outside of Silicon Valley.")</f>
        <v>Important technology movements DO happen outside of Silicon Valley.</v>
      </c>
      <c r="C171" s="3">
        <v>41259.413414351853</v>
      </c>
      <c r="D171" s="2">
        <v>39</v>
      </c>
      <c r="E171" s="2">
        <v>3</v>
      </c>
      <c r="F171" s="2" t="s">
        <v>7</v>
      </c>
      <c r="G171" s="2" t="s">
        <v>7</v>
      </c>
    </row>
    <row r="172" spans="1:7" ht="30" x14ac:dyDescent="0.25">
      <c r="A172" s="4" t="str">
        <f>HYPERLINK("http://techcrunch.com/2012/12/16/dell-has-a-new-platform-as-a-service-that-actually-makes-sense/","Dell Has A New Platform As A Service That Actually Makes Sense  | TechCrunch")</f>
        <v>Dell Has A New Platform As A Service That Actually Makes Sense  | TechCrunch</v>
      </c>
      <c r="B172" s="4" t="str">
        <f>HYPERLINK("http://www.facebook.com/8062627951/posts/425542817513923","Dell is trying to re-invent itself. Are you buying it?")</f>
        <v>Dell is trying to re-invent itself. Are you buying it?</v>
      </c>
      <c r="C172" s="3">
        <v>41259.379004629627</v>
      </c>
      <c r="D172" s="2">
        <v>79</v>
      </c>
      <c r="E172" s="2">
        <v>28</v>
      </c>
      <c r="F172" s="2" t="s">
        <v>8</v>
      </c>
      <c r="G172" s="2" t="s">
        <v>7</v>
      </c>
    </row>
    <row r="173" spans="1:7" ht="45" x14ac:dyDescent="0.25">
      <c r="A173" s="4" t="str">
        <f>HYPERLINK("http://techcrunch.com/2012/12/16/twitter-starts-rolling-out-option-to-download-your-twitter-archive-request-every-tweet-youve-ever-made-in-one-file/","Twitter Starts Rolling Out Option To Download Your Twitter Archive: Request Every Tweet You’ve Ever.")</f>
        <v>Twitter Starts Rolling Out Option To Download Your Twitter Archive: Request Every Tweet You’ve Ever.</v>
      </c>
      <c r="B173" s="4" t="str">
        <f>HYPERLINK("http://www.facebook.com/8062627951/posts/452747691454551","Are you going to download all of your tweets?")</f>
        <v>Are you going to download all of your tweets?</v>
      </c>
      <c r="C173" s="3">
        <v>41259.336145833331</v>
      </c>
      <c r="D173" s="2">
        <v>74</v>
      </c>
      <c r="E173" s="2">
        <v>26</v>
      </c>
      <c r="F173" s="2" t="s">
        <v>8</v>
      </c>
      <c r="G173" s="2" t="s">
        <v>7</v>
      </c>
    </row>
    <row r="174" spans="1:7" ht="45" x14ac:dyDescent="0.25">
      <c r="A174" s="4" t="str">
        <f>HYPERLINK("http://techcrunch.com/2012/12/15/so-ive-got-big-data-now-what/","So What If You Have Big Data? Without Data-Driven Processes And Products, It’s Useless")</f>
        <v>So What If You Have Big Data? Without Data-Driven Processes And Products, It’s Useless</v>
      </c>
      <c r="B174" s="4" t="str">
        <f>HYPERLINK("http://www.facebook.com/8062627951/posts/423353314402828","“Okay, I’ve got big data. Now what do I do?”  What do you find yourself doing?")</f>
        <v>“Okay, I’ve got big data. Now what do I do?”  What do you find yourself doing?</v>
      </c>
      <c r="C174" s="3">
        <v>41258.868148148147</v>
      </c>
      <c r="D174" s="2">
        <v>102</v>
      </c>
      <c r="E174" s="2">
        <v>10</v>
      </c>
      <c r="F174" s="2" t="s">
        <v>8</v>
      </c>
      <c r="G174" s="2" t="s">
        <v>7</v>
      </c>
    </row>
    <row r="175" spans="1:7" ht="30" x14ac:dyDescent="0.25">
      <c r="A175" s="4" t="str">
        <f>HYPERLINK("http://www.facebook.com/photo.php?fbid=10151382273137952&amp;set=a.114456157951.118433.8062627951&amp;type=1&amp;relevant_count=1","[Photo]")</f>
        <v>[Photo]</v>
      </c>
      <c r="B175" s="4" t="str">
        <f>HYPERLINK("http://www.facebook.com/8062627951/posts/10151382273177952","Square Register’s next frontier in mobile payments: small to mid-size regional chains - http://tcrn.ch/XrVE0r")</f>
        <v>Square Register’s next frontier in mobile payments: small to mid-size regional chains - http://tcrn.ch/XrVE0r</v>
      </c>
      <c r="C175" s="3">
        <v>41258.824166666665</v>
      </c>
      <c r="D175" s="2">
        <v>37</v>
      </c>
      <c r="E175" s="2">
        <v>2</v>
      </c>
      <c r="F175" s="2" t="s">
        <v>7</v>
      </c>
      <c r="G175" s="2" t="s">
        <v>8</v>
      </c>
    </row>
    <row r="176" spans="1:7" ht="30" x14ac:dyDescent="0.25">
      <c r="A176" s="4" t="str">
        <f>HYPERLINK("http://techcrunch.com/2012/12/15/google-could-loosen-amazons-cloud-grip-by-redefining/","Google Could Loosen Amazon’s Cloud Grip With Pay-Per-Use API Services ")</f>
        <v xml:space="preserve">Google Could Loosen Amazon’s Cloud Grip With Pay-Per-Use API Services </v>
      </c>
      <c r="B176" s="4" t="str">
        <f>HYPERLINK("http://www.facebook.com/8062627951/posts/566587963367864","What do you think? Could they?")</f>
        <v>What do you think? Could they?</v>
      </c>
      <c r="C176" s="3">
        <v>41258.587997685187</v>
      </c>
      <c r="D176" s="2">
        <v>27</v>
      </c>
      <c r="E176" s="2">
        <v>1</v>
      </c>
      <c r="F176" s="2" t="s">
        <v>8</v>
      </c>
      <c r="G176" s="2" t="s">
        <v>7</v>
      </c>
    </row>
    <row r="177" spans="1:7" ht="30" x14ac:dyDescent="0.25">
      <c r="A177" s="4" t="str">
        <f>HYPERLINK("http://www.facebook.com/photo.php?fbid=10151381730272952&amp;set=a.114456157951.118433.8062627951&amp;type=1&amp;relevant_count=1","[Photo]")</f>
        <v>[Photo]</v>
      </c>
      <c r="B177" s="4" t="str">
        <f>HYPERLINK("http://www.facebook.com/8062627951/posts/10151381730352952","Mamas, don’t let your babies grow up to be writers - http://tcrn.ch/VHlT1E")</f>
        <v>Mamas, don’t let your babies grow up to be writers - http://tcrn.ch/VHlT1E</v>
      </c>
      <c r="C177" s="3">
        <v>41258.517754629633</v>
      </c>
      <c r="D177" s="2">
        <v>73</v>
      </c>
      <c r="E177" s="2">
        <v>6</v>
      </c>
      <c r="F177" s="2" t="s">
        <v>7</v>
      </c>
      <c r="G177" s="2" t="s">
        <v>8</v>
      </c>
    </row>
    <row r="178" spans="1:7" ht="45" x14ac:dyDescent="0.25">
      <c r="A178" s="4" t="str">
        <f>HYPERLINK("http://www.facebook.com/photo.php?fbid=10151381664957952&amp;set=a.114456157951.118433.8062627951&amp;type=1&amp;relevant_count=1","[Photo]")</f>
        <v>[Photo]</v>
      </c>
      <c r="B178" s="4" t="str">
        <f>HYPERLINK("http://www.facebook.com/8062627951/posts/10151381665057952","Laurene Jobs, the wife of the late Steve Jobs, dropped by Ron Conway's annual holiday party last night with an epic gift - http://tcrn.ch/UjW3RW    Ron Conway: The Painting")</f>
        <v>Laurene Jobs, the wife of the late Steve Jobs, dropped by Ron Conway's annual holiday party last night with an epic gift - http://tcrn.ch/UjW3RW    Ron Conway: The Painting</v>
      </c>
      <c r="C178" s="3">
        <v>41258.48065972222</v>
      </c>
      <c r="D178" s="2">
        <v>86</v>
      </c>
      <c r="E178" s="2">
        <v>16</v>
      </c>
      <c r="F178" s="2" t="s">
        <v>7</v>
      </c>
      <c r="G178" s="2" t="s">
        <v>8</v>
      </c>
    </row>
    <row r="179" spans="1:7" ht="45" x14ac:dyDescent="0.25">
      <c r="A179" s="4" t="str">
        <f>HYPERLINK("http://www.facebook.com/photo.php?fbid=10151380664207952&amp;set=a.114456157951.118433.8062627951&amp;type=1&amp;relevant_count=1","[Photo]")</f>
        <v>[Photo]</v>
      </c>
      <c r="B179" s="4" t="str">
        <f>HYPERLINK("http://www.facebook.com/8062627951/posts/10151380664252952","Google updates its home page with a vigil candle for the victims of the Sandy Hook Elementary shooting - http://tcrn.ch/TSSgKP")</f>
        <v>Google updates its home page with a vigil candle for the victims of the Sandy Hook Elementary shooting - http://tcrn.ch/TSSgKP</v>
      </c>
      <c r="C179" s="3">
        <v>41257.757777777777</v>
      </c>
      <c r="D179" s="2">
        <v>703</v>
      </c>
      <c r="E179" s="2">
        <v>29</v>
      </c>
      <c r="F179" s="2" t="s">
        <v>7</v>
      </c>
      <c r="G179" s="2" t="s">
        <v>8</v>
      </c>
    </row>
    <row r="180" spans="1:7" ht="45" x14ac:dyDescent="0.25">
      <c r="A180" s="4" t="str">
        <f>HYPERLINK("http://www.facebook.com/photo.php?fbid=10151380647337952&amp;set=a.10151134316772952.498619.8062627951&amp;type=1&amp;relevant_count=1","[Photo]")</f>
        <v>[Photo]</v>
      </c>
      <c r="B180" s="4" t="str">
        <f>HYPERLINK("http://www.facebook.com/8062627951/posts/10151380647387952","A couple of our New York based writers are at Aol's holiday party tonight. Can anyone guess what's going on here? Because we sure can't. ")</f>
        <v xml:space="preserve">A couple of our New York based writers are at Aol's holiday party tonight. Can anyone guess what's going on here? Because we sure can't. </v>
      </c>
      <c r="C180" s="3">
        <v>41257.744537037041</v>
      </c>
      <c r="D180" s="2">
        <v>35</v>
      </c>
      <c r="E180" s="2">
        <v>25</v>
      </c>
      <c r="F180" s="2" t="s">
        <v>8</v>
      </c>
      <c r="G180" s="2" t="s">
        <v>8</v>
      </c>
    </row>
    <row r="181" spans="1:7" ht="45" x14ac:dyDescent="0.25">
      <c r="A181" s="4" t="str">
        <f>HYPERLINK("http://techcrunch.com/2012/12/14/ray-kurzweil-joins-google-as-engineering-director-focusing-on-machine-learning-and-language-tech/","Ray Kurzweil Joins Google As Engineering Director Focused On Machine Learning And Language Processin")</f>
        <v>Ray Kurzweil Joins Google As Engineering Director Focused On Machine Learning And Language Processin</v>
      </c>
      <c r="B181" s="4" t="str">
        <f>HYPERLINK("http://www.facebook.com/8062627951/posts/304708599640321","Famed inventor, entrepreneur, author, and futurist Ray Kurzweil announced this afternoon that he has been hired by Google.")</f>
        <v>Famed inventor, entrepreneur, author, and futurist Ray Kurzweil announced this afternoon that he has been hired by Google.</v>
      </c>
      <c r="C181" s="3">
        <v>41257.685567129629</v>
      </c>
      <c r="D181" s="2">
        <v>328</v>
      </c>
      <c r="E181" s="2">
        <v>23</v>
      </c>
      <c r="F181" s="2" t="s">
        <v>7</v>
      </c>
      <c r="G181" s="2" t="s">
        <v>7</v>
      </c>
    </row>
    <row r="182" spans="1:7" ht="45" x14ac:dyDescent="0.25">
      <c r="A182" s="4" t="str">
        <f>HYPERLINK("http://techcrunch.com/2012/12/14/scores-flood-white-house-with-signature-to-immediately-address-gun-control/","Scores Flood White House With Online Petition To ‘Immediately Address’ Gun Control")</f>
        <v>Scores Flood White House With Online Petition To ‘Immediately Address’ Gun Control</v>
      </c>
      <c r="B182" s="4" t="str">
        <f>HYPERLINK("http://www.facebook.com/8062627951/posts/206682899469238","Signatures seem to be increasing rapidly in speed, in what could be the fastest petition in the site’s history.  How many of you have signed it?")</f>
        <v>Signatures seem to be increasing rapidly in speed, in what could be the fastest petition in the site’s history.  How many of you have signed it?</v>
      </c>
      <c r="C182" s="3">
        <v>41257.624942129631</v>
      </c>
      <c r="D182" s="2">
        <v>203</v>
      </c>
      <c r="E182" s="2">
        <v>163</v>
      </c>
      <c r="F182" s="2" t="s">
        <v>8</v>
      </c>
      <c r="G182" s="2" t="s">
        <v>7</v>
      </c>
    </row>
    <row r="183" spans="1:7" ht="45" x14ac:dyDescent="0.25">
      <c r="A183" s="4" t="str">
        <f>HYPERLINK("http://techcrunch.com/2012/12/14/report-on-ios-6-adoption-after-google-maps-release-suggests-impact-of-apple-maps-exaggerated/","Chikita: iOS 6 Adoption After Google Maps Release Sees 0.2% Increase, Impact Of Apple Maps Likely Ex")</f>
        <v>Chikita: iOS 6 Adoption After Google Maps Release Sees 0.2% Increase, Impact Of Apple Maps Likely Ex</v>
      </c>
      <c r="B183" s="4" t="str">
        <f>HYPERLINK("http://www.facebook.com/8062627951/posts/307634289353483","Did you upgrade?")</f>
        <v>Did you upgrade?</v>
      </c>
      <c r="C183" s="3">
        <v>41257.60769675926</v>
      </c>
      <c r="D183" s="2">
        <v>127</v>
      </c>
      <c r="E183" s="2">
        <v>32</v>
      </c>
      <c r="F183" s="2" t="s">
        <v>8</v>
      </c>
      <c r="G183" s="2" t="s">
        <v>7</v>
      </c>
    </row>
    <row r="184" spans="1:7" ht="30" x14ac:dyDescent="0.25">
      <c r="A184" s="4" t="str">
        <f>HYPERLINK("http://www.facebook.com/photo.php?fbid=10151380267697952&amp;set=a.114456157951.118433.8062627951&amp;type=1&amp;relevant_count=1","[Photo]")</f>
        <v>[Photo]</v>
      </c>
      <c r="B184" s="4" t="str">
        <f>HYPERLINK("http://www.facebook.com/8062627951/posts/10151380267787952","Dropbox for iOS gets updated with new photo gallery and design - http://tcrn.ch/Ti7Ctz    What do you think?")</f>
        <v>Dropbox for iOS gets updated with new photo gallery and design - http://tcrn.ch/Ti7Ctz    What do you think?</v>
      </c>
      <c r="C184" s="3">
        <v>41257.554780092592</v>
      </c>
      <c r="D184" s="2">
        <v>85</v>
      </c>
      <c r="E184" s="2">
        <v>10</v>
      </c>
      <c r="F184" s="2" t="s">
        <v>8</v>
      </c>
      <c r="G184" s="2" t="s">
        <v>8</v>
      </c>
    </row>
    <row r="185" spans="1:7" ht="30" x14ac:dyDescent="0.25">
      <c r="A185" s="4" t="str">
        <f>HYPERLINK("http://www.facebook.com/photo.php?fbid=10151380202112952&amp;set=a.114456157951.118433.8062627951&amp;type=1&amp;relevant_count=1","[Photo]")</f>
        <v>[Photo]</v>
      </c>
      <c r="B185" s="4" t="str">
        <f>HYPERLINK("http://www.facebook.com/8062627951/posts/10151380202147952","One dev, at least, is doing great on Windows 8 - http://tcrn.ch/UhKsmC")</f>
        <v>One dev, at least, is doing great on Windows 8 - http://tcrn.ch/UhKsmC</v>
      </c>
      <c r="C185" s="3">
        <v>41257.524097222224</v>
      </c>
      <c r="D185" s="2">
        <v>107</v>
      </c>
      <c r="E185" s="2">
        <v>6</v>
      </c>
      <c r="F185" s="2" t="s">
        <v>7</v>
      </c>
      <c r="G185" s="2" t="s">
        <v>8</v>
      </c>
    </row>
    <row r="186" spans="1:7" x14ac:dyDescent="0.25">
      <c r="A186" s="4" t="s">
        <v>9</v>
      </c>
      <c r="B186" s="4" t="str">
        <f>HYPERLINK("http://www.facebook.com/8062627951/posts/10151380103582952","Our thoughts are with those grieving in Connecticut today.")</f>
        <v>Our thoughts are with those grieving in Connecticut today.</v>
      </c>
      <c r="C186" s="3">
        <v>41257.472407407404</v>
      </c>
      <c r="D186" s="2">
        <v>660</v>
      </c>
      <c r="E186" s="2">
        <v>41</v>
      </c>
      <c r="F186" s="2" t="s">
        <v>7</v>
      </c>
      <c r="G186" s="2" t="s">
        <v>7</v>
      </c>
    </row>
    <row r="187" spans="1:7" ht="30" x14ac:dyDescent="0.25">
      <c r="A187" s="4" t="str">
        <f>HYPERLINK("http://techcrunch.com/2012/12/14/mobile-mobile-mobile-mobile-mobile-mobile-or-not/","Mobile First Or Mobile Worst? | TechCrunch")</f>
        <v>Mobile First Or Mobile Worst? | TechCrunch</v>
      </c>
      <c r="B187" s="4" t="str">
        <f>HYPERLINK("http://www.facebook.com/8062627951/posts/181498221991123","Mobile is clearly the future, but is it the present? What do you think?")</f>
        <v>Mobile is clearly the future, but is it the present? What do you think?</v>
      </c>
      <c r="C187" s="3">
        <v>41257.46303240741</v>
      </c>
      <c r="D187" s="2">
        <v>37</v>
      </c>
      <c r="E187" s="2">
        <v>7</v>
      </c>
      <c r="F187" s="2" t="s">
        <v>8</v>
      </c>
      <c r="G187" s="2" t="s">
        <v>7</v>
      </c>
    </row>
    <row r="188" spans="1:7" ht="45" x14ac:dyDescent="0.25">
      <c r="A188" s="4" t="str">
        <f>HYPERLINK("http://www.facebook.com/photo.php?fbid=10151380016757952&amp;set=a.114456157951.118433.8062627951&amp;type=1&amp;relevant_count=1","[Photo]")</f>
        <v>[Photo]</v>
      </c>
      <c r="B188" s="4" t="str">
        <f>HYPERLINK("http://www.facebook.com/8062627951/posts/10151380016897952","Make your own Lytro-style, adjustable focus photos with DSLR video and a simple hack. Brilliant. - http://tcrn.ch/Zq5xB4")</f>
        <v>Make your own Lytro-style, adjustable focus photos with DSLR video and a simple hack. Brilliant. - http://tcrn.ch/Zq5xB4</v>
      </c>
      <c r="C188" s="3">
        <v>41257.423946759256</v>
      </c>
      <c r="D188" s="2">
        <v>62</v>
      </c>
      <c r="E188" s="2">
        <v>5</v>
      </c>
      <c r="F188" s="2" t="s">
        <v>7</v>
      </c>
      <c r="G188" s="2" t="s">
        <v>8</v>
      </c>
    </row>
    <row r="189" spans="1:7" ht="45" x14ac:dyDescent="0.25">
      <c r="A189" s="4" t="str">
        <f>HYPERLINK("http://techcrunch.com/2012/12/14/google-wasnt-done-with-18-new-features-updates-ios-app-with-photo-album-swipes-and-pan-zoom-scale/","Google+ Didn’t Stop With 18 New Features, Updates iOS App With Photo Album Swipes And Conversation C")</f>
        <v>Google+ Didn’t Stop With 18 New Features, Updates iOS App With Photo Album Swipes And Conversation C</v>
      </c>
      <c r="B189" s="4" t="str">
        <f>HYPERLINK("http://www.facebook.com/8062627951/posts/241460949317149","Do you use Google+? If so, there 24 new features waiting for you.")</f>
        <v>Do you use Google+? If so, there 24 new features waiting for you.</v>
      </c>
      <c r="C189" s="3">
        <v>41257.405462962961</v>
      </c>
      <c r="D189" s="2">
        <v>86</v>
      </c>
      <c r="E189" s="2">
        <v>22</v>
      </c>
      <c r="F189" s="2" t="s">
        <v>8</v>
      </c>
      <c r="G189" s="2" t="s">
        <v>7</v>
      </c>
    </row>
    <row r="190" spans="1:7" ht="45" x14ac:dyDescent="0.25">
      <c r="A190" s="4" t="str">
        <f>HYPERLINK("http://techcrunch.com/2012/12/14/source-cisco-takes-secretive-role-as-unnamed-silicon-valley-titan-in-whiptails-31m-round/","Source: Cisco Takes Secretive Role As “Unnamed Silicon Valley Titan” In WhipTail’s $31M Round ")</f>
        <v xml:space="preserve">Source: Cisco Takes Secretive Role As “Unnamed Silicon Valley Titan” In WhipTail’s $31M Round </v>
      </c>
      <c r="B190" s="4" t="str">
        <f>HYPERLINK("http://www.facebook.com/8062627951/posts/522293861127692","Interesting...")</f>
        <v>Interesting...</v>
      </c>
      <c r="C190" s="3">
        <v>41257.050798611112</v>
      </c>
      <c r="D190" s="2">
        <v>18</v>
      </c>
      <c r="E190" s="2">
        <v>2</v>
      </c>
      <c r="F190" s="2" t="s">
        <v>7</v>
      </c>
      <c r="G190" s="2" t="s">
        <v>7</v>
      </c>
    </row>
    <row r="191" spans="1:7" ht="30" x14ac:dyDescent="0.25">
      <c r="A191" s="4" t="str">
        <f>HYPERLINK("http://techcrunch.com/2012/12/13/china-gets-the-iphone-5-but-will-this-help-apples-market-share/","China Gets The iPhone 5, But Will This Help Apple’s Market Share? ")</f>
        <v xml:space="preserve">China Gets The iPhone 5, But Will This Help Apple’s Market Share? </v>
      </c>
      <c r="B191" s="4" t="str">
        <f>HYPERLINK("http://www.facebook.com/8062627951/posts/114409208725689","What do you think?")</f>
        <v>What do you think?</v>
      </c>
      <c r="C191" s="3">
        <v>41257.025717592594</v>
      </c>
      <c r="D191" s="2">
        <v>31</v>
      </c>
      <c r="E191" s="2">
        <v>20</v>
      </c>
      <c r="F191" s="2" t="s">
        <v>8</v>
      </c>
      <c r="G191" s="2" t="s">
        <v>7</v>
      </c>
    </row>
    <row r="192" spans="1:7" ht="30" x14ac:dyDescent="0.25">
      <c r="A192" s="4" t="str">
        <f>HYPERLINK("http://www.facebook.com/photo.php?fbid=10151378889492952&amp;set=a.114456157951.118433.8062627951&amp;type=1&amp;relevant_count=1","[Photo]")</f>
        <v>[Photo]</v>
      </c>
      <c r="B192" s="4" t="str">
        <f>HYPERLINK("http://www.facebook.com/8062627951/posts/10151378889567952","Google Maps is humiliating Apple, but there's a silver lining. People are finally upgrading to iOS 6 http://tcrn.ch/SXOpPw")</f>
        <v>Google Maps is humiliating Apple, but there's a silver lining. People are finally upgrading to iOS 6 http://tcrn.ch/SXOpPw</v>
      </c>
      <c r="C192" s="3">
        <v>41256.707303240742</v>
      </c>
      <c r="D192" s="2">
        <v>870</v>
      </c>
      <c r="E192" s="2">
        <v>80</v>
      </c>
      <c r="F192" s="2" t="s">
        <v>7</v>
      </c>
      <c r="G192" s="2" t="s">
        <v>8</v>
      </c>
    </row>
    <row r="193" spans="1:7" ht="30" x14ac:dyDescent="0.25">
      <c r="A193" s="4" t="str">
        <f>HYPERLINK("http://www.facebook.com/photo.php?fbid=10151378846752952&amp;set=a.114456157951.118433.8062627951&amp;type=1&amp;relevant_count=1","[Photo]")</f>
        <v>[Photo]</v>
      </c>
      <c r="B193" s="4" t="str">
        <f>HYPERLINK("http://www.facebook.com/8062627951/posts/10151378846777952","‘Google for Entrepreneurs’ program partners with Korean accelerator Kstartup - http://tcrn.ch/12bpVG7")</f>
        <v>‘Google for Entrepreneurs’ program partners with Korean accelerator Kstartup - http://tcrn.ch/12bpVG7</v>
      </c>
      <c r="C193" s="3">
        <v>41256.675312500003</v>
      </c>
      <c r="D193" s="2">
        <v>69</v>
      </c>
      <c r="E193" s="2">
        <v>2</v>
      </c>
      <c r="F193" s="2" t="s">
        <v>7</v>
      </c>
      <c r="G193" s="2" t="s">
        <v>8</v>
      </c>
    </row>
    <row r="194" spans="1:7" ht="30" x14ac:dyDescent="0.25">
      <c r="A194" s="4" t="str">
        <f>HYPERLINK("http://www.facebook.com/photo.php?fbid=10151378701342952&amp;set=a.114456157951.118433.8062627951&amp;type=1&amp;relevant_count=1","[Photo]")</f>
        <v>[Photo]</v>
      </c>
      <c r="B194" s="4" t="str">
        <f>HYPERLINK("http://www.facebook.com/8062627951/posts/10151378701422952","Hardware in the Cloud: how makers can help with “reshoring” efforts - http://tcrn.ch/UWezCN")</f>
        <v>Hardware in the Cloud: how makers can help with “reshoring” efforts - http://tcrn.ch/UWezCN</v>
      </c>
      <c r="C194" s="3">
        <v>41256.614386574074</v>
      </c>
      <c r="D194" s="2">
        <v>36</v>
      </c>
      <c r="E194" s="2">
        <v>1</v>
      </c>
      <c r="F194" s="2" t="s">
        <v>7</v>
      </c>
      <c r="G194" s="2" t="s">
        <v>8</v>
      </c>
    </row>
    <row r="195" spans="1:7" ht="30" x14ac:dyDescent="0.25">
      <c r="A195" s="4" t="str">
        <f>HYPERLINK("http://www.facebook.com/photo.php?fbid=10151378622912952&amp;set=a.114456157951.118433.8062627951&amp;type=1&amp;relevant_count=1","[Photo]")</f>
        <v>[Photo]</v>
      </c>
      <c r="B195" s="4" t="str">
        <f>HYPERLINK("http://www.facebook.com/8062627951/posts/10151378622942952","Meet Eb0z, the guy who claims to have hacked Pakistan’s web (AND 89,000 other sites) - http://tcrn.ch/UduA4o")</f>
        <v>Meet Eb0z, the guy who claims to have hacked Pakistan’s web (AND 89,000 other sites) - http://tcrn.ch/UduA4o</v>
      </c>
      <c r="C195" s="3">
        <v>41256.566736111112</v>
      </c>
      <c r="D195" s="2">
        <v>62</v>
      </c>
      <c r="E195" s="2">
        <v>6</v>
      </c>
      <c r="F195" s="2" t="s">
        <v>7</v>
      </c>
      <c r="G195" s="2" t="s">
        <v>8</v>
      </c>
    </row>
    <row r="196" spans="1:7" ht="45" x14ac:dyDescent="0.25">
      <c r="A196" s="4" t="str">
        <f>HYPERLINK("http://www.facebook.com/photo.php?fbid=10151378603092952&amp;set=a.114456157951.118433.8062627951&amp;type=1&amp;relevant_count=1","[Photo]")</f>
        <v>[Photo]</v>
      </c>
      <c r="B196" s="4" t="str">
        <f>HYPERLINK("http://www.facebook.com/8062627951/posts/10151378603167952","Fancy. Lookcraft, a fashion startup for sharp-looking men, targets their girlfriends this holiday season - http://tcrn.ch/SXmnDI")</f>
        <v>Fancy. Lookcraft, a fashion startup for sharp-looking men, targets their girlfriends this holiday season - http://tcrn.ch/SXmnDI</v>
      </c>
      <c r="C196" s="3">
        <v>41256.554201388892</v>
      </c>
      <c r="D196" s="2">
        <v>65</v>
      </c>
      <c r="E196" s="2">
        <v>6</v>
      </c>
      <c r="F196" s="2" t="s">
        <v>7</v>
      </c>
      <c r="G196" s="2" t="s">
        <v>8</v>
      </c>
    </row>
    <row r="197" spans="1:7" ht="30" x14ac:dyDescent="0.25">
      <c r="A197" s="4" t="str">
        <f>HYPERLINK("http://www.facebook.com/photo.php?fbid=10151378516407952&amp;set=a.114456157951.118433.8062627951&amp;type=1&amp;relevant_count=1","[Photo]")</f>
        <v>[Photo]</v>
      </c>
      <c r="B197" s="4" t="str">
        <f>HYPERLINK("http://www.facebook.com/8062627951/posts/10151378516442952","Apple’s best of App Store 2012 rewards creativity. Google, Skype and Rovio take top app spots - http://tcrn.ch/W1vZQV")</f>
        <v>Apple’s best of App Store 2012 rewards creativity. Google, Skype and Rovio take top app spots - http://tcrn.ch/W1vZQV</v>
      </c>
      <c r="C197" s="3">
        <v>41256.501388888886</v>
      </c>
      <c r="D197" s="2">
        <v>70</v>
      </c>
      <c r="E197" s="2">
        <v>3</v>
      </c>
      <c r="F197" s="2" t="s">
        <v>7</v>
      </c>
      <c r="G197" s="2" t="s">
        <v>8</v>
      </c>
    </row>
    <row r="198" spans="1:7" ht="30" x14ac:dyDescent="0.25">
      <c r="A198" s="4" t="str">
        <f>HYPERLINK("http://techcrunch.com/2012/12/13/friends-dont-let-friends-text-and-walk-distracted-walking-is-on-the-rise/","Friends Don’t Let Friends Text And Walk: Distracted Walking Is On The Rise ")</f>
        <v xml:space="preserve">Friends Don’t Let Friends Text And Walk: Distracted Walking Is On The Rise </v>
      </c>
      <c r="B198" s="4" t="str">
        <f>HYPERLINK("http://www.facebook.com/8062627951/posts/331799040267068","Be honest... do you text and walk at the same time?")</f>
        <v>Be honest... do you text and walk at the same time?</v>
      </c>
      <c r="C198" s="3">
        <v>41256.490474537037</v>
      </c>
      <c r="D198" s="2">
        <v>58</v>
      </c>
      <c r="E198" s="2">
        <v>25</v>
      </c>
      <c r="F198" s="2" t="s">
        <v>8</v>
      </c>
      <c r="G198" s="2" t="s">
        <v>7</v>
      </c>
    </row>
    <row r="199" spans="1:7" ht="30" x14ac:dyDescent="0.25">
      <c r="A199" s="4" t="str">
        <f>HYPERLINK("http://www.facebook.com/photo.php?fbid=10151378471342952&amp;set=a.114456157951.118433.8062627951&amp;type=1&amp;relevant_count=1","[Photo]")</f>
        <v>[Photo]</v>
      </c>
      <c r="B199" s="4" t="str">
        <f>HYPERLINK("http://www.facebook.com/8062627951/posts/10151378471402952","Facebook finally gave its Android app a big speed boost. Get it here - http://tcrn.ch/12bemhX")</f>
        <v>Facebook finally gave its Android app a big speed boost. Get it here - http://tcrn.ch/12bemhX</v>
      </c>
      <c r="C199" s="3">
        <v>41256.471979166665</v>
      </c>
      <c r="D199" s="2">
        <v>335</v>
      </c>
      <c r="E199" s="2">
        <v>32</v>
      </c>
      <c r="F199" s="2" t="s">
        <v>7</v>
      </c>
      <c r="G199" s="2" t="s">
        <v>8</v>
      </c>
    </row>
    <row r="200" spans="1:7" ht="30" x14ac:dyDescent="0.25">
      <c r="A200" s="4" t="str">
        <f>HYPERLINK("http://www.facebook.com/photo.php?fbid=10151378445017952&amp;set=a.114456157951.118433.8062627951&amp;type=1&amp;relevant_count=1","[Photo]")</f>
        <v>[Photo]</v>
      </c>
      <c r="B200" s="4" t="str">
        <f>HYPERLINK("http://www.facebook.com/8062627951/posts/10151378445052952","From the makers of Orchestra comes Mailbox, the best email management app you’ll ever use - http://tcrn.ch/SXfeDe")</f>
        <v>From the makers of Orchestra comes Mailbox, the best email management app you’ll ever use - http://tcrn.ch/SXfeDe</v>
      </c>
      <c r="C200" s="3">
        <v>41256.45716435185</v>
      </c>
      <c r="D200" s="2">
        <v>219</v>
      </c>
      <c r="E200" s="2">
        <v>25</v>
      </c>
      <c r="F200" s="2" t="s">
        <v>7</v>
      </c>
      <c r="G200" s="2" t="s">
        <v>8</v>
      </c>
    </row>
    <row r="201" spans="1:7" ht="60" x14ac:dyDescent="0.25">
      <c r="A201" s="4" t="str">
        <f>HYPERLINK("http://techcrunch.com/2012/12/13/why-facebook-the-best-company-to-work-for-doesnt-need-a-union/","Why Facebook, The ‘Best Company’ To Work For, Doesn’t Need A Union")</f>
        <v>Why Facebook, The ‘Best Company’ To Work For, Doesn’t Need A Union</v>
      </c>
      <c r="B201" s="4" t="s">
        <v>20</v>
      </c>
      <c r="C201" s="3">
        <v>41256.435196759259</v>
      </c>
      <c r="D201" s="2">
        <v>132</v>
      </c>
      <c r="E201" s="2">
        <v>20</v>
      </c>
      <c r="F201" s="2" t="s">
        <v>8</v>
      </c>
      <c r="G201" s="2" t="s">
        <v>7</v>
      </c>
    </row>
    <row r="202" spans="1:7" ht="30" x14ac:dyDescent="0.25">
      <c r="A202" s="4" t="str">
        <f>HYPERLINK("http://www.facebook.com/photo.php?fbid=10151378359442952&amp;set=a.114456157951.118433.8062627951&amp;type=1&amp;relevant_count=1","[Photo]")</f>
        <v>[Photo]</v>
      </c>
      <c r="B202" s="4" t="str">
        <f>HYPERLINK("http://www.facebook.com/8062627951/posts/10151378359497952","Behind the scenes at the Crunchies. Also, more tickets on sale now! - http://tcrn.ch/RrsfH5")</f>
        <v>Behind the scenes at the Crunchies. Also, more tickets on sale now! - http://tcrn.ch/RrsfH5</v>
      </c>
      <c r="C202" s="3">
        <v>41256.423692129632</v>
      </c>
      <c r="D202" s="2">
        <v>267</v>
      </c>
      <c r="E202" s="2">
        <v>16</v>
      </c>
      <c r="F202" s="2" t="s">
        <v>7</v>
      </c>
      <c r="G202" s="2" t="s">
        <v>8</v>
      </c>
    </row>
    <row r="203" spans="1:7" ht="30" x14ac:dyDescent="0.25">
      <c r="A203" s="4" t="s">
        <v>9</v>
      </c>
      <c r="B203" s="4" t="str">
        <f>HYPERLINK("http://www.facebook.com/8062627951/posts/10151377756202952","Have you downloaded Google's native Maps app for iOS yet? To you, in one word, the app is ___________.")</f>
        <v>Have you downloaded Google's native Maps app for iOS yet? To you, in one word, the app is ___________.</v>
      </c>
      <c r="C203" s="3">
        <v>41255.96365740741</v>
      </c>
      <c r="D203" s="2">
        <v>429</v>
      </c>
      <c r="E203" s="2">
        <v>371</v>
      </c>
      <c r="F203" s="2" t="s">
        <v>8</v>
      </c>
      <c r="G203" s="2" t="s">
        <v>7</v>
      </c>
    </row>
    <row r="204" spans="1:7" ht="45" x14ac:dyDescent="0.25">
      <c r="A204" s="4" t="str">
        <f>HYPERLINK("http://techcrunch.com/2012/12/12/take-that-apple-maps/","Google Launches Native Maps For iOS, And Here’s The Deep Dive On Navigation, Info Sheets And More |.")</f>
        <v>Google Launches Native Maps For iOS, And Here’s The Deep Dive On Navigation, Info Sheets And More |.</v>
      </c>
      <c r="B204" s="4" t="str">
        <f>HYPERLINK("http://www.facebook.com/8062627951/posts/394310993978779","It's here. Google has released its native Maps app for iOS…before Christmas.")</f>
        <v>It's here. Google has released its native Maps app for iOS…before Christmas.</v>
      </c>
      <c r="C204" s="3">
        <v>41255.846516203703</v>
      </c>
      <c r="D204" s="2">
        <v>910</v>
      </c>
      <c r="E204" s="2">
        <v>87</v>
      </c>
      <c r="F204" s="2" t="s">
        <v>7</v>
      </c>
      <c r="G204" s="2" t="s">
        <v>7</v>
      </c>
    </row>
    <row r="205" spans="1:7" x14ac:dyDescent="0.25">
      <c r="A205" s="4" t="s">
        <v>9</v>
      </c>
      <c r="B205" s="4" t="str">
        <f>HYPERLINK("http://www.facebook.com/8062627951/posts/10151377602007952","In my opinion, ____________ has the best photo filters.")</f>
        <v>In my opinion, ____________ has the best photo filters.</v>
      </c>
      <c r="C205" s="3">
        <v>41255.834363425929</v>
      </c>
      <c r="D205" s="2">
        <v>63</v>
      </c>
      <c r="E205" s="2">
        <v>249</v>
      </c>
      <c r="F205" s="2" t="s">
        <v>7</v>
      </c>
      <c r="G205" s="2" t="s">
        <v>7</v>
      </c>
    </row>
    <row r="206" spans="1:7" ht="45" x14ac:dyDescent="0.25">
      <c r="A206" s="4" t="str">
        <f>HYPERLINK("http://techcrunch.com/2012/12/12/after-going-dark-for-the-second-time-in-two-weeks-tumblr-is-coming-back-online/","After Going Dark For The Second Time In Two Weeks, Tumblr Is Gradually Coming Back Online")</f>
        <v>After Going Dark For The Second Time In Two Weeks, Tumblr Is Gradually Coming Back Online</v>
      </c>
      <c r="B206" s="4" t="str">
        <f>HYPERLINK("http://www.facebook.com/8062627951/posts/257072977754486","Finally.")</f>
        <v>Finally.</v>
      </c>
      <c r="C206" s="3">
        <v>41255.832326388889</v>
      </c>
      <c r="D206" s="2">
        <v>28</v>
      </c>
      <c r="E206" s="2">
        <v>0</v>
      </c>
      <c r="F206" s="2" t="s">
        <v>7</v>
      </c>
      <c r="G206" s="2" t="s">
        <v>7</v>
      </c>
    </row>
    <row r="207" spans="1:7" ht="30" x14ac:dyDescent="0.25">
      <c r="A207" s="4" t="str">
        <f>HYPERLINK("http://www.facebook.com/photo.php?fbid=10151377554417952&amp;set=a.114456157951.118433.8062627951&amp;type=1&amp;relevant_count=1","[Photo]")</f>
        <v>[Photo]</v>
      </c>
      <c r="B207" s="4" t="str">
        <f>HYPERLINK("http://www.facebook.com/8062627951/posts/10151377554482952","Who is this? (Sprint + Google Voice is hopeless) - http://tcrn.ch/UUOQL3")</f>
        <v>Who is this? (Sprint + Google Voice is hopeless) - http://tcrn.ch/UUOQL3</v>
      </c>
      <c r="C207" s="3">
        <v>41255.802453703705</v>
      </c>
      <c r="D207" s="2">
        <v>91</v>
      </c>
      <c r="E207" s="2">
        <v>22</v>
      </c>
      <c r="F207" s="2" t="s">
        <v>8</v>
      </c>
      <c r="G207" s="2" t="s">
        <v>8</v>
      </c>
    </row>
    <row r="208" spans="1:7" ht="30" x14ac:dyDescent="0.25">
      <c r="A208" s="4" t="str">
        <f>HYPERLINK("http://techcrunch.com/2012/12/12/an-apple-foursquare-hookup-could-mean-the-end-of-yelp-reviews-in-ios/","An Apple-Foursquare Hookup Could Mean The End Of Yelp Reviews In iOS")</f>
        <v>An Apple-Foursquare Hookup Could Mean The End Of Yelp Reviews In iOS</v>
      </c>
      <c r="B208" s="4" t="str">
        <f>HYPERLINK("http://www.facebook.com/8062627951/posts/293405230780703","Hmm. Could Apple and Foursquare be talking about an acquisition, or a deep software integration in iOS?")</f>
        <v>Hmm. Could Apple and Foursquare be talking about an acquisition, or a deep software integration in iOS?</v>
      </c>
      <c r="C208" s="3">
        <v>41255.779340277775</v>
      </c>
      <c r="D208" s="2">
        <v>42</v>
      </c>
      <c r="E208" s="2">
        <v>12</v>
      </c>
      <c r="F208" s="2" t="s">
        <v>8</v>
      </c>
      <c r="G208" s="2" t="s">
        <v>7</v>
      </c>
    </row>
    <row r="209" spans="1:7" ht="45" x14ac:dyDescent="0.25">
      <c r="A209" s="4" t="s">
        <v>21</v>
      </c>
      <c r="B209" s="4" t="str">
        <f>HYPERLINK("http://www.facebook.com/8062627951/posts/383269165092499","Which one do you prefer: the Nook HD+ or the Kindle Fire HD 8.9? - http://tcrn.ch/U8nBK9")</f>
        <v>Which one do you prefer: the Nook HD+ or the Kindle Fire HD 8.9? - http://tcrn.ch/U8nBK9</v>
      </c>
      <c r="C209" s="3">
        <v>41255.742523148147</v>
      </c>
      <c r="D209" s="2">
        <v>18</v>
      </c>
      <c r="E209" s="2">
        <v>7</v>
      </c>
      <c r="F209" s="2" t="s">
        <v>8</v>
      </c>
      <c r="G209" s="2" t="s">
        <v>7</v>
      </c>
    </row>
    <row r="210" spans="1:7" ht="45" x14ac:dyDescent="0.25">
      <c r="A210" s="4" t="str">
        <f>HYPERLINK("http://www.facebook.com/photo.php?fbid=10151377433622952&amp;set=a.114456157951.118433.8062627951&amp;type=1&amp;relevant_count=1","[Photo]")</f>
        <v>[Photo]</v>
      </c>
      <c r="B210" s="4" t="str">
        <f>HYPERLINK("http://www.facebook.com/8062627951/posts/10151377433702952","Disney Mobile plans a big holiday push with three new games: Monster’s Inc. Run, Nemo’s Reef, and Where’s My Holiday? - http://tcrn.ch/VXKYLv    Think you'll play any?")</f>
        <v>Disney Mobile plans a big holiday push with three new games: Monster’s Inc. Run, Nemo’s Reef, and Where’s My Holiday? - http://tcrn.ch/VXKYLv    Think you'll play any?</v>
      </c>
      <c r="C210" s="3">
        <v>41255.731435185182</v>
      </c>
      <c r="D210" s="2">
        <v>24</v>
      </c>
      <c r="E210" s="2">
        <v>4</v>
      </c>
      <c r="F210" s="2" t="s">
        <v>8</v>
      </c>
      <c r="G210" s="2" t="s">
        <v>8</v>
      </c>
    </row>
    <row r="211" spans="1:7" ht="30" x14ac:dyDescent="0.25">
      <c r="A211" s="4" t="str">
        <f>HYPERLINK("http://www.facebook.com/photo.php?fbid=10151377277737952&amp;set=a.114456157951.118433.8062627951&amp;type=1&amp;relevant_count=1","[Photo]")</f>
        <v>[Photo]</v>
      </c>
      <c r="B211" s="4" t="str">
        <f>HYPERLINK("http://www.facebook.com/8062627951/posts/10151377277782952","More than privacy controls, Facebook needs our trust to keep growing - http://tcrn.ch/UDwR7k")</f>
        <v>More than privacy controls, Facebook needs our trust to keep growing - http://tcrn.ch/UDwR7k</v>
      </c>
      <c r="C211" s="3">
        <v>41255.671018518522</v>
      </c>
      <c r="D211" s="2">
        <v>58</v>
      </c>
      <c r="E211" s="2">
        <v>8</v>
      </c>
      <c r="F211" s="2" t="s">
        <v>7</v>
      </c>
      <c r="G211" s="2" t="s">
        <v>8</v>
      </c>
    </row>
    <row r="212" spans="1:7" ht="45" x14ac:dyDescent="0.25">
      <c r="A212" s="4" t="str">
        <f>HYPERLINK("http://www.facebook.com/photo.php?fbid=10151377228657952&amp;set=a.114456157951.118433.8062627951&amp;type=1&amp;relevant_count=1","[Photo]")</f>
        <v>[Photo]</v>
      </c>
      <c r="B212" s="4" t="str">
        <f>HYPERLINK("http://www.facebook.com/8062627951/posts/10151377228742952","Mac users rejoice: an actual shipping Thunderbolt docking station goes on sale tomorrow. Will you be getting one? - http://tcrn.ch/Ta9PaB")</f>
        <v>Mac users rejoice: an actual shipping Thunderbolt docking station goes on sale tomorrow. Will you be getting one? - http://tcrn.ch/Ta9PaB</v>
      </c>
      <c r="C212" s="3">
        <v>41255.638923611114</v>
      </c>
      <c r="D212" s="2">
        <v>98</v>
      </c>
      <c r="E212" s="2">
        <v>22</v>
      </c>
      <c r="F212" s="2" t="s">
        <v>8</v>
      </c>
      <c r="G212" s="2" t="s">
        <v>8</v>
      </c>
    </row>
    <row r="213" spans="1:7" ht="30" x14ac:dyDescent="0.25">
      <c r="A213" s="4" t="str">
        <f>HYPERLINK("http://www.facebook.com/photo.php?fbid=10151377221697952&amp;set=a.114456157951.118433.8062627951&amp;type=1&amp;relevant_count=1","[Photo]")</f>
        <v>[Photo]</v>
      </c>
      <c r="B213" s="4" t="str">
        <f>HYPERLINK("http://www.facebook.com/8062627951/posts/10151377221747952","Kickstarter: take high-definition, 360-degree video with the Sphericam Camera Ball - http://tcrn.ch/TVpNXr")</f>
        <v>Kickstarter: take high-definition, 360-degree video with the Sphericam Camera Ball - http://tcrn.ch/TVpNXr</v>
      </c>
      <c r="C213" s="3">
        <v>41255.634386574071</v>
      </c>
      <c r="D213" s="2">
        <v>53</v>
      </c>
      <c r="E213" s="2">
        <v>11</v>
      </c>
      <c r="F213" s="2" t="s">
        <v>7</v>
      </c>
      <c r="G213" s="2" t="s">
        <v>8</v>
      </c>
    </row>
    <row r="214" spans="1:7" ht="45" x14ac:dyDescent="0.25">
      <c r="A214" s="4" t="str">
        <f>HYPERLINK("http://techcrunch.com/2012/12/12/general-catalyst-backs-roughdraft-vc-to-fund-student-run-startups-and-ideas-in-boston/","General Catalyst Backs Roughdraft.VC To Fund Student-Run Startups And Ideas In Boston")</f>
        <v>General Catalyst Backs Roughdraft.VC To Fund Student-Run Startups And Ideas In Boston</v>
      </c>
      <c r="B214" s="4" t="str">
        <f>HYPERLINK("http://www.facebook.com/8062627951/posts/437879889611544","Roughdraft aims to invest at the earliest stage in student startups to help them in their journey from rough drafts to products in markets.")</f>
        <v>Roughdraft aims to invest at the earliest stage in student startups to help them in their journey from rough drafts to products in markets.</v>
      </c>
      <c r="C214" s="3">
        <v>41255.622986111113</v>
      </c>
      <c r="D214" s="2">
        <v>19</v>
      </c>
      <c r="E214" s="2">
        <v>1</v>
      </c>
      <c r="F214" s="2" t="s">
        <v>7</v>
      </c>
      <c r="G214" s="2" t="s">
        <v>7</v>
      </c>
    </row>
    <row r="215" spans="1:7" ht="60" x14ac:dyDescent="0.25">
      <c r="A215" s="4" t="str">
        <f>HYPERLINK("http://www.facebook.com/photo.php?fbid=10151377064292952&amp;set=a.114456157951.118433.8062627951&amp;type=1&amp;relevant_count=1","[Photo]")</f>
        <v>[Photo]</v>
      </c>
      <c r="B215" s="4" t="str">
        <f>HYPERLINK("http://www.facebook.com/8062627951/posts/10151377064397952","Damn. CEO Brian Chesky says Airbnb will be filling more room nights than all Hilton Hotels by the end of 2012 - http://tcrn.ch/Z0Goy9    How many of you have used Airbnb already?")</f>
        <v>Damn. CEO Brian Chesky says Airbnb will be filling more room nights than all Hilton Hotels by the end of 2012 - http://tcrn.ch/Z0Goy9    How many of you have used Airbnb already?</v>
      </c>
      <c r="C215" s="3">
        <v>41255.550659722219</v>
      </c>
      <c r="D215" s="2">
        <v>270</v>
      </c>
      <c r="E215" s="2">
        <v>18</v>
      </c>
      <c r="F215" s="2" t="s">
        <v>8</v>
      </c>
      <c r="G215" s="2" t="s">
        <v>8</v>
      </c>
    </row>
    <row r="216" spans="1:7" ht="45" x14ac:dyDescent="0.25">
      <c r="A216" s="4" t="str">
        <f>HYPERLINK("http://techcrunch.com/2012/12/12/fear-not-those-without-access-to-other-avenues-for-internet-porn-google-is-not-really-censoring-results/","Fear Not, Those Without Access To Other Avenues For Internet Porn, Google Is Not Really Censoring Re")</f>
        <v>Fear Not, Those Without Access To Other Avenues For Internet Porn, Google Is Not Really Censoring Re</v>
      </c>
      <c r="B216" s="4" t="str">
        <f>HYPERLINK("http://www.facebook.com/8062627951/posts/439659312765853","Be brave, heroes, for the hour is at hand: Google, in their wisdom, is now filtering – or selectively showing – hardcore porn with a bit heavier hand.")</f>
        <v>Be brave, heroes, for the hour is at hand: Google, in their wisdom, is now filtering – or selectively showing – hardcore porn with a bit heavier hand.</v>
      </c>
      <c r="C216" s="3">
        <v>41255.542384259257</v>
      </c>
      <c r="D216" s="2">
        <v>26</v>
      </c>
      <c r="E216" s="2">
        <v>0</v>
      </c>
      <c r="F216" s="2" t="s">
        <v>7</v>
      </c>
      <c r="G216" s="2" t="s">
        <v>7</v>
      </c>
    </row>
    <row r="217" spans="1:7" ht="30" x14ac:dyDescent="0.25">
      <c r="A217" s="4" t="str">
        <f>HYPERLINK("http://www.facebook.com/photo.php?fbid=10151377008717952&amp;set=a.114456157951.118433.8062627951&amp;type=1&amp;relevant_count=1","[Photo]")</f>
        <v>[Photo]</v>
      </c>
      <c r="B217" s="4" t="str">
        <f>HYPERLINK("http://www.facebook.com/8062627951/posts/10151377008792952","I love the smell of sepia tone in the morning - http://tcrn.ch/Z0B11I    Don't you?")</f>
        <v>I love the smell of sepia tone in the morning - http://tcrn.ch/Z0B11I    Don't you?</v>
      </c>
      <c r="C217" s="3">
        <v>41255.524502314816</v>
      </c>
      <c r="D217" s="2">
        <v>59</v>
      </c>
      <c r="E217" s="2">
        <v>4</v>
      </c>
      <c r="F217" s="2" t="s">
        <v>8</v>
      </c>
      <c r="G217" s="2" t="s">
        <v>8</v>
      </c>
    </row>
    <row r="218" spans="1:7" ht="45" x14ac:dyDescent="0.25">
      <c r="A218" s="4" t="str">
        <f>HYPERLINK("http://techcrunch.com/2012/12/12/google-data-highlighter/","Google’s New Data Highlighter Lets You Add Structured Data To Your Sites Without Touching Any Code ")</f>
        <v xml:space="preserve">Google’s New Data Highlighter Lets You Add Structured Data To Your Sites Without Touching Any Code </v>
      </c>
      <c r="B218" s="4" t="str">
        <f>HYPERLINK("http://www.facebook.com/8062627951/posts/137723539714858","Google's new Data Highlighter offers a point-and-click tool for tagging your site to its specifications without having to touch any code. Pretty awesome.")</f>
        <v>Google's new Data Highlighter offers a point-and-click tool for tagging your site to its specifications without having to touch any code. Pretty awesome.</v>
      </c>
      <c r="C218" s="3">
        <v>41255.512812499997</v>
      </c>
      <c r="D218" s="2">
        <v>96</v>
      </c>
      <c r="E218" s="2">
        <v>0</v>
      </c>
      <c r="F218" s="2" t="s">
        <v>7</v>
      </c>
      <c r="G218" s="2" t="s">
        <v>7</v>
      </c>
    </row>
    <row r="219" spans="1:7" ht="30" x14ac:dyDescent="0.25">
      <c r="A219" s="4" t="str">
        <f>HYPERLINK("http://www.facebook.com/photo.php?fbid=10151376909942952&amp;set=a.114456157951.118433.8062627951&amp;type=1&amp;relevant_count=1","[Photo]")</f>
        <v>[Photo]</v>
      </c>
      <c r="B219" s="4" t="str">
        <f>HYPERLINK("http://www.facebook.com/8062627951/posts/10151376910032952","He who controls the mobile photos, controls the universe - http://tcrn.ch/TV3HFo")</f>
        <v>He who controls the mobile photos, controls the universe - http://tcrn.ch/TV3HFo</v>
      </c>
      <c r="C219" s="3">
        <v>41255.475914351853</v>
      </c>
      <c r="D219" s="2">
        <v>48</v>
      </c>
      <c r="E219" s="2">
        <v>2</v>
      </c>
      <c r="F219" s="2" t="s">
        <v>7</v>
      </c>
      <c r="G219" s="2" t="s">
        <v>8</v>
      </c>
    </row>
    <row r="220" spans="1:7" ht="30" x14ac:dyDescent="0.25">
      <c r="A220" s="4" t="str">
        <f>HYPERLINK("http://techcrunch.com/2012/12/11/sir-ray-avery-nz-makes-you-dangerous/","You’ve Got 30,000 Days To Live… Reverse Engineer Your Life To Make Them Count")</f>
        <v>You’ve Got 30,000 Days To Live… Reverse Engineer Your Life To Make Them Count</v>
      </c>
      <c r="B220" s="4" t="str">
        <f>HYPERLINK("http://www.facebook.com/8062627951/posts/419542974784436","Amazing.")</f>
        <v>Amazing.</v>
      </c>
      <c r="C220" s="3">
        <v>41255.453472222223</v>
      </c>
      <c r="D220" s="2">
        <v>295</v>
      </c>
      <c r="E220" s="2">
        <v>6</v>
      </c>
      <c r="F220" s="2" t="s">
        <v>7</v>
      </c>
      <c r="G220" s="2" t="s">
        <v>7</v>
      </c>
    </row>
    <row r="221" spans="1:7" ht="60" x14ac:dyDescent="0.25">
      <c r="A221" s="4" t="str">
        <f>HYPERLINK("http://techcrunch.com/2012/12/12/sources-snapchat-raising-north-of-10m-at-around-70m-valuation-led-by-benchmarks-mitch-lasky/","Sources: SnapChat Raising “North Of $10M” At Around $70M Valuation, Led By Benchmark’s Mitch Lasky |")</f>
        <v>Sources: SnapChat Raising “North Of $10M” At Around $70M Valuation, Led By Benchmark’s Mitch Lasky |</v>
      </c>
      <c r="B221" s="4" t="str">
        <f>HYPERLINK("http://www.facebook.com/8062627951/posts/533387826686023","Snapchat, an increasingly popular mobile app that auto-deletes photos shortly after viewing, is about to close a big new round of funding from Benchmark Capital.  Have you used SnapChat before? What d...")</f>
        <v>Snapchat, an increasingly popular mobile app that auto-deletes photos shortly after viewing, is about to close a big new round of funding from Benchmark Capital.  Have you used SnapChat before? What d...</v>
      </c>
      <c r="C221" s="3">
        <v>41255.422199074077</v>
      </c>
      <c r="D221" s="2">
        <v>24</v>
      </c>
      <c r="E221" s="2">
        <v>7</v>
      </c>
      <c r="F221" s="2" t="s">
        <v>8</v>
      </c>
      <c r="G221" s="2" t="s">
        <v>7</v>
      </c>
    </row>
    <row r="222" spans="1:7" ht="30" x14ac:dyDescent="0.25">
      <c r="A222" s="4" t="str">
        <f>HYPERLINK("http://www.facebook.com/photo.php?fbid=10151376753637952&amp;set=a.114456157951.118433.8062627951&amp;type=1&amp;relevant_count=1","[Photo]")</f>
        <v>[Photo]</v>
      </c>
      <c r="B222" s="4" t="str">
        <f>HYPERLINK("http://www.facebook.com/8062627951/posts/10151376753677952","OpenArch adds a “digital layer” to the average room - http://tcrn.ch/VAfeq2    Very Minority Report-like.")</f>
        <v>OpenArch adds a “digital layer” to the average room - http://tcrn.ch/VAfeq2    Very Minority Report-like.</v>
      </c>
      <c r="C222" s="3">
        <v>41255.400694444441</v>
      </c>
      <c r="D222" s="2">
        <v>75</v>
      </c>
      <c r="E222" s="2">
        <v>2</v>
      </c>
      <c r="F222" s="2" t="s">
        <v>7</v>
      </c>
      <c r="G222" s="2" t="s">
        <v>8</v>
      </c>
    </row>
    <row r="223" spans="1:7" ht="45" x14ac:dyDescent="0.25">
      <c r="A223" s="4" t="str">
        <f>HYPERLINK("http://techcrunch.com/2012/12/12/googles-zeitgeist-reveals-whitney-houston-as-tops-search-of-2012-ipad-3-sopa-hurricane-sandy-more-among-top-trends/","Google’s Zeitgeist Reveals Whitney Houston As Top Search Of 2012; iPad 3, SOPA, Hurricane Sandy &amp; Mo")</f>
        <v>Google’s Zeitgeist Reveals Whitney Houston As Top Search Of 2012; iPad 3, SOPA, Hurricane Sandy &amp; Mo</v>
      </c>
      <c r="B223" s="4" t="str">
        <f>HYPERLINK("http://www.facebook.com/8062627951/posts/466449096727444","This year, I searched for _________ on Google.")</f>
        <v>This year, I searched for _________ on Google.</v>
      </c>
      <c r="C223" s="3">
        <v>41255.358611111114</v>
      </c>
      <c r="D223" s="2">
        <v>23</v>
      </c>
      <c r="E223" s="2">
        <v>27</v>
      </c>
      <c r="F223" s="2" t="s">
        <v>7</v>
      </c>
      <c r="G223" s="2" t="s">
        <v>7</v>
      </c>
    </row>
    <row r="224" spans="1:7" ht="30" x14ac:dyDescent="0.25">
      <c r="A224" s="4" t="str">
        <f>HYPERLINK("http://www.facebook.com/photo.php?fbid=10151376572372952&amp;set=a.114456157951.118433.8062627951&amp;type=1&amp;relevant_count=1","[Photo]")</f>
        <v>[Photo]</v>
      </c>
      <c r="B224" s="4" t="str">
        <f>HYPERLINK("http://www.facebook.com/8062627951/posts/10151376572447952","Would you buy an Apple-built TV? They're said to be testing designs. http://tcrn.ch/TUFWfK")</f>
        <v>Would you buy an Apple-built TV? They're said to be testing designs. http://tcrn.ch/TUFWfK</v>
      </c>
      <c r="C224" s="3">
        <v>41255.299293981479</v>
      </c>
      <c r="D224" s="2">
        <v>119</v>
      </c>
      <c r="E224" s="2">
        <v>55</v>
      </c>
      <c r="F224" s="2" t="s">
        <v>8</v>
      </c>
      <c r="G224" s="2" t="s">
        <v>8</v>
      </c>
    </row>
    <row r="225" spans="1:7" ht="30" x14ac:dyDescent="0.25">
      <c r="A225" s="4" t="str">
        <f>HYPERLINK("http://www.facebook.com/photo.php?fbid=10151376462687952&amp;set=a.114456157951.118433.8062627951&amp;type=1&amp;relevant_count=1","[Photo]")</f>
        <v>[Photo]</v>
      </c>
      <c r="B225" s="4" t="str">
        <f>HYPERLINK("http://www.facebook.com/8062627951/posts/10151376462757952","Do you still use Flickr? Its new iOS app is kind of cool. http://tcrn.ch/SauG0z")</f>
        <v>Do you still use Flickr? Its new iOS app is kind of cool. http://tcrn.ch/SauG0z</v>
      </c>
      <c r="C225" s="3">
        <v>41255.233460648145</v>
      </c>
      <c r="D225" s="2">
        <v>69</v>
      </c>
      <c r="E225" s="2">
        <v>2</v>
      </c>
      <c r="F225" s="2" t="s">
        <v>8</v>
      </c>
      <c r="G225" s="2" t="s">
        <v>8</v>
      </c>
    </row>
    <row r="226" spans="1:7" ht="45" x14ac:dyDescent="0.25">
      <c r="A226" s="4" t="str">
        <f>HYPERLINK("http://techcrunch.com/2012/12/12/pope-takes-first-cautious-step-on-twitter-sends-hello-world-tweet/","Pope Takes First Cautious Step On Twitter — Sends ‘Hello World’ Tweet (From An iPad)")</f>
        <v>Pope Takes First Cautious Step On Twitter — Sends ‘Hello World’ Tweet (From An iPad)</v>
      </c>
      <c r="B226" s="4" t="str">
        <f>HYPERLINK("http://www.facebook.com/8062627951/posts/473952379313232","St. Tweeter: Pontiff Sends First Historic Papal Tweet")</f>
        <v>St. Tweeter: Pontiff Sends First Historic Papal Tweet</v>
      </c>
      <c r="C226" s="3">
        <v>41255.221747685187</v>
      </c>
      <c r="D226" s="2">
        <v>38</v>
      </c>
      <c r="E226" s="2">
        <v>14</v>
      </c>
      <c r="F226" s="2" t="s">
        <v>7</v>
      </c>
      <c r="G226" s="2" t="s">
        <v>7</v>
      </c>
    </row>
    <row r="227" spans="1:7" ht="30" x14ac:dyDescent="0.25">
      <c r="A227" s="4" t="str">
        <f>HYPERLINK("http://www.facebook.com/photo.php?fbid=10151376203432952&amp;set=a.114456157951.118433.8062627951&amp;type=1&amp;relevant_count=1","[Photo]")</f>
        <v>[Photo]</v>
      </c>
      <c r="B227" s="4" t="str">
        <f>HYPERLINK("http://www.facebook.com/8062627951/posts/10151376203477952","Google has shut down its shopping service in China - http://tcrn.ch/USWINd")</f>
        <v>Google has shut down its shopping service in China - http://tcrn.ch/USWINd</v>
      </c>
      <c r="C227" s="3">
        <v>41255.007592592592</v>
      </c>
      <c r="D227" s="2">
        <v>127</v>
      </c>
      <c r="E227" s="2">
        <v>13</v>
      </c>
      <c r="F227" s="2" t="s">
        <v>7</v>
      </c>
      <c r="G227" s="2" t="s">
        <v>8</v>
      </c>
    </row>
    <row r="228" spans="1:7" ht="30" x14ac:dyDescent="0.25">
      <c r="A228" s="4" t="str">
        <f>HYPERLINK("http://www.facebook.com/photo.php?fbid=10151375823267952&amp;set=a.114456157951.118433.8062627951&amp;type=1&amp;relevant_count=1","[Photo]")</f>
        <v>[Photo]</v>
      </c>
      <c r="B228" s="4" t="str">
        <f>HYPERLINK("http://www.facebook.com/8062627951/posts/10151375823352952","As its ties to Facebook weaken, Zynga says friends aren't everything http://tcrn.ch/XQyaae")</f>
        <v>As its ties to Facebook weaken, Zynga says friends aren't everything http://tcrn.ch/XQyaae</v>
      </c>
      <c r="C228" s="3">
        <v>41254.748981481483</v>
      </c>
      <c r="D228" s="2">
        <v>50</v>
      </c>
      <c r="E228" s="2">
        <v>14</v>
      </c>
      <c r="F228" s="2" t="s">
        <v>7</v>
      </c>
      <c r="G228" s="2" t="s">
        <v>8</v>
      </c>
    </row>
    <row r="229" spans="1:7" ht="45" x14ac:dyDescent="0.25">
      <c r="A229" s="4" t="str">
        <f>HYPERLINK("http://www.facebook.com/photo.php?fbid=10151375698097952&amp;set=a.114456157951.118433.8062627951&amp;type=1&amp;relevant_count=1","[Photo]")</f>
        <v>[Photo]</v>
      </c>
      <c r="B229" s="4" t="str">
        <f>HYPERLINK("http://www.facebook.com/8062627951/posts/10151375698182952","Report finds iPad mini and 4th gen iPad each took 2% of Apple tablet market share in November - http://tcrn.ch/U4SgIf")</f>
        <v>Report finds iPad mini and 4th gen iPad each took 2% of Apple tablet market share in November - http://tcrn.ch/U4SgIf</v>
      </c>
      <c r="C229" s="3">
        <v>41254.669236111113</v>
      </c>
      <c r="D229" s="2">
        <v>78</v>
      </c>
      <c r="E229" s="2">
        <v>11</v>
      </c>
      <c r="F229" s="2" t="s">
        <v>7</v>
      </c>
      <c r="G229" s="2" t="s">
        <v>8</v>
      </c>
    </row>
    <row r="230" spans="1:7" x14ac:dyDescent="0.25">
      <c r="A230" s="4" t="str">
        <f>HYPERLINK("http://www.facebook.com/photo.php?fbid=10151375661482952&amp;set=a.10151375659152952.536253.8062627951&amp;type=1","[Photo]")</f>
        <v>[Photo]</v>
      </c>
      <c r="B230" s="4" t="str">
        <f>HYPERLINK("http://www.facebook.com/8062627951/posts/304341029683525","Check out our pictures from TechCrunch Moscow 2012!")</f>
        <v>Check out our pictures from TechCrunch Moscow 2012!</v>
      </c>
      <c r="C230" s="3">
        <v>41254.665254629632</v>
      </c>
      <c r="D230" s="2">
        <v>10</v>
      </c>
      <c r="E230" s="2">
        <v>0</v>
      </c>
      <c r="F230" s="2" t="s">
        <v>7</v>
      </c>
      <c r="G230" s="2" t="s">
        <v>8</v>
      </c>
    </row>
    <row r="231" spans="1:7" ht="45" x14ac:dyDescent="0.25">
      <c r="A231" s="4" t="str">
        <f>HYPERLINK("http://techcrunch.com/2012/12/11/grokr-debuts-google-now-for-ios-users/","Grokr Debuts A “Google Now” For iOS Users ")</f>
        <v xml:space="preserve">Grokr Debuts A “Google Now” For iOS Users </v>
      </c>
      <c r="B231" s="4" t="str">
        <f>HYPERLINK("http://www.facebook.com/8062627951/posts/221121908022116","Grokr has announced a new mobile application for iOS that aims to rethink how search should work on mobile.  What do you think of it?")</f>
        <v>Grokr has announced a new mobile application for iOS that aims to rethink how search should work on mobile.  What do you think of it?</v>
      </c>
      <c r="C231" s="3">
        <v>41254.579016203701</v>
      </c>
      <c r="D231" s="2">
        <v>23</v>
      </c>
      <c r="E231" s="2">
        <v>7</v>
      </c>
      <c r="F231" s="2" t="s">
        <v>8</v>
      </c>
      <c r="G231" s="2" t="s">
        <v>7</v>
      </c>
    </row>
    <row r="232" spans="1:7" ht="30" x14ac:dyDescent="0.25">
      <c r="A232" s="4" t="str">
        <f>HYPERLINK("http://www.facebook.com/photo.php?fbid=10151375455537952&amp;set=a.114456157951.118433.8062627951&amp;type=1&amp;relevant_count=1","[Photo]")</f>
        <v>[Photo]</v>
      </c>
      <c r="B232" s="4" t="str">
        <f>HYPERLINK("http://www.facebook.com/8062627951/posts/10151375455597952","Hardware hackers, unite: TechCrunch is headed to CES and we want to talk to you - http://tcrn.ch/ZbJo9u")</f>
        <v>Hardware hackers, unite: TechCrunch is headed to CES and we want to talk to you - http://tcrn.ch/ZbJo9u</v>
      </c>
      <c r="C232" s="3">
        <v>41254.539675925924</v>
      </c>
      <c r="D232" s="2">
        <v>28</v>
      </c>
      <c r="E232" s="2">
        <v>4</v>
      </c>
      <c r="F232" s="2" t="s">
        <v>7</v>
      </c>
      <c r="G232" s="2" t="s">
        <v>8</v>
      </c>
    </row>
    <row r="233" spans="1:7" ht="45" x14ac:dyDescent="0.25">
      <c r="A233" s="4" t="str">
        <f>HYPERLINK("http://www.facebook.com/photo.php?fbid=10151375405307952&amp;set=a.114456157951.118433.8062627951&amp;type=1&amp;relevant_count=1","[Photo]")</f>
        <v>[Photo]</v>
      </c>
      <c r="B233" s="4" t="str">
        <f>HYPERLINK("http://www.facebook.com/8062627951/posts/10151375405377952","With custom art startup JuicyCanvas, you add a personal touch to paintings before you buy them - http://tcrn.ch/RnuT0k")</f>
        <v>With custom art startup JuicyCanvas, you add a personal touch to paintings before you buy them - http://tcrn.ch/RnuT0k</v>
      </c>
      <c r="C233" s="3">
        <v>41254.515231481484</v>
      </c>
      <c r="D233" s="2">
        <v>25</v>
      </c>
      <c r="E233" s="2">
        <v>3</v>
      </c>
      <c r="F233" s="2" t="s">
        <v>7</v>
      </c>
      <c r="G233" s="2" t="s">
        <v>8</v>
      </c>
    </row>
    <row r="234" spans="1:7" ht="45" x14ac:dyDescent="0.25">
      <c r="A234" s="4" t="str">
        <f>HYPERLINK("http://techcrunch.com/2012/12/11/kazakhstan-beats-alabama-on-science-tests/","Kazakhstan Beats Alabama On Science Tests. Massachusetts Bests Japan. Global Comparisons Are Silly |")</f>
        <v>Kazakhstan Beats Alabama On Science Tests. Massachusetts Bests Japan. Global Comparisons Are Silly |</v>
      </c>
      <c r="B234" s="4" t="str">
        <f>HYPERLINK("http://www.facebook.com/8062627951/posts/125445007615554","Do you agree?")</f>
        <v>Do you agree?</v>
      </c>
      <c r="C234" s="3">
        <v>41254.49527777778</v>
      </c>
      <c r="D234" s="2">
        <v>39</v>
      </c>
      <c r="E234" s="2">
        <v>15</v>
      </c>
      <c r="F234" s="2" t="s">
        <v>8</v>
      </c>
      <c r="G234" s="2" t="s">
        <v>7</v>
      </c>
    </row>
    <row r="235" spans="1:7" ht="30" x14ac:dyDescent="0.25">
      <c r="A235" s="4" t="str">
        <f>HYPERLINK("http://techcrunch.com/2012/12/11/mobile-burst/","Mobile Burst")</f>
        <v>Mobile Burst</v>
      </c>
      <c r="B235" s="4" t="str">
        <f>HYPERLINK("http://www.facebook.com/8062627951/posts/388915564532684","Do you find yourself using your mobile phone more than anything else?")</f>
        <v>Do you find yourself using your mobile phone more than anything else?</v>
      </c>
      <c r="C235" s="3">
        <v>41254.464953703704</v>
      </c>
      <c r="D235" s="2">
        <v>45</v>
      </c>
      <c r="E235" s="2">
        <v>16</v>
      </c>
      <c r="F235" s="2" t="s">
        <v>8</v>
      </c>
      <c r="G235" s="2" t="s">
        <v>7</v>
      </c>
    </row>
    <row r="236" spans="1:7" ht="45" x14ac:dyDescent="0.25">
      <c r="A236" s="4" t="str">
        <f>HYPERLINK("http://www.facebook.com/photo.php?fbid=10151375255197952&amp;set=a.114456157951.118433.8062627951&amp;type=1&amp;relevant_count=1","[Photo]")</f>
        <v>[Photo]</v>
      </c>
      <c r="B236" s="4" t="str">
        <f>HYPERLINK("http://www.facebook.com/8062627951/posts/10151375255482952","Verizon lists the Samsung Galaxy Camera for $549 starting December 13th - http://tcrn.ch/QU2RYV    Think you'll get one?")</f>
        <v>Verizon lists the Samsung Galaxy Camera for $549 starting December 13th - http://tcrn.ch/QU2RYV    Think you'll get one?</v>
      </c>
      <c r="C236" s="3">
        <v>41254.439074074071</v>
      </c>
      <c r="D236" s="2">
        <v>60</v>
      </c>
      <c r="E236" s="2">
        <v>37</v>
      </c>
      <c r="F236" s="2" t="s">
        <v>8</v>
      </c>
      <c r="G236" s="2" t="s">
        <v>8</v>
      </c>
    </row>
    <row r="237" spans="1:7" ht="45" x14ac:dyDescent="0.25">
      <c r="A237" s="4" t="str">
        <f>HYPERLINK("http://techcrunch.com/2012/12/11/ask-a-vc-kleiner-perkins-megan-quinn-answers-your-questions/","Ask A VC: Kleiner Perkins’ Megan Quinn Answers Your Questions")</f>
        <v>Ask A VC: Kleiner Perkins’ Megan Quinn Answers Your Questions</v>
      </c>
      <c r="B237" s="4" t="str">
        <f>HYPERLINK("http://www.facebook.com/8062627951/posts/320444824734807","This week’s Ask A VC is putting Kleiner Perkins’ Megan Quinn in the hot seat. Have any questions for her? Get them in soon.")</f>
        <v>This week’s Ask A VC is putting Kleiner Perkins’ Megan Quinn in the hot seat. Have any questions for her? Get them in soon.</v>
      </c>
      <c r="C237" s="3">
        <v>41254.430613425924</v>
      </c>
      <c r="D237" s="2">
        <v>23</v>
      </c>
      <c r="E237" s="2">
        <v>5</v>
      </c>
      <c r="F237" s="2" t="s">
        <v>8</v>
      </c>
      <c r="G237" s="2" t="s">
        <v>7</v>
      </c>
    </row>
    <row r="238" spans="1:7" ht="45" x14ac:dyDescent="0.25">
      <c r="A238" s="4" t="str">
        <f>HYPERLINK("http://www.facebook.com/photo.php?fbid=10151375202847952&amp;set=a.114456157951.118433.8062627951&amp;type=1&amp;relevant_count=1","[Photo]")</f>
        <v>[Photo]</v>
      </c>
      <c r="B238" s="4" t="str">
        <f>HYPERLINK("http://www.facebook.com/8062627951/posts/10151375202937952","NatureBox lands $2M from General Catalyst &amp; Redpoint to go big with its “Birchbox for healthy foods” - http://tcrn.ch/VxQwqq")</f>
        <v>NatureBox lands $2M from General Catalyst &amp; Redpoint to go big with its “Birchbox for healthy foods” - http://tcrn.ch/VxQwqq</v>
      </c>
      <c r="C238" s="3">
        <v>41254.410231481481</v>
      </c>
      <c r="D238" s="2">
        <v>46</v>
      </c>
      <c r="E238" s="2">
        <v>3</v>
      </c>
      <c r="F238" s="2" t="s">
        <v>7</v>
      </c>
      <c r="G238" s="2" t="s">
        <v>8</v>
      </c>
    </row>
    <row r="239" spans="1:7" ht="30" x14ac:dyDescent="0.25">
      <c r="A239" s="4" t="str">
        <f>HYPERLINK("http://techcrunch.com/2012/12/11/access4kids-helps-disabled-kids-rock-out-on-their-tablets/","Access4Kids Helps Disabled Kids Rock Out On Their Tablets")</f>
        <v>Access4Kids Helps Disabled Kids Rock Out On Their Tablets</v>
      </c>
      <c r="B239" s="4" t="str">
        <f>HYPERLINK("http://www.facebook.com/8062627951/posts/520640307960955","Here’s a bit of heart-warming tech on a fine Tuesday morning.")</f>
        <v>Here’s a bit of heart-warming tech on a fine Tuesday morning.</v>
      </c>
      <c r="C239" s="3">
        <v>41254.399236111109</v>
      </c>
      <c r="D239" s="2">
        <v>15</v>
      </c>
      <c r="E239" s="2">
        <v>0</v>
      </c>
      <c r="F239" s="2" t="s">
        <v>7</v>
      </c>
      <c r="G239" s="2" t="s">
        <v>7</v>
      </c>
    </row>
    <row r="240" spans="1:7" ht="45" x14ac:dyDescent="0.25">
      <c r="A240" s="4" t="str">
        <f>HYPERLINK("http://www.facebook.com/photo.php?fbid=10151375149682952&amp;set=a.114456157951.118433.8062627951&amp;type=1&amp;relevant_count=1","[Photo]")</f>
        <v>[Photo]</v>
      </c>
      <c r="B240" s="4" t="str">
        <f>HYPERLINK("http://www.facebook.com/8062627951/posts/10151375149737952","Microsoft brings SkyDrive to Xbox 360 — now Windows 8/Phone 8 users get to see their stuff on the big screen - http://tcrn.ch/SNPrMG")</f>
        <v>Microsoft brings SkyDrive to Xbox 360 — now Windows 8/Phone 8 users get to see their stuff on the big screen - http://tcrn.ch/SNPrMG</v>
      </c>
      <c r="C240" s="3">
        <v>41254.380624999998</v>
      </c>
      <c r="D240" s="2">
        <v>47</v>
      </c>
      <c r="E240" s="2">
        <v>1</v>
      </c>
      <c r="F240" s="2" t="s">
        <v>7</v>
      </c>
      <c r="G240" s="2" t="s">
        <v>8</v>
      </c>
    </row>
    <row r="241" spans="1:7" ht="45" x14ac:dyDescent="0.25">
      <c r="A241" s="4" t="str">
        <f>HYPERLINK("http://techcrunch.com/2012/12/11/microsoft-surface-off-to-a-slow-start-in-tablet-web-traffic-share-but-could-catch-nexus-family-in-time/","Microsoft Surface Off To A Slow Start In Tablet Web Traffic Share, But Could Catch Nexus Family In T")</f>
        <v>Microsoft Surface Off To A Slow Start In Tablet Web Traffic Share, But Could Catch Nexus Family In T</v>
      </c>
      <c r="B241" s="4" t="str">
        <f>HYPERLINK("http://www.facebook.com/8062627951/posts/390725611004922","Do you think the Microsoft Surface's web traffic could really catch up to the Nexus products?")</f>
        <v>Do you think the Microsoft Surface's web traffic could really catch up to the Nexus products?</v>
      </c>
      <c r="C241" s="3">
        <v>41254.334456018521</v>
      </c>
      <c r="D241" s="2">
        <v>28</v>
      </c>
      <c r="E241" s="2">
        <v>11</v>
      </c>
      <c r="F241" s="2" t="s">
        <v>8</v>
      </c>
      <c r="G241" s="2" t="s">
        <v>7</v>
      </c>
    </row>
    <row r="242" spans="1:7" ht="45" x14ac:dyDescent="0.25">
      <c r="A242" s="4" t="str">
        <f>HYPERLINK("http://techcrunch.com/2012/12/11/facebook-gift-revenue/","Facebook Rolls Out Gifts (And Wine) From Beta To All US Users. Here’s How Much Money It Could Make")</f>
        <v>Facebook Rolls Out Gifts (And Wine) From Beta To All US Users. Here’s How Much Money It Could Make</v>
      </c>
      <c r="B242" s="4" t="str">
        <f>HYPERLINK("http://www.facebook.com/8062627951/posts/109449069224581","Watch out, Amazon. Facebook Gifts are here and include booze.")</f>
        <v>Watch out, Amazon. Facebook Gifts are here and include booze.</v>
      </c>
      <c r="C242" s="3">
        <v>41254.313738425924</v>
      </c>
      <c r="D242" s="2">
        <v>61</v>
      </c>
      <c r="E242" s="2">
        <v>8</v>
      </c>
      <c r="F242" s="2" t="s">
        <v>7</v>
      </c>
      <c r="G242" s="2" t="s">
        <v>7</v>
      </c>
    </row>
    <row r="243" spans="1:7" ht="30" x14ac:dyDescent="0.25">
      <c r="A243" s="4" t="str">
        <f>HYPERLINK("http://www.facebook.com/photo.php?fbid=10151375012232952&amp;set=a.114456157951.118433.8062627951&amp;type=1&amp;relevant_count=1","[Photo]")</f>
        <v>[Photo]</v>
      </c>
      <c r="B243" s="4" t="str">
        <f>HYPERLINK("http://www.facebook.com/8062627951/posts/10151375012282952","Do you use Yahoo! Mail? It's faster now. http://tcrn.ch/TRHSXo")</f>
        <v>Do you use Yahoo! Mail? It's faster now. http://tcrn.ch/TRHSXo</v>
      </c>
      <c r="C243" s="3">
        <v>41254.301921296297</v>
      </c>
      <c r="D243" s="2">
        <v>180</v>
      </c>
      <c r="E243" s="2">
        <v>79</v>
      </c>
      <c r="F243" s="2" t="s">
        <v>8</v>
      </c>
      <c r="G243" s="2" t="s">
        <v>8</v>
      </c>
    </row>
    <row r="244" spans="1:7" x14ac:dyDescent="0.25">
      <c r="A244" s="4" t="str">
        <f>HYPERLINK("http://www.facebook.com/photo.php?fbid=10151374910772952&amp;set=a.114456157951.118433.8062627951&amp;type=1&amp;relevant_count=1","[Photo]")</f>
        <v>[Photo]</v>
      </c>
      <c r="B244" s="4" t="str">
        <f>HYPERLINK("http://www.facebook.com/8062627951/posts/10151374910817952","Twitter's 2012 Year In Review is fun! http://tcrn.ch/Ue241W")</f>
        <v>Twitter's 2012 Year In Review is fun! http://tcrn.ch/Ue241W</v>
      </c>
      <c r="C244" s="3">
        <v>41254.243472222224</v>
      </c>
      <c r="D244" s="2">
        <v>82</v>
      </c>
      <c r="E244" s="2">
        <v>3</v>
      </c>
      <c r="F244" s="2" t="s">
        <v>7</v>
      </c>
      <c r="G244" s="2" t="s">
        <v>8</v>
      </c>
    </row>
    <row r="245" spans="1:7" ht="30" x14ac:dyDescent="0.25">
      <c r="A245" s="4" t="str">
        <f>HYPERLINK("http://www.facebook.com/photo.php?fbid=10151374402137952&amp;set=a.114456157951.118433.8062627951&amp;type=1&amp;relevant_count=1","[Photo]")</f>
        <v>[Photo]</v>
      </c>
      <c r="B245" s="4" t="str">
        <f>HYPERLINK("http://www.facebook.com/8062627951/posts/10151374402202952","YouTube brings Guide interface to tablets, with updates to its Android app and mobile web - http://tcrn.ch/VO4SZk")</f>
        <v>YouTube brings Guide interface to tablets, with updates to its Android app and mobile web - http://tcrn.ch/VO4SZk</v>
      </c>
      <c r="C245" s="3">
        <v>41253.821759259263</v>
      </c>
      <c r="D245" s="2">
        <v>69</v>
      </c>
      <c r="E245" s="2">
        <v>6</v>
      </c>
      <c r="F245" s="2" t="s">
        <v>7</v>
      </c>
      <c r="G245" s="2" t="s">
        <v>8</v>
      </c>
    </row>
    <row r="246" spans="1:7" x14ac:dyDescent="0.25">
      <c r="A246" s="4" t="s">
        <v>9</v>
      </c>
      <c r="B246" s="4" t="str">
        <f>HYPERLINK("http://www.facebook.com/8062627951/posts/10151374253627952","____________ is the best at doing Map apps.")</f>
        <v>____________ is the best at doing Map apps.</v>
      </c>
      <c r="C246" s="3">
        <v>41253.750520833331</v>
      </c>
      <c r="D246" s="2">
        <v>113</v>
      </c>
      <c r="E246" s="2">
        <v>549</v>
      </c>
      <c r="F246" s="2" t="s">
        <v>7</v>
      </c>
      <c r="G246" s="2" t="s">
        <v>7</v>
      </c>
    </row>
    <row r="247" spans="1:7" ht="30" x14ac:dyDescent="0.25">
      <c r="A247" s="4" t="str">
        <f>HYPERLINK("http://www.facebook.com/photo.php?fbid=10151374105737952&amp;set=a.114456157951.118433.8062627951&amp;type=1&amp;relevant_count=1","[Photo]")</f>
        <v>[Photo]</v>
      </c>
      <c r="B247" s="4" t="str">
        <f>HYPERLINK("http://www.facebook.com/8062627951/posts/10151374105812952","Twitter brings Aviary-powered photo filters to its Android and iPhone apps - http://tcrn.ch/U0h18r    What do you think?")</f>
        <v>Twitter brings Aviary-powered photo filters to its Android and iPhone apps - http://tcrn.ch/U0h18r    What do you think?</v>
      </c>
      <c r="C247" s="3">
        <v>41253.66207175926</v>
      </c>
      <c r="D247" s="2">
        <v>175</v>
      </c>
      <c r="E247" s="2">
        <v>37</v>
      </c>
      <c r="F247" s="2" t="s">
        <v>8</v>
      </c>
      <c r="G247" s="2" t="s">
        <v>8</v>
      </c>
    </row>
    <row r="248" spans="1:7" ht="45" x14ac:dyDescent="0.25">
      <c r="A248" s="4" t="str">
        <f>HYPERLINK("http://www.facebook.com/photo.php?fbid=10151374086457952&amp;set=a.114456157951.118433.8062627951&amp;type=1&amp;relevant_count=1","[Photo]")</f>
        <v>[Photo]</v>
      </c>
      <c r="B248" s="4" t="str">
        <f>HYPERLINK("http://www.facebook.com/8062627951/posts/10151374086547952","New Arduino Esplora provides a ready-for-gaming, customizable, open source video game controller. Awesome. http://tcrn.ch/UPyLGw")</f>
        <v>New Arduino Esplora provides a ready-for-gaming, customizable, open source video game controller. Awesome. http://tcrn.ch/UPyLGw</v>
      </c>
      <c r="C248" s="3">
        <v>41253.649930555555</v>
      </c>
      <c r="D248" s="2">
        <v>186</v>
      </c>
      <c r="E248" s="2">
        <v>9</v>
      </c>
      <c r="F248" s="2" t="s">
        <v>7</v>
      </c>
      <c r="G248" s="2" t="s">
        <v>8</v>
      </c>
    </row>
    <row r="249" spans="1:7" ht="45" x14ac:dyDescent="0.25">
      <c r="A249" s="4" t="str">
        <f>HYPERLINK("http://techcrunch.com/2012/12/10/facebook-is-down-mobile-apps-still-working-second-big-tech-outage-of-the-day/","Facebook Is Down, Mobile Apps Still Working For Some — Second Big Tech Outage Of The Day ")</f>
        <v xml:space="preserve">Facebook Is Down, Mobile Apps Still Working For Some — Second Big Tech Outage Of The Day </v>
      </c>
      <c r="B249" s="4" t="str">
        <f>HYPERLINK("http://www.facebook.com/8062627951/posts/120171298147188","Were you experiencing issues with Facebook?")</f>
        <v>Were you experiencing issues with Facebook?</v>
      </c>
      <c r="C249" s="3">
        <v>41253.647245370368</v>
      </c>
      <c r="D249" s="2">
        <v>178</v>
      </c>
      <c r="E249" s="2">
        <v>80</v>
      </c>
      <c r="F249" s="2" t="s">
        <v>8</v>
      </c>
      <c r="G249" s="2" t="s">
        <v>7</v>
      </c>
    </row>
    <row r="250" spans="1:7" ht="45" x14ac:dyDescent="0.25">
      <c r="A250" s="4" t="str">
        <f>HYPERLINK("http://www.facebook.com/photo.php?fbid=10151373919822952&amp;set=a.114456157951.118433.8062627951&amp;type=1&amp;relevant_count=1","[Photo]")</f>
        <v>[Photo]</v>
      </c>
      <c r="B250" s="4" t="str">
        <f>HYPERLINK("http://www.facebook.com/8062627951/posts/10151373919892952","Instagram has just released its biggest iOS app update in a year, honoring its old-timey roots. Check it out: http://tcrn.ch/123xcI2")</f>
        <v>Instagram has just released its biggest iOS app update in a year, honoring its old-timey roots. Check it out: http://tcrn.ch/123xcI2</v>
      </c>
      <c r="C250" s="3">
        <v>41253.558055555557</v>
      </c>
      <c r="D250" s="2">
        <v>158</v>
      </c>
      <c r="E250" s="2">
        <v>15</v>
      </c>
      <c r="F250" s="2" t="s">
        <v>7</v>
      </c>
      <c r="G250" s="2" t="s">
        <v>8</v>
      </c>
    </row>
    <row r="251" spans="1:7" ht="30" x14ac:dyDescent="0.25">
      <c r="A251" s="4" t="str">
        <f>HYPERLINK("http://www.facebook.com/photo.php?fbid=10151373875752952&amp;set=a.114456157951.118433.8062627951&amp;type=1&amp;relevant_count=1","[Photo]")</f>
        <v>[Photo]</v>
      </c>
      <c r="B251" s="4" t="str">
        <f>HYPERLINK("http://www.facebook.com/8062627951/posts/10151373875802952","Gift Guide: the Google Nexus 4 - http://tcrn.ch/TPQ4Hu    How many of you want one of these?")</f>
        <v>Gift Guide: the Google Nexus 4 - http://tcrn.ch/TPQ4Hu    How many of you want one of these?</v>
      </c>
      <c r="C251" s="3">
        <v>41253.537280092591</v>
      </c>
      <c r="D251" s="2">
        <v>129</v>
      </c>
      <c r="E251" s="2">
        <v>28</v>
      </c>
      <c r="F251" s="2" t="s">
        <v>8</v>
      </c>
      <c r="G251" s="2" t="s">
        <v>8</v>
      </c>
    </row>
    <row r="252" spans="1:7" ht="45" x14ac:dyDescent="0.25">
      <c r="A252" s="4" t="str">
        <f>HYPERLINK("http://www.facebook.com/photo.php?fbid=10151373827427952&amp;set=a.114456157951.118433.8062627951&amp;type=1&amp;relevant_count=1","[Photo]")</f>
        <v>[Photo]</v>
      </c>
      <c r="B252" s="4" t="str">
        <f>HYPERLINK("http://www.facebook.com/8062627951/posts/10151373827537952","Facebook will nix voting and integrate Instagram data despite vote ending with 88% of 668K votes opposed - http://tcrn.ch/VMGzeu")</f>
        <v>Facebook will nix voting and integrate Instagram data despite vote ending with 88% of 668K votes opposed - http://tcrn.ch/VMGzeu</v>
      </c>
      <c r="C252" s="3">
        <v>41253.513437499998</v>
      </c>
      <c r="D252" s="2">
        <v>92</v>
      </c>
      <c r="E252" s="2">
        <v>43</v>
      </c>
      <c r="F252" s="2" t="s">
        <v>7</v>
      </c>
      <c r="G252" s="2" t="s">
        <v>8</v>
      </c>
    </row>
    <row r="253" spans="1:7" ht="30" x14ac:dyDescent="0.25">
      <c r="A253" s="4" t="str">
        <f>HYPERLINK("http://www.facebook.com/photo.php?fbid=10151373807082952&amp;set=a.114456157951.118433.8062627951&amp;type=1&amp;relevant_count=1","[Photo]")</f>
        <v>[Photo]</v>
      </c>
      <c r="B253" s="4" t="str">
        <f>HYPERLINK("http://www.facebook.com/8062627951/posts/10151373807147952","From the Valley to the Motor City: why Stik moved back to Detroit - http://tcrn.ch/TPRrWN")</f>
        <v>From the Valley to the Motor City: why Stik moved back to Detroit - http://tcrn.ch/TPRrWN</v>
      </c>
      <c r="C253" s="3">
        <v>41253.502256944441</v>
      </c>
      <c r="D253" s="2">
        <v>29</v>
      </c>
      <c r="E253" s="2">
        <v>0</v>
      </c>
      <c r="F253" s="2" t="s">
        <v>7</v>
      </c>
      <c r="G253" s="2" t="s">
        <v>8</v>
      </c>
    </row>
    <row r="254" spans="1:7" ht="45" x14ac:dyDescent="0.25">
      <c r="A254" s="4" t="str">
        <f>HYPERLINK("http://www.facebook.com/photo.php?fbid=10151373772682952&amp;set=a.114456157951.118433.8062627951&amp;type=1&amp;relevant_count=1","[Photo]")</f>
        <v>[Photo]</v>
      </c>
      <c r="B254" s="4" t="str">
        <f>HYPERLINK("http://www.facebook.com/8062627951/posts/10151373772762952","The Canon 6D: a solid beginner full-frame, with a few caveats for buyers with pro demands -   http://tcrn.ch/UPZ9Qu    Camera lovers, what do you think?")</f>
        <v>The Canon 6D: a solid beginner full-frame, with a few caveats for buyers with pro demands -   http://tcrn.ch/UPZ9Qu    Camera lovers, what do you think?</v>
      </c>
      <c r="C254" s="3">
        <v>41253.482187499998</v>
      </c>
      <c r="D254" s="2">
        <v>132</v>
      </c>
      <c r="E254" s="2">
        <v>21</v>
      </c>
      <c r="F254" s="2" t="s">
        <v>8</v>
      </c>
      <c r="G254" s="2" t="s">
        <v>8</v>
      </c>
    </row>
    <row r="255" spans="1:7" ht="30" x14ac:dyDescent="0.25">
      <c r="A255" s="4" t="str">
        <f>HYPERLINK("http://www.facebook.com/photo.php?fbid=10151373749752952&amp;set=a.114456157951.118433.8062627951&amp;type=1&amp;relevant_count=1","[Photo]")</f>
        <v>[Photo]</v>
      </c>
      <c r="B255" s="4" t="str">
        <f>HYPERLINK("http://www.facebook.com/8062627951/posts/10151373749892952","Black Marble: Google Maps now lets you explore the Earth at night - http://tcrn.ch/Vz2PlX")</f>
        <v>Black Marble: Google Maps now lets you explore the Earth at night - http://tcrn.ch/Vz2PlX</v>
      </c>
      <c r="C255" s="3">
        <v>41253.470694444448</v>
      </c>
      <c r="D255" s="2">
        <v>250</v>
      </c>
      <c r="E255" s="2">
        <v>14</v>
      </c>
      <c r="F255" s="2" t="s">
        <v>7</v>
      </c>
      <c r="G255" s="2" t="s">
        <v>8</v>
      </c>
    </row>
    <row r="256" spans="1:7" ht="45" x14ac:dyDescent="0.25">
      <c r="A256" s="4" t="str">
        <f>HYPERLINK("http://www.facebook.com/photo.php?fbid=10151373717567952&amp;set=a.114456157951.118433.8062627951&amp;type=1&amp;relevant_count=1","[Photo]")</f>
        <v>[Photo]</v>
      </c>
      <c r="B256" s="4" t="str">
        <f>HYPERLINK("http://www.facebook.com/8062627951/posts/10151373717657952","TechCrunch’s NYC office. Photo by @mvaloatto - http://instagram.com/p/TEPhjZOvc0/    Does your office have a tree up yet?")</f>
        <v>TechCrunch’s NYC office. Photo by @mvaloatto - http://instagram.com/p/TEPhjZOvc0/    Does your office have a tree up yet?</v>
      </c>
      <c r="C256" s="3">
        <v>41253.453298611108</v>
      </c>
      <c r="D256" s="2">
        <v>195</v>
      </c>
      <c r="E256" s="2">
        <v>23</v>
      </c>
      <c r="F256" s="2" t="s">
        <v>8</v>
      </c>
      <c r="G256" s="2" t="s">
        <v>8</v>
      </c>
    </row>
    <row r="257" spans="1:7" ht="30" x14ac:dyDescent="0.25">
      <c r="A257" s="4" t="str">
        <f>HYPERLINK("http://www.facebook.com/photo.php?fbid=10151373688387952&amp;set=a.114456157951.118433.8062627951&amp;type=1&amp;relevant_count=1","[Photo]")</f>
        <v>[Photo]</v>
      </c>
      <c r="B257" s="4" t="str">
        <f>HYPERLINK("http://www.facebook.com/8062627951/posts/10151373688452952","Nike announces Nike+ Accelerator, powered by TechStars, to “Fuel” Nike+ innovation - http://tcrn.ch/YU1ePC")</f>
        <v>Nike announces Nike+ Accelerator, powered by TechStars, to “Fuel” Nike+ innovation - http://tcrn.ch/YU1ePC</v>
      </c>
      <c r="C257" s="3">
        <v>41253.436782407407</v>
      </c>
      <c r="D257" s="2">
        <v>107</v>
      </c>
      <c r="E257" s="2">
        <v>8</v>
      </c>
      <c r="F257" s="2" t="s">
        <v>7</v>
      </c>
      <c r="G257" s="2" t="s">
        <v>8</v>
      </c>
    </row>
    <row r="258" spans="1:7" ht="45" x14ac:dyDescent="0.25">
      <c r="A258" s="4" t="str">
        <f>HYPERLINK("http://www.facebook.com/photo.php?fbid=10151373675457952&amp;set=a.114456157951.118433.8062627951&amp;type=1&amp;relevant_count=1","[Photo]")</f>
        <v>[Photo]</v>
      </c>
      <c r="B258" s="4" t="str">
        <f>HYPERLINK("http://www.facebook.com/8062627951/posts/10151373675547952","Five years in and profitable, Gilt refocuses on new leadership, an IPO in 2013 and more - http://tcrn.ch/U79wvJ    How many of you use Gilt?")</f>
        <v>Five years in and profitable, Gilt refocuses on new leadership, an IPO in 2013 and more - http://tcrn.ch/U79wvJ    How many of you use Gilt?</v>
      </c>
      <c r="C258" s="3">
        <v>41253.428749999999</v>
      </c>
      <c r="D258" s="2">
        <v>38</v>
      </c>
      <c r="E258" s="2">
        <v>7</v>
      </c>
      <c r="F258" s="2" t="s">
        <v>8</v>
      </c>
      <c r="G258" s="2" t="s">
        <v>8</v>
      </c>
    </row>
    <row r="259" spans="1:7" ht="30" x14ac:dyDescent="0.25">
      <c r="A259" s="4" t="str">
        <f>HYPERLINK("http://techcrunch.com/2012/12/10/gmail-experiences-a-widespread-outage-most-users-affected/","Gmail Experiences A Widespread Outage, Many Users Affected")</f>
        <v>Gmail Experiences A Widespread Outage, Many Users Affected</v>
      </c>
      <c r="B259" s="4" t="str">
        <f>HYPERLINK("http://www.facebook.com/8062627951/posts/398734233535227","Is Gmail down for you?")</f>
        <v>Is Gmail down for you?</v>
      </c>
      <c r="C259" s="3">
        <v>41253.389537037037</v>
      </c>
      <c r="D259" s="2">
        <v>330</v>
      </c>
      <c r="E259" s="2">
        <v>243</v>
      </c>
      <c r="F259" s="2" t="s">
        <v>8</v>
      </c>
      <c r="G259" s="2" t="s">
        <v>7</v>
      </c>
    </row>
    <row r="260" spans="1:7" ht="45" x14ac:dyDescent="0.25">
      <c r="A260" s="4" t="str">
        <f>HYPERLINK("http://techcrunch.com/2012/12/10/smart-device-shipments-broke-records-in-q3-2012-reaching-303-6-million-devices-expected-to-grow-to-362-million-in-holiday-quarter/","Smart Device Shipments Broke Records In Q3 2012, Reaching 303.6 Million Devices; Expected To Grow To")</f>
        <v>Smart Device Shipments Broke Records In Q3 2012, Reaching 303.6 Million Devices; Expected To Grow To</v>
      </c>
      <c r="B260" s="4" t="s">
        <v>22</v>
      </c>
      <c r="C260" s="3">
        <v>41253.300555555557</v>
      </c>
      <c r="D260" s="2">
        <v>38</v>
      </c>
      <c r="E260" s="2">
        <v>4</v>
      </c>
      <c r="F260" s="2" t="s">
        <v>8</v>
      </c>
      <c r="G260" s="2" t="s">
        <v>7</v>
      </c>
    </row>
    <row r="261" spans="1:7" ht="45" x14ac:dyDescent="0.25">
      <c r="A261" s="4" t="str">
        <f>HYPERLINK("http://techcrunch.com/2012/12/10/robotappstore-raises-250k-from-grishin-robotics-to-take-the-app-distribution-model-to-the-world-of-robots/","RobotAppStore Raises $250K From Grishin Robotics To Take The App Distribution Model To The World Of.")</f>
        <v>RobotAppStore Raises $250K From Grishin Robotics To Take The App Distribution Model To The World Of.</v>
      </c>
      <c r="B261" s="4" t="str">
        <f>HYPERLINK("http://www.facebook.com/8062627951/posts/236375199826252","Apps for Robots! Everyone loves robots!")</f>
        <v>Apps for Robots! Everyone loves robots!</v>
      </c>
      <c r="C261" s="3">
        <v>41253.217314814814</v>
      </c>
      <c r="D261" s="2">
        <v>30</v>
      </c>
      <c r="E261" s="2">
        <v>1</v>
      </c>
      <c r="F261" s="2" t="s">
        <v>7</v>
      </c>
      <c r="G261" s="2" t="s">
        <v>7</v>
      </c>
    </row>
    <row r="262" spans="1:7" ht="45" x14ac:dyDescent="0.25">
      <c r="A262" s="4" t="str">
        <f>HYPERLINK("http://techcrunch.com/2012/12/09/australian-police-warn-against-apple-maps-citing-potentially-life-threatening-misdirection/","Australian Police Warn Against Apple Maps, Citing “Potentially Life Threatening” Misdirection ")</f>
        <v xml:space="preserve">Australian Police Warn Against Apple Maps, Citing “Potentially Life Threatening” Misdirection </v>
      </c>
      <c r="B262" s="4" t="str">
        <f>HYPERLINK("http://www.facebook.com/8062627951/posts/105046786331847","Protip: If you're ever in Victoria, Australia, don't use Apple Maps. You could die.")</f>
        <v>Protip: If you're ever in Victoria, Australia, don't use Apple Maps. You could die.</v>
      </c>
      <c r="C262" s="3">
        <v>41253.167650462965</v>
      </c>
      <c r="D262" s="2">
        <v>190</v>
      </c>
      <c r="E262" s="2">
        <v>26</v>
      </c>
      <c r="F262" s="2" t="s">
        <v>7</v>
      </c>
      <c r="G262" s="2" t="s">
        <v>7</v>
      </c>
    </row>
    <row r="263" spans="1:7" ht="30" x14ac:dyDescent="0.25">
      <c r="A263" s="4" t="str">
        <f>HYPERLINK("http://www.facebook.com/photo.php?fbid=10151372820742952&amp;set=a.114456157951.118433.8062627951&amp;type=1&amp;relevant_count=1","[Photo]")</f>
        <v>[Photo]</v>
      </c>
      <c r="B263" s="4" t="str">
        <f>HYPERLINK("http://www.facebook.com/8062627951/posts/10151372820837952","Samsung unveils its “Premium Suite Upgrade” for the Galaxy S III - http://tcrn.ch/UwoTz7")</f>
        <v>Samsung unveils its “Premium Suite Upgrade” for the Galaxy S III - http://tcrn.ch/UwoTz7</v>
      </c>
      <c r="C263" s="3">
        <v>41252.882511574076</v>
      </c>
      <c r="D263" s="2">
        <v>190</v>
      </c>
      <c r="E263" s="2">
        <v>15</v>
      </c>
      <c r="F263" s="2" t="s">
        <v>7</v>
      </c>
      <c r="G263" s="2" t="s">
        <v>8</v>
      </c>
    </row>
    <row r="264" spans="1:7" ht="45" x14ac:dyDescent="0.25">
      <c r="A264" s="4" t="str">
        <f>HYPERLINK("http://techcrunch.com/2012/12/09/vote-on-facebook-changes/","Half A Million People Voted Against Facebook’s Governance Changes, But Not Enough As Polls Close Tom")</f>
        <v>Half A Million People Voted Against Facebook’s Governance Changes, But Not Enough As Polls Close Tom</v>
      </c>
      <c r="B264" s="4" t="str">
        <f>HYPERLINK("http://www.facebook.com/8062627951/posts/382697561818624","It all ends tomorrow.")</f>
        <v>It all ends tomorrow.</v>
      </c>
      <c r="C264" s="3">
        <v>41252.880185185182</v>
      </c>
      <c r="D264" s="2">
        <v>63</v>
      </c>
      <c r="E264" s="2">
        <v>12</v>
      </c>
      <c r="F264" s="2" t="s">
        <v>7</v>
      </c>
      <c r="G264" s="2" t="s">
        <v>7</v>
      </c>
    </row>
    <row r="265" spans="1:7" ht="45" x14ac:dyDescent="0.25">
      <c r="A265" s="4" t="str">
        <f>HYPERLINK("http://techcrunch.com/2012/12/09/it-appears-that-instagram-photos-arent-showing-up-in-twitter-streams-at-all/","It Appears That Instagram Photos Aren’t Showing Up In Twitter Streams At All | TechCrunch")</f>
        <v>It Appears That Instagram Photos Aren’t Showing Up In Twitter Streams At All | TechCrunch</v>
      </c>
      <c r="B265" s="4" t="str">
        <f>HYPERLINK("http://www.facebook.com/8062627951/posts/122108987949693","Instagram has followed through on its promise. No more photos on Twitter. Thoughts?")</f>
        <v>Instagram has followed through on its promise. No more photos on Twitter. Thoughts?</v>
      </c>
      <c r="C265" s="3">
        <v>41252.574201388888</v>
      </c>
      <c r="D265" s="2">
        <v>61</v>
      </c>
      <c r="E265" s="2">
        <v>34</v>
      </c>
      <c r="F265" s="2" t="s">
        <v>8</v>
      </c>
      <c r="G265" s="2" t="s">
        <v>7</v>
      </c>
    </row>
    <row r="266" spans="1:7" ht="30" x14ac:dyDescent="0.25">
      <c r="A266" s="4" t="str">
        <f>HYPERLINK("http://www.facebook.com/photo.php?fbid=10151371940342952&amp;set=a.114456157951.118433.8062627951&amp;type=1&amp;relevant_count=1","[Photo]")</f>
        <v>[Photo]</v>
      </c>
      <c r="B266" s="4" t="str">
        <f>HYPERLINK("http://www.facebook.com/8062627951/posts/10151371940582952","Facebook and Google tell courts to kill off abstract tech patents that hurt innovation http://tcrn.ch/UOa4tZ")</f>
        <v>Facebook and Google tell courts to kill off abstract tech patents that hurt innovation http://tcrn.ch/UOa4tZ</v>
      </c>
      <c r="C266" s="3">
        <v>41252.49077546296</v>
      </c>
      <c r="D266" s="2">
        <v>378</v>
      </c>
      <c r="E266" s="2">
        <v>28</v>
      </c>
      <c r="F266" s="2" t="s">
        <v>7</v>
      </c>
      <c r="G266" s="2" t="s">
        <v>8</v>
      </c>
    </row>
    <row r="267" spans="1:7" ht="45" x14ac:dyDescent="0.25">
      <c r="A267" s="4" t="str">
        <f>HYPERLINK("http://www.facebook.com/photo.php?fbid=10151371709137952&amp;set=a.114456157951.118433.8062627951&amp;type=1&amp;relevant_count=1","[Photo]")</f>
        <v>[Photo]</v>
      </c>
      <c r="B267" s="4" t="str">
        <f>HYPERLINK("http://www.facebook.com/8062627951/posts/10151371709247952","Are you looking forward to the death of physical cash and credit cards? Square introduces Gift Cards http://tcrn.ch/Uokhc2")</f>
        <v>Are you looking forward to the death of physical cash and credit cards? Square introduces Gift Cards http://tcrn.ch/Uokhc2</v>
      </c>
      <c r="C267" s="3">
        <v>41252.364120370374</v>
      </c>
      <c r="D267" s="2">
        <v>259</v>
      </c>
      <c r="E267" s="2">
        <v>28</v>
      </c>
      <c r="F267" s="2" t="s">
        <v>8</v>
      </c>
      <c r="G267" s="2" t="s">
        <v>8</v>
      </c>
    </row>
    <row r="268" spans="1:7" ht="30" x14ac:dyDescent="0.25">
      <c r="A268" s="4" t="str">
        <f>HYPERLINK("http://www.facebook.com/photo.php?fbid=10151370813347952&amp;set=a.114456157951.118433.8062627951&amp;type=1&amp;relevant_count=1","[Photo]")</f>
        <v>[Photo]</v>
      </c>
      <c r="B268" s="4" t="str">
        <f>HYPERLINK("http://www.facebook.com/8062627951/posts/10151370813397952","Problem solved: IFTTT produces a way to bypass Instagram turning off Twitter Cards - http://tcrn.ch/VVM32T")</f>
        <v>Problem solved: IFTTT produces a way to bypass Instagram turning off Twitter Cards - http://tcrn.ch/VVM32T</v>
      </c>
      <c r="C268" s="3">
        <v>41251.689699074072</v>
      </c>
      <c r="D268" s="2">
        <v>52</v>
      </c>
      <c r="E268" s="2">
        <v>2</v>
      </c>
      <c r="F268" s="2" t="s">
        <v>7</v>
      </c>
      <c r="G268" s="2" t="s">
        <v>8</v>
      </c>
    </row>
    <row r="269" spans="1:7" ht="45" x14ac:dyDescent="0.25">
      <c r="A269" s="4" t="str">
        <f>HYPERLINK("http://techcrunch.com/2012/12/08/defining-a-growth-hacker-6-myths-about-growth-hackers/","Defining A Growth Hacker: Debunking The 6 Most Common Myths About Growth Hacking")</f>
        <v>Defining A Growth Hacker: Debunking The 6 Most Common Myths About Growth Hacking</v>
      </c>
      <c r="B269" s="4" t="str">
        <f>HYPERLINK("http://www.facebook.com/8062627951/posts/343204382445292","What does growth hacking mean to you?")</f>
        <v>What does growth hacking mean to you?</v>
      </c>
      <c r="C269" s="3">
        <v>41251.655717592592</v>
      </c>
      <c r="D269" s="2">
        <v>66</v>
      </c>
      <c r="E269" s="2">
        <v>13</v>
      </c>
      <c r="F269" s="2" t="s">
        <v>8</v>
      </c>
      <c r="G269" s="2" t="s">
        <v>7</v>
      </c>
    </row>
    <row r="270" spans="1:7" ht="30" x14ac:dyDescent="0.25">
      <c r="A270" s="4" t="str">
        <f>HYPERLINK("http://www.facebook.com/photo.php?fbid=10151370646032952&amp;set=a.114456157951.118433.8062627951&amp;type=1&amp;relevant_count=1","[Photo]")</f>
        <v>[Photo]</v>
      </c>
      <c r="B270" s="4" t="str">
        <f>HYPERLINK("http://www.facebook.com/8062627951/posts/10151370646227952","Moscow’s tech mojo is working — and awakening - http://tcrn.ch/ULJoKv")</f>
        <v>Moscow’s tech mojo is working — and awakening - http://tcrn.ch/ULJoKv</v>
      </c>
      <c r="C270" s="3">
        <v>41251.588958333334</v>
      </c>
      <c r="D270" s="2">
        <v>48</v>
      </c>
      <c r="E270" s="2">
        <v>0</v>
      </c>
      <c r="F270" s="2" t="s">
        <v>7</v>
      </c>
      <c r="G270" s="2" t="s">
        <v>8</v>
      </c>
    </row>
    <row r="271" spans="1:7" x14ac:dyDescent="0.25">
      <c r="A271" s="4" t="str">
        <f>HYPERLINK("http://techcrunch.com/2012/12/08/the-underachiever/","Q: What’s Wrong With Quora? ")</f>
        <v xml:space="preserve">Q: What’s Wrong With Quora? </v>
      </c>
      <c r="B271" s="4" t="str">
        <f>HYPERLINK("http://www.facebook.com/8062627951/posts/460780423980757","What are your thoughts on Quora?")</f>
        <v>What are your thoughts on Quora?</v>
      </c>
      <c r="C271" s="3">
        <v>41251.570671296293</v>
      </c>
      <c r="D271" s="2">
        <v>39</v>
      </c>
      <c r="E271" s="2">
        <v>23</v>
      </c>
      <c r="F271" s="2" t="s">
        <v>8</v>
      </c>
      <c r="G271" s="2" t="s">
        <v>7</v>
      </c>
    </row>
    <row r="272" spans="1:7" ht="45" x14ac:dyDescent="0.25">
      <c r="A272" s="4" t="str">
        <f>HYPERLINK("http://techcrunch.com/2012/12/08/frienemies-apple-and-google-reportedly-join-forces-for-500m-bid-on-kodaks-1100-patents/","Frenemies: Apple And Google Reportedly Join Forces For $500M+ Bid On Kodak’s 1,100 Patents")</f>
        <v>Frenemies: Apple And Google Reportedly Join Forces For $500M+ Bid On Kodak’s 1,100 Patents</v>
      </c>
      <c r="B272" s="4" t="str">
        <f>HYPERLINK("http://www.facebook.com/8062627951/posts/273242306131737","Best frenemies, ever.")</f>
        <v>Best frenemies, ever.</v>
      </c>
      <c r="C272" s="3">
        <v>41251.548587962963</v>
      </c>
      <c r="D272" s="2">
        <v>63</v>
      </c>
      <c r="E272" s="2">
        <v>4</v>
      </c>
      <c r="F272" s="2" t="s">
        <v>7</v>
      </c>
      <c r="G272" s="2" t="s">
        <v>7</v>
      </c>
    </row>
    <row r="273" spans="1:7" ht="45" x14ac:dyDescent="0.25">
      <c r="A273" s="4" t="str">
        <f>HYPERLINK("http://www.facebook.com/photo.php?fbid=10151369480222952&amp;set=a.114456157951.118433.8062627951&amp;type=1&amp;relevant_count=1","[Photo]")</f>
        <v>[Photo]</v>
      </c>
      <c r="B273" s="4" t="s">
        <v>23</v>
      </c>
      <c r="C273" s="3">
        <v>41250.814652777779</v>
      </c>
      <c r="D273" s="2">
        <v>56</v>
      </c>
      <c r="E273" s="2">
        <v>3</v>
      </c>
      <c r="F273" s="2" t="s">
        <v>7</v>
      </c>
      <c r="G273" s="2" t="s">
        <v>8</v>
      </c>
    </row>
    <row r="274" spans="1:7" ht="30" x14ac:dyDescent="0.25">
      <c r="A274" s="4" t="str">
        <f>HYPERLINK("http://techcrunch.tumblr.com/post/37444573204/sf-sunset","Have a good weekend everyone. Any plans?")</f>
        <v>Have a good weekend everyone. Any plans?</v>
      </c>
      <c r="B274" s="4" t="str">
        <f>HYPERLINK("http://www.facebook.com/8062627951/posts/495197380500475","Who has some weekend plans they want to share? Go for it.")</f>
        <v>Who has some weekend plans they want to share? Go for it.</v>
      </c>
      <c r="C274" s="3">
        <v>41250.76766203704</v>
      </c>
      <c r="D274" s="2">
        <v>21</v>
      </c>
      <c r="E274" s="2">
        <v>22</v>
      </c>
      <c r="F274" s="2" t="s">
        <v>8</v>
      </c>
      <c r="G274" s="2" t="s">
        <v>7</v>
      </c>
    </row>
    <row r="275" spans="1:7" ht="30" x14ac:dyDescent="0.25">
      <c r="A275" s="4" t="str">
        <f>HYPERLINK("http://techcrunch.com/2012/12/07/yelp-reviewer-gets-slapped-with-750k-lawsuit-and-takedown-order/","Yelp Reviewer Gets SLAPPed With 750K Lawsuit And Takedown Order")</f>
        <v>Yelp Reviewer Gets SLAPPed With 750K Lawsuit And Takedown Order</v>
      </c>
      <c r="B275" s="4" t="str">
        <f>HYPERLINK("http://www.facebook.com/8062627951/posts/135352256618900","What are your thoughts on this lawsuit?")</f>
        <v>What are your thoughts on this lawsuit?</v>
      </c>
      <c r="C275" s="3">
        <v>41250.757268518515</v>
      </c>
      <c r="D275" s="2">
        <v>68</v>
      </c>
      <c r="E275" s="2">
        <v>26</v>
      </c>
      <c r="F275" s="2" t="s">
        <v>8</v>
      </c>
      <c r="G275" s="2" t="s">
        <v>7</v>
      </c>
    </row>
    <row r="276" spans="1:7" ht="45" x14ac:dyDescent="0.25">
      <c r="A276" s="4" t="str">
        <f>HYPERLINK("http://www.facebook.com/photo.php?fbid=10151369181707952&amp;set=a.114456157951.118433.8062627951&amp;type=1&amp;relevant_count=1","[Photo]")</f>
        <v>[Photo]</v>
      </c>
      <c r="B276" s="4" t="str">
        <f>HYPERLINK("http://www.facebook.com/8062627951/posts/10151369181772952","U.S. Patent Office preliminary determination finds that the ‘Steve Jobs’ multitouch patent is invalid - http://tcrn.ch/U0fiPI")</f>
        <v>U.S. Patent Office preliminary determination finds that the ‘Steve Jobs’ multitouch patent is invalid - http://tcrn.ch/U0fiPI</v>
      </c>
      <c r="C276" s="3">
        <v>41250.623206018521</v>
      </c>
      <c r="D276" s="2">
        <v>441</v>
      </c>
      <c r="E276" s="2">
        <v>54</v>
      </c>
      <c r="F276" s="2" t="s">
        <v>7</v>
      </c>
      <c r="G276" s="2" t="s">
        <v>8</v>
      </c>
    </row>
    <row r="277" spans="1:7" ht="45" x14ac:dyDescent="0.25">
      <c r="A277" s="4" t="str">
        <f>HYPERLINK("http://www.facebook.com/photo.php?fbid=10151369064232952&amp;set=a.114456157951.118433.8062627951&amp;type=1&amp;relevant_count=1","[Photo]")</f>
        <v>[Photo]</v>
      </c>
      <c r="B277" s="4" t="str">
        <f>HYPERLINK("http://www.facebook.com/8062627951/posts/10151369064292952","Targeting the enterprise, Openera is an IFTTT for email attachments, which has been winning pitch competitions all across Canada for its service - http://tcrn.ch/Us89Je")</f>
        <v>Targeting the enterprise, Openera is an IFTTT for email attachments, which has been winning pitch competitions all across Canada for its service - http://tcrn.ch/Us89Je</v>
      </c>
      <c r="C277" s="3">
        <v>41250.549016203702</v>
      </c>
      <c r="D277" s="2">
        <v>94</v>
      </c>
      <c r="E277" s="2">
        <v>8</v>
      </c>
      <c r="F277" s="2" t="s">
        <v>7</v>
      </c>
      <c r="G277" s="2" t="s">
        <v>8</v>
      </c>
    </row>
    <row r="278" spans="1:7" ht="30" x14ac:dyDescent="0.25">
      <c r="A278" s="4" t="str">
        <f>HYPERLINK("http://www.facebook.com/photo.php?fbid=10151368939467952&amp;set=a.114456157951.118433.8062627951&amp;type=1&amp;relevant_count=1","[Photo]")</f>
        <v>[Photo]</v>
      </c>
      <c r="B278" s="4" t="str">
        <f>HYPERLINK("http://www.facebook.com/8062627951/posts/10151368939532952","Dropbox hires away Google's Guido Van Rossum, the father of Python http://tcrn.ch/TZyz3T")</f>
        <v>Dropbox hires away Google's Guido Van Rossum, the father of Python http://tcrn.ch/TZyz3T</v>
      </c>
      <c r="C278" s="3">
        <v>41250.477361111109</v>
      </c>
      <c r="D278" s="2">
        <v>377</v>
      </c>
      <c r="E278" s="2">
        <v>23</v>
      </c>
      <c r="F278" s="2" t="s">
        <v>7</v>
      </c>
      <c r="G278" s="2" t="s">
        <v>8</v>
      </c>
    </row>
    <row r="279" spans="1:7" ht="30" x14ac:dyDescent="0.25">
      <c r="A279" s="4" t="str">
        <f>HYPERLINK("http://www.facebook.com/photo.php?fbid=10151368903592952&amp;set=a.114456157951.118433.8062627951&amp;type=1&amp;relevant_count=1","[Photo]")</f>
        <v>[Photo]</v>
      </c>
      <c r="B279" s="4" t="str">
        <f>HYPERLINK("http://www.facebook.com/8062627951/posts/10151368903617952","Instagram appears to have turned Twitter Cards back on for its photos - http://tcrn.ch/UsbOGP")</f>
        <v>Instagram appears to have turned Twitter Cards back on for its photos - http://tcrn.ch/UsbOGP</v>
      </c>
      <c r="C279" s="3">
        <v>41250.45412037037</v>
      </c>
      <c r="D279" s="2">
        <v>39</v>
      </c>
      <c r="E279" s="2">
        <v>7</v>
      </c>
      <c r="F279" s="2" t="s">
        <v>7</v>
      </c>
      <c r="G279" s="2" t="s">
        <v>8</v>
      </c>
    </row>
    <row r="280" spans="1:7" ht="30" x14ac:dyDescent="0.25">
      <c r="A280" s="4" t="str">
        <f>HYPERLINK("http://www.facebook.com/photo.php?fbid=10151368870172952&amp;set=a.114456157951.118433.8062627951&amp;type=1&amp;relevant_count=1","[Photo]")</f>
        <v>[Photo]</v>
      </c>
      <c r="B280" s="4" t="str">
        <f>HYPERLINK("http://www.facebook.com/8062627951/posts/10151368870232952","Does tech create jobs around the U.S.? Maps and graphs and charts, oh my! - http://tcrn.ch/QNc1pZ")</f>
        <v>Does tech create jobs around the U.S.? Maps and graphs and charts, oh my! - http://tcrn.ch/QNc1pZ</v>
      </c>
      <c r="C280" s="3">
        <v>41250.431712962964</v>
      </c>
      <c r="D280" s="2">
        <v>131</v>
      </c>
      <c r="E280" s="2">
        <v>18</v>
      </c>
      <c r="F280" s="2" t="s">
        <v>8</v>
      </c>
      <c r="G280" s="2" t="s">
        <v>8</v>
      </c>
    </row>
    <row r="281" spans="1:7" ht="30" x14ac:dyDescent="0.25">
      <c r="A281" s="4" t="str">
        <f>HYPERLINK("http://techcrunch.com/2012/12/07/baggg-it-is-a-wayyy-to-baggg-and-sharrre-your-online-shoppping/","Baggg.it Is A Wayyy To Baggg And Sharrre Your Online Shoppping")</f>
        <v>Baggg.it Is A Wayyy To Baggg And Sharrre Your Online Shoppping</v>
      </c>
      <c r="B281" s="4" t="str">
        <f>HYPERLINK("http://www.facebook.com/8062627951/posts/122161594612024","Youuu shoulddd trrry thiiis outtt.")</f>
        <v>Youuu shoulddd trrry thiiis outtt.</v>
      </c>
      <c r="C281" s="3">
        <v>41250.412361111114</v>
      </c>
      <c r="D281" s="2">
        <v>26</v>
      </c>
      <c r="E281" s="2">
        <v>9</v>
      </c>
      <c r="F281" s="2" t="s">
        <v>7</v>
      </c>
      <c r="G281" s="2" t="s">
        <v>7</v>
      </c>
    </row>
    <row r="282" spans="1:7" ht="45" x14ac:dyDescent="0.25">
      <c r="A282" s="4" t="str">
        <f>HYPERLINK("http://www.facebook.com/photo.php?fbid=10151368804182952&amp;set=a.114456157951.118433.8062627951&amp;type=1&amp;relevant_count=1","[Photo]")</f>
        <v>[Photo]</v>
      </c>
      <c r="B282" s="4" t="str">
        <f>HYPERLINK("http://www.facebook.com/8062627951/posts/10151368804227952","Apple patent a reminder that it’s working on Google Glass-style wearable tech, too - http://tcrn.ch/TJkbQJ  Once ready, think it'll be better than Google's?")</f>
        <v>Apple patent a reminder that it’s working on Google Glass-style wearable tech, too - http://tcrn.ch/TJkbQJ  Once ready, think it'll be better than Google's?</v>
      </c>
      <c r="C282" s="3">
        <v>41250.391192129631</v>
      </c>
      <c r="D282" s="2">
        <v>201</v>
      </c>
      <c r="E282" s="2">
        <v>59</v>
      </c>
      <c r="F282" s="2" t="s">
        <v>8</v>
      </c>
      <c r="G282" s="2" t="s">
        <v>8</v>
      </c>
    </row>
    <row r="283" spans="1:7" ht="60" x14ac:dyDescent="0.25">
      <c r="A283" s="4" t="str">
        <f>HYPERLINK("http://www.facebook.com/photo.php?fbid=10151368750102952&amp;set=a.114456157951.118433.8062627951&amp;type=1&amp;relevant_count=1","[Photo]")</f>
        <v>[Photo]</v>
      </c>
      <c r="B283" s="4" t="str">
        <f>HYPERLINK("http://www.facebook.com/8062627951/posts/10151368750192952","Developers will love this: Facebook now auto-generates documentation from source code - http://tcrn.ch/VOOdkD    Cheers to fewer expletive-filled all-nighters hunched over your code.")</f>
        <v>Developers will love this: Facebook now auto-generates documentation from source code - http://tcrn.ch/VOOdkD    Cheers to fewer expletive-filled all-nighters hunched over your code.</v>
      </c>
      <c r="C283" s="3">
        <v>41250.357581018521</v>
      </c>
      <c r="D283" s="2">
        <v>277</v>
      </c>
      <c r="E283" s="2">
        <v>24</v>
      </c>
      <c r="F283" s="2" t="s">
        <v>7</v>
      </c>
      <c r="G283" s="2" t="s">
        <v>8</v>
      </c>
    </row>
    <row r="284" spans="1:7" ht="30" x14ac:dyDescent="0.25">
      <c r="A284" s="4" t="str">
        <f>HYPERLINK("http://www.facebook.com/photo.php?fbid=10151368639937952&amp;set=a.114456157951.118433.8062627951&amp;type=1&amp;relevant_count=1","[Photo]")</f>
        <v>[Photo]</v>
      </c>
      <c r="B284" s="4" t="str">
        <f>HYPERLINK("http://www.facebook.com/8062627951/posts/10151368639987952","Final Fantasy IV comes to iOS devices Dec. 20, giving us another chance to pay for it again - http://tcrn.ch/SLdGMC")</f>
        <v>Final Fantasy IV comes to iOS devices Dec. 20, giving us another chance to pay for it again - http://tcrn.ch/SLdGMC</v>
      </c>
      <c r="C284" s="3">
        <v>41250.290752314817</v>
      </c>
      <c r="D284" s="2">
        <v>43</v>
      </c>
      <c r="E284" s="2">
        <v>11</v>
      </c>
      <c r="F284" s="2" t="s">
        <v>7</v>
      </c>
      <c r="G284" s="2" t="s">
        <v>8</v>
      </c>
    </row>
    <row r="285" spans="1:7" ht="45" x14ac:dyDescent="0.25">
      <c r="A285" s="4" t="str">
        <f>HYPERLINK("http://techcrunch.com/2012/12/07/google-kills-free-google-apps-for-business-now-only-offering-premium-paid-version-to-companies-of-all-sizes/","Google Kills Free Google Apps For Business, Now Only Offering Premium Paid Version To Companies Of A")</f>
        <v>Google Kills Free Google Apps For Business, Now Only Offering Premium Paid Version To Companies Of A</v>
      </c>
      <c r="B285" s="4" t="str">
        <f>HYPERLINK("http://www.facebook.com/8062627951/posts/131411253682581","It was good while it lasted.")</f>
        <v>It was good while it lasted.</v>
      </c>
      <c r="C285" s="3">
        <v>41250.251689814817</v>
      </c>
      <c r="D285" s="2">
        <v>129</v>
      </c>
      <c r="E285" s="2">
        <v>39</v>
      </c>
      <c r="F285" s="2" t="s">
        <v>7</v>
      </c>
      <c r="G285" s="2" t="s">
        <v>7</v>
      </c>
    </row>
    <row r="286" spans="1:7" ht="45" x14ac:dyDescent="0.25">
      <c r="A286" s="4" t="str">
        <f>HYPERLINK("http://techcrunch.com/2012/12/07/apple-vs-samsung-judge-koh-makes-plea-for-global-peace-as-pair-muster-latest-round-of-legal-arguments/","Apple Vs Samsung: Judge Koh Makes Plea For “Global Peace” As Pair Muster Latest Round Of Legal Argum")</f>
        <v>Apple Vs Samsung: Judge Koh Makes Plea For “Global Peace” As Pair Muster Latest Round Of Legal Argum</v>
      </c>
      <c r="B286" s="4" t="str">
        <f>HYPERLINK("http://www.facebook.com/8062627951/posts/505382449487022","Can't we all just get alone?")</f>
        <v>Can't we all just get alone?</v>
      </c>
      <c r="C286" s="3">
        <v>41250.187349537038</v>
      </c>
      <c r="D286" s="2">
        <v>44</v>
      </c>
      <c r="E286" s="2">
        <v>13</v>
      </c>
      <c r="F286" s="2" t="s">
        <v>8</v>
      </c>
      <c r="G286" s="2" t="s">
        <v>7</v>
      </c>
    </row>
    <row r="287" spans="1:7" ht="30" x14ac:dyDescent="0.25">
      <c r="A287" s="4" t="str">
        <f>HYPERLINK("http://www.facebook.com/photo.php?fbid=10151368270342952&amp;set=a.114456157951.118433.8062627951&amp;type=1&amp;relevant_count=1","[Photo]")</f>
        <v>[Photo]</v>
      </c>
      <c r="B287" s="4" t="str">
        <f>HYPERLINK("http://www.facebook.com/8062627951/posts/10151368270372952","Uber for maids: GetMaid launches its on-demand, premium maid service in New York - http://tcrn.ch/VnurdY")</f>
        <v>Uber for maids: GetMaid launches its on-demand, premium maid service in New York - http://tcrn.ch/VnurdY</v>
      </c>
      <c r="C287" s="3">
        <v>41249.954444444447</v>
      </c>
      <c r="D287" s="2">
        <v>120</v>
      </c>
      <c r="E287" s="2">
        <v>14</v>
      </c>
      <c r="F287" s="2" t="s">
        <v>7</v>
      </c>
      <c r="G287" s="2" t="s">
        <v>8</v>
      </c>
    </row>
    <row r="288" spans="1:7" ht="75" x14ac:dyDescent="0.25">
      <c r="A288" s="4" t="str">
        <f>HYPERLINK("http://techcrunch.com/2012/12/06/startup-nyc-citi-lays-off-11k-finance-employees-thinkful-tries-to-get-them-hired-in-tech/","Startup NYC: Citi Lays Off 11K Finance Employees, Thinkful Tries To Get Them Hired In Tech")</f>
        <v>Startup NYC: Citi Lays Off 11K Finance Employees, Thinkful Tries To Get Them Hired In Tech</v>
      </c>
      <c r="B288" s="4" t="s">
        <v>24</v>
      </c>
      <c r="C288" s="3">
        <v>41249.894895833335</v>
      </c>
      <c r="D288" s="2">
        <v>90</v>
      </c>
      <c r="E288" s="2">
        <v>0</v>
      </c>
      <c r="F288" s="2" t="s">
        <v>8</v>
      </c>
      <c r="G288" s="2" t="s">
        <v>7</v>
      </c>
    </row>
    <row r="289" spans="1:7" ht="30" x14ac:dyDescent="0.25">
      <c r="A289" s="4" t="str">
        <f>HYPERLINK("http://techcrunch.com/2012/12/06/netflix-facebook-sec/","Netflix Being Investigated By The SEC For CEO Reed Hastings’ Public Facebook Posts")</f>
        <v>Netflix Being Investigated By The SEC For CEO Reed Hastings’ Public Facebook Posts</v>
      </c>
      <c r="B289" s="4" t="str">
        <f>HYPERLINK("http://www.facebook.com/8062627951/posts/433711936683618","Yikes. As if Netflix didn't have enough problems already.")</f>
        <v>Yikes. As if Netflix didn't have enough problems already.</v>
      </c>
      <c r="C289" s="3">
        <v>41249.837025462963</v>
      </c>
      <c r="D289" s="2">
        <v>59</v>
      </c>
      <c r="E289" s="2">
        <v>17</v>
      </c>
      <c r="F289" s="2" t="s">
        <v>7</v>
      </c>
      <c r="G289" s="2" t="s">
        <v>7</v>
      </c>
    </row>
    <row r="290" spans="1:7" ht="30" x14ac:dyDescent="0.25">
      <c r="A290" s="4" t="str">
        <f>HYPERLINK("http://www.facebook.com/photo.php?fbid=10151367960737952&amp;set=a.114456157951.118433.8062627951&amp;type=1&amp;relevant_count=1","[Photo]")</f>
        <v>[Photo]</v>
      </c>
      <c r="B290" s="4" t="str">
        <f>HYPERLINK("http://www.facebook.com/8062627951/posts/10151367960787952","Can anyone guess who this Crunchie Monkey is? http://instagram.com/p/S6hJ-tOvcZ/")</f>
        <v>Can anyone guess who this Crunchie Monkey is? http://instagram.com/p/S6hJ-tOvcZ/</v>
      </c>
      <c r="C290" s="3">
        <v>41249.729664351849</v>
      </c>
      <c r="D290" s="2">
        <v>29</v>
      </c>
      <c r="E290" s="2">
        <v>28</v>
      </c>
      <c r="F290" s="2" t="s">
        <v>8</v>
      </c>
      <c r="G290" s="2" t="s">
        <v>8</v>
      </c>
    </row>
    <row r="291" spans="1:7" ht="30" x14ac:dyDescent="0.25">
      <c r="A291" s="4" t="str">
        <f>HYPERLINK("http://www.facebook.com/photo.php?fbid=10151367888212952&amp;set=a.114456157951.118433.8062627951&amp;type=1&amp;relevant_count=1","[Photo]")</f>
        <v>[Photo]</v>
      </c>
      <c r="B291" s="4" t="str">
        <f>HYPERLINK("http://www.facebook.com/8062627951/posts/10151367888267952","Behind the scenes with writer Jordan Crook and Mason Jar Music. Stay tuned for what's to come.")</f>
        <v>Behind the scenes with writer Jordan Crook and Mason Jar Music. Stay tuned for what's to come.</v>
      </c>
      <c r="C291" s="3">
        <v>41249.680162037039</v>
      </c>
      <c r="D291" s="2">
        <v>15</v>
      </c>
      <c r="E291" s="2">
        <v>1</v>
      </c>
      <c r="F291" s="2" t="s">
        <v>7</v>
      </c>
      <c r="G291" s="2" t="s">
        <v>8</v>
      </c>
    </row>
    <row r="292" spans="1:7" ht="45" x14ac:dyDescent="0.25">
      <c r="A292" s="4" t="str">
        <f>HYPERLINK("http://www.facebook.com/photo.php?fbid=10151367842287952&amp;set=a.114456157951.118433.8062627951&amp;type=1&amp;relevant_count=1","[Photo]")</f>
        <v>[Photo]</v>
      </c>
      <c r="B292" s="4" t="str">
        <f>HYPERLINK("http://www.facebook.com/8062627951/posts/10151367842402952","Finally. YouTube is launching a redesign to reduce clutter and put videos front and center - http://tcrn.ch/SBtIY2    What do you think of the new redesign?")</f>
        <v>Finally. YouTube is launching a redesign to reduce clutter and put videos front and center - http://tcrn.ch/SBtIY2    What do you think of the new redesign?</v>
      </c>
      <c r="C292" s="3">
        <v>41249.656064814815</v>
      </c>
      <c r="D292" s="2">
        <v>414</v>
      </c>
      <c r="E292" s="2">
        <v>73</v>
      </c>
      <c r="F292" s="2" t="s">
        <v>8</v>
      </c>
      <c r="G292" s="2" t="s">
        <v>8</v>
      </c>
    </row>
    <row r="293" spans="1:7" ht="30" x14ac:dyDescent="0.25">
      <c r="A293" s="4" t="str">
        <f>HYPERLINK("http://www.facebook.com/photo.php?fbid=10151367769082952&amp;set=a.114456157951.118433.8062627951&amp;type=1&amp;relevant_count=1","[Photo]")</f>
        <v>[Photo]</v>
      </c>
      <c r="B293" s="4" t="str">
        <f>HYPERLINK("http://www.facebook.com/8062627951/posts/10151367769122952","Foursquare gets better for business: you can now add events to your venue - http://tcrn.ch/TFCDXb")</f>
        <v>Foursquare gets better for business: you can now add events to your venue - http://tcrn.ch/TFCDXb</v>
      </c>
      <c r="C293" s="3">
        <v>41249.613252314812</v>
      </c>
      <c r="D293" s="2">
        <v>77</v>
      </c>
      <c r="E293" s="2">
        <v>3</v>
      </c>
      <c r="F293" s="2" t="s">
        <v>7</v>
      </c>
      <c r="G293" s="2" t="s">
        <v>8</v>
      </c>
    </row>
    <row r="294" spans="1:7" ht="30" x14ac:dyDescent="0.25">
      <c r="A294" s="4" t="str">
        <f>HYPERLINK("http://www.facebook.com/photo.php?fbid=10151367651677952&amp;set=a.114456157951.118433.8062627951&amp;type=1&amp;relevant_count=1","[Photo]")</f>
        <v>[Photo]</v>
      </c>
      <c r="B294" s="4" t="str">
        <f>HYPERLINK("http://www.facebook.com/8062627951/posts/10151367651772952","The Onion: Apple to fix Map software by rearranging Earth’s geography - http://tcrn.ch/11ZOnct")</f>
        <v>The Onion: Apple to fix Map software by rearranging Earth’s geography - http://tcrn.ch/11ZOnct</v>
      </c>
      <c r="C294" s="3">
        <v>41249.552905092591</v>
      </c>
      <c r="D294" s="2">
        <v>876</v>
      </c>
      <c r="E294" s="2">
        <v>29</v>
      </c>
      <c r="F294" s="2" t="s">
        <v>7</v>
      </c>
      <c r="G294" s="2" t="s">
        <v>8</v>
      </c>
    </row>
    <row r="295" spans="1:7" ht="30" x14ac:dyDescent="0.25">
      <c r="A295" s="4" t="str">
        <f>HYPERLINK("http://www.facebook.com/photo.php?fbid=10151367565747952&amp;set=a.114456157951.118433.8062627951&amp;type=1&amp;relevant_count=1","[Photo]")</f>
        <v>[Photo]</v>
      </c>
      <c r="B295" s="4" t="str">
        <f>HYPERLINK("http://www.facebook.com/8062627951/posts/10151367565832952","Who wants a brand new Lytro camera? Make sure you enter - http://tcrn.ch/1223DWh")</f>
        <v>Who wants a brand new Lytro camera? Make sure you enter - http://tcrn.ch/1223DWh</v>
      </c>
      <c r="C295" s="3">
        <v>41249.508831018517</v>
      </c>
      <c r="D295" s="2">
        <v>301</v>
      </c>
      <c r="E295" s="2">
        <v>81</v>
      </c>
      <c r="F295" s="2" t="s">
        <v>8</v>
      </c>
      <c r="G295" s="2" t="s">
        <v>8</v>
      </c>
    </row>
    <row r="296" spans="1:7" ht="30" x14ac:dyDescent="0.25">
      <c r="A296" s="4" t="str">
        <f>HYPERLINK("http://www.facebook.com/photo.php?fbid=10151367475482952&amp;set=a.114456157951.118433.8062627951&amp;type=1&amp;relevant_count=1","[Photo]")</f>
        <v>[Photo]</v>
      </c>
      <c r="B296" s="4" t="str">
        <f>HYPERLINK("http://www.facebook.com/8062627951/posts/10151367475567952","We're not afraid of 3D-printed guns - http://tcrn.ch/VprY2j    What do you think? Are you?")</f>
        <v>We're not afraid of 3D-printed guns - http://tcrn.ch/VprY2j    What do you think? Are you?</v>
      </c>
      <c r="C296" s="3">
        <v>41249.467997685184</v>
      </c>
      <c r="D296" s="2">
        <v>49</v>
      </c>
      <c r="E296" s="2">
        <v>8</v>
      </c>
      <c r="F296" s="2" t="s">
        <v>8</v>
      </c>
      <c r="G296" s="2" t="s">
        <v>8</v>
      </c>
    </row>
    <row r="297" spans="1:7" ht="45" x14ac:dyDescent="0.25">
      <c r="A297" s="4" t="str">
        <f>HYPERLINK("http://techcrunch.com/2012/12/06/today-is-the-last-day-to-nominate-your-favorites-for-the-6th-annual-crunchies-awards/","Today Is The Last Day To Nominate Your Favorites For The 6th Annual Crunchies Awards")</f>
        <v>Today Is The Last Day To Nominate Your Favorites For The 6th Annual Crunchies Awards</v>
      </c>
      <c r="B297" s="4" t="str">
        <f>HYPERLINK("http://www.facebook.com/8062627951/posts/434149043301634","It's the last day to get your nominations in for the 6th Annual Crunchies Awards. Go nominate now!")</f>
        <v>It's the last day to get your nominations in for the 6th Annual Crunchies Awards. Go nominate now!</v>
      </c>
      <c r="C297" s="3">
        <v>41249.451273148145</v>
      </c>
      <c r="D297" s="2">
        <v>22</v>
      </c>
      <c r="E297" s="2">
        <v>0</v>
      </c>
      <c r="F297" s="2" t="s">
        <v>7</v>
      </c>
      <c r="G297" s="2" t="s">
        <v>7</v>
      </c>
    </row>
    <row r="298" spans="1:7" ht="45" x14ac:dyDescent="0.25">
      <c r="A298" s="4" t="str">
        <f>HYPERLINK("http://www.facebook.com/photo.php?fbid=10151367396492952&amp;set=a.114456157951.118433.8062627951&amp;type=1&amp;relevant_count=1","[Photo]")</f>
        <v>[Photo]</v>
      </c>
      <c r="B298" s="4" t="str">
        <f>HYPERLINK("http://www.facebook.com/8062627951/posts/10151367396547952","Lars Ulrich, the notorious Napster destroyer, announces his band Metallica’s music is now on Spotify - http://tcrn.ch/TUZ8qJ    Any Metallica fans?")</f>
        <v>Lars Ulrich, the notorious Napster destroyer, announces his band Metallica’s music is now on Spotify - http://tcrn.ch/TUZ8qJ    Any Metallica fans?</v>
      </c>
      <c r="C298" s="3">
        <v>41249.423310185186</v>
      </c>
      <c r="D298" s="2">
        <v>353</v>
      </c>
      <c r="E298" s="2">
        <v>99</v>
      </c>
      <c r="F298" s="2" t="s">
        <v>8</v>
      </c>
      <c r="G298" s="2" t="s">
        <v>8</v>
      </c>
    </row>
    <row r="299" spans="1:7" ht="30" x14ac:dyDescent="0.25">
      <c r="A299" s="4" t="str">
        <f>HYPERLINK("http://www.facebook.com/photo.php?fbid=10151367281587952&amp;set=a.114456157951.118433.8062627951&amp;type=1&amp;relevant_count=1","[Photo]")</f>
        <v>[Photo]</v>
      </c>
      <c r="B299" s="4" t="str">
        <f>HYPERLINK("http://www.facebook.com/8062627951/posts/10151367281627952","Soleio, the designer of Facebook's Like button, joins the Dropbox team http://tcrn.ch/11KW1Iy")</f>
        <v>Soleio, the designer of Facebook's Like button, joins the Dropbox team http://tcrn.ch/11KW1Iy</v>
      </c>
      <c r="C299" s="3">
        <v>41249.360069444447</v>
      </c>
      <c r="D299" s="2">
        <v>355</v>
      </c>
      <c r="E299" s="2">
        <v>30</v>
      </c>
      <c r="F299" s="2" t="s">
        <v>7</v>
      </c>
      <c r="G299" s="2" t="s">
        <v>8</v>
      </c>
    </row>
    <row r="300" spans="1:7" ht="30" x14ac:dyDescent="0.25">
      <c r="A300" s="4" t="str">
        <f>HYPERLINK("http://www.facebook.com/photo.php?fbid=10151367213827952&amp;set=a.114456157951.118433.8062627951&amp;type=1&amp;relevant_count=1","[Photo]")</f>
        <v>[Photo]</v>
      </c>
      <c r="B300" s="4" t="str">
        <f>HYPERLINK("http://www.facebook.com/8062627951/posts/10151367213857952","Explainer: What power the UN actually has over the Internet (Hint: not much) - http://tcrn.ch/SAx9hH")</f>
        <v>Explainer: What power the UN actually has over the Internet (Hint: not much) - http://tcrn.ch/SAx9hH</v>
      </c>
      <c r="C300" s="3">
        <v>41249.321759259263</v>
      </c>
      <c r="D300" s="2">
        <v>34</v>
      </c>
      <c r="E300" s="2">
        <v>2</v>
      </c>
      <c r="F300" s="2" t="s">
        <v>7</v>
      </c>
      <c r="G300" s="2" t="s">
        <v>8</v>
      </c>
    </row>
    <row r="301" spans="1:7" x14ac:dyDescent="0.25">
      <c r="A301" s="4" t="str">
        <f>HYPERLINK("http://www.facebook.com/photo.php?fbid=10151367168152952&amp;set=a.114456157951.118433.8062627951&amp;type=1&amp;relevant_count=1","[Photo]")</f>
        <v>[Photo]</v>
      </c>
      <c r="B301" s="4" t="str">
        <f>HYPERLINK("http://www.facebook.com/8062627951/posts/10151367168257952","Instagram competitor from Google? http://tcrn.ch/TUbQpO")</f>
        <v>Instagram competitor from Google? http://tcrn.ch/TUbQpO</v>
      </c>
      <c r="C301" s="3">
        <v>41249.301504629628</v>
      </c>
      <c r="D301" s="2">
        <v>179</v>
      </c>
      <c r="E301" s="2">
        <v>19</v>
      </c>
      <c r="F301" s="2" t="s">
        <v>8</v>
      </c>
      <c r="G301" s="2" t="s">
        <v>8</v>
      </c>
    </row>
    <row r="302" spans="1:7" ht="45" x14ac:dyDescent="0.25">
      <c r="A302" s="4" t="str">
        <f>HYPERLINK("http://techcrunch.com/2012/12/06/apple-ceo-tim-cook-talks-transparency-100m-u-s-mac-manufacturing-investment-forstall-maps-and-more/","Apple CEO Tim Cook Talks Transparency, $100M U.S. Mac Manufacturing Investment, Forstall, Maps And M")</f>
        <v>Apple CEO Tim Cook Talks Transparency, $100M U.S. Mac Manufacturing Investment, Forstall, Maps And M</v>
      </c>
      <c r="B302" s="4" t="str">
        <f>HYPERLINK("http://www.facebook.com/8062627951/posts/393837414029880","Tim Cook speaks out on all things Apple.")</f>
        <v>Tim Cook speaks out on all things Apple.</v>
      </c>
      <c r="C302" s="3">
        <v>41249.250960648147</v>
      </c>
      <c r="D302" s="2">
        <v>97</v>
      </c>
      <c r="E302" s="2">
        <v>15</v>
      </c>
      <c r="F302" s="2" t="s">
        <v>7</v>
      </c>
      <c r="G302" s="2" t="s">
        <v>7</v>
      </c>
    </row>
    <row r="303" spans="1:7" ht="30" x14ac:dyDescent="0.25">
      <c r="A303" s="4" t="str">
        <f>HYPERLINK("http://www.facebook.com/photo.php?fbid=10151367053257952&amp;set=a.114456157951.118433.8062627951&amp;type=1&amp;relevant_count=1","[Photo]")</f>
        <v>[Photo]</v>
      </c>
      <c r="B303" s="4" t="str">
        <f>HYPERLINK("http://www.facebook.com/8062627951/posts/10151367053292952","They screwed us. Right before they screwed us again. #poohead - http://tcrn.ch/QJbyVV")</f>
        <v>They screwed us. Right before they screwed us again. #poohead - http://tcrn.ch/QJbyVV</v>
      </c>
      <c r="C303" s="3">
        <v>41249.229872685188</v>
      </c>
      <c r="D303" s="2">
        <v>36</v>
      </c>
      <c r="E303" s="2">
        <v>2</v>
      </c>
      <c r="F303" s="2" t="s">
        <v>7</v>
      </c>
      <c r="G303" s="2" t="s">
        <v>8</v>
      </c>
    </row>
    <row r="304" spans="1:7" ht="45" x14ac:dyDescent="0.25">
      <c r="A304" s="4" t="str">
        <f>HYPERLINK("http://techcrunch.com/2012/12/05/zynga-gambling-application-nevada/","Zynga Makes First Move Towards Gambling In Nevada, Says Process Will Take More Than A Year")</f>
        <v>Zynga Makes First Move Towards Gambling In Nevada, Says Process Will Take More Than A Year</v>
      </c>
      <c r="B304" s="4" t="str">
        <f>HYPERLINK("http://www.facebook.com/8062627951/posts/422704454466216","Zynga takes its first step towards offering real-money gambling games in Nevada.")</f>
        <v>Zynga takes its first step towards offering real-money gambling games in Nevada.</v>
      </c>
      <c r="C304" s="3">
        <v>41248.87060185185</v>
      </c>
      <c r="D304" s="2">
        <v>50</v>
      </c>
      <c r="E304" s="2">
        <v>6</v>
      </c>
      <c r="F304" s="2" t="s">
        <v>7</v>
      </c>
      <c r="G304" s="2" t="s">
        <v>7</v>
      </c>
    </row>
    <row r="305" spans="1:7" ht="30" x14ac:dyDescent="0.25">
      <c r="A305" s="4" t="str">
        <f>HYPERLINK("http://www.facebook.com/photo.php?fbid=10151366439292952&amp;set=a.114456157951.118433.8062627951&amp;type=1&amp;relevant_count=1","[Photo]")</f>
        <v>[Photo]</v>
      </c>
      <c r="B305" s="4" t="str">
        <f>HYPERLINK("http://www.facebook.com/8062627951/posts/10151366439337952","Apple drops 6.4% due to volatility and uncertainty: the iPad mini is out, now what? - http://tcrn.ch/TGlu2V")</f>
        <v>Apple drops 6.4% due to volatility and uncertainty: the iPad mini is out, now what? - http://tcrn.ch/TGlu2V</v>
      </c>
      <c r="C305" s="3">
        <v>41248.770543981482</v>
      </c>
      <c r="D305" s="2">
        <v>143</v>
      </c>
      <c r="E305" s="2">
        <v>58</v>
      </c>
      <c r="F305" s="2" t="s">
        <v>8</v>
      </c>
      <c r="G305" s="2" t="s">
        <v>8</v>
      </c>
    </row>
    <row r="306" spans="1:7" x14ac:dyDescent="0.25">
      <c r="A306" s="4" t="s">
        <v>9</v>
      </c>
      <c r="B306" s="4" t="str">
        <f>HYPERLINK("http://www.facebook.com/8062627951/posts/10151366363337952","The gadget at the top of my holiday wish list is __________.")</f>
        <v>The gadget at the top of my holiday wish list is __________.</v>
      </c>
      <c r="C306" s="3">
        <v>41248.721539351849</v>
      </c>
      <c r="D306" s="2">
        <v>89</v>
      </c>
      <c r="E306" s="2">
        <v>383</v>
      </c>
      <c r="F306" s="2" t="s">
        <v>7</v>
      </c>
      <c r="G306" s="2" t="s">
        <v>7</v>
      </c>
    </row>
    <row r="307" spans="1:7" ht="45" x14ac:dyDescent="0.25">
      <c r="A307" s="4" t="str">
        <f>HYPERLINK("http://techcrunch.com/2012/12/05/as-part-of-its-sad-fight-for-relevance-blockbuster-may-start-selling-mobile-phones-in-its-stores/","As Part Of Its Sad Fight For Relevance, Blockbuster May Start Selling Mobile Phones In Its Stores")</f>
        <v>As Part Of Its Sad Fight For Relevance, Blockbuster May Start Selling Mobile Phones In Its Stores</v>
      </c>
      <c r="B307" s="4" t="str">
        <f>HYPERLINK("http://www.facebook.com/8062627951/posts/393928614026194","Looks like Blockbuster is gearing up to sell mobile phones alongside Milk Duds.  How many of you would buy a mobile phone at Blockbuster?")</f>
        <v>Looks like Blockbuster is gearing up to sell mobile phones alongside Milk Duds.  How many of you would buy a mobile phone at Blockbuster?</v>
      </c>
      <c r="C307" s="3">
        <v>41248.719386574077</v>
      </c>
      <c r="D307" s="2">
        <v>29</v>
      </c>
      <c r="E307" s="2">
        <v>47</v>
      </c>
      <c r="F307" s="2" t="s">
        <v>8</v>
      </c>
      <c r="G307" s="2" t="s">
        <v>7</v>
      </c>
    </row>
    <row r="308" spans="1:7" ht="45" x14ac:dyDescent="0.25">
      <c r="A308" s="4" t="str">
        <f>HYPERLINK("http://www.facebook.com/photo.php?fbid=10151366243572952&amp;set=a.114456157951.118433.8062627951&amp;type=1&amp;relevant_count=1","[Photo]")</f>
        <v>[Photo]</v>
      </c>
      <c r="B308" s="4" t="str">
        <f>HYPERLINK("http://www.facebook.com/8062627951/posts/10151366243622952","Exclusive: Mad Magazine celebrates the dumbest things in 2012, Facebook IPO is #16 - http://tcrn.ch/QIeYbo    What else do you think should be on this list?")</f>
        <v>Exclusive: Mad Magazine celebrates the dumbest things in 2012, Facebook IPO is #16 - http://tcrn.ch/QIeYbo    What else do you think should be on this list?</v>
      </c>
      <c r="C308" s="3">
        <v>41248.651250000003</v>
      </c>
      <c r="D308" s="2">
        <v>109</v>
      </c>
      <c r="E308" s="2">
        <v>12</v>
      </c>
      <c r="F308" s="2" t="s">
        <v>8</v>
      </c>
      <c r="G308" s="2" t="s">
        <v>8</v>
      </c>
    </row>
    <row r="309" spans="1:7" ht="45" x14ac:dyDescent="0.25">
      <c r="A309" s="4" t="str">
        <f>HYPERLINK("http://www.facebook.com/photo.php?fbid=10151366161782952&amp;set=a.114456157951.118433.8062627951&amp;type=1&amp;relevant_count=1","[Photo]")</f>
        <v>[Photo]</v>
      </c>
      <c r="B309" s="4" t="str">
        <f>HYPERLINK("http://www.facebook.com/8062627951/posts/10151366161827952","A Lamborghini-inspired watch anyone?    MB&amp;F’s new Lamborghini-inspired watch is beautiful, and ‘relatively’ affordable (still $63K) - http://tcrn.ch/QI8NnE")</f>
        <v>A Lamborghini-inspired watch anyone?    MB&amp;F’s new Lamborghini-inspired watch is beautiful, and ‘relatively’ affordable (still $63K) - http://tcrn.ch/QI8NnE</v>
      </c>
      <c r="C309" s="3">
        <v>41248.596400462964</v>
      </c>
      <c r="D309" s="2">
        <v>99</v>
      </c>
      <c r="E309" s="2">
        <v>22</v>
      </c>
      <c r="F309" s="2" t="s">
        <v>8</v>
      </c>
      <c r="G309" s="2" t="s">
        <v>8</v>
      </c>
    </row>
    <row r="310" spans="1:7" ht="30" x14ac:dyDescent="0.25">
      <c r="A310" s="4" t="str">
        <f>HYPERLINK("http://techcrunch.com/2012/12/05/techforward-wins-27m-in-lawsuit-against-best-buy-over-stolen-trade-secrets/","TechForward Wins $27M In Lawsuit Against Best Buy Over Stolen Trade Secrets")</f>
        <v>TechForward Wins $27M In Lawsuit Against Best Buy Over Stolen Trade Secrets</v>
      </c>
      <c r="B310" s="4" t="str">
        <f>HYPERLINK("http://www.facebook.com/8062627951/posts/383136608435053","Score one for the small guys.")</f>
        <v>Score one for the small guys.</v>
      </c>
      <c r="C310" s="3">
        <v>41248.590578703705</v>
      </c>
      <c r="D310" s="2">
        <v>49</v>
      </c>
      <c r="E310" s="2">
        <v>0</v>
      </c>
      <c r="F310" s="2" t="s">
        <v>7</v>
      </c>
      <c r="G310" s="2" t="s">
        <v>7</v>
      </c>
    </row>
    <row r="311" spans="1:7" ht="45" x14ac:dyDescent="0.25">
      <c r="A311" s="4" t="str">
        <f>HYPERLINK("http://www.facebook.com/photo.php?fbid=10151366094947952&amp;set=a.114456157951.118433.8062627951&amp;type=1&amp;relevant_count=1","[Photo]")</f>
        <v>[Photo]</v>
      </c>
      <c r="B311" s="4" t="str">
        <f>HYPERLINK("http://www.facebook.com/8062627951/posts/10151366095037952","Google now updated with Passbook-style boarding passes, improved local discovery and song identification - http://tcrn.ch/VED9qo")</f>
        <v>Google now updated with Passbook-style boarding passes, improved local discovery and song identification - http://tcrn.ch/VED9qo</v>
      </c>
      <c r="C311" s="3">
        <v>41248.556747685187</v>
      </c>
      <c r="D311" s="2">
        <v>190</v>
      </c>
      <c r="E311" s="2">
        <v>13</v>
      </c>
      <c r="F311" s="2" t="s">
        <v>7</v>
      </c>
      <c r="G311" s="2" t="s">
        <v>8</v>
      </c>
    </row>
    <row r="312" spans="1:7" ht="30" x14ac:dyDescent="0.25">
      <c r="A312" s="4" t="str">
        <f>HYPERLINK("http://techcrunch.com/2012/12/05/blackberry-curve-9320-allegedly-explodes-on-a-boys-bed-setting-it-on-fire/","BlackBerry Curve 9320 Allegedly Explodes On A Boy’s Bed, Setting It On Fire")</f>
        <v>BlackBerry Curve 9320 Allegedly Explodes On A Boy’s Bed, Setting It On Fire</v>
      </c>
      <c r="B312" s="4" t="str">
        <f>HYPERLINK("http://www.facebook.com/8062627951/posts/110907952409304","Oops.")</f>
        <v>Oops.</v>
      </c>
      <c r="C312" s="3">
        <v>41248.537303240744</v>
      </c>
      <c r="D312" s="2">
        <v>35</v>
      </c>
      <c r="E312" s="2">
        <v>17</v>
      </c>
      <c r="F312" s="2" t="s">
        <v>7</v>
      </c>
      <c r="G312" s="2" t="s">
        <v>7</v>
      </c>
    </row>
    <row r="313" spans="1:7" ht="30" x14ac:dyDescent="0.25">
      <c r="A313" s="4" t="str">
        <f>HYPERLINK("http://www.facebook.com/photo.php?fbid=10151365982177952&amp;set=a.114456157951.118433.8062627951&amp;type=1&amp;relevant_count=1","[Photo]")</f>
        <v>[Photo]</v>
      </c>
      <c r="B313" s="4" t="str">
        <f>HYPERLINK("http://www.facebook.com/8062627951/posts/10151365982212952","Facebook changes name of Subscribe feature to “Follow” so people understand it’s just like Twitter - http://tcrn.ch/TIflCk")</f>
        <v>Facebook changes name of Subscribe feature to “Follow” so people understand it’s just like Twitter - http://tcrn.ch/TIflCk</v>
      </c>
      <c r="C313" s="3">
        <v>41248.487199074072</v>
      </c>
      <c r="D313" s="2">
        <v>152</v>
      </c>
      <c r="E313" s="2">
        <v>19</v>
      </c>
      <c r="F313" s="2" t="s">
        <v>7</v>
      </c>
      <c r="G313" s="2" t="s">
        <v>8</v>
      </c>
    </row>
    <row r="314" spans="1:7" ht="30" x14ac:dyDescent="0.25">
      <c r="A314" s="4" t="str">
        <f>HYPERLINK("http://techcrunch.com/2012/12/05/flurry-mobile-apps-television/","Time Spent In Mobile Apps Is Starting To Challenge Television, Flurry Says")</f>
        <v>Time Spent In Mobile Apps Is Starting To Challenge Television, Flurry Says</v>
      </c>
      <c r="B314" s="4" t="str">
        <f>HYPERLINK("http://www.facebook.com/8062627951/posts/311640222282345","Do you find yourself checking your phone more than the TV?")</f>
        <v>Do you find yourself checking your phone more than the TV?</v>
      </c>
      <c r="C314" s="3">
        <v>41248.468333333331</v>
      </c>
      <c r="D314" s="2">
        <v>103</v>
      </c>
      <c r="E314" s="2">
        <v>19</v>
      </c>
      <c r="F314" s="2" t="s">
        <v>8</v>
      </c>
      <c r="G314" s="2" t="s">
        <v>7</v>
      </c>
    </row>
    <row r="315" spans="1:7" ht="45" x14ac:dyDescent="0.25">
      <c r="A315" s="4" t="str">
        <f>HYPERLINK("http://www.facebook.com/photo.php?fbid=10151365934892952&amp;set=a.114456157951.118433.8062627951&amp;type=1&amp;relevant_count=1","[Photo]")</f>
        <v>[Photo]</v>
      </c>
      <c r="B315" s="4" t="str">
        <f>HYPERLINK("http://www.facebook.com/8062627951/posts/10151365934972952","One more day to get your 6th Annual #Crunchies Awards nominations in! Make sure to nominate your favorites: http://crunchies2012.techcrunch.com/nominate/")</f>
        <v>One more day to get your 6th Annual #Crunchies Awards nominations in! Make sure to nominate your favorites: http://crunchies2012.techcrunch.com/nominate/</v>
      </c>
      <c r="C315" s="3">
        <v>41248.458252314813</v>
      </c>
      <c r="D315" s="2">
        <v>19</v>
      </c>
      <c r="E315" s="2">
        <v>0</v>
      </c>
      <c r="F315" s="2" t="s">
        <v>7</v>
      </c>
      <c r="G315" s="2" t="s">
        <v>8</v>
      </c>
    </row>
    <row r="316" spans="1:7" ht="45" x14ac:dyDescent="0.25">
      <c r="A316" s="4" t="str">
        <f>HYPERLINK("http://techcrunch.com/2012/12/05/prismatic-gets-15m-from-jim-breyer-and-yuri-milner-to-attack-the-really-hard-problem-of-bringing-you-relevant-news/","Prismatic Gets $15M From Jim Breyer And Yuri Milner To Attack The Impossible Problem Of Bringing You")</f>
        <v>Prismatic Gets $15M From Jim Breyer And Yuri Milner To Attack The Impossible Problem Of Bringing You</v>
      </c>
      <c r="B316" s="4" t="str">
        <f>HYPERLINK("http://www.facebook.com/8062627951/posts/464493430258911","Prismatic raises $15 million led by Accel’s Jim Breyer with participation by Russian investor Yuri Milner. What do you think of Prismatic?")</f>
        <v>Prismatic raises $15 million led by Accel’s Jim Breyer with participation by Russian investor Yuri Milner. What do you think of Prismatic?</v>
      </c>
      <c r="C316" s="3">
        <v>41248.405914351853</v>
      </c>
      <c r="D316" s="2">
        <v>34</v>
      </c>
      <c r="E316" s="2">
        <v>7</v>
      </c>
      <c r="F316" s="2" t="s">
        <v>8</v>
      </c>
      <c r="G316" s="2" t="s">
        <v>7</v>
      </c>
    </row>
    <row r="317" spans="1:7" ht="30" x14ac:dyDescent="0.25">
      <c r="A317" s="4" t="str">
        <f>HYPERLINK("http://www.facebook.com/photo.php?fbid=10151365785382952&amp;set=a.114456157951.118433.8062627951&amp;type=1&amp;relevant_count=1","[Photo]")</f>
        <v>[Photo]</v>
      </c>
      <c r="B317" s="4" t="str">
        <f>HYPERLINK("http://www.facebook.com/8062627951/posts/10151365785432952","Casio’s iPhone-loving, low energy Bluetooth smart watch might be just smart enough - http://tcrn.ch/VmnwRZ")</f>
        <v>Casio’s iPhone-loving, low energy Bluetooth smart watch might be just smart enough - http://tcrn.ch/VmnwRZ</v>
      </c>
      <c r="C317" s="3">
        <v>41248.369930555556</v>
      </c>
      <c r="D317" s="2">
        <v>169</v>
      </c>
      <c r="E317" s="2">
        <v>13</v>
      </c>
      <c r="F317" s="2" t="s">
        <v>7</v>
      </c>
      <c r="G317" s="2" t="s">
        <v>8</v>
      </c>
    </row>
    <row r="318" spans="1:7" ht="45" x14ac:dyDescent="0.25">
      <c r="A318" s="4" t="str">
        <f>HYPERLINK("http://www.facebook.com/photo.php?fbid=10151365761912952&amp;set=a.114456157951.118433.8062627951&amp;type=1&amp;relevant_count=1","[Photo]")</f>
        <v>[Photo]</v>
      </c>
      <c r="B318" s="4" t="str">
        <f>HYPERLINK("http://www.facebook.com/8062627951/posts/10151365761987952","Kevin Systrom on pulling Twitter Cards integration: we want images viewed on Instagram.com - http://tcrn.ch/QHj2c3    What are your thoughts on this move by Instagram?")</f>
        <v>Kevin Systrom on pulling Twitter Cards integration: we want images viewed on Instagram.com - http://tcrn.ch/QHj2c3    What are your thoughts on this move by Instagram?</v>
      </c>
      <c r="C318" s="3">
        <v>41248.35497685185</v>
      </c>
      <c r="D318" s="2">
        <v>16</v>
      </c>
      <c r="E318" s="2">
        <v>4</v>
      </c>
      <c r="F318" s="2" t="s">
        <v>8</v>
      </c>
      <c r="G318" s="2" t="s">
        <v>8</v>
      </c>
    </row>
    <row r="319" spans="1:7" ht="60" x14ac:dyDescent="0.25">
      <c r="A319" s="4" t="str">
        <f>HYPERLINK("http://www.facebook.com/photo.php?fbid=10151365746002952&amp;set=a.114456157951.118433.8062627951&amp;type=1&amp;relevant_count=1","[Photo]")</f>
        <v>[Photo]</v>
      </c>
      <c r="B319" s="4" t="s">
        <v>25</v>
      </c>
      <c r="C319" s="3">
        <v>41248.344212962962</v>
      </c>
      <c r="D319" s="2">
        <v>98</v>
      </c>
      <c r="E319" s="2">
        <v>14</v>
      </c>
      <c r="F319" s="2" t="s">
        <v>8</v>
      </c>
      <c r="G319" s="2" t="s">
        <v>8</v>
      </c>
    </row>
    <row r="320" spans="1:7" ht="45" x14ac:dyDescent="0.25">
      <c r="A320" s="4" t="str">
        <f>HYPERLINK("http://techcrunch.com/2012/12/05/crowdfunding-platform-indiegogo-launches-local-sites-and-currencies-for-uk-germany-france-and-canada/","Crowdfunding Platform Indiegogo Launches Local Sites And Currencies For UK, Germany, France And Cana")</f>
        <v>Crowdfunding Platform Indiegogo Launches Local Sites And Currencies For UK, Germany, France And Cana</v>
      </c>
      <c r="B320" s="4" t="str">
        <f>HYPERLINK("http://www.facebook.com/8062627951/posts/176860932459648","Indiegogo just went international.")</f>
        <v>Indiegogo just went international.</v>
      </c>
      <c r="C320" s="3">
        <v>41248.296805555554</v>
      </c>
      <c r="D320" s="2">
        <v>28</v>
      </c>
      <c r="E320" s="2">
        <v>3</v>
      </c>
      <c r="F320" s="2" t="s">
        <v>7</v>
      </c>
      <c r="G320" s="2" t="s">
        <v>7</v>
      </c>
    </row>
    <row r="321" spans="1:7" ht="45" x14ac:dyDescent="0.25">
      <c r="A321" s="4" t="str">
        <f>HYPERLINK("http://techcrunch.com/2012/12/05/trader-allegedly-attempted-to-flip-1-billion-in-apple-stock-with-firms-money-plan-backfired/","Trader Allegedly Attempted To Flip $1 Billion In Apple Stock With Firm’s Money, Plan Backfired")</f>
        <v>Trader Allegedly Attempted To Flip $1 Billion In Apple Stock With Firm’s Money, Plan Backfired</v>
      </c>
      <c r="B321" s="4" t="str">
        <f>HYPERLINK("http://www.facebook.com/8062627951/posts/123550037804454","Sucks to be him.")</f>
        <v>Sucks to be him.</v>
      </c>
      <c r="C321" s="3">
        <v>41248.259351851855</v>
      </c>
      <c r="D321" s="2">
        <v>95</v>
      </c>
      <c r="E321" s="2">
        <v>21</v>
      </c>
      <c r="F321" s="2" t="s">
        <v>7</v>
      </c>
      <c r="G321" s="2" t="s">
        <v>7</v>
      </c>
    </row>
    <row r="322" spans="1:7" ht="45" x14ac:dyDescent="0.25">
      <c r="A322" s="4" t="str">
        <f>HYPERLINK("http://techcrunch.com/2012/12/04/nycs-mayor-challenges-designers-hardware-hackers-and-policy-buffs-to-reinvent-the-humble-payphone/","NYC’s Mayor Challenges Designers, Hardware Hackers, And Policy Buffs To Reinvent The Humble Payphone")</f>
        <v>NYC’s Mayor Challenges Designers, Hardware Hackers, And Policy Buffs To Reinvent The Humble Payphone</v>
      </c>
      <c r="B322" s="4" t="str">
        <f>HYPERLINK("http://www.facebook.com/8062627951/posts/255264321267462","On Mayor Bloomberg's war on NYC's payphones.")</f>
        <v>On Mayor Bloomberg's war on NYC's payphones.</v>
      </c>
      <c r="C322" s="3">
        <v>41248.170439814814</v>
      </c>
      <c r="D322" s="2">
        <v>38</v>
      </c>
      <c r="E322" s="2">
        <v>10</v>
      </c>
      <c r="F322" s="2" t="s">
        <v>7</v>
      </c>
      <c r="G322" s="2" t="s">
        <v>7</v>
      </c>
    </row>
    <row r="323" spans="1:7" ht="45" x14ac:dyDescent="0.25">
      <c r="A323" s="4" t="str">
        <f>HYPERLINK("http://www.facebook.com/photo.php?fbid=10151365245517952&amp;set=a.114456157951.118433.8062627951&amp;type=1&amp;relevant_count=1","[Photo]")</f>
        <v>[Photo]</v>
      </c>
      <c r="B323" s="4" t="str">
        <f>HYPERLINK("http://www.facebook.com/8062627951/posts/10151365245567952","PhoneJoy’s new Play GamePad is a universal smartphone game controller that hugs your gadget. Nice. - http://tcrn.ch/SuMRuL")</f>
        <v>PhoneJoy’s new Play GamePad is a universal smartphone game controller that hugs your gadget. Nice. - http://tcrn.ch/SuMRuL</v>
      </c>
      <c r="C323" s="3">
        <v>41247.922615740739</v>
      </c>
      <c r="D323" s="2">
        <v>309</v>
      </c>
      <c r="E323" s="2">
        <v>16</v>
      </c>
      <c r="F323" s="2" t="s">
        <v>7</v>
      </c>
      <c r="G323" s="2" t="s">
        <v>8</v>
      </c>
    </row>
    <row r="324" spans="1:7" ht="30" x14ac:dyDescent="0.25">
      <c r="A324" s="4" t="str">
        <f>HYPERLINK("http://www.facebook.com/photo.php?fbid=10151365219552952&amp;set=a.114456157951.118433.8062627951&amp;type=1&amp;relevant_count=1","[Photo]")</f>
        <v>[Photo]</v>
      </c>
      <c r="B324" s="4" t="str">
        <f>HYPERLINK("http://www.facebook.com/8062627951/posts/10151365219572952","Facebook’s comeback continues: $FB set to replace Infosys on the NASDAQ 100 next week - http://tcrn.ch/TIhsUO")</f>
        <v>Facebook’s comeback continues: $FB set to replace Infosys on the NASDAQ 100 next week - http://tcrn.ch/TIhsUO</v>
      </c>
      <c r="C324" s="3">
        <v>41247.897939814815</v>
      </c>
      <c r="D324" s="2">
        <v>206</v>
      </c>
      <c r="E324" s="2">
        <v>18</v>
      </c>
      <c r="F324" s="2" t="s">
        <v>7</v>
      </c>
      <c r="G324" s="2" t="s">
        <v>8</v>
      </c>
    </row>
    <row r="325" spans="1:7" ht="45" x14ac:dyDescent="0.25">
      <c r="A325" s="4" t="str">
        <f>HYPERLINK("http://techcrunch.com/2012/12/04/uber-2-0/","Uber Is Launching Version 2.0, With A New Design, Fare Estimates, And Foursquare Location Data ")</f>
        <v xml:space="preserve">Uber Is Launching Version 2.0, With A New Design, Fare Estimates, And Foursquare Location Data </v>
      </c>
      <c r="B325" s="4" t="str">
        <f>HYPERLINK("http://www.facebook.com/8062627951/posts/297531550363558","Here comes Uber 2.0:")</f>
        <v>Here comes Uber 2.0:</v>
      </c>
      <c r="C325" s="3">
        <v>41247.808356481481</v>
      </c>
      <c r="D325" s="2">
        <v>49</v>
      </c>
      <c r="E325" s="2">
        <v>2</v>
      </c>
      <c r="F325" s="2" t="s">
        <v>7</v>
      </c>
      <c r="G325" s="2" t="s">
        <v>7</v>
      </c>
    </row>
    <row r="326" spans="1:7" ht="45" x14ac:dyDescent="0.25">
      <c r="A326" s="4" t="str">
        <f>HYPERLINK("http://www.facebook.com/photo.php?fbid=10151364964817952&amp;set=a.114456157951.118433.8062627951&amp;type=1&amp;relevant_count=1","[Photo]")</f>
        <v>[Photo]</v>
      </c>
      <c r="B326" s="4" t="str">
        <f>HYPERLINK("http://www.facebook.com/8062627951/posts/10151364964892952","Winestyr, a craft booze marketplace, offers wine “playlists” to help you choose - http://tcrn.ch/QEZdSt    Who likes alcohol, we mean wine?")</f>
        <v>Winestyr, a craft booze marketplace, offers wine “playlists” to help you choose - http://tcrn.ch/QEZdSt    Who likes alcohol, we mean wine?</v>
      </c>
      <c r="C326" s="3">
        <v>41247.737395833334</v>
      </c>
      <c r="D326" s="2">
        <v>55</v>
      </c>
      <c r="E326" s="2">
        <v>2</v>
      </c>
      <c r="F326" s="2" t="s">
        <v>8</v>
      </c>
      <c r="G326" s="2" t="s">
        <v>8</v>
      </c>
    </row>
    <row r="327" spans="1:7" ht="30" x14ac:dyDescent="0.25">
      <c r="A327" s="4" t="str">
        <f>HYPERLINK("http://www.facebook.com/photo.php?fbid=10151364895867952&amp;set=a.114456157951.118433.8062627951&amp;type=1&amp;relevant_count=1","[Photo]")</f>
        <v>[Photo]</v>
      </c>
      <c r="B327" s="4" t="str">
        <f>HYPERLINK("http://www.facebook.com/8062627951/posts/10151364895907952","The reality of the global messaging market: it’s really freaking fragmented - http://tcrn.ch/ViVXcG")</f>
        <v>The reality of the global messaging market: it’s really freaking fragmented - http://tcrn.ch/ViVXcG</v>
      </c>
      <c r="C327" s="3">
        <v>41247.688356481478</v>
      </c>
      <c r="D327" s="2">
        <v>258</v>
      </c>
      <c r="E327" s="2">
        <v>54</v>
      </c>
      <c r="F327" s="2" t="s">
        <v>7</v>
      </c>
      <c r="G327" s="2" t="s">
        <v>8</v>
      </c>
    </row>
    <row r="328" spans="1:7" ht="45" x14ac:dyDescent="0.25">
      <c r="A328" s="4" t="str">
        <f>HYPERLINK("http://www.facebook.com/photo.php?fbid=10151364847092952&amp;set=a.114456157951.118433.8062627951&amp;type=1&amp;relevant_count=1","[Photo]")</f>
        <v>[Photo]</v>
      </c>
      <c r="B328" s="4" t="str">
        <f>HYPERLINK("http://www.facebook.com/8062627951/posts/10151364847192952","Gift Guide: favorite board games for all ages - http://tcrn.ch/UmLqhF    What's your all-time favorite board game?")</f>
        <v>Gift Guide: favorite board games for all ages - http://tcrn.ch/UmLqhF    What's your all-time favorite board game?</v>
      </c>
      <c r="C328" s="3">
        <v>41247.654386574075</v>
      </c>
      <c r="D328" s="2">
        <v>22</v>
      </c>
      <c r="E328" s="2">
        <v>13</v>
      </c>
      <c r="F328" s="2" t="s">
        <v>8</v>
      </c>
      <c r="G328" s="2" t="s">
        <v>8</v>
      </c>
    </row>
    <row r="329" spans="1:7" ht="30" x14ac:dyDescent="0.25">
      <c r="A329" s="4" t="str">
        <f>HYPERLINK("http://www.facebook.com/photo.php?fbid=10151364748457952&amp;set=a.114456157951.118433.8062627951&amp;type=1&amp;relevant_count=1","[Photo]")</f>
        <v>[Photo]</v>
      </c>
      <c r="B329" s="4" t="str">
        <f>HYPERLINK("http://www.facebook.com/8062627951/posts/10151364748552952","Finally. YouTube hits the iPad with iOS app update, now tailored to iPhone 5 screen, too - http://tcrn.ch/Xnykpb")</f>
        <v>Finally. YouTube hits the iPad with iOS app update, now tailored to iPhone 5 screen, too - http://tcrn.ch/Xnykpb</v>
      </c>
      <c r="C329" s="3">
        <v>41247.600127314814</v>
      </c>
      <c r="D329" s="2">
        <v>155</v>
      </c>
      <c r="E329" s="2">
        <v>15</v>
      </c>
      <c r="F329" s="2" t="s">
        <v>7</v>
      </c>
      <c r="G329" s="2" t="s">
        <v>8</v>
      </c>
    </row>
    <row r="330" spans="1:7" ht="45" x14ac:dyDescent="0.25">
      <c r="A330" s="4" t="str">
        <f>HYPERLINK("http://www.5min.com/Video/517569859","Gift Guide 2012 - Lytro Camera")</f>
        <v>Gift Guide 2012 - Lytro Camera</v>
      </c>
      <c r="B330" s="4" t="str">
        <f>HYPERLINK("http://www.facebook.com/8062627951/posts/238208026309776","Hands-on with Lytro’s latest features, perspective shift and living filters - http://tcrn.ch/YM2Aut  What are your thoughts on the Lytro?")</f>
        <v>Hands-on with Lytro’s latest features, perspective shift and living filters - http://tcrn.ch/YM2Aut  What are your thoughts on the Lytro?</v>
      </c>
      <c r="C330" s="3">
        <v>41247.574166666665</v>
      </c>
      <c r="D330" s="2">
        <v>11</v>
      </c>
      <c r="E330" s="2">
        <v>2</v>
      </c>
      <c r="F330" s="2" t="s">
        <v>8</v>
      </c>
      <c r="G330" s="2" t="s">
        <v>7</v>
      </c>
    </row>
    <row r="331" spans="1:7" ht="30" x14ac:dyDescent="0.25">
      <c r="A331" s="4" t="str">
        <f>HYPERLINK("http://techcrunch.com/2012/12/04/calling-facebook-a-democracy-is-an-insult-to-democracy/","Calling Facebook A ‘Democracy’ Is An Insult To Democracy")</f>
        <v>Calling Facebook A ‘Democracy’ Is An Insult To Democracy</v>
      </c>
      <c r="B331" s="4" t="str">
        <f>HYPERLINK("http://www.facebook.com/8062627951/posts/538433036185156","What do you think?")</f>
        <v>What do you think?</v>
      </c>
      <c r="C331" s="3">
        <v>41247.555243055554</v>
      </c>
      <c r="D331" s="2">
        <v>57</v>
      </c>
      <c r="E331" s="2">
        <v>17</v>
      </c>
      <c r="F331" s="2" t="s">
        <v>8</v>
      </c>
      <c r="G331" s="2" t="s">
        <v>7</v>
      </c>
    </row>
    <row r="332" spans="1:7" ht="45" x14ac:dyDescent="0.25">
      <c r="A332" s="4" t="str">
        <f>HYPERLINK("http://www.facebook.com/photo.php?fbid=10151364623617952&amp;set=a.114456157951.118433.8062627951&amp;type=1&amp;relevant_count=1","[Photo]")</f>
        <v>[Photo]</v>
      </c>
      <c r="B332" s="4" t="str">
        <f>HYPERLINK("http://www.facebook.com/8062627951/posts/10151364623662952","Only 2 more days to get your nominations in for the 6th Annual #Crunchies Awards. Go nominate! http://bit.ly/TWxR6o")</f>
        <v>Only 2 more days to get your nominations in for the 6th Annual #Crunchies Awards. Go nominate! http://bit.ly/TWxR6o</v>
      </c>
      <c r="C332" s="3">
        <v>41247.540983796294</v>
      </c>
      <c r="D332" s="2">
        <v>20</v>
      </c>
      <c r="E332" s="2">
        <v>1</v>
      </c>
      <c r="F332" s="2" t="s">
        <v>7</v>
      </c>
      <c r="G332" s="2" t="s">
        <v>8</v>
      </c>
    </row>
    <row r="333" spans="1:7" ht="45" x14ac:dyDescent="0.25">
      <c r="A333" s="4" t="str">
        <f>HYPERLINK("http://www.facebook.com/photo.php?fbid=10151364598447952&amp;set=a.114456157951.118433.8062627951&amp;type=1&amp;relevant_count=1","[Photo]")</f>
        <v>[Photo]</v>
      </c>
      <c r="B333" s="4" t="str">
        <f>HYPERLINK("http://www.facebook.com/8062627951/posts/10151364598527952","Analyst: just 25 developers grabbed 50% of app revenues on U.S. App Store, Google Play last month; earning $60M between them - http://tcrn.ch/11yBfM3")</f>
        <v>Analyst: just 25 developers grabbed 50% of app revenues on U.S. App Store, Google Play last month; earning $60M between them - http://tcrn.ch/11yBfM3</v>
      </c>
      <c r="C333" s="3">
        <v>41247.529317129629</v>
      </c>
      <c r="D333" s="2">
        <v>93</v>
      </c>
      <c r="E333" s="2">
        <v>8</v>
      </c>
      <c r="F333" s="2" t="s">
        <v>7</v>
      </c>
      <c r="G333" s="2" t="s">
        <v>8</v>
      </c>
    </row>
    <row r="334" spans="1:7" ht="45" x14ac:dyDescent="0.25">
      <c r="A334" s="4" t="str">
        <f>HYPERLINK("http://techcrunch.com/2012/12/04/netflix-disney/","Netflix Strikes Streaming Deal With Disney, Gains Exclusive Access To New Titles Beginning In 2016")</f>
        <v>Netflix Strikes Streaming Deal With Disney, Gains Exclusive Access To New Titles Beginning In 2016</v>
      </c>
      <c r="B334" s="4" t="str">
        <f>HYPERLINK("http://www.facebook.com/8062627951/posts/376845802408885","A sign of a Netflix comeback?")</f>
        <v>A sign of a Netflix comeback?</v>
      </c>
      <c r="C334" s="3">
        <v>41247.506261574075</v>
      </c>
      <c r="D334" s="2">
        <v>157</v>
      </c>
      <c r="E334" s="2">
        <v>36</v>
      </c>
      <c r="F334" s="2" t="s">
        <v>8</v>
      </c>
      <c r="G334" s="2" t="s">
        <v>7</v>
      </c>
    </row>
    <row r="335" spans="1:7" ht="45" x14ac:dyDescent="0.25">
      <c r="A335" s="4" t="str">
        <f>HYPERLINK("http://www.facebook.com/photo.php?fbid=10151364510157952&amp;set=a.114456157951.118433.8062627951&amp;type=1&amp;relevant_count=1","[Photo]")</f>
        <v>[Photo]</v>
      </c>
      <c r="B335" s="4" t="str">
        <f>HYPERLINK("http://www.facebook.com/8062627951/posts/10151364510202952","Yahoo acquires video chat startup OnTheAir who joins its mobile team to help it compete with Hangouts. Think it will succeed? - http://tcrn.ch/Ud771l")</f>
        <v>Yahoo acquires video chat startup OnTheAir who joins its mobile team to help it compete with Hangouts. Think it will succeed? - http://tcrn.ch/Ud771l</v>
      </c>
      <c r="C335" s="3">
        <v>41247.481527777774</v>
      </c>
      <c r="D335" s="2">
        <v>42</v>
      </c>
      <c r="E335" s="2">
        <v>11</v>
      </c>
      <c r="F335" s="2" t="s">
        <v>8</v>
      </c>
      <c r="G335" s="2" t="s">
        <v>8</v>
      </c>
    </row>
    <row r="336" spans="1:7" ht="45" x14ac:dyDescent="0.25">
      <c r="A336" s="4" t="str">
        <f>HYPERLINK("http://www.facebook.com/photo.php?fbid=10151364447142952&amp;set=a.114456157951.118433.8062627951&amp;type=1&amp;relevant_count=1","[Photo]")</f>
        <v>[Photo]</v>
      </c>
      <c r="B336" s="4" t="str">
        <f>HYPERLINK("http://www.facebook.com/8062627951/posts/10151364447192952","2012 21.5-inch Apple iMac review: slim, sleek, and stylish, but far from shallow - http://tcrn.ch/YLvMSo  Do you want one?")</f>
        <v>2012 21.5-inch Apple iMac review: slim, sleek, and stylish, but far from shallow - http://tcrn.ch/YLvMSo  Do you want one?</v>
      </c>
      <c r="C336" s="3">
        <v>41247.445914351854</v>
      </c>
      <c r="D336" s="2">
        <v>241</v>
      </c>
      <c r="E336" s="2">
        <v>64</v>
      </c>
      <c r="F336" s="2" t="s">
        <v>8</v>
      </c>
      <c r="G336" s="2" t="s">
        <v>8</v>
      </c>
    </row>
    <row r="337" spans="1:7" ht="45" x14ac:dyDescent="0.25">
      <c r="A337" s="4" t="str">
        <f>HYPERLINK("http://www.facebook.com/photo.php?fbid=10151364401157952&amp;set=a.114456157951.118433.8062627951&amp;type=1&amp;relevant_count=1","[Photo]")</f>
        <v>[Photo]</v>
      </c>
      <c r="B337" s="4" t="str">
        <f>HYPERLINK("http://www.facebook.com/8062627951/posts/10151364401212952","Surprise! Google launches Gmail 2.0 on iOS with new design, support for multiple accounts, Calendar and Google+ integration &amp; more - http://tcrn.ch/SvgwUF")</f>
        <v>Surprise! Google launches Gmail 2.0 on iOS with new design, support for multiple accounts, Calendar and Google+ integration &amp; more - http://tcrn.ch/SvgwUF</v>
      </c>
      <c r="C337" s="3">
        <v>41247.418657407405</v>
      </c>
      <c r="D337" s="2">
        <v>412</v>
      </c>
      <c r="E337" s="2">
        <v>48</v>
      </c>
      <c r="F337" s="2" t="s">
        <v>7</v>
      </c>
      <c r="G337" s="2" t="s">
        <v>8</v>
      </c>
    </row>
    <row r="338" spans="1:7" x14ac:dyDescent="0.25">
      <c r="A338" s="4" t="str">
        <f>HYPERLINK("http://techcrunch.com/2012/12/04/the-dakly-died-of-suckage/","Why Magazine Apps Suck")</f>
        <v>Why Magazine Apps Suck</v>
      </c>
      <c r="B338" s="4" t="str">
        <f>HYPERLINK("http://www.facebook.com/8062627951/posts/114757925356887","Do you think they suck?")</f>
        <v>Do you think they suck?</v>
      </c>
      <c r="C338" s="3">
        <v>41247.412592592591</v>
      </c>
      <c r="D338" s="2">
        <v>36</v>
      </c>
      <c r="E338" s="2">
        <v>13</v>
      </c>
      <c r="F338" s="2" t="s">
        <v>8</v>
      </c>
      <c r="G338" s="2" t="s">
        <v>7</v>
      </c>
    </row>
    <row r="339" spans="1:7" ht="45" x14ac:dyDescent="0.25">
      <c r="A339" s="4" t="str">
        <f>HYPERLINK("http://www.facebook.com/photo.php?fbid=10151364373467952&amp;set=a.114456157951.118433.8062627951&amp;type=1&amp;relevant_count=1","[Photo]")</f>
        <v>[Photo]</v>
      </c>
      <c r="B339" s="4" t="str">
        <f>HYPERLINK("http://www.facebook.com/8062627951/posts/10151364373537952","Karma launches its $79 4G mobile Hotspot and pay-as-you-go data plan that reward users for sharing their bandwidth - http://tcrn.ch/UDFgfx")</f>
        <v>Karma launches its $79 4G mobile Hotspot and pay-as-you-go data plan that reward users for sharing their bandwidth - http://tcrn.ch/UDFgfx</v>
      </c>
      <c r="C339" s="3">
        <v>41247.405451388891</v>
      </c>
      <c r="D339" s="2">
        <v>146</v>
      </c>
      <c r="E339" s="2">
        <v>12</v>
      </c>
      <c r="F339" s="2" t="s">
        <v>7</v>
      </c>
      <c r="G339" s="2" t="s">
        <v>8</v>
      </c>
    </row>
    <row r="340" spans="1:7" ht="30" x14ac:dyDescent="0.25">
      <c r="A340" s="4" t="str">
        <f>HYPERLINK("http://techcrunch.com/2012/12/04/its-all-blurry-collegehumor-makes-fun-of-nickelback-and-instagram/","It’s All Blurry: CollegeHumor Makes Fun Of Nickelback And Instagram")</f>
        <v>It’s All Blurry: CollegeHumor Makes Fun Of Nickelback And Instagram</v>
      </c>
      <c r="B340" s="4" t="str">
        <f>HYPERLINK("http://www.facebook.com/8062627951/posts/178878495585777","Instagram oversharers, take note. You're doing it wrong. [video]")</f>
        <v>Instagram oversharers, take note. You're doing it wrong. [video]</v>
      </c>
      <c r="C340" s="3">
        <v>41247.304664351854</v>
      </c>
      <c r="D340" s="2">
        <v>102</v>
      </c>
      <c r="E340" s="2">
        <v>9</v>
      </c>
      <c r="F340" s="2" t="s">
        <v>7</v>
      </c>
      <c r="G340" s="2" t="s">
        <v>7</v>
      </c>
    </row>
    <row r="341" spans="1:7" ht="45" x14ac:dyDescent="0.25">
      <c r="A341" s="4" t="str">
        <f>HYPERLINK("http://techcrunch.com/2012/12/04/messenger-no-facebook-account/","No Facebook Account Required: Facebook Messenger For Android Lets You Sign Up With Just A Phone Numb")</f>
        <v>No Facebook Account Required: Facebook Messenger For Android Lets You Sign Up With Just A Phone Numb</v>
      </c>
      <c r="B341" s="4" t="str">
        <f>HYPERLINK("http://www.facebook.com/8062627951/posts/436616133071446","This is unexpected.")</f>
        <v>This is unexpected.</v>
      </c>
      <c r="C341" s="3">
        <v>41247.224039351851</v>
      </c>
      <c r="D341" s="2">
        <v>198</v>
      </c>
      <c r="E341" s="2">
        <v>35</v>
      </c>
      <c r="F341" s="2" t="s">
        <v>7</v>
      </c>
      <c r="G341" s="2" t="s">
        <v>7</v>
      </c>
    </row>
    <row r="342" spans="1:7" ht="60" x14ac:dyDescent="0.25">
      <c r="A342" s="4" t="str">
        <f>HYPERLINK("http://techcrunch.com/2012/12/03/mary-meekers-year-end-trends-report-mobile-tablets-24-of-online-shopping-on-black-friday-up-22-from-2012/","Mary Meeker’s Year-End Trends Report: Mobile &amp; Tablets = 24% Of Online Shopping On Black Friday, Up.")</f>
        <v>Mary Meeker’s Year-End Trends Report: Mobile &amp; Tablets = 24% Of Online Shopping On Black Friday, Up.</v>
      </c>
      <c r="B342" s="4" t="str">
        <f>HYPERLINK("http://www.facebook.com/8062627951/posts/144213549059086","Kleiner Perkins Partner Mary Meeker has published her annual “Internet Trends Year-End Report”  Key takeaways: Internet growth remains robust, and penetration in the U.S. leads all other countries.")</f>
        <v>Kleiner Perkins Partner Mary Meeker has published her annual “Internet Trends Year-End Report”  Key takeaways: Internet growth remains robust, and penetration in the U.S. leads all other countries.</v>
      </c>
      <c r="C342" s="3">
        <v>41246.897685185184</v>
      </c>
      <c r="D342" s="2">
        <v>71</v>
      </c>
      <c r="E342" s="2">
        <v>2</v>
      </c>
      <c r="F342" s="2" t="s">
        <v>7</v>
      </c>
      <c r="G342" s="2" t="s">
        <v>7</v>
      </c>
    </row>
    <row r="343" spans="1:7" ht="45" x14ac:dyDescent="0.25">
      <c r="A343" s="4" t="str">
        <f>HYPERLINK("http://www.facebook.com/photo.php?fbid=10151363441827952&amp;set=a.114456157951.118433.8062627951&amp;type=1&amp;relevant_count=1","[Photo]")</f>
        <v>[Photo]</v>
      </c>
      <c r="B343" s="4" t="str">
        <f>HYPERLINK("http://www.facebook.com/8062627951/posts/10151363441857952","jOBS: Ashton Kutcher’s Steve Jobs biopic to debut at Sundance in January - http://tcrn.ch/WFqT7N    Caption contest: go!")</f>
        <v>jOBS: Ashton Kutcher’s Steve Jobs biopic to debut at Sundance in January - http://tcrn.ch/WFqT7N    Caption contest: go!</v>
      </c>
      <c r="C343" s="3">
        <v>41246.756365740737</v>
      </c>
      <c r="D343" s="2">
        <v>1132</v>
      </c>
      <c r="E343" s="2">
        <v>203</v>
      </c>
      <c r="F343" s="2" t="s">
        <v>7</v>
      </c>
      <c r="G343" s="2" t="s">
        <v>8</v>
      </c>
    </row>
    <row r="344" spans="1:7" ht="45" x14ac:dyDescent="0.25">
      <c r="A344" s="4" t="s">
        <v>9</v>
      </c>
      <c r="B344" s="4" t="str">
        <f>HYPERLINK("http://www.facebook.com/8062627951/posts/10151363397877952","For all of the entrepreneurs out there, fill in the blank: I knew I wanted to be an entrepreneur when I was ___________ years old.")</f>
        <v>For all of the entrepreneurs out there, fill in the blank: I knew I wanted to be an entrepreneur when I was ___________ years old.</v>
      </c>
      <c r="C344" s="3">
        <v>41246.733437499999</v>
      </c>
      <c r="D344" s="2">
        <v>141</v>
      </c>
      <c r="E344" s="2">
        <v>452</v>
      </c>
      <c r="F344" s="2" t="s">
        <v>7</v>
      </c>
      <c r="G344" s="2" t="s">
        <v>7</v>
      </c>
    </row>
    <row r="345" spans="1:7" ht="45" x14ac:dyDescent="0.25">
      <c r="A345" s="4" t="str">
        <f>HYPERLINK("http://www.facebook.com/photo.php?fbid=10151363293677952&amp;set=a.114456157951.118433.8062627951&amp;type=1&amp;relevant_count=1","[Photo]")</f>
        <v>[Photo]</v>
      </c>
      <c r="B345" s="4" t="str">
        <f>HYPERLINK("http://www.facebook.com/8062627951/posts/10151363293712952","WeVideo launches new cloud-based video editor, integrates with Facebook, Instagram, Dropbox, Flickr &amp; Google Drive - http://tcrn.ch/VrYqU9")</f>
        <v>WeVideo launches new cloud-based video editor, integrates with Facebook, Instagram, Dropbox, Flickr &amp; Google Drive - http://tcrn.ch/VrYqU9</v>
      </c>
      <c r="C345" s="3">
        <v>41246.681180555555</v>
      </c>
      <c r="D345" s="2">
        <v>280</v>
      </c>
      <c r="E345" s="2">
        <v>8</v>
      </c>
      <c r="F345" s="2" t="s">
        <v>7</v>
      </c>
      <c r="G345" s="2" t="s">
        <v>8</v>
      </c>
    </row>
    <row r="346" spans="1:7" ht="45" x14ac:dyDescent="0.25">
      <c r="A346" s="4" t="str">
        <f>HYPERLINK("http://techcrunch.com/2012/12/03/meet-turntables-piki-the-first-music-app-to-do-social-music-sharing-right/","Meet Turntable’s Piki, The First Music App To Do Social Music Sharing Right")</f>
        <v>Meet Turntable’s Piki, The First Music App To Do Social Music Sharing Right</v>
      </c>
      <c r="B346" s="4" t="str">
        <f>HYPERLINK("http://www.facebook.com/8062627951/posts/487557281282570","Turntable introduces Piki, a Pandora-like, human-powered radio app combined with powerful Twitter-inspired social features.   What do you think of it?")</f>
        <v>Turntable introduces Piki, a Pandora-like, human-powered radio app combined with powerful Twitter-inspired social features.   What do you think of it?</v>
      </c>
      <c r="C346" s="3">
        <v>41246.632175925923</v>
      </c>
      <c r="D346" s="2">
        <v>55</v>
      </c>
      <c r="E346" s="2">
        <v>4</v>
      </c>
      <c r="F346" s="2" t="s">
        <v>8</v>
      </c>
      <c r="G346" s="2" t="s">
        <v>7</v>
      </c>
    </row>
    <row r="347" spans="1:7" ht="45" x14ac:dyDescent="0.25">
      <c r="A347" s="4" t="str">
        <f>HYPERLINK("http://techcrunch.com/2012/12/03/chrome-os-googles-most-underrated-project-that-youve-already-been-testing-and-just-didnt-know-it/","Chrome OS: Google’s Most Underrated Project That You’ve Already Been Testing And Just Didn’t Know It")</f>
        <v>Chrome OS: Google’s Most Underrated Project That You’ve Already Been Testing And Just Didn’t Know It</v>
      </c>
      <c r="B347" s="4" t="str">
        <f>HYPERLINK("http://www.facebook.com/8062627951/posts/428475393889066","Surprised?")</f>
        <v>Surprised?</v>
      </c>
      <c r="C347" s="3">
        <v>41246.563506944447</v>
      </c>
      <c r="D347" s="2">
        <v>284</v>
      </c>
      <c r="E347" s="2">
        <v>21</v>
      </c>
      <c r="F347" s="2" t="s">
        <v>8</v>
      </c>
      <c r="G347" s="2" t="s">
        <v>7</v>
      </c>
    </row>
    <row r="348" spans="1:7" ht="45" x14ac:dyDescent="0.25">
      <c r="A348" s="4" t="str">
        <f>HYPERLINK("http://www.facebook.com/photo.php?fbid=10151363003452952&amp;set=a.114456157951.118433.8062627951&amp;type=1&amp;relevant_count=1","[Photo]")</f>
        <v>[Photo]</v>
      </c>
      <c r="B348" s="4" t="str">
        <f>HYPERLINK("http://www.facebook.com/8062627951/posts/10151363003522952","Facebook users have only 7 days starting now to vote on clarified policy changes and if they’ll keep voting - http://tcrn.ch/Xj4Mch")</f>
        <v>Facebook users have only 7 days starting now to vote on clarified policy changes and if they’ll keep voting - http://tcrn.ch/Xj4Mch</v>
      </c>
      <c r="C348" s="3">
        <v>41246.535787037035</v>
      </c>
      <c r="D348" s="2">
        <v>113</v>
      </c>
      <c r="E348" s="2">
        <v>10</v>
      </c>
      <c r="F348" s="2" t="s">
        <v>7</v>
      </c>
      <c r="G348" s="2" t="s">
        <v>8</v>
      </c>
    </row>
    <row r="349" spans="1:7" ht="30" x14ac:dyDescent="0.25">
      <c r="A349" s="4" t="str">
        <f>HYPERLINK("http://www.facebook.com/photo.php?fbid=10151362981317952&amp;set=a.114456157951.118433.8062627951&amp;type=1&amp;relevant_count=1","[Photo]")</f>
        <v>[Photo]</v>
      </c>
      <c r="B349" s="4" t="str">
        <f>HYPERLINK("http://www.facebook.com/8062627951/posts/10151362981427952","Microsoft rumored to deliver three new Surface tablets in 2013 - http://tcrn.ch/VgTAH3")</f>
        <v>Microsoft rumored to deliver three new Surface tablets in 2013 - http://tcrn.ch/VgTAH3</v>
      </c>
      <c r="C349" s="3">
        <v>41246.524791666663</v>
      </c>
      <c r="D349" s="2">
        <v>82</v>
      </c>
      <c r="E349" s="2">
        <v>11</v>
      </c>
      <c r="F349" s="2" t="s">
        <v>7</v>
      </c>
      <c r="G349" s="2" t="s">
        <v>8</v>
      </c>
    </row>
    <row r="350" spans="1:7" ht="30" x14ac:dyDescent="0.25">
      <c r="A350" s="4" t="str">
        <f>HYPERLINK("http://techcrunch.com/2012/12/03/ask-a-vc-is-back-with-felicis-ventures-aydin-senkut/","Ask A VC Is Back With Felicis Ventures’ Aydin Senkut")</f>
        <v>Ask A VC Is Back With Felicis Ventures’ Aydin Senkut</v>
      </c>
      <c r="B350" s="4" t="str">
        <f>HYPERLINK("http://www.facebook.com/8062627951/posts/296328110486419","Do you have any questions for Felicis Ventures' Aydin Senkut? Get them in now!")</f>
        <v>Do you have any questions for Felicis Ventures' Aydin Senkut? Get them in now!</v>
      </c>
      <c r="C350" s="3">
        <v>41246.502800925926</v>
      </c>
      <c r="D350" s="2">
        <v>8</v>
      </c>
      <c r="E350" s="2">
        <v>0</v>
      </c>
      <c r="F350" s="2" t="s">
        <v>8</v>
      </c>
      <c r="G350" s="2" t="s">
        <v>7</v>
      </c>
    </row>
    <row r="351" spans="1:7" ht="75" x14ac:dyDescent="0.25">
      <c r="A351" s="4" t="str">
        <f>HYPERLINK("http://techcrunch.com/2012/12/03/dev-bootcamp/","How Dev Bootcamp Is Transforming Education To Focus On “Extreme Employability” ")</f>
        <v xml:space="preserve">How Dev Bootcamp Is Transforming Education To Focus On “Extreme Employability” </v>
      </c>
      <c r="B351" s="4" t="s">
        <v>26</v>
      </c>
      <c r="C351" s="3">
        <v>41246.489907407406</v>
      </c>
      <c r="D351" s="2">
        <v>116</v>
      </c>
      <c r="E351" s="2">
        <v>5</v>
      </c>
      <c r="F351" s="2" t="s">
        <v>7</v>
      </c>
      <c r="G351" s="2" t="s">
        <v>7</v>
      </c>
    </row>
    <row r="352" spans="1:7" x14ac:dyDescent="0.25">
      <c r="A352" s="4" t="str">
        <f>HYPERLINK("http://www.facebook.com/photo.php?fbid=10151362862092952&amp;set=a.10151134316772952.498619.8062627951&amp;type=1&amp;relevant_count=1","[Photo]")</f>
        <v>[Photo]</v>
      </c>
      <c r="B352" s="4" t="str">
        <f>HYPERLINK("http://www.facebook.com/8062627951/posts/10151362862117952","Get creative: can anyone guess what this is being built for? ")</f>
        <v xml:space="preserve">Get creative: can anyone guess what this is being built for? </v>
      </c>
      <c r="C352" s="3">
        <v>41246.466412037036</v>
      </c>
      <c r="D352" s="2">
        <v>49</v>
      </c>
      <c r="E352" s="2">
        <v>110</v>
      </c>
      <c r="F352" s="2" t="s">
        <v>8</v>
      </c>
      <c r="G352" s="2" t="s">
        <v>8</v>
      </c>
    </row>
    <row r="353" spans="1:7" ht="30" x14ac:dyDescent="0.25">
      <c r="A353" s="4" t="str">
        <f>HYPERLINK("http://techcrunch.com/2012/12/03/five-things-apple-can-learn-from-windows-8/","Five Things Apple Can Learn From Windows 8")</f>
        <v>Five Things Apple Can Learn From Windows 8</v>
      </c>
      <c r="B353" s="4" t="str">
        <f>HYPERLINK("http://www.facebook.com/8062627951/posts/480667795310101","Dear Apple, here are 5 things you can learn from Windows 8.  Did we miss any?")</f>
        <v>Dear Apple, here are 5 things you can learn from Windows 8.  Did we miss any?</v>
      </c>
      <c r="C353" s="3">
        <v>41246.440937500003</v>
      </c>
      <c r="D353" s="2">
        <v>233</v>
      </c>
      <c r="E353" s="2">
        <v>48</v>
      </c>
      <c r="F353" s="2" t="s">
        <v>8</v>
      </c>
      <c r="G353" s="2" t="s">
        <v>7</v>
      </c>
    </row>
    <row r="354" spans="1:7" ht="30" x14ac:dyDescent="0.25">
      <c r="A354" s="4" t="str">
        <f>HYPERLINK("http://www.facebook.com/photo.php?fbid=10151362775682952&amp;set=a.114456157951.118433.8062627951&amp;type=1&amp;relevant_count=1","[Photo]")</f>
        <v>[Photo]</v>
      </c>
      <c r="B354" s="4" t="str">
        <f>HYPERLINK("http://www.facebook.com/8062627951/posts/10151362775732952","Behind Valkee: the Finnish startup that shines lights into your ears to cure the winter blues - http://tcrn.ch/WDWMxv")</f>
        <v>Behind Valkee: the Finnish startup that shines lights into your ears to cure the winter blues - http://tcrn.ch/WDWMxv</v>
      </c>
      <c r="C354" s="3">
        <v>41246.422685185185</v>
      </c>
      <c r="D354" s="2">
        <v>49</v>
      </c>
      <c r="E354" s="2">
        <v>10</v>
      </c>
      <c r="F354" s="2" t="s">
        <v>7</v>
      </c>
      <c r="G354" s="2" t="s">
        <v>8</v>
      </c>
    </row>
    <row r="355" spans="1:7" ht="60" x14ac:dyDescent="0.25">
      <c r="A355" s="4" t="str">
        <f>HYPERLINK("http://www.facebook.com/photo.php?fbid=10151362620482952&amp;set=a.114456157951.118433.8062627951&amp;type=1&amp;relevant_count=1","[Photo]")</f>
        <v>[Photo]</v>
      </c>
      <c r="B355" s="4" t="str">
        <f>HYPERLINK("http://www.facebook.com/8062627951/posts/10151362620522952","Investors and innovators have a new social playground in America’s newest mountain village - http://tcrn.ch/TDmaoW    “Imagine authentic friendship and community of something like Burning Man, but wit...")</f>
        <v>Investors and innovators have a new social playground in America’s newest mountain village - http://tcrn.ch/TDmaoW    “Imagine authentic friendship and community of something like Burning Man, but wit...</v>
      </c>
      <c r="C355" s="3">
        <v>41246.400150462963</v>
      </c>
      <c r="D355" s="2">
        <v>60</v>
      </c>
      <c r="E355" s="2">
        <v>4</v>
      </c>
      <c r="F355" s="2" t="s">
        <v>7</v>
      </c>
      <c r="G355" s="2" t="s">
        <v>8</v>
      </c>
    </row>
    <row r="356" spans="1:7" ht="30" x14ac:dyDescent="0.25">
      <c r="A356" s="4" t="str">
        <f>HYPERLINK("http://www.facebook.com/photo.php?fbid=10151362588147952&amp;set=a.114456157951.118433.8062627951&amp;type=1&amp;relevant_count=1","[Photo]")</f>
        <v>[Photo]</v>
      </c>
      <c r="B356" s="4" t="str">
        <f>HYPERLINK("http://www.facebook.com/8062627951/posts/10151362588207952","Dear Santa, please buy us this $26,000 transforming robot. Please? - http://tcrn.ch/SGKcxU")</f>
        <v>Dear Santa, please buy us this $26,000 transforming robot. Please? - http://tcrn.ch/SGKcxU</v>
      </c>
      <c r="C356" s="3">
        <v>41246.381458333337</v>
      </c>
      <c r="D356" s="2">
        <v>158</v>
      </c>
      <c r="E356" s="2">
        <v>11</v>
      </c>
      <c r="F356" s="2" t="s">
        <v>8</v>
      </c>
      <c r="G356" s="2" t="s">
        <v>8</v>
      </c>
    </row>
    <row r="357" spans="1:7" ht="30" x14ac:dyDescent="0.25">
      <c r="A357" s="4" t="str">
        <f>HYPERLINK("http://www.facebook.com/photo.php?fbid=10151362534572952&amp;set=a.114456157951.118433.8062627951&amp;type=1&amp;relevant_count=1","[Photo]")</f>
        <v>[Photo]</v>
      </c>
      <c r="B357" s="4" t="str">
        <f>HYPERLINK("http://www.facebook.com/8062627951/posts/10151362534647952","There's a bad Tumblr worm spreading, be careful! http://tcrn.ch/RwzSM6")</f>
        <v>There's a bad Tumblr worm spreading, be careful! http://tcrn.ch/RwzSM6</v>
      </c>
      <c r="C357" s="3">
        <v>41246.35670138889</v>
      </c>
      <c r="D357" s="2">
        <v>77</v>
      </c>
      <c r="E357" s="2">
        <v>2</v>
      </c>
      <c r="F357" s="2" t="s">
        <v>7</v>
      </c>
      <c r="G357" s="2" t="s">
        <v>8</v>
      </c>
    </row>
    <row r="358" spans="1:7" ht="45" x14ac:dyDescent="0.25">
      <c r="A358" s="4" t="str">
        <f>HYPERLINK("http://www.facebook.com/photo.php?fbid=10151362481837952&amp;set=a.114456157951.118433.8062627951&amp;type=1&amp;relevant_count=1","[Photo]")</f>
        <v>[Photo]</v>
      </c>
      <c r="B358" s="4" t="str">
        <f>HYPERLINK("http://www.facebook.com/8062627951/posts/10151362481897952","An interview with Dan Gilbert, self-made hometown billionaire and the leader of the Detroit renaissance - http://tcrn.ch/VgiPcK")</f>
        <v>An interview with Dan Gilbert, self-made hometown billionaire and the leader of the Detroit renaissance - http://tcrn.ch/VgiPcK</v>
      </c>
      <c r="C358" s="3">
        <v>41246.328287037039</v>
      </c>
      <c r="D358" s="2">
        <v>57</v>
      </c>
      <c r="E358" s="2">
        <v>10</v>
      </c>
      <c r="F358" s="2" t="s">
        <v>7</v>
      </c>
      <c r="G358" s="2" t="s">
        <v>8</v>
      </c>
    </row>
    <row r="359" spans="1:7" ht="45" x14ac:dyDescent="0.25">
      <c r="A359" s="4" t="str">
        <f>HYPERLINK("http://techcrunch.com/2012/12/03/carrier-led-mobile-payments-venture-isis-partners-with-usat-to-nfc-enable-7500-vending-machines-in-select-test-markets/","Carrier-Led Mobile Payments Venture Isis Partners With USAT To NFC-Enable 7,500 Vending Machines In.")</f>
        <v>Carrier-Led Mobile Payments Venture Isis Partners With USAT To NFC-Enable 7,500 Vending Machines In.</v>
      </c>
      <c r="B359" s="4" t="str">
        <f>HYPERLINK("http://www.facebook.com/8062627951/posts/517471734931497","You're soon going to be able to buy Doritos with your NFC-enabled cell phone.")</f>
        <v>You're soon going to be able to buy Doritos with your NFC-enabled cell phone.</v>
      </c>
      <c r="C359" s="3">
        <v>41246.310636574075</v>
      </c>
      <c r="D359" s="2">
        <v>30</v>
      </c>
      <c r="E359" s="2">
        <v>6</v>
      </c>
      <c r="F359" s="2" t="s">
        <v>7</v>
      </c>
      <c r="G359" s="2" t="s">
        <v>7</v>
      </c>
    </row>
    <row r="360" spans="1:7" ht="45" x14ac:dyDescent="0.25">
      <c r="A360" s="4" t="str">
        <f>HYPERLINK("http://techcrunch.com/2012/12/03/news-corps-ipad-only-newspaper-the-daily-shutting-down-brand-and-some-staff-folded-into-new-york-post/","News Corp’s iPad-Only Newspaper The Daily Shutting Down, Brand And Some Staff Folded Into New York P")</f>
        <v>News Corp’s iPad-Only Newspaper The Daily Shutting Down, Brand And Some Staff Folded Into New York P</v>
      </c>
      <c r="B360" s="4" t="str">
        <f>HYPERLINK("http://www.facebook.com/8062627951/posts/138706809612878","The Daily, News Corp's grand iPad experiment, is no more.")</f>
        <v>The Daily, News Corp's grand iPad experiment, is no more.</v>
      </c>
      <c r="C360" s="3">
        <v>41246.256793981483</v>
      </c>
      <c r="D360" s="2">
        <v>14</v>
      </c>
      <c r="E360" s="2">
        <v>4</v>
      </c>
      <c r="F360" s="2" t="s">
        <v>7</v>
      </c>
      <c r="G360" s="2" t="s">
        <v>7</v>
      </c>
    </row>
    <row r="361" spans="1:7" ht="30" x14ac:dyDescent="0.25">
      <c r="A361" s="4" t="str">
        <f>HYPERLINK("http://www.facebook.com/photo.php?fbid=10151362279852952&amp;set=a.114456157951.118433.8062627951&amp;type=1&amp;relevant_count=1","[Photo]")</f>
        <v>[Photo]</v>
      </c>
      <c r="B361" s="4" t="str">
        <f>HYPERLINK("http://www.facebook.com/8062627951/posts/10151362279877952","The new iMac: Designed by Apple in California, Assembled in USA - http://tcrn.ch/TBp2DJ")</f>
        <v>The new iMac: Designed by Apple in California, Assembled in USA - http://tcrn.ch/TBp2DJ</v>
      </c>
      <c r="C361" s="3">
        <v>41246.222569444442</v>
      </c>
      <c r="D361" s="2">
        <v>1055</v>
      </c>
      <c r="E361" s="2">
        <v>108</v>
      </c>
      <c r="F361" s="2" t="s">
        <v>7</v>
      </c>
      <c r="G361" s="2" t="s">
        <v>8</v>
      </c>
    </row>
    <row r="362" spans="1:7" ht="45" x14ac:dyDescent="0.25">
      <c r="A362" s="4" t="str">
        <f>HYPERLINK("http://techcrunch.com/2012/12/03/sopost/","Crazy-Stupid Or The Future? SoPost Wants To Turn Your Twitter Handle Into A Physical Address")</f>
        <v>Crazy-Stupid Or The Future? SoPost Wants To Turn Your Twitter Handle Into A Physical Address</v>
      </c>
      <c r="B362" s="4" t="str">
        <f>HYPERLINK("http://www.facebook.com/8062627951/posts/260170427441671","Would you turn your Facebook ID into a physical address?")</f>
        <v>Would you turn your Facebook ID into a physical address?</v>
      </c>
      <c r="C362" s="3">
        <v>41246.209872685184</v>
      </c>
      <c r="D362" s="2">
        <v>25</v>
      </c>
      <c r="E362" s="2">
        <v>7</v>
      </c>
      <c r="F362" s="2" t="s">
        <v>8</v>
      </c>
      <c r="G362" s="2" t="s">
        <v>7</v>
      </c>
    </row>
    <row r="363" spans="1:7" x14ac:dyDescent="0.25">
      <c r="A363" s="4" t="str">
        <f>HYPERLINK("http://www.facebook.com/photo.php?fbid=10151361797262952&amp;set=a.114456157951.118433.8062627951&amp;type=1&amp;relevant_count=1","[Photo]")</f>
        <v>[Photo]</v>
      </c>
      <c r="B363" s="4" t="str">
        <f>HYPERLINK("http://www.facebook.com/8062627951/posts/10151361797297952","Happy Birthday, SMS! http://tcrn.ch/UjEMZB")</f>
        <v>Happy Birthday, SMS! http://tcrn.ch/UjEMZB</v>
      </c>
      <c r="C363" s="3">
        <v>41245.891932870371</v>
      </c>
      <c r="D363" s="2">
        <v>185</v>
      </c>
      <c r="E363" s="2">
        <v>4</v>
      </c>
      <c r="F363" s="2" t="s">
        <v>7</v>
      </c>
      <c r="G363" s="2" t="s">
        <v>8</v>
      </c>
    </row>
    <row r="364" spans="1:7" x14ac:dyDescent="0.25">
      <c r="A364" s="4" t="str">
        <f>HYPERLINK("http://www.facebook.com/photo.php?fbid=10151361710567952&amp;set=a.114456157951.118433.8062627951&amp;type=1&amp;relevant_count=1","[Photo]")</f>
        <v>[Photo]</v>
      </c>
      <c r="B364" s="4" t="str">
        <f>HYPERLINK("http://www.facebook.com/8062627951/posts/10151361710642952","Is Facebook going to buy WhatsApp? http://tcrn.ch/QZEE4K")</f>
        <v>Is Facebook going to buy WhatsApp? http://tcrn.ch/QZEE4K</v>
      </c>
      <c r="C364" s="3">
        <v>41245.842685185184</v>
      </c>
      <c r="D364" s="2">
        <v>419</v>
      </c>
      <c r="E364" s="2">
        <v>67</v>
      </c>
      <c r="F364" s="2" t="s">
        <v>8</v>
      </c>
      <c r="G364" s="2" t="s">
        <v>8</v>
      </c>
    </row>
    <row r="365" spans="1:7" ht="45" x14ac:dyDescent="0.25">
      <c r="A365" s="4" t="str">
        <f>HYPERLINK("http://techcrunch.com/2012/12/01/how-to-hire-a-full-stack-web-team/","A Full-Stack Web Team Will Provide Much-Needed Breadth And Depth To Your Startup ")</f>
        <v xml:space="preserve">A Full-Stack Web Team Will Provide Much-Needed Breadth And Depth To Your Startup </v>
      </c>
      <c r="B365" s="4" t="str">
        <f>HYPERLINK("http://www.facebook.com/8062627951/posts/177266729080576","Startups, do you have a full-stacked web team?")</f>
        <v>Startups, do you have a full-stacked web team?</v>
      </c>
      <c r="C365" s="3">
        <v>41245.746516203704</v>
      </c>
      <c r="D365" s="2">
        <v>87</v>
      </c>
      <c r="E365" s="2">
        <v>5</v>
      </c>
      <c r="F365" s="2" t="s">
        <v>8</v>
      </c>
      <c r="G365" s="2" t="s">
        <v>7</v>
      </c>
    </row>
    <row r="366" spans="1:7" x14ac:dyDescent="0.25">
      <c r="A366" s="4" t="str">
        <f>HYPERLINK("http://www.facebook.com/photo.php?fbid=10151361397237952&amp;set=a.114456157951.118433.8062627951&amp;type=1&amp;relevant_count=1","[Photo]")</f>
        <v>[Photo]</v>
      </c>
      <c r="B366" s="4" t="str">
        <f>HYPERLINK("http://www.facebook.com/8062627951/posts/10151361397282952","Gift Guide: Philips Hue - http://tcrn.ch/Ve4LAg")</f>
        <v>Gift Guide: Philips Hue - http://tcrn.ch/Ve4LAg</v>
      </c>
      <c r="C366" s="3">
        <v>41245.680717592593</v>
      </c>
      <c r="D366" s="2">
        <v>114</v>
      </c>
      <c r="E366" s="2">
        <v>4</v>
      </c>
      <c r="F366" s="2" t="s">
        <v>7</v>
      </c>
      <c r="G366" s="2" t="s">
        <v>8</v>
      </c>
    </row>
    <row r="367" spans="1:7" ht="45" x14ac:dyDescent="0.25">
      <c r="A367" s="4" t="str">
        <f>HYPERLINK("http://techcrunch.com/2012/12/02/as-retail-e-commerce-sees-three-billion-dollar-plus-days-in-the-past-week-online-holiday-sales-jump-15-percent-to-20-4b/","As Retail E-Commerce Sees Three Billion Dollar-Plus Days In The Past Week, Online Holiday Sales Jump")</f>
        <v>As Retail E-Commerce Sees Three Billion Dollar-Plus Days In The Past Week, Online Holiday Sales Jump</v>
      </c>
      <c r="B367" s="4" t="str">
        <f>HYPERLINK("http://www.facebook.com/8062627951/posts/340473416051097","Who has been doing some shopping?")</f>
        <v>Who has been doing some shopping?</v>
      </c>
      <c r="C367" s="3">
        <v>41245.64371527778</v>
      </c>
      <c r="D367" s="2">
        <v>15</v>
      </c>
      <c r="E367" s="2">
        <v>1</v>
      </c>
      <c r="F367" s="2" t="s">
        <v>8</v>
      </c>
      <c r="G367" s="2" t="s">
        <v>7</v>
      </c>
    </row>
    <row r="368" spans="1:7" ht="45" x14ac:dyDescent="0.25">
      <c r="A368" s="4" t="str">
        <f>HYPERLINK("http://www.facebook.com/photo.php?fbid=10151361254822952&amp;set=a.114456157951.118433.8062627951&amp;type=1&amp;relevant_count=1","[Photo]")</f>
        <v>[Photo]</v>
      </c>
      <c r="B368" s="4" t="s">
        <v>27</v>
      </c>
      <c r="C368" s="3">
        <v>41245.612858796296</v>
      </c>
      <c r="D368" s="2">
        <v>91</v>
      </c>
      <c r="E368" s="2">
        <v>60</v>
      </c>
      <c r="F368" s="2" t="s">
        <v>8</v>
      </c>
      <c r="G368" s="2" t="s">
        <v>8</v>
      </c>
    </row>
    <row r="369" spans="1:7" x14ac:dyDescent="0.25">
      <c r="A369" s="4" t="s">
        <v>9</v>
      </c>
      <c r="B369" s="4" t="str">
        <f>HYPERLINK("http://www.facebook.com/8062627951/posts/10151361098932952","My favorite thing to do on my mobile device is _________.")</f>
        <v>My favorite thing to do on my mobile device is _________.</v>
      </c>
      <c r="C369" s="3">
        <v>41245.542615740742</v>
      </c>
      <c r="D369" s="2">
        <v>67</v>
      </c>
      <c r="E369" s="2">
        <v>298</v>
      </c>
      <c r="F369" s="2" t="s">
        <v>7</v>
      </c>
      <c r="G369" s="2" t="s">
        <v>7</v>
      </c>
    </row>
    <row r="370" spans="1:7" ht="30" x14ac:dyDescent="0.25">
      <c r="A370" s="4" t="str">
        <f>HYPERLINK("http://www.facebook.com/photo.php?fbid=10151360982622952&amp;set=a.114456157951.118433.8062627951&amp;type=1&amp;relevant_count=1","[Photo]")</f>
        <v>[Photo]</v>
      </c>
      <c r="B370" s="4" t="str">
        <f>HYPERLINK("http://www.facebook.com/8062627951/posts/10151360982697952","Facebook makes a huge data grab by aggressively promoting Photo Sync - http://tcrn.ch/Ui0dKl")</f>
        <v>Facebook makes a huge data grab by aggressively promoting Photo Sync - http://tcrn.ch/Ui0dKl</v>
      </c>
      <c r="C370" s="3">
        <v>41245.48541666667</v>
      </c>
      <c r="D370" s="2">
        <v>150</v>
      </c>
      <c r="E370" s="2">
        <v>71</v>
      </c>
      <c r="F370" s="2" t="s">
        <v>7</v>
      </c>
      <c r="G370" s="2" t="s">
        <v>8</v>
      </c>
    </row>
    <row r="371" spans="1:7" ht="30" x14ac:dyDescent="0.25">
      <c r="A371" s="4" t="str">
        <f>HYPERLINK("http://www.facebook.com/photo.php?fbid=10151360967552952&amp;set=a.114456157951.118433.8062627951&amp;type=1&amp;relevant_count=1","[Photo]")</f>
        <v>[Photo]</v>
      </c>
      <c r="B371" s="4" t="str">
        <f>HYPERLINK("http://www.facebook.com/8062627951/posts/10151360967607952","Ways to get people to do things they don’t want to do - http://tcrn.ch/SDG5ma    What usually works for you?")</f>
        <v>Ways to get people to do things they don’t want to do - http://tcrn.ch/SDG5ma    What usually works for you?</v>
      </c>
      <c r="C371" s="3">
        <v>41245.476944444446</v>
      </c>
      <c r="D371" s="2">
        <v>70</v>
      </c>
      <c r="E371" s="2">
        <v>12</v>
      </c>
      <c r="F371" s="2" t="s">
        <v>8</v>
      </c>
      <c r="G371" s="2" t="s">
        <v>8</v>
      </c>
    </row>
    <row r="372" spans="1:7" x14ac:dyDescent="0.25">
      <c r="A372" s="4" t="str">
        <f>HYPERLINK("http://www.facebook.com/photo.php?fbid=10151360767742952&amp;set=a.114456157951.118433.8062627951&amp;type=1&amp;relevant_count=1","[Photo]")</f>
        <v>[Photo]</v>
      </c>
      <c r="B372" s="4" t="str">
        <f>HYPERLINK("http://www.facebook.com/8062627951/posts/10151360767932952","Holy Drones, Batman! http://tcrn.ch/Szrh9F")</f>
        <v>Holy Drones, Batman! http://tcrn.ch/Szrh9F</v>
      </c>
      <c r="C372" s="3">
        <v>41245.376898148148</v>
      </c>
      <c r="D372" s="2">
        <v>40</v>
      </c>
      <c r="E372" s="2">
        <v>2</v>
      </c>
      <c r="F372" s="2" t="s">
        <v>7</v>
      </c>
      <c r="G372" s="2" t="s">
        <v>8</v>
      </c>
    </row>
    <row r="373" spans="1:7" x14ac:dyDescent="0.25">
      <c r="A373" s="4" t="s">
        <v>9</v>
      </c>
      <c r="B373" s="4" t="str">
        <f>HYPERLINK("http://www.facebook.com/8062627951/posts/10151360062272952","I want technology to help change the way that I _________.")</f>
        <v>I want technology to help change the way that I _________.</v>
      </c>
      <c r="C373" s="3">
        <v>41244.843194444446</v>
      </c>
      <c r="D373" s="2">
        <v>195</v>
      </c>
      <c r="E373" s="2">
        <v>450</v>
      </c>
      <c r="F373" s="2" t="s">
        <v>7</v>
      </c>
      <c r="G373" s="2" t="s">
        <v>7</v>
      </c>
    </row>
    <row r="374" spans="1:7" ht="30" x14ac:dyDescent="0.25">
      <c r="A374" s="4" t="str">
        <f>HYPERLINK("http://www.facebook.com/photo.php?fbid=10151359827882952&amp;set=a.114456157951.118433.8062627951&amp;type=1&amp;relevant_count=1","[Photo]")</f>
        <v>[Photo]</v>
      </c>
      <c r="B374" s="4" t="str">
        <f>HYPERLINK("http://www.facebook.com/8062627951/posts/10151359827962952","The magic of liquidity: web marketplaces still have a long way to go - http://tcrn.ch/VbQO5T")</f>
        <v>The magic of liquidity: web marketplaces still have a long way to go - http://tcrn.ch/VbQO5T</v>
      </c>
      <c r="C374" s="3">
        <v>41244.683055555557</v>
      </c>
      <c r="D374" s="2">
        <v>500</v>
      </c>
      <c r="E374" s="2">
        <v>28</v>
      </c>
      <c r="F374" s="2" t="s">
        <v>7</v>
      </c>
      <c r="G374" s="2" t="s">
        <v>8</v>
      </c>
    </row>
    <row r="375" spans="1:7" ht="30" x14ac:dyDescent="0.25">
      <c r="A375" s="4" t="str">
        <f>HYPERLINK("http://techcrunch.com/2012/12/01/the-path-to-a-culture-of-success-is-paved-with-authentic-leadership/","CEOs Don’t Come Pre-Made, Authentic Leadership Has To Be Learned")</f>
        <v>CEOs Don’t Come Pre-Made, Authentic Leadership Has To Be Learned</v>
      </c>
      <c r="B375" s="4" t="str">
        <f>HYPERLINK("http://www.facebook.com/8062627951/posts/171062859702649","What qualities do you think are most important for CEOs to have?")</f>
        <v>What qualities do you think are most important for CEOs to have?</v>
      </c>
      <c r="C375" s="3">
        <v>41244.645891203705</v>
      </c>
      <c r="D375" s="2">
        <v>68</v>
      </c>
      <c r="E375" s="2">
        <v>19</v>
      </c>
      <c r="F375" s="2" t="s">
        <v>8</v>
      </c>
      <c r="G375" s="2" t="s">
        <v>7</v>
      </c>
    </row>
    <row r="376" spans="1:7" ht="75" x14ac:dyDescent="0.25">
      <c r="A376" s="4" t="str">
        <f>HYPERLINK("http://techcrunch.com/2012/12/01/stranger-in-the-valley/","For A Stranger In Silicon Valley, Success Isn’t Only About Who You Know ")</f>
        <v xml:space="preserve">For A Stranger In Silicon Valley, Success Isn’t Only About Who You Know </v>
      </c>
      <c r="B376" s="4" t="s">
        <v>28</v>
      </c>
      <c r="C376" s="3">
        <v>41244.596041666664</v>
      </c>
      <c r="D376" s="2">
        <v>74</v>
      </c>
      <c r="E376" s="2">
        <v>7</v>
      </c>
      <c r="F376" s="2" t="s">
        <v>7</v>
      </c>
      <c r="G376" s="2" t="s">
        <v>7</v>
      </c>
    </row>
    <row r="377" spans="1:7" ht="45" x14ac:dyDescent="0.25">
      <c r="A377" s="4" t="str">
        <f>HYPERLINK("http://www.facebook.com/photo.php?fbid=10151359638647952&amp;set=a.114456157951.118433.8062627951&amp;type=1&amp;relevant_count=1","[Photo]")</f>
        <v>[Photo]</v>
      </c>
      <c r="B377" s="4" t="str">
        <f>HYPERLINK("http://www.facebook.com/8062627951/posts/10151359638697952","Have babies in the house? Inspired by a VC’s baby, designed by MIT grads, Spuni is a smart baby spoon - http://tcrn.ch/UhGs5M")</f>
        <v>Have babies in the house? Inspired by a VC’s baby, designed by MIT grads, Spuni is a smart baby spoon - http://tcrn.ch/UhGs5M</v>
      </c>
      <c r="C377" s="3">
        <v>41244.564942129633</v>
      </c>
      <c r="D377" s="2">
        <v>100</v>
      </c>
      <c r="E377" s="2">
        <v>6</v>
      </c>
      <c r="F377" s="2" t="s">
        <v>8</v>
      </c>
      <c r="G377" s="2" t="s">
        <v>8</v>
      </c>
    </row>
    <row r="378" spans="1:7" ht="30" x14ac:dyDescent="0.25">
      <c r="A378" s="4" t="str">
        <f>HYPERLINK("http://www.facebook.com/photo.php?fbid=10151359619092952&amp;set=a.114456157951.118433.8062627951&amp;type=1&amp;relevant_count=1","[Photo]")</f>
        <v>[Photo]</v>
      </c>
      <c r="B378" s="4" t="str">
        <f>HYPERLINK("http://www.facebook.com/8062627951/posts/10151359619142952","My First Customer Is Now Dead    A guest post by James Altucher - http://tcrn.ch/TthkIm")</f>
        <v>My First Customer Is Now Dead    A guest post by James Altucher - http://tcrn.ch/TthkIm</v>
      </c>
      <c r="C378" s="3">
        <v>41244.552812499998</v>
      </c>
      <c r="D378" s="2">
        <v>242</v>
      </c>
      <c r="E378" s="2">
        <v>31</v>
      </c>
      <c r="F378" s="2" t="s">
        <v>7</v>
      </c>
      <c r="G378" s="2" t="s">
        <v>8</v>
      </c>
    </row>
    <row r="379" spans="1:7" ht="30" x14ac:dyDescent="0.25">
      <c r="A379" s="4" t="str">
        <f>HYPERLINK("http://www.facebook.com/photo.php?fbid=10151358779912952&amp;set=a.114456157951.118433.8062627951&amp;type=1&amp;relevant_count=1","[Photo]")</f>
        <v>[Photo]</v>
      </c>
      <c r="B379" s="4" t="str">
        <f>HYPERLINK("http://www.facebook.com/8062627951/posts/10151358779947952","Could Google challenge the postal system? http://tcrn.ch/Tz6ina")</f>
        <v>Could Google challenge the postal system? http://tcrn.ch/Tz6ina</v>
      </c>
      <c r="C379" s="3">
        <v>41243.95212962963</v>
      </c>
      <c r="D379" s="2">
        <v>229</v>
      </c>
      <c r="E379" s="2">
        <v>49</v>
      </c>
      <c r="F379" s="2" t="s">
        <v>8</v>
      </c>
      <c r="G379" s="2" t="s">
        <v>8</v>
      </c>
    </row>
    <row r="380" spans="1:7" ht="30" x14ac:dyDescent="0.25">
      <c r="A380" s="4" t="str">
        <f>HYPERLINK("http://www.facebook.com/photo.php?fbid=10151358396592952&amp;set=a.114456157951.118433.8062627951&amp;type=1&amp;relevant_count=1","[Photo]")</f>
        <v>[Photo]</v>
      </c>
      <c r="B380" s="4" t="str">
        <f>HYPERLINK("http://www.facebook.com/8062627951/posts/10151358396617952","Settle down, Facebook, ‘cause you’re not getting $1M for sharing a pic of a fake lottery ticket - http://tcrn.ch/UxfauC")</f>
        <v>Settle down, Facebook, ‘cause you’re not getting $1M for sharing a pic of a fake lottery ticket - http://tcrn.ch/UxfauC</v>
      </c>
      <c r="C380" s="3">
        <v>41243.667233796295</v>
      </c>
      <c r="D380" s="2">
        <v>355</v>
      </c>
      <c r="E380" s="2">
        <v>42</v>
      </c>
      <c r="F380" s="2" t="s">
        <v>7</v>
      </c>
      <c r="G380" s="2" t="s">
        <v>8</v>
      </c>
    </row>
    <row r="381" spans="1:7" ht="30" x14ac:dyDescent="0.25">
      <c r="A381" s="4" t="str">
        <f>HYPERLINK("http://www.facebook.com/photo.php?fbid=10151358334167952&amp;set=a.114456157951.118433.8062627951&amp;type=1&amp;relevant_count=1","[Photo]")</f>
        <v>[Photo]</v>
      </c>
      <c r="B381" s="4" t="str">
        <f>HYPERLINK("http://www.facebook.com/8062627951/posts/10151358334217952","Huge burn! Mexican court rules Yahoo must pay $2.7 billion for breach of contract - http://tcrn.ch/Vkdmao")</f>
        <v>Huge burn! Mexican court rules Yahoo must pay $2.7 billion for breach of contract - http://tcrn.ch/Vkdmao</v>
      </c>
      <c r="C381" s="3">
        <v>41243.625717592593</v>
      </c>
      <c r="D381" s="2">
        <v>54</v>
      </c>
      <c r="E381" s="2">
        <v>14</v>
      </c>
      <c r="F381" s="2" t="s">
        <v>7</v>
      </c>
      <c r="G381" s="2" t="s">
        <v>8</v>
      </c>
    </row>
    <row r="382" spans="1:7" ht="30" x14ac:dyDescent="0.25">
      <c r="A382" s="4" t="str">
        <f>HYPERLINK("http://www.facebook.com/photo.php?fbid=10151358300077952&amp;set=a.114456157951.118433.8062627951&amp;type=1&amp;relevant_count=1","[Photo]")</f>
        <v>[Photo]</v>
      </c>
      <c r="B382" s="4" t="str">
        <f>HYPERLINK("http://www.facebook.com/8062627951/posts/10151358300132952","Review: Squier by Fender Strat Guitar with USB connection. Want one? - http://tcrn.ch/YyLFvk")</f>
        <v>Review: Squier by Fender Strat Guitar with USB connection. Want one? - http://tcrn.ch/YyLFvk</v>
      </c>
      <c r="C382" s="3">
        <v>41243.604224537034</v>
      </c>
      <c r="D382" s="2">
        <v>63</v>
      </c>
      <c r="E382" s="2">
        <v>5</v>
      </c>
      <c r="F382" s="2" t="s">
        <v>8</v>
      </c>
      <c r="G382" s="2" t="s">
        <v>8</v>
      </c>
    </row>
    <row r="383" spans="1:7" ht="45" x14ac:dyDescent="0.25">
      <c r="A383" s="4" t="str">
        <f>HYPERLINK("http://techcrunch.com/2012/11/30/cinemagram-raises-8-5m-series-a-led-by-menlo-ventures-to-make-mobile-photo-sharing-more-animated/","Cinemagram Raises $8.5M Series A Led By Menlo Ventures To Make Mobile Photo Sharing More Animated")</f>
        <v>Cinemagram Raises $8.5M Series A Led By Menlo Ventures To Make Mobile Photo Sharing More Animated</v>
      </c>
      <c r="B383" s="4" t="str">
        <f>HYPERLINK("http://www.facebook.com/8062627951/posts/271774966279197","How many of you use Cinemagram?")</f>
        <v>How many of you use Cinemagram?</v>
      </c>
      <c r="C383" s="3">
        <v>41243.584537037037</v>
      </c>
      <c r="D383" s="2">
        <v>41</v>
      </c>
      <c r="E383" s="2">
        <v>2</v>
      </c>
      <c r="F383" s="2" t="s">
        <v>8</v>
      </c>
      <c r="G383" s="2" t="s">
        <v>7</v>
      </c>
    </row>
    <row r="384" spans="1:7" ht="45" x14ac:dyDescent="0.25">
      <c r="A384" s="4" t="str">
        <f>HYPERLINK("http://techcrunch.com/2012/11/30/productivity-app-evernote-gets-another-85m-75-in-secondary-financing-led-by-londons-acg-equity-partnersm8-capital/","Productivity App Evernote Gets Another $85M, ~$64M In Secondary Financing, Led By London’s AGC Equit")</f>
        <v>Productivity App Evernote Gets Another $85M, ~$64M In Secondary Financing, Led By London’s AGC Equit</v>
      </c>
      <c r="B384" s="4" t="str">
        <f>HYPERLINK("http://www.facebook.com/8062627951/posts/296667207117743","This round of financing, which brings the total raised by Evernote to $251 million, bring two new investors.  Do you use Evernote?")</f>
        <v>This round of financing, which brings the total raised by Evernote to $251 million, bring two new investors.  Do you use Evernote?</v>
      </c>
      <c r="C384" s="3">
        <v>41243.549479166664</v>
      </c>
      <c r="D384" s="2">
        <v>119</v>
      </c>
      <c r="E384" s="2">
        <v>23</v>
      </c>
      <c r="F384" s="2" t="s">
        <v>8</v>
      </c>
      <c r="G384" s="2" t="s">
        <v>7</v>
      </c>
    </row>
    <row r="385" spans="1:7" ht="30" x14ac:dyDescent="0.25">
      <c r="A385" s="4" t="str">
        <f>HYPERLINK("http://www.facebook.com/photo.php?fbid=10151358156797952&amp;set=a.114456157951.118433.8062627951&amp;type=1&amp;relevant_count=1","[Photo]")</f>
        <v>[Photo]</v>
      </c>
      <c r="B385" s="4" t="str">
        <f>HYPERLINK("http://www.facebook.com/8062627951/posts/10151358156852952","A first look at the 2012 21.5-inch iMac, and how it compares to generations past - http://tcrn.ch/VjwtBE")</f>
        <v>A first look at the 2012 21.5-inch iMac, and how it compares to generations past - http://tcrn.ch/VjwtBE</v>
      </c>
      <c r="C385" s="3">
        <v>41243.517395833333</v>
      </c>
      <c r="D385" s="2">
        <v>231</v>
      </c>
      <c r="E385" s="2">
        <v>28</v>
      </c>
      <c r="F385" s="2" t="s">
        <v>7</v>
      </c>
      <c r="G385" s="2" t="s">
        <v>8</v>
      </c>
    </row>
    <row r="386" spans="1:7" ht="45" x14ac:dyDescent="0.25">
      <c r="A386" s="4" t="str">
        <f>HYPERLINK("http://techcrunch.com/2012/11/30/facebook-website-down-mobile-app-and-website-still-working/","Facebook Website Down (Update: Some Users Can Load FB.com), Mobile App And Website Still Working | T")</f>
        <v>Facebook Website Down (Update: Some Users Can Load FB.com), Mobile App And Website Still Working | T</v>
      </c>
      <c r="B386" s="4" t="str">
        <f>HYPERLINK("http://www.facebook.com/8062627951/posts/119912448169322","Facebook, come back. If you can see this, you're one of the lucky ones.")</f>
        <v>Facebook, come back. If you can see this, you're one of the lucky ones.</v>
      </c>
      <c r="C386" s="3">
        <v>41243.504745370374</v>
      </c>
      <c r="D386" s="2">
        <v>197</v>
      </c>
      <c r="E386" s="2">
        <v>81</v>
      </c>
      <c r="F386" s="2" t="s">
        <v>7</v>
      </c>
      <c r="G386" s="2" t="s">
        <v>7</v>
      </c>
    </row>
    <row r="387" spans="1:7" ht="30" x14ac:dyDescent="0.25">
      <c r="A387" s="4" t="str">
        <f>HYPERLINK("http://www.facebook.com/photo.php?fbid=10151358074897952&amp;set=a.114456157951.118433.8062627951&amp;type=1&amp;relevant_count=1","[Photo]")</f>
        <v>[Photo]</v>
      </c>
      <c r="B387" s="4" t="str">
        <f>HYPERLINK("http://www.facebook.com/8062627951/posts/10151358074942952","Instagram co-founder Mike Krieger’s 8 principles for building products people want - http://tcrn.ch/U6JLua")</f>
        <v>Instagram co-founder Mike Krieger’s 8 principles for building products people want - http://tcrn.ch/U6JLua</v>
      </c>
      <c r="C387" s="3">
        <v>41243.462916666664</v>
      </c>
      <c r="D387" s="2">
        <v>204</v>
      </c>
      <c r="E387" s="2">
        <v>5</v>
      </c>
      <c r="F387" s="2" t="s">
        <v>7</v>
      </c>
      <c r="G387" s="2" t="s">
        <v>8</v>
      </c>
    </row>
    <row r="388" spans="1:7" ht="45" x14ac:dyDescent="0.25">
      <c r="A388" s="4" t="str">
        <f>HYPERLINK("http://techcrunch.com/2012/11/30/foundation-video-melody-mccloskey-of-styleseat-on-getting-investors-involved-in-a-beauty-startup/","Foundation Video: Melody McCloskey Of StyleSeat On Getting Investors Involved In A Beauty Startup")</f>
        <v>Foundation Video: Melody McCloskey Of StyleSeat On Getting Investors Involved In A Beauty Startup</v>
      </c>
      <c r="B388" s="4" t="str">
        <f>HYPERLINK("http://www.facebook.com/8062627951/posts/515065481850494","In Kevin Rose's latest Foundation video, he talks to Melody McCloskey of StyleSeat on getting investors for a beauty startup.")</f>
        <v>In Kevin Rose's latest Foundation video, he talks to Melody McCloskey of StyleSeat on getting investors for a beauty startup.</v>
      </c>
      <c r="C388" s="3">
        <v>41243.39261574074</v>
      </c>
      <c r="D388" s="2">
        <v>19</v>
      </c>
      <c r="E388" s="2">
        <v>2</v>
      </c>
      <c r="F388" s="2" t="s">
        <v>7</v>
      </c>
      <c r="G388" s="2" t="s">
        <v>7</v>
      </c>
    </row>
    <row r="389" spans="1:7" ht="30" x14ac:dyDescent="0.25">
      <c r="A389" s="4" t="str">
        <f>HYPERLINK("http://techcrunch.com/2012/11/30/video-how-reddit-was-born/","Video: How Reddit Was Born")</f>
        <v>Video: How Reddit Was Born</v>
      </c>
      <c r="B389" s="4" t="str">
        <f>HYPERLINK("http://www.facebook.com/8062627951/posts/436407813091477","Watch this: Steve and Alexia explain how Reddit was created, scaled and became the company it is today.")</f>
        <v>Watch this: Steve and Alexia explain how Reddit was created, scaled and became the company it is today.</v>
      </c>
      <c r="C389" s="3">
        <v>41243.358159722222</v>
      </c>
      <c r="D389" s="2">
        <v>63</v>
      </c>
      <c r="E389" s="2">
        <v>4</v>
      </c>
      <c r="F389" s="2" t="s">
        <v>7</v>
      </c>
      <c r="G389" s="2" t="s">
        <v>7</v>
      </c>
    </row>
    <row r="390" spans="1:7" ht="45" x14ac:dyDescent="0.25">
      <c r="A390" s="4" t="str">
        <f>HYPERLINK("http://www.facebook.com/photo.php?fbid=10151357857662952&amp;set=a.10151357856742952.533701.8062627951&amp;type=1&amp;relevant_count=18","[Photo]")</f>
        <v>[Photo]</v>
      </c>
      <c r="B390" s="4" t="str">
        <f>HYPERLINK("http://www.facebook.com/8062627951/posts/10151357865037952","TechCrunch has a new space in NYC. Apparently we were too rowdy in Aol's NYC main office so they put us in Aol Venture's fantastic office.")</f>
        <v>TechCrunch has a new space in NYC. Apparently we were too rowdy in Aol's NYC main office so they put us in Aol Venture's fantastic office.</v>
      </c>
      <c r="C390" s="3">
        <v>41243.328831018516</v>
      </c>
      <c r="D390" s="2">
        <v>652</v>
      </c>
      <c r="E390" s="2">
        <v>57</v>
      </c>
      <c r="F390" s="2" t="s">
        <v>7</v>
      </c>
      <c r="G390" s="2" t="s">
        <v>8</v>
      </c>
    </row>
    <row r="391" spans="1:7" ht="45" x14ac:dyDescent="0.25">
      <c r="A391" s="4" t="str">
        <f>HYPERLINK("http://techcrunch.com/2012/11/30/google-play-narrowing-the-gap-on-ios-for-mobile-revenue-but-ios-still-brings-in-4x-the-money/","Google Play Narrowing The Gap On iOS For Mobile Revenue, But iOS Still Brings In 4X The Money")</f>
        <v>Google Play Narrowing The Gap On iOS For Mobile Revenue, But iOS Still Brings In 4X The Money</v>
      </c>
      <c r="B391" s="4" t="str">
        <f>HYPERLINK("http://www.facebook.com/8062627951/posts/112945108871838","Developers, have you found this to be true? Do you make more money on iOS than Android?")</f>
        <v>Developers, have you found this to be true? Do you make more money on iOS than Android?</v>
      </c>
      <c r="C391" s="3">
        <v>41243.320393518516</v>
      </c>
      <c r="D391" s="2">
        <v>73</v>
      </c>
      <c r="E391" s="2">
        <v>20</v>
      </c>
      <c r="F391" s="2" t="s">
        <v>8</v>
      </c>
      <c r="G391" s="2" t="s">
        <v>7</v>
      </c>
    </row>
    <row r="392" spans="1:7" ht="45" x14ac:dyDescent="0.25">
      <c r="A392" s="4" t="str">
        <f>HYPERLINK("http://techcrunch.com/2012/11/30/the-netflix-for-designer-clothes-rent-the-runway-raises-20m-from-vogue-publisher-conde-nast-and-kleiner-perkins/","The Netflix For Designer Clothes, Rent The Runway Raises $20M From Vogue-Publisher Condé Nast And Kl")</f>
        <v>The Netflix For Designer Clothes, Rent The Runway Raises $20M From Vogue-Publisher Condé Nast And Kl</v>
      </c>
      <c r="B392" s="4" t="str">
        <f>HYPERLINK("http://www.facebook.com/8062627951/posts/303097229808105","You deserve some nice clothes but why pay for them?")</f>
        <v>You deserve some nice clothes but why pay for them?</v>
      </c>
      <c r="C392" s="3">
        <v>41243.282465277778</v>
      </c>
      <c r="D392" s="2">
        <v>32</v>
      </c>
      <c r="E392" s="2">
        <v>9</v>
      </c>
      <c r="F392" s="2" t="s">
        <v>8</v>
      </c>
      <c r="G392" s="2" t="s">
        <v>7</v>
      </c>
    </row>
    <row r="393" spans="1:7" ht="30" x14ac:dyDescent="0.25">
      <c r="A393" s="4" t="str">
        <f>HYPERLINK("http://www.facebook.com/photo.php?fbid=10151357734742952&amp;set=a.114456157951.118433.8062627951&amp;type=1&amp;relevant_count=1","[Photo]")</f>
        <v>[Photo]</v>
      </c>
      <c r="B393" s="4" t="str">
        <f>HYPERLINK("http://www.facebook.com/8062627951/posts/10151357734767952","R.I.P. frothy times, a return to mormalcy - http://tcrn.ch/V9ULIB")</f>
        <v>R.I.P. frothy times, a return to mormalcy - http://tcrn.ch/V9ULIB</v>
      </c>
      <c r="C393" s="3">
        <v>41243.239571759259</v>
      </c>
      <c r="D393" s="2">
        <v>22</v>
      </c>
      <c r="E393" s="2">
        <v>2</v>
      </c>
      <c r="F393" s="2" t="s">
        <v>7</v>
      </c>
      <c r="G393" s="2" t="s">
        <v>8</v>
      </c>
    </row>
    <row r="394" spans="1:7" x14ac:dyDescent="0.25">
      <c r="A394" s="4" t="s">
        <v>9</v>
      </c>
      <c r="B394" s="4" t="str">
        <f>HYPERLINK("http://www.facebook.com/8062627951/posts/10151357495367952","the news of the day was ________.")</f>
        <v>the news of the day was ________.</v>
      </c>
      <c r="C394" s="3">
        <v>41242.995810185188</v>
      </c>
      <c r="D394" s="2">
        <v>56</v>
      </c>
      <c r="E394" s="2">
        <v>111</v>
      </c>
      <c r="F394" s="2" t="s">
        <v>7</v>
      </c>
      <c r="G394" s="2" t="s">
        <v>7</v>
      </c>
    </row>
    <row r="395" spans="1:7" ht="30" x14ac:dyDescent="0.25">
      <c r="A395" s="4" t="str">
        <f>HYPERLINK("http://www.facebook.com/photo.php?fbid=10151357087722952&amp;set=a.114456157951.118433.8062627951&amp;type=1&amp;relevant_count=1","[Photo]")</f>
        <v>[Photo]</v>
      </c>
      <c r="B395" s="4" t="str">
        <f>HYPERLINK("http://www.facebook.com/8062627951/posts/10151357087772952","Zynga's stock price plummets as renegotiation with Facebook ends their special friendship  http://tcrn.ch/Tp5rTN")</f>
        <v>Zynga's stock price plummets as renegotiation with Facebook ends their special friendship  http://tcrn.ch/Tp5rTN</v>
      </c>
      <c r="C395" s="3">
        <v>41242.721435185187</v>
      </c>
      <c r="D395" s="2">
        <v>119</v>
      </c>
      <c r="E395" s="2">
        <v>24</v>
      </c>
      <c r="F395" s="2" t="s">
        <v>7</v>
      </c>
      <c r="G395" s="2" t="s">
        <v>8</v>
      </c>
    </row>
    <row r="396" spans="1:7" ht="45" x14ac:dyDescent="0.25">
      <c r="A396" s="4" t="str">
        <f>HYPERLINK("http://techcrunch.com/2012/11/29/meet-rapt-fm-the-startup-that-lets-rappers-show-their-skills-with-freestyle-battles-on-the-web/","Meet Rapt.fm, The Startup That Lets Rappers Show Their Skills With Freestyle Battles On The Web")</f>
        <v>Meet Rapt.fm, The Startup That Lets Rappers Show Their Skills With Freestyle Battles On The Web</v>
      </c>
      <c r="B396" s="4" t="str">
        <f>HYPERLINK("http://www.facebook.com/8062627951/posts/117699555059226","Yo! Can you rap?")</f>
        <v>Yo! Can you rap?</v>
      </c>
      <c r="C396" s="3">
        <v>41242.683159722219</v>
      </c>
      <c r="D396" s="2">
        <v>42</v>
      </c>
      <c r="E396" s="2">
        <v>10</v>
      </c>
      <c r="F396" s="2" t="s">
        <v>8</v>
      </c>
      <c r="G396" s="2" t="s">
        <v>7</v>
      </c>
    </row>
    <row r="397" spans="1:7" ht="30" x14ac:dyDescent="0.25">
      <c r="A397" s="4" t="str">
        <f>HYPERLINK("http://www.facebook.com/photo.php?fbid=10151356696122952&amp;set=a.114456157951.118433.8062627951&amp;type=1&amp;relevant_count=1","[Photo]")</f>
        <v>[Photo]</v>
      </c>
      <c r="B397" s="4" t="str">
        <f>HYPERLINK("http://www.facebook.com/8062627951/posts/10151356696187952","Android lovers, you'll like this one! - http://tcrn.ch/Rm0jnr    Gift Guide: HTC One X+")</f>
        <v>Android lovers, you'll like this one! - http://tcrn.ch/Rm0jnr    Gift Guide: HTC One X+</v>
      </c>
      <c r="C397" s="3">
        <v>41242.607106481482</v>
      </c>
      <c r="D397" s="2">
        <v>68</v>
      </c>
      <c r="E397" s="2">
        <v>8</v>
      </c>
      <c r="F397" s="2" t="s">
        <v>7</v>
      </c>
      <c r="G397" s="2" t="s">
        <v>8</v>
      </c>
    </row>
    <row r="398" spans="1:7" ht="45" x14ac:dyDescent="0.25">
      <c r="A398" s="4" t="str">
        <f>HYPERLINK("http://techcrunch.com/2012/11/29/zynga-facebook-deal-amendment/","Zynga Loosens Its Deal With Facebook: No Longer Tied To Facebook Ad Units, Credits, Or Exclusivity")</f>
        <v>Zynga Loosens Its Deal With Facebook: No Longer Tied To Facebook Ad Units, Credits, Or Exclusivity</v>
      </c>
      <c r="B398" s="4" t="str">
        <f>HYPERLINK("http://www.facebook.com/8062627951/posts/112653732234063","Looks like Zynga &amp; Facebook are establishing a little more distance and flexibility in their relationship.")</f>
        <v>Looks like Zynga &amp; Facebook are establishing a little more distance and flexibility in their relationship.</v>
      </c>
      <c r="C398" s="3">
        <v>41242.593692129631</v>
      </c>
      <c r="D398" s="2">
        <v>23</v>
      </c>
      <c r="E398" s="2">
        <v>3</v>
      </c>
      <c r="F398" s="2" t="s">
        <v>7</v>
      </c>
      <c r="G398" s="2" t="s">
        <v>7</v>
      </c>
    </row>
    <row r="399" spans="1:7" ht="45" x14ac:dyDescent="0.25">
      <c r="A399" s="4" t="str">
        <f>HYPERLINK("http://techcrunch.com/2012/11/29/apple-will-reportedly-start-selling-unlocked-iphones-as-early-as-tonight-in-the-u-s/","Apple Will Reportedly Start Selling Unlocked iPhones As Early As Tonight In The U.S. ")</f>
        <v xml:space="preserve">Apple Will Reportedly Start Selling Unlocked iPhones As Early As Tonight In The U.S. </v>
      </c>
      <c r="B399" s="4" t="str">
        <f>HYPERLINK("http://www.facebook.com/8062627951/posts/298694356916565","Apple may start selling unlocked iPhones as early as tonight via its online store...")</f>
        <v>Apple may start selling unlocked iPhones as early as tonight via its online store...</v>
      </c>
      <c r="C399" s="3">
        <v>41242.561215277776</v>
      </c>
      <c r="D399" s="2">
        <v>130</v>
      </c>
      <c r="E399" s="2">
        <v>25</v>
      </c>
      <c r="F399" s="2" t="s">
        <v>7</v>
      </c>
      <c r="G399" s="2" t="s">
        <v>7</v>
      </c>
    </row>
    <row r="400" spans="1:7" ht="45" x14ac:dyDescent="0.25">
      <c r="A400" s="4" t="str">
        <f>HYPERLINK("http://techcrunch.com/2012/11/29/top-5-new-features-in-itunes-11-icloud-up-next-and-more/","Top 5 New Features In iTunes 11: iCloud Integration, New Interface, Up Next, And More ")</f>
        <v xml:space="preserve">Top 5 New Features In iTunes 11: iCloud Integration, New Interface, Up Next, And More </v>
      </c>
      <c r="B400" s="4" t="str">
        <f>HYPERLINK("http://www.facebook.com/8062627951/posts/346405108789999","The long-awaited iTunes 11 is finally here. Which new features are your favorite?")</f>
        <v>The long-awaited iTunes 11 is finally here. Which new features are your favorite?</v>
      </c>
      <c r="C400" s="3">
        <v>41242.513090277775</v>
      </c>
      <c r="D400" s="2">
        <v>58</v>
      </c>
      <c r="E400" s="2">
        <v>32</v>
      </c>
      <c r="F400" s="2" t="s">
        <v>8</v>
      </c>
      <c r="G400" s="2" t="s">
        <v>7</v>
      </c>
    </row>
    <row r="401" spans="1:7" ht="45" x14ac:dyDescent="0.25">
      <c r="A401" s="4" t="str">
        <f>HYPERLINK("http://techcrunch.com/2012/11/29/google-research-most-of-the-time-the-smartphone-you-search-for-is-the-smartphone-you-buy/","Google Research: Most Of The Time, The Smartphone You Search For Is The Smartphone You Buy")</f>
        <v>Google Research: Most Of The Time, The Smartphone You Search For Is The Smartphone You Buy</v>
      </c>
      <c r="B401" s="4" t="str">
        <f>HYPERLINK("http://www.facebook.com/8062627951/posts/461704743865810","Be careful what you search for.")</f>
        <v>Be careful what you search for.</v>
      </c>
      <c r="C401" s="3">
        <v>41242.50880787037</v>
      </c>
      <c r="D401" s="2">
        <v>25</v>
      </c>
      <c r="E401" s="2">
        <v>4</v>
      </c>
      <c r="F401" s="2" t="s">
        <v>7</v>
      </c>
      <c r="G401" s="2" t="s">
        <v>7</v>
      </c>
    </row>
    <row r="402" spans="1:7" ht="45" x14ac:dyDescent="0.25">
      <c r="A402" s="4" t="str">
        <f>HYPERLINK("http://www.facebook.com/photo.php?fbid=10151356511327952&amp;set=a.114456157951.118433.8062627951&amp;type=1&amp;relevant_count=1","[Photo]")</f>
        <v>[Photo]</v>
      </c>
      <c r="B402" s="4" t="str">
        <f>HYPERLINK("http://www.facebook.com/8062627951/posts/10151356511382952","Microsoft finally talks Surface Pro pricing: 64GB for $899, 128GB for $999. Which one do you think you'll get? - http://tcrn.ch/114tb5v")</f>
        <v>Microsoft finally talks Surface Pro pricing: 64GB for $899, 128GB for $999. Which one do you think you'll get? - http://tcrn.ch/114tb5v</v>
      </c>
      <c r="C402" s="3">
        <v>41242.501076388886</v>
      </c>
      <c r="D402" s="2">
        <v>245</v>
      </c>
      <c r="E402" s="2">
        <v>226</v>
      </c>
      <c r="F402" s="2" t="s">
        <v>8</v>
      </c>
      <c r="G402" s="2" t="s">
        <v>8</v>
      </c>
    </row>
    <row r="403" spans="1:7" ht="30" x14ac:dyDescent="0.25">
      <c r="A403" s="4" t="str">
        <f>HYPERLINK("http://www.facebook.com/photo.php?fbid=10151356445837952&amp;set=a.114456157951.118433.8062627951&amp;type=1&amp;relevant_count=1","[Photo]")</f>
        <v>[Photo]</v>
      </c>
      <c r="B403" s="4" t="str">
        <f>HYPERLINK("http://www.facebook.com/8062627951/posts/10151356445902952","iTunes — It goes to 11. (In design, if not performance.) - http://tcrn.ch/Ue9LpR")</f>
        <v>iTunes — It goes to 11. (In design, if not performance.) - http://tcrn.ch/Ue9LpR</v>
      </c>
      <c r="C403" s="3">
        <v>41242.470243055555</v>
      </c>
      <c r="D403" s="2">
        <v>105</v>
      </c>
      <c r="E403" s="2">
        <v>13</v>
      </c>
      <c r="F403" s="2" t="s">
        <v>7</v>
      </c>
      <c r="G403" s="2" t="s">
        <v>8</v>
      </c>
    </row>
    <row r="404" spans="1:7" ht="30" x14ac:dyDescent="0.25">
      <c r="A404" s="4" t="str">
        <f>HYPERLINK("http://www.facebook.com/photo.php?fbid=10151356386757952&amp;set=a.114456157951.118433.8062627951&amp;type=1&amp;relevant_count=1","[Photo]")</f>
        <v>[Photo]</v>
      </c>
      <c r="B404" s="4" t="str">
        <f>HYPERLINK("http://www.facebook.com/8062627951/posts/10151356386802952","Meet past Crunchies winners and get your tickets NOW! http://tcrn.ch/Ue97ss")</f>
        <v>Meet past Crunchies winners and get your tickets NOW! http://tcrn.ch/Ue97ss</v>
      </c>
      <c r="C404" s="3">
        <v>41242.439849537041</v>
      </c>
      <c r="D404" s="2">
        <v>27</v>
      </c>
      <c r="E404" s="2">
        <v>0</v>
      </c>
      <c r="F404" s="2" t="s">
        <v>7</v>
      </c>
      <c r="G404" s="2" t="s">
        <v>8</v>
      </c>
    </row>
    <row r="405" spans="1:7" ht="30" x14ac:dyDescent="0.25">
      <c r="A405" s="4" t="str">
        <f>HYPERLINK("http://www.facebook.com/photo.php?fbid=10151356348812952&amp;set=a.114456157951.118433.8062627951&amp;type=1&amp;relevant_count=1","[Photo]")</f>
        <v>[Photo]</v>
      </c>
      <c r="B405" s="4" t="str">
        <f>HYPERLINK("http://www.facebook.com/8062627951/posts/10151356348862952","Pandora's Founder Tim Westergren discusses the future of music. http://tcrn.ch/TttS2s")</f>
        <v>Pandora's Founder Tim Westergren discusses the future of music. http://tcrn.ch/TttS2s</v>
      </c>
      <c r="C405" s="3">
        <v>41242.414490740739</v>
      </c>
      <c r="D405" s="2">
        <v>25</v>
      </c>
      <c r="E405" s="2">
        <v>1</v>
      </c>
      <c r="F405" s="2" t="s">
        <v>7</v>
      </c>
      <c r="G405" s="2" t="s">
        <v>8</v>
      </c>
    </row>
    <row r="406" spans="1:7" ht="45" x14ac:dyDescent="0.25">
      <c r="A406" s="4" t="str">
        <f>HYPERLINK("http://techcrunch.com/2012/11/29/republicans-give-sopa-architect-power-over-science-committee-goodbye-geek-supporters/","Republicans Give SOPA Architect Power Over Science Committee. Goodbye, Geek Supporters")</f>
        <v>Republicans Give SOPA Architect Power Over Science Committee. Goodbye, Geek Supporters</v>
      </c>
      <c r="B406" s="4" t="str">
        <f>HYPERLINK("http://www.facebook.com/8062627951/posts/269971156458468","Bad news...")</f>
        <v>Bad news...</v>
      </c>
      <c r="C406" s="3">
        <v>41242.372743055559</v>
      </c>
      <c r="D406" s="2">
        <v>38</v>
      </c>
      <c r="E406" s="2">
        <v>8</v>
      </c>
      <c r="F406" s="2" t="s">
        <v>7</v>
      </c>
      <c r="G406" s="2" t="s">
        <v>7</v>
      </c>
    </row>
    <row r="407" spans="1:7" ht="45" x14ac:dyDescent="0.25">
      <c r="A407" s="4" t="str">
        <f>HYPERLINK("http://techcrunch.com/2012/11/29/basis-takes-on-jawbone-nike-finally-launches-its-impressive-199-health-tracking-band/","Basis Takes On Jawbone, Nike, Finally Launches Its Impressive $199 Health Tracking Band")</f>
        <v>Basis Takes On Jawbone, Nike, Finally Launches Its Impressive $199 Health Tracking Band</v>
      </c>
      <c r="B407" s="4" t="str">
        <f>HYPERLINK("http://www.facebook.com/8062627951/posts/430794253641670","In case you need another health monitoring gadget, Basis just launched it's $199 tracking band.")</f>
        <v>In case you need another health monitoring gadget, Basis just launched it's $199 tracking band.</v>
      </c>
      <c r="C407" s="3">
        <v>41242.335138888891</v>
      </c>
      <c r="D407" s="2">
        <v>22</v>
      </c>
      <c r="E407" s="2">
        <v>3</v>
      </c>
      <c r="F407" s="2" t="s">
        <v>7</v>
      </c>
      <c r="G407" s="2" t="s">
        <v>7</v>
      </c>
    </row>
    <row r="408" spans="1:7" x14ac:dyDescent="0.25">
      <c r="A408" s="4" t="str">
        <f>HYPERLINK("http://techcrunch.com/2012/11/29/microsoft-trolls-the-trolls-in-latest-ie10-ad/","Microsoft Trolls The Trolls In Latest IE10 Ad")</f>
        <v>Microsoft Trolls The Trolls In Latest IE10 Ad</v>
      </c>
      <c r="B408" s="4" t="str">
        <f>HYPERLINK("http://www.facebook.com/8062627951/posts/600028530023427","Anyone use Internet Explorer 10? [Video]")</f>
        <v>Anyone use Internet Explorer 10? [Video]</v>
      </c>
      <c r="C408" s="3">
        <v>41242.31722222222</v>
      </c>
      <c r="D408" s="2">
        <v>118</v>
      </c>
      <c r="E408" s="2">
        <v>23</v>
      </c>
      <c r="F408" s="2" t="s">
        <v>8</v>
      </c>
      <c r="G408" s="2" t="s">
        <v>7</v>
      </c>
    </row>
    <row r="409" spans="1:7" ht="30" x14ac:dyDescent="0.25">
      <c r="A409" s="4" t="str">
        <f>HYPERLINK("http://www.facebook.com/photo.php?fbid=10151356156402952&amp;set=a.114456157951.118433.8062627951&amp;type=1&amp;relevant_count=1","[Photo]")</f>
        <v>[Photo]</v>
      </c>
      <c r="B409" s="4" t="str">
        <f>HYPERLINK("http://www.facebook.com/8062627951/posts/10151356156442952","First look at the Scanadu SCOUT, a gadget to bring your vital sign data to your smartphone [TCTV] - http://tcrn.ch/TuM0fD")</f>
        <v>First look at the Scanadu SCOUT, a gadget to bring your vital sign data to your smartphone [TCTV] - http://tcrn.ch/TuM0fD</v>
      </c>
      <c r="C409" s="3">
        <v>41242.293055555558</v>
      </c>
      <c r="D409" s="2">
        <v>46</v>
      </c>
      <c r="E409" s="2">
        <v>1</v>
      </c>
      <c r="F409" s="2" t="s">
        <v>7</v>
      </c>
      <c r="G409" s="2" t="s">
        <v>8</v>
      </c>
    </row>
    <row r="410" spans="1:7" ht="45" x14ac:dyDescent="0.25">
      <c r="A410" s="4" t="str">
        <f>HYPERLINK("http://techcrunch.com/2012/11/29/fantastical-lands-on-iphone-with-a-calendar-app-tailor-made-for-mobile-schedule-management/","Fantastical Lands On iPhone With A Calendar App Tailor-Made For Mobile Schedule Management ")</f>
        <v xml:space="preserve">Fantastical Lands On iPhone With A Calendar App Tailor-Made For Mobile Schedule Management </v>
      </c>
      <c r="B410" s="4" t="str">
        <f>HYPERLINK("http://www.facebook.com/8062627951/posts/451258654909898","Anyone looking for an easier way to input and manage appointments on your iPhone?")</f>
        <v>Anyone looking for an easier way to input and manage appointments on your iPhone?</v>
      </c>
      <c r="C410" s="3">
        <v>41242.234444444446</v>
      </c>
      <c r="D410" s="2">
        <v>23</v>
      </c>
      <c r="E410" s="2">
        <v>5</v>
      </c>
      <c r="F410" s="2" t="s">
        <v>8</v>
      </c>
      <c r="G410" s="2" t="s">
        <v>7</v>
      </c>
    </row>
    <row r="411" spans="1:7" ht="30" x14ac:dyDescent="0.25">
      <c r="A411" s="4" t="str">
        <f>HYPERLINK("http://www.facebook.com/photo.php?fbid=10151356047132952&amp;set=a.114456157951.118433.8062627951&amp;type=1&amp;relevant_count=1","[Photo]")</f>
        <v>[Photo]</v>
      </c>
      <c r="B411" s="4" t="str">
        <f>HYPERLINK("http://www.facebook.com/8062627951/posts/10151356047157952","The iPhone 5 clears its final regulatory hurdle for launch in China - http://tcrn.ch/Ss3QPw")</f>
        <v>The iPhone 5 clears its final regulatory hurdle for launch in China - http://tcrn.ch/Ss3QPw</v>
      </c>
      <c r="C411" s="3">
        <v>41242.212708333333</v>
      </c>
      <c r="D411" s="2">
        <v>64</v>
      </c>
      <c r="E411" s="2">
        <v>2</v>
      </c>
      <c r="F411" s="2" t="s">
        <v>7</v>
      </c>
      <c r="G411" s="2" t="s">
        <v>8</v>
      </c>
    </row>
    <row r="412" spans="1:7" ht="30" x14ac:dyDescent="0.25">
      <c r="A412" s="4" t="str">
        <f>HYPERLINK("http://techcrunch.com/2012/11/28/the-story-of-adku-and-why-andrew-mason-isnt-the-problem-at-groupon/","The Story Of Adku, And Why Andrew Mason Isn’t The Problem at Groupon")</f>
        <v>The Story Of Adku, And Why Andrew Mason Isn’t The Problem at Groupon</v>
      </c>
      <c r="B412" s="4" t="str">
        <f>HYPERLINK("http://www.facebook.com/8062627951/posts/457023794333690","Can anyone guess who, or what, is?")</f>
        <v>Can anyone guess who, or what, is?</v>
      </c>
      <c r="C412" s="3">
        <v>41241.898981481485</v>
      </c>
      <c r="D412" s="2">
        <v>10</v>
      </c>
      <c r="E412" s="2">
        <v>0</v>
      </c>
      <c r="F412" s="2" t="s">
        <v>8</v>
      </c>
      <c r="G412" s="2" t="s">
        <v>7</v>
      </c>
    </row>
    <row r="413" spans="1:7" ht="60" x14ac:dyDescent="0.25">
      <c r="A413" s="4" t="str">
        <f>HYPERLINK("http://www.facebook.com/photo.php?fbid=10151355662267952&amp;set=a.114456157951.118433.8062627951&amp;type=1&amp;relevant_count=1","[Photo]")</f>
        <v>[Photo]</v>
      </c>
      <c r="B413" s="4" t="str">
        <f>HYPERLINK("http://www.facebook.com/8062627951/posts/10151355662302952","Technology is increasingly becoming a part of the classroom experience, particularly thanks to smart devices.     iSchool Campus wants to bring the next-gen wired classroom to K12 education - http://t...")</f>
        <v>Technology is increasingly becoming a part of the classroom experience, particularly thanks to smart devices.     iSchool Campus wants to bring the next-gen wired classroom to K12 education - http://t...</v>
      </c>
      <c r="C413" s="3">
        <v>41241.850740740738</v>
      </c>
      <c r="D413" s="2">
        <v>225</v>
      </c>
      <c r="E413" s="2">
        <v>10</v>
      </c>
      <c r="F413" s="2" t="s">
        <v>7</v>
      </c>
      <c r="G413" s="2" t="s">
        <v>8</v>
      </c>
    </row>
    <row r="414" spans="1:7" ht="30" x14ac:dyDescent="0.25">
      <c r="A414" s="4" t="str">
        <f>HYPERLINK("http://techcrunch.com/2012/11/28/willcall-is-spotify-for-concerts-kinda/","Spotify Made You Listen To More Music, WillCall Gets You To Go To More Concerts")</f>
        <v>Spotify Made You Listen To More Music, WillCall Gets You To Go To More Concerts</v>
      </c>
      <c r="B414" s="4" t="str">
        <f>HYPERLINK("http://www.facebook.com/8062627951/posts/118552491639813","Are you a concert lover?")</f>
        <v>Are you a concert lover?</v>
      </c>
      <c r="C414" s="3">
        <v>41241.76761574074</v>
      </c>
      <c r="D414" s="2">
        <v>44</v>
      </c>
      <c r="E414" s="2">
        <v>8</v>
      </c>
      <c r="F414" s="2" t="s">
        <v>8</v>
      </c>
      <c r="G414" s="2" t="s">
        <v>7</v>
      </c>
    </row>
    <row r="415" spans="1:7" ht="30" x14ac:dyDescent="0.25">
      <c r="A415" s="4" t="str">
        <f>HYPERLINK("http://www.facebook.com/photo.php?fbid=10151355471292952&amp;set=a.10151134316772952.498619.8062627951&amp;type=1&amp;relevant_count=1","[Photo]")</f>
        <v>[Photo]</v>
      </c>
      <c r="B415" s="4" t="str">
        <f>HYPERLINK("http://www.facebook.com/8062627951/posts/10151355471327952","The view from the TechCrunch offices in New York. Photo by @shootbydaylight ")</f>
        <v xml:space="preserve">The view from the TechCrunch offices in New York. Photo by @shootbydaylight </v>
      </c>
      <c r="C415" s="3">
        <v>41241.728645833333</v>
      </c>
      <c r="D415" s="2">
        <v>572</v>
      </c>
      <c r="E415" s="2">
        <v>19</v>
      </c>
      <c r="F415" s="2" t="s">
        <v>7</v>
      </c>
      <c r="G415" s="2" t="s">
        <v>8</v>
      </c>
    </row>
    <row r="416" spans="1:7" ht="45" x14ac:dyDescent="0.25">
      <c r="A416" s="4" t="str">
        <f>HYPERLINK("http://techcrunch.com/2012/11/28/groupon-shares-pop-11-6-percent-after-ceo-andrew-mason-defends-his-vision-and-leadership/","Groupon Shares Pop 11.6 Percent After CEO Andrew Mason Defends His Vision And Leadership")</f>
        <v>Groupon Shares Pop 11.6 Percent After CEO Andrew Mason Defends His Vision And Leadership</v>
      </c>
      <c r="B416" s="4" t="str">
        <f>HYPERLINK("http://www.facebook.com/8062627951/posts/433519296707541","How many of you still use Groupon?")</f>
        <v>How many of you still use Groupon?</v>
      </c>
      <c r="C416" s="3">
        <v>41241.679502314815</v>
      </c>
      <c r="D416" s="2">
        <v>31</v>
      </c>
      <c r="E416" s="2">
        <v>47</v>
      </c>
      <c r="F416" s="2" t="s">
        <v>8</v>
      </c>
      <c r="G416" s="2" t="s">
        <v>7</v>
      </c>
    </row>
    <row r="417" spans="1:7" ht="45" x14ac:dyDescent="0.25">
      <c r="A417" s="4" t="str">
        <f>HYPERLINK("http://www.facebook.com/photo.php?fbid=10151355363092952&amp;set=a.114456157951.118433.8062627951&amp;type=1&amp;relevant_count=1","[Photo]")</f>
        <v>[Photo]</v>
      </c>
      <c r="B417" s="4" t="str">
        <f>HYPERLINK("http://www.facebook.com/8062627951/posts/10151355363142952","Jack Dorsey from Twitter &amp; Square won Founder of the Year at the Crunchies Awards last year. Who do you think will win this year?     Get your nominations in: http://bit.ly/TWxR6o")</f>
        <v>Jack Dorsey from Twitter &amp; Square won Founder of the Year at the Crunchies Awards last year. Who do you think will win this year?     Get your nominations in: http://bit.ly/TWxR6o</v>
      </c>
      <c r="C417" s="3">
        <v>41241.657812500001</v>
      </c>
      <c r="D417" s="2">
        <v>79</v>
      </c>
      <c r="E417" s="2">
        <v>7</v>
      </c>
      <c r="F417" s="2" t="s">
        <v>8</v>
      </c>
      <c r="G417" s="2" t="s">
        <v>8</v>
      </c>
    </row>
    <row r="418" spans="1:7" ht="30" x14ac:dyDescent="0.25">
      <c r="A418" s="4" t="str">
        <f>HYPERLINK("http://techcrunch.com/2012/11/28/who-is-scroogling-who-bings-shopping-results-arent-all-that-clean-either/","Who Is Scroogling Who? Bing’s Shopping Results Aren’t All That Clean, Either")</f>
        <v>Who Is Scroogling Who? Bing’s Shopping Results Aren’t All That Clean, Either</v>
      </c>
      <c r="B418" s="4" t="str">
        <f>HYPERLINK("http://www.facebook.com/8062627951/posts/289205464516291","It's true...")</f>
        <v>It's true...</v>
      </c>
      <c r="C418" s="3">
        <v>41241.629652777781</v>
      </c>
      <c r="D418" s="2">
        <v>32</v>
      </c>
      <c r="E418" s="2">
        <v>6</v>
      </c>
      <c r="F418" s="2" t="s">
        <v>7</v>
      </c>
      <c r="G418" s="2" t="s">
        <v>7</v>
      </c>
    </row>
    <row r="419" spans="1:7" ht="30" x14ac:dyDescent="0.25">
      <c r="A419" s="4" t="str">
        <f>HYPERLINK("http://techcrunch.com/events/crunchies-2012/","The 6th Annual Crunchies Awards")</f>
        <v>The 6th Annual Crunchies Awards</v>
      </c>
      <c r="B419" s="4" t="str">
        <f>HYPERLINK("http://www.facebook.com/8062627951/posts/496033893750567","Make sure to nominate your favorites. Nominations for the 6th Annual #Crunchies Awards close December 6th!")</f>
        <v>Make sure to nominate your favorites. Nominations for the 6th Annual #Crunchies Awards close December 6th!</v>
      </c>
      <c r="C419" s="3">
        <v>41241.609942129631</v>
      </c>
      <c r="D419" s="2">
        <v>11</v>
      </c>
      <c r="E419" s="2">
        <v>0</v>
      </c>
      <c r="F419" s="2" t="s">
        <v>7</v>
      </c>
      <c r="G419" s="2" t="s">
        <v>7</v>
      </c>
    </row>
    <row r="420" spans="1:7" ht="45" x14ac:dyDescent="0.25">
      <c r="A420" s="4" t="str">
        <f>HYPERLINK("http://techcrunch.com/2012/11/28/ginger-series-a-khosla/","Ginger.io Raises $6.5M To Use Your Smartphone To Track Your Health, Round Led By Khosla")</f>
        <v>Ginger.io Raises $6.5M To Use Your Smartphone To Track Your Health, Round Led By Khosla</v>
      </c>
      <c r="B420" s="4" t="str">
        <f>HYPERLINK("http://www.facebook.com/8062627951/posts/388069577937259","Vinod Khosla says Ginger.io is “at the forefront of data-driven technology and healthcare.”")</f>
        <v>Vinod Khosla says Ginger.io is “at the forefront of data-driven technology and healthcare.”</v>
      </c>
      <c r="C420" s="3">
        <v>41241.581585648149</v>
      </c>
      <c r="D420" s="2">
        <v>32</v>
      </c>
      <c r="E420" s="2">
        <v>4</v>
      </c>
      <c r="F420" s="2" t="s">
        <v>7</v>
      </c>
      <c r="G420" s="2" t="s">
        <v>7</v>
      </c>
    </row>
    <row r="421" spans="1:7" ht="30" x14ac:dyDescent="0.25">
      <c r="A421" s="4" t="str">
        <f>HYPERLINK("http://www.facebook.com/photo.php?fbid=10151355133332952&amp;set=a.114456157951.118433.8062627951&amp;type=1&amp;relevant_count=1","[Photo]")</f>
        <v>[Photo]</v>
      </c>
      <c r="B421" s="4" t="str">
        <f>HYPERLINK("http://www.facebook.com/8062627951/posts/10151355133387952","Kickstarter: myLED adds another LED to your iPhone - http://tcrn.ch/U3657W")</f>
        <v>Kickstarter: myLED adds another LED to your iPhone - http://tcrn.ch/U3657W</v>
      </c>
      <c r="C421" s="3">
        <v>41241.557997685188</v>
      </c>
      <c r="D421" s="2">
        <v>183</v>
      </c>
      <c r="E421" s="2">
        <v>30</v>
      </c>
      <c r="F421" s="2" t="s">
        <v>7</v>
      </c>
      <c r="G421" s="2" t="s">
        <v>8</v>
      </c>
    </row>
    <row r="422" spans="1:7" x14ac:dyDescent="0.25">
      <c r="A422" s="4" t="s">
        <v>9</v>
      </c>
      <c r="B422" s="4" t="str">
        <f>HYPERLINK("http://www.facebook.com/8062627951/posts/10151355043677952","The first gadget I ever owned was a _____________.")</f>
        <v>The first gadget I ever owned was a _____________.</v>
      </c>
      <c r="C422" s="3">
        <v>41241.520208333335</v>
      </c>
      <c r="D422" s="2">
        <v>64</v>
      </c>
      <c r="E422" s="2">
        <v>647</v>
      </c>
      <c r="F422" s="2" t="s">
        <v>7</v>
      </c>
      <c r="G422" s="2" t="s">
        <v>7</v>
      </c>
    </row>
    <row r="423" spans="1:7" ht="30" x14ac:dyDescent="0.25">
      <c r="A423" s="4" t="str">
        <f>HYPERLINK("http://www.facebook.com/photo.php?fbid=10151355025737952&amp;set=a.114456157951.118433.8062627951&amp;type=1&amp;relevant_count=1","[Photo]")</f>
        <v>[Photo]</v>
      </c>
      <c r="B423" s="4" t="str">
        <f>HYPERLINK("http://www.facebook.com/8062627951/posts/10151355025812952","Facebook gives new mobile page ads more color &amp; context to make every pixel count - http://tcrn.ch/V3oIJN")</f>
        <v>Facebook gives new mobile page ads more color &amp; context to make every pixel count - http://tcrn.ch/V3oIJN</v>
      </c>
      <c r="C423" s="3">
        <v>41241.509363425925</v>
      </c>
      <c r="D423" s="2">
        <v>27</v>
      </c>
      <c r="E423" s="2">
        <v>5</v>
      </c>
      <c r="F423" s="2" t="s">
        <v>7</v>
      </c>
      <c r="G423" s="2" t="s">
        <v>8</v>
      </c>
    </row>
    <row r="424" spans="1:7" ht="30" x14ac:dyDescent="0.25">
      <c r="A424" s="4" t="str">
        <f>HYPERLINK("http://www.facebook.com/photo.php?fbid=10151355016157952&amp;set=a.114456157951.118433.8062627951&amp;type=1&amp;relevant_count=1","[Photo]")</f>
        <v>[Photo]</v>
      </c>
      <c r="B424" s="4" t="str">
        <f>HYPERLINK("http://www.facebook.com/8062627951/posts/10151355016192952","Would you use a version of Instagram that looked like this concept video? http://tcrn.ch/V3muKD")</f>
        <v>Would you use a version of Instagram that looked like this concept video? http://tcrn.ch/V3muKD</v>
      </c>
      <c r="C424" s="3">
        <v>41241.503287037034</v>
      </c>
      <c r="D424" s="2">
        <v>76</v>
      </c>
      <c r="E424" s="2">
        <v>12</v>
      </c>
      <c r="F424" s="2" t="s">
        <v>8</v>
      </c>
      <c r="G424" s="2" t="s">
        <v>8</v>
      </c>
    </row>
    <row r="425" spans="1:7" ht="30" x14ac:dyDescent="0.25">
      <c r="A425" s="4" t="str">
        <f>HYPERLINK("http://www.facebook.com/photo.php?fbid=10151354897892952&amp;set=a.114456157951.118433.8062627951&amp;type=1&amp;relevant_count=1","[Photo]")</f>
        <v>[Photo]</v>
      </c>
      <c r="B425" s="4" t="str">
        <f>HYPERLINK("http://www.facebook.com/8062627951/posts/10151354897947952","Gorgeous photos in your pocket: 500px arrives on the iPhone. Who's getting it? - http://tcrn.ch/TtOwlh")</f>
        <v>Gorgeous photos in your pocket: 500px arrives on the iPhone. Who's getting it? - http://tcrn.ch/TtOwlh</v>
      </c>
      <c r="C425" s="3">
        <v>41241.433715277781</v>
      </c>
      <c r="D425" s="2">
        <v>51</v>
      </c>
      <c r="E425" s="2">
        <v>3</v>
      </c>
      <c r="F425" s="2" t="s">
        <v>8</v>
      </c>
      <c r="G425" s="2" t="s">
        <v>8</v>
      </c>
    </row>
    <row r="426" spans="1:7" ht="30" x14ac:dyDescent="0.25">
      <c r="A426" s="4" t="str">
        <f>HYPERLINK("http://techcrunch.com/2012/11/28/turtles-all-the-way-down/","With Amazon, It’s Records All The Way Down — Which Is Brilliant ")</f>
        <v xml:space="preserve">With Amazon, It’s Records All The Way Down — Which Is Brilliant </v>
      </c>
      <c r="B426" s="4" t="str">
        <f>HYPERLINK("http://www.facebook.com/8062627951/posts/141874172627706","Amazon is messing with us, and they know it. And they’re smiling about it.")</f>
        <v>Amazon is messing with us, and they know it. And they’re smiling about it.</v>
      </c>
      <c r="C426" s="3">
        <v>41241.413148148145</v>
      </c>
      <c r="D426" s="2">
        <v>52</v>
      </c>
      <c r="E426" s="2">
        <v>6</v>
      </c>
      <c r="F426" s="2" t="s">
        <v>7</v>
      </c>
      <c r="G426" s="2" t="s">
        <v>7</v>
      </c>
    </row>
    <row r="427" spans="1:7" ht="30" x14ac:dyDescent="0.25">
      <c r="A427" s="4" t="str">
        <f>HYPERLINK("http://techcrunch.com/2012/11/28/a-few-math-questions-that-us-college-students-cant-answer/","A Few Math Questions That US College Students Can’t Answer")</f>
        <v>A Few Math Questions That US College Students Can’t Answer</v>
      </c>
      <c r="B427" s="4" t="str">
        <f>HYPERLINK("http://www.facebook.com/8062627951/posts/457718734265809","Come on. Can you answer these?")</f>
        <v>Come on. Can you answer these?</v>
      </c>
      <c r="C427" s="3">
        <v>41241.401412037034</v>
      </c>
      <c r="D427" s="2">
        <v>118</v>
      </c>
      <c r="E427" s="2">
        <v>32</v>
      </c>
      <c r="F427" s="2" t="s">
        <v>8</v>
      </c>
      <c r="G427" s="2" t="s">
        <v>7</v>
      </c>
    </row>
    <row r="428" spans="1:7" ht="30" x14ac:dyDescent="0.25">
      <c r="A428" s="4" t="str">
        <f>HYPERLINK("http://www.facebook.com/photo.php?fbid=10151354721917952&amp;set=a.114456157951.118433.8062627951&amp;type=1&amp;relevant_count=1","[Photo]")</f>
        <v>[Photo]</v>
      </c>
      <c r="B428" s="4" t="str">
        <f>HYPERLINK("http://www.facebook.com/8062627951/posts/10151354722032952","Microsoft has lost it again. What do you think? - http://tcrn.ch/X0dJHk")</f>
        <v>Microsoft has lost it again. What do you think? - http://tcrn.ch/X0dJHk</v>
      </c>
      <c r="C428" s="3">
        <v>41241.337893518517</v>
      </c>
      <c r="D428" s="2">
        <v>218</v>
      </c>
      <c r="E428" s="2">
        <v>97</v>
      </c>
      <c r="F428" s="2" t="s">
        <v>8</v>
      </c>
      <c r="G428" s="2" t="s">
        <v>8</v>
      </c>
    </row>
    <row r="429" spans="1:7" ht="45" x14ac:dyDescent="0.25">
      <c r="A429" s="4" t="str">
        <f>HYPERLINK("http://techcrunch.com/2012/11/28/angry-birds-gifs/","Take An Animated GIF Tour Of An Angry Birds Playground")</f>
        <v>Take An Animated GIF Tour Of An Angry Birds Playground</v>
      </c>
      <c r="B429" s="4" t="str">
        <f>HYPERLINK("http://www.facebook.com/8062627951/posts/380477328701514","Here, enjoy these GIFs (and background story) of Rovio's Peter Vesterbacka testing Angry Birds playground equipment.")</f>
        <v>Here, enjoy these GIFs (and background story) of Rovio's Peter Vesterbacka testing Angry Birds playground equipment.</v>
      </c>
      <c r="C429" s="3">
        <v>41241.309606481482</v>
      </c>
      <c r="D429" s="2">
        <v>19</v>
      </c>
      <c r="E429" s="2">
        <v>1</v>
      </c>
      <c r="F429" s="2" t="s">
        <v>7</v>
      </c>
      <c r="G429" s="2" t="s">
        <v>7</v>
      </c>
    </row>
    <row r="430" spans="1:7" ht="30" x14ac:dyDescent="0.25">
      <c r="A430" s="4" t="str">
        <f>HYPERLINK("http://techcrunch.com/2012/11/28/kids-grow-up-so-fast-but-spruceling-makes-dressing-them-much-easier/","Kids Grow Up So Fast, But Spruceling Makes Dressing Them Much Easier")</f>
        <v>Kids Grow Up So Fast, But Spruceling Makes Dressing Them Much Easier</v>
      </c>
      <c r="B430" s="4" t="str">
        <f>HYPERLINK("http://www.facebook.com/8062627951/posts/249905668470934","So this is a thing now. Spruceling is attempting to disrupt how you buy children's clothes. Seriously.")</f>
        <v>So this is a thing now. Spruceling is attempting to disrupt how you buy children's clothes. Seriously.</v>
      </c>
      <c r="C430" s="3">
        <v>41241.271099537036</v>
      </c>
      <c r="D430" s="2">
        <v>23</v>
      </c>
      <c r="E430" s="2">
        <v>5</v>
      </c>
      <c r="F430" s="2" t="s">
        <v>7</v>
      </c>
      <c r="G430" s="2" t="s">
        <v>7</v>
      </c>
    </row>
    <row r="431" spans="1:7" ht="45" x14ac:dyDescent="0.25">
      <c r="A431" s="4" t="str">
        <f>HYPERLINK("http://techcrunch.com/2012/11/28/google-street-view-returns-to-the-slopes-now-provides-views-of-more-than-90-ski-resorts-worldwide/","Google Street View Returns To The Slopes, Now Provides Views Of More Than 90 Ski Resorts Worldwide")</f>
        <v>Google Street View Returns To The Slopes, Now Provides Views Of More Than 90 Ski Resorts Worldwide</v>
      </c>
      <c r="B431" s="4" t="str">
        <f>HYPERLINK("http://www.facebook.com/8062627951/posts/312233762223820","Bored at work? Take a break and visit a faraway ski resort.")</f>
        <v>Bored at work? Take a break and visit a faraway ski resort.</v>
      </c>
      <c r="C431" s="3">
        <v>41241.226168981484</v>
      </c>
      <c r="D431" s="2">
        <v>24</v>
      </c>
      <c r="E431" s="2">
        <v>2</v>
      </c>
      <c r="F431" s="2" t="s">
        <v>8</v>
      </c>
      <c r="G431" s="2" t="s">
        <v>7</v>
      </c>
    </row>
    <row r="432" spans="1:7" ht="45" x14ac:dyDescent="0.25">
      <c r="A432" s="4" t="str">
        <f>HYPERLINK("http://techcrunch.com/2012/11/28/ipad-and-android-tablet-market-share-margin-narrows-much-faster-than-originally-predicted/","iPad And Android Tablet Market Share Margin Narrows Much Faster Than Originally Predicted")</f>
        <v>iPad And Android Tablet Market Share Margin Narrows Much Faster Than Originally Predicted</v>
      </c>
      <c r="B432" s="4" t="str">
        <f>HYPERLINK("http://www.facebook.com/8062627951/posts/465911190125950","Maybe the iPad isn't dominating the tablet market after all. /")</f>
        <v>Maybe the iPad isn't dominating the tablet market after all. /</v>
      </c>
      <c r="C432" s="3">
        <v>41241.213263888887</v>
      </c>
      <c r="D432" s="2">
        <v>72</v>
      </c>
      <c r="E432" s="2">
        <v>19</v>
      </c>
      <c r="F432" s="2" t="s">
        <v>7</v>
      </c>
      <c r="G432" s="2" t="s">
        <v>7</v>
      </c>
    </row>
    <row r="433" spans="1:7" ht="45" x14ac:dyDescent="0.25">
      <c r="A433" s="4" t="str">
        <f>HYPERLINK("http://techcrunch.com/2012/11/27/googles-romanian-domain-gets-taken-down-by-algerian-hacker-mca-crb/","Google’s Romanian Domain Gets Defaced By Algerian Hacker MCA-CRB. Google Says: “We Were Not Hacked”.")</f>
        <v>Google’s Romanian Domain Gets Defaced By Algerian Hacker MCA-CRB. Google Says: “We Were Not Hacked”.</v>
      </c>
      <c r="B433" s="4" t="str">
        <f>HYPERLINK("http://www.facebook.com/8062627951/posts/502842513082508","Yikes.")</f>
        <v>Yikes.</v>
      </c>
      <c r="C433" s="3">
        <v>41241.130324074074</v>
      </c>
      <c r="D433" s="2">
        <v>32</v>
      </c>
      <c r="E433" s="2">
        <v>1</v>
      </c>
      <c r="F433" s="2" t="s">
        <v>7</v>
      </c>
      <c r="G433" s="2" t="s">
        <v>7</v>
      </c>
    </row>
    <row r="434" spans="1:7" ht="45" x14ac:dyDescent="0.25">
      <c r="A434" s="4" t="str">
        <f>HYPERLINK("http://www.facebook.com/photo.php?fbid=10151353959097952&amp;set=a.114456157951.118433.8062627951&amp;type=1&amp;relevant_count=1","[Photo]")</f>
        <v>[Photo]</v>
      </c>
      <c r="B434" s="4" t="str">
        <f>HYPERLINK("http://www.facebook.com/8062627951/posts/10151353959117952","Economic impact of startup accelerators: $1.6B+ raised, 4,800+ jobs created, 2,000 startups funded - http://tcrn.ch/V4Rt9r")</f>
        <v>Economic impact of startup accelerators: $1.6B+ raised, 4,800+ jobs created, 2,000 startups funded - http://tcrn.ch/V4Rt9r</v>
      </c>
      <c r="C434" s="3">
        <v>41240.742986111109</v>
      </c>
      <c r="D434" s="2">
        <v>93</v>
      </c>
      <c r="E434" s="2">
        <v>1</v>
      </c>
      <c r="F434" s="2" t="s">
        <v>7</v>
      </c>
      <c r="G434" s="2" t="s">
        <v>8</v>
      </c>
    </row>
    <row r="435" spans="1:7" ht="30" x14ac:dyDescent="0.25">
      <c r="A435" s="4" t="str">
        <f>HYPERLINK("http://techcrunch.com/2012/11/27/churn-the-problem-of-the-new-tech-journalism/","Churn: The Problem Of The New Tech Journalism ")</f>
        <v xml:space="preserve">Churn: The Problem Of The New Tech Journalism </v>
      </c>
      <c r="B435" s="4" t="str">
        <f>HYPERLINK("http://www.facebook.com/8062627951/posts/464044383637418","Our mission is as simple as the real motto of all journalism: “Afflict the comfortable and comfort the afflicted.”")</f>
        <v>Our mission is as simple as the real motto of all journalism: “Afflict the comfortable and comfort the afflicted.”</v>
      </c>
      <c r="C435" s="3">
        <v>41240.660034722219</v>
      </c>
      <c r="D435" s="2">
        <v>19</v>
      </c>
      <c r="E435" s="2">
        <v>0</v>
      </c>
      <c r="F435" s="2" t="s">
        <v>7</v>
      </c>
      <c r="G435" s="2" t="s">
        <v>7</v>
      </c>
    </row>
    <row r="436" spans="1:7" ht="45" x14ac:dyDescent="0.25">
      <c r="A436" s="4" t="str">
        <f>HYPERLINK("http://techcrunch.com/2012/11/27/ex-foursquare-designers-focus-on-sunrise-want-you-to-do-more-with-your-calendar/","Ex-Foursquare Designers Focus On Sunrise, Want You To Do More With Your Calendar")</f>
        <v>Ex-Foursquare Designers Focus On Sunrise, Want You To Do More With Your Calendar</v>
      </c>
      <c r="B436" s="4" t="str">
        <f>HYPERLINK("http://www.facebook.com/8062627951/posts/530148726997749","Thoughts on Sunrise? Think it'll be a hit?")</f>
        <v>Thoughts on Sunrise? Think it'll be a hit?</v>
      </c>
      <c r="C436" s="3">
        <v>41240.619814814818</v>
      </c>
      <c r="D436" s="2">
        <v>71</v>
      </c>
      <c r="E436" s="2">
        <v>13</v>
      </c>
      <c r="F436" s="2" t="s">
        <v>8</v>
      </c>
      <c r="G436" s="2" t="s">
        <v>7</v>
      </c>
    </row>
    <row r="437" spans="1:7" ht="30" x14ac:dyDescent="0.25">
      <c r="A437" s="4" t="str">
        <f>HYPERLINK("http://techcrunch.com/2012/11/27/microsoft-says-it-has-sold-40-million-windows-8-licenses-to-date/","Microsoft Says It Has Sold 40 Million Windows 8 Licenses To Date")</f>
        <v>Microsoft Says It Has Sold 40 Million Windows 8 Licenses To Date</v>
      </c>
      <c r="B437" s="4" t="str">
        <f>HYPERLINK("http://www.facebook.com/8062627951/posts/527510587268950","Are you included in the 40 million?")</f>
        <v>Are you included in the 40 million?</v>
      </c>
      <c r="C437" s="3">
        <v>41240.605497685188</v>
      </c>
      <c r="D437" s="2">
        <v>79</v>
      </c>
      <c r="E437" s="2">
        <v>92</v>
      </c>
      <c r="F437" s="2" t="s">
        <v>8</v>
      </c>
      <c r="G437" s="2" t="s">
        <v>7</v>
      </c>
    </row>
    <row r="438" spans="1:7" ht="30" x14ac:dyDescent="0.25">
      <c r="A438" s="4" t="str">
        <f>HYPERLINK("http://www.facebook.com/photo.php?fbid=10151353629927952&amp;set=a.114456157951.118433.8062627951&amp;type=1&amp;relevant_count=1","[Photo]")</f>
        <v>[Photo]</v>
      </c>
      <c r="B438" s="4" t="str">
        <f>HYPERLINK("http://www.facebook.com/8062627951/posts/10151353629967952","Drop everything immediately and make your own Gangnam Style video with JibJab - http://tcrn.ch/UVpYAY")</f>
        <v>Drop everything immediately and make your own Gangnam Style video with JibJab - http://tcrn.ch/UVpYAY</v>
      </c>
      <c r="C438" s="3">
        <v>41240.547372685185</v>
      </c>
      <c r="D438" s="2">
        <v>118</v>
      </c>
      <c r="E438" s="2">
        <v>23</v>
      </c>
      <c r="F438" s="2" t="s">
        <v>7</v>
      </c>
      <c r="G438" s="2" t="s">
        <v>8</v>
      </c>
    </row>
    <row r="439" spans="1:7" ht="45" x14ac:dyDescent="0.25">
      <c r="A439" s="4" t="str">
        <f>HYPERLINK("http://techcrunch.com/2012/11/27/microsoft-says-many-gmail-users-would-consider-switching-to-outlook-com-launches-android-app-conversation-threading-more/","Microsoft Says Many Gmail Users Would Consider Switching To Outlook.com, Launches Android App, Conve")</f>
        <v>Microsoft Says Many Gmail Users Would Consider Switching To Outlook.com, Launches Android App, Conve</v>
      </c>
      <c r="B439" s="4" t="str">
        <f>HYPERLINK("http://www.facebook.com/8062627951/posts/210966185705313","Are you considering switching from Gmail to Outlook.com?")</f>
        <v>Are you considering switching from Gmail to Outlook.com?</v>
      </c>
      <c r="C439" s="3">
        <v>41240.517534722225</v>
      </c>
      <c r="D439" s="2">
        <v>118</v>
      </c>
      <c r="E439" s="2">
        <v>198</v>
      </c>
      <c r="F439" s="2" t="s">
        <v>8</v>
      </c>
      <c r="G439" s="2" t="s">
        <v>7</v>
      </c>
    </row>
    <row r="440" spans="1:7" ht="30" x14ac:dyDescent="0.25">
      <c r="A440" s="4" t="str">
        <f>HYPERLINK("http://techcrunch.com/2012/11/27/apple-reportedly-fires-the-manager-directly-in-charge-of-the-ios-6-maps-team/","Apple Reportedly Fires The Manager Directly In Charge Of The iOS 6 Maps Team")</f>
        <v>Apple Reportedly Fires The Manager Directly In Charge Of The iOS 6 Maps Team</v>
      </c>
      <c r="B440" s="4" t="str">
        <f>HYPERLINK("http://www.facebook.com/8062627951/posts/418399791564835","Apple just brought down the banhammer on the iOS 6 Maps manager.")</f>
        <v>Apple just brought down the banhammer on the iOS 6 Maps manager.</v>
      </c>
      <c r="C440" s="3">
        <v>41240.452824074076</v>
      </c>
      <c r="D440" s="2">
        <v>167</v>
      </c>
      <c r="E440" s="2">
        <v>32</v>
      </c>
      <c r="F440" s="2" t="s">
        <v>7</v>
      </c>
      <c r="G440" s="2" t="s">
        <v>7</v>
      </c>
    </row>
    <row r="441" spans="1:7" ht="30" x14ac:dyDescent="0.25">
      <c r="A441" s="4" t="str">
        <f>HYPERLINK("http://techcrunch.com/2012/11/27/google-drive-now-more-tightly-integrated-into-gmail-lets-you-share-files-up-10-gb/","Google Drive Now More Tightly Integrated Into Gmail: Lets You Share Files Up 10 GB")</f>
        <v>Google Drive Now More Tightly Integrated Into Gmail: Lets You Share Files Up 10 GB</v>
      </c>
      <c r="B441" s="4" t="str">
        <f>HYPERLINK("http://www.facebook.com/8062627951/posts/295577587227523","With a bit of help from Google Drive, Gmail is now a bit more awesome.")</f>
        <v>With a bit of help from Google Drive, Gmail is now a bit more awesome.</v>
      </c>
      <c r="C441" s="3">
        <v>41240.438819444447</v>
      </c>
      <c r="D441" s="2">
        <v>176</v>
      </c>
      <c r="E441" s="2">
        <v>19</v>
      </c>
      <c r="F441" s="2" t="s">
        <v>7</v>
      </c>
      <c r="G441" s="2" t="s">
        <v>7</v>
      </c>
    </row>
    <row r="442" spans="1:7" ht="45" x14ac:dyDescent="0.25">
      <c r="A442" s="4" t="str">
        <f>HYPERLINK("http://techcrunch.com/2012/11/27/rdio-revamps-its-ios-and-android-apps-bringing-improved-looks-navigation-new-playback-controls-more/","Rdio Revamps Its iOS And Android Apps Bringing Improved Looks, Navigation, New Playback Controls &amp; M")</f>
        <v>Rdio Revamps Its iOS And Android Apps Bringing Improved Looks, Navigation, New Playback Controls &amp; M</v>
      </c>
      <c r="B442" s="4" t="str">
        <f>HYPERLINK("http://www.facebook.com/8062627951/posts/106839312816161","RDIO's iOS app has a new look.")</f>
        <v>RDIO's iOS app has a new look.</v>
      </c>
      <c r="C442" s="3">
        <v>41240.432395833333</v>
      </c>
      <c r="D442" s="2">
        <v>21</v>
      </c>
      <c r="E442" s="2">
        <v>4</v>
      </c>
      <c r="F442" s="2" t="s">
        <v>7</v>
      </c>
      <c r="G442" s="2" t="s">
        <v>7</v>
      </c>
    </row>
    <row r="443" spans="1:7" ht="45" x14ac:dyDescent="0.25">
      <c r="A443" s="4" t="str">
        <f>HYPERLINK("http://www.facebook.com/photo.php?fbid=10151353355687952&amp;set=a.114456157951.118433.8062627951&amp;type=1&amp;relevant_count=1","[Photo]")</f>
        <v>[Photo]</v>
      </c>
      <c r="B443" s="4" t="str">
        <f>HYPERLINK("http://www.facebook.com/8062627951/posts/10151353355747952","Kantar Worldpanel: Apple shoots back to top of U.S. smartphone sales on an iPhone 5 rocket, with Android leading elsewhere - http://tcrn.ch/SnoZdy")</f>
        <v>Kantar Worldpanel: Apple shoots back to top of U.S. smartphone sales on an iPhone 5 rocket, with Android leading elsewhere - http://tcrn.ch/SnoZdy</v>
      </c>
      <c r="C443" s="3">
        <v>41240.383159722223</v>
      </c>
      <c r="D443" s="2">
        <v>66</v>
      </c>
      <c r="E443" s="2">
        <v>6</v>
      </c>
      <c r="F443" s="2" t="s">
        <v>7</v>
      </c>
      <c r="G443" s="2" t="s">
        <v>8</v>
      </c>
    </row>
    <row r="444" spans="1:7" ht="45" x14ac:dyDescent="0.25">
      <c r="A444" s="4" t="str">
        <f>HYPERLINK("http://techcrunch.com/2012/11/27/googles-speedy-seller-nexus-4-smartphone-back-in-stock-in-u-s-play-store-from-noon-pst-today/","Google’s Speedy-Seller Nexus 4 Smartphone Back In Stock In U.S. Play Store — From Noon PST Today")</f>
        <v>Google’s Speedy-Seller Nexus 4 Smartphone Back In Stock In U.S. Play Store — From Noon PST Today</v>
      </c>
      <c r="B444" s="4" t="str">
        <f>HYPERLINK("http://www.facebook.com/8062627951/posts/222945531172650","Better hurry! They're not going to last long.")</f>
        <v>Better hurry! They're not going to last long.</v>
      </c>
      <c r="C444" s="3">
        <v>41240.31490740741</v>
      </c>
      <c r="D444" s="2">
        <v>46</v>
      </c>
      <c r="E444" s="2">
        <v>13</v>
      </c>
      <c r="F444" s="2" t="s">
        <v>7</v>
      </c>
      <c r="G444" s="2" t="s">
        <v>7</v>
      </c>
    </row>
    <row r="445" spans="1:7" ht="30" x14ac:dyDescent="0.25">
      <c r="A445" s="4" t="str">
        <f>HYPERLINK("http://techcrunch.com/2012/11/27/thinkgeeks-usb-portal-sentry-turret-will-protect-your-desk-cake/","ThinkGeek’s USB Portal Sentry Turret Will Protect Your Desk, Cake")</f>
        <v>ThinkGeek’s USB Portal Sentry Turret Will Protect Your Desk, Cake</v>
      </c>
      <c r="B445" s="4" t="str">
        <f>HYPERLINK("http://www.facebook.com/8062627951/posts/214643108670901","Protect your desk with ThinkGeek's USB Portal Sentry Turret.")</f>
        <v>Protect your desk with ThinkGeek's USB Portal Sentry Turret.</v>
      </c>
      <c r="C445" s="3">
        <v>41240.2812962963</v>
      </c>
      <c r="D445" s="2">
        <v>28</v>
      </c>
      <c r="E445" s="2">
        <v>3</v>
      </c>
      <c r="F445" s="2" t="s">
        <v>7</v>
      </c>
      <c r="G445" s="2" t="s">
        <v>7</v>
      </c>
    </row>
    <row r="446" spans="1:7" ht="30" x14ac:dyDescent="0.25">
      <c r="A446" s="4" t="str">
        <f>HYPERLINK("http://techcrunch.com/2012/11/27/nintendos-wii-mini-tipped-by-best-buy-canada-for-december-7-release/","Nintendo’s Wii Mini Tipped By Best Buy Canada For December 7 Release")</f>
        <v>Nintendo’s Wii Mini Tipped By Best Buy Canada For December 7 Release</v>
      </c>
      <c r="B446" s="4" t="str">
        <f>HYPERLINK("http://www.facebook.com/8062627951/posts/255942387864858","Here's the Wii Mini!")</f>
        <v>Here's the Wii Mini!</v>
      </c>
      <c r="C446" s="3">
        <v>41240.196469907409</v>
      </c>
      <c r="D446" s="2">
        <v>26</v>
      </c>
      <c r="E446" s="2">
        <v>3</v>
      </c>
      <c r="F446" s="2" t="s">
        <v>7</v>
      </c>
      <c r="G446" s="2" t="s">
        <v>7</v>
      </c>
    </row>
    <row r="447" spans="1:7" ht="30" x14ac:dyDescent="0.25">
      <c r="A447" s="4" t="str">
        <f>HYPERLINK("http://techcrunch.com/2012/11/26/codehs/","STEM Ed: CodeHS Wants To Teach Every American High Schooler How To Code ")</f>
        <v xml:space="preserve">STEM Ed: CodeHS Wants To Teach Every American High Schooler How To Code </v>
      </c>
      <c r="B447" s="4" t="str">
        <f>HYPERLINK("http://www.facebook.com/8062627951/posts/540266766001608","Pretty AWESOME.")</f>
        <v>Pretty AWESOME.</v>
      </c>
      <c r="C447" s="3">
        <v>41239.971562500003</v>
      </c>
      <c r="D447" s="2">
        <v>95</v>
      </c>
      <c r="E447" s="2">
        <v>8</v>
      </c>
      <c r="F447" s="2" t="s">
        <v>7</v>
      </c>
      <c r="G447" s="2" t="s">
        <v>7</v>
      </c>
    </row>
    <row r="448" spans="1:7" ht="45" x14ac:dyDescent="0.25">
      <c r="A448" s="4" t="str">
        <f>HYPERLINK("http://www.facebook.com/photo.php?fbid=10151352743367952&amp;set=a.114456157951.118433.8062627951&amp;type=1&amp;relevant_count=1","[Photo]")</f>
        <v>[Photo]</v>
      </c>
      <c r="B448" s="4" t="str">
        <f>HYPERLINK("http://www.facebook.com/8062627951/posts/10151352743422952","Facebook users will in fact vote on if they’ll lose the ability to vote, other privacy changes denounced by EPIC - http://tcrn.ch/V9MOIX")</f>
        <v>Facebook users will in fact vote on if they’ll lose the ability to vote, other privacy changes denounced by EPIC - http://tcrn.ch/V9MOIX</v>
      </c>
      <c r="C448" s="3">
        <v>41239.860162037039</v>
      </c>
      <c r="D448" s="2">
        <v>91</v>
      </c>
      <c r="E448" s="2">
        <v>14</v>
      </c>
      <c r="F448" s="2" t="s">
        <v>7</v>
      </c>
      <c r="G448" s="2" t="s">
        <v>8</v>
      </c>
    </row>
    <row r="449" spans="1:7" ht="30" x14ac:dyDescent="0.25">
      <c r="A449" s="4" t="str">
        <f>HYPERLINK("http://techcrunch.com/2012/11/26/google-responsible-for-other-peoples-lies-deems-court/","Google Responsible For Other Peoples’ Lies, Deems Australian Court")</f>
        <v>Google Responsible For Other Peoples’ Lies, Deems Australian Court</v>
      </c>
      <c r="B449" s="4" t="str">
        <f>HYPERLINK("http://www.facebook.com/8062627951/posts/503849402980110","Google is now legally responsible for every crazy thing on the Internet – at least, in Australia.")</f>
        <v>Google is now legally responsible for every crazy thing on the Internet – at least, in Australia.</v>
      </c>
      <c r="C449" s="3">
        <v>41239.708310185182</v>
      </c>
      <c r="D449" s="2">
        <v>76</v>
      </c>
      <c r="E449" s="2">
        <v>27</v>
      </c>
      <c r="F449" s="2" t="s">
        <v>7</v>
      </c>
      <c r="G449" s="2" t="s">
        <v>7</v>
      </c>
    </row>
    <row r="450" spans="1:7" ht="45" x14ac:dyDescent="0.25">
      <c r="A450" s="4" t="str">
        <f>HYPERLINK("http://techcrunch.com/2012/11/26/this-release-too-shall-pass/","PRWeb Releases Press Release About Its Fake Press Release, But The Circle Of Trust Is Now Broken")</f>
        <v>PRWeb Releases Press Release About Its Fake Press Release, But The Circle Of Trust Is Now Broken</v>
      </c>
      <c r="B450" s="4" t="str">
        <f>HYPERLINK("http://www.facebook.com/8062627951/posts/312270708884238","This release too shall pass...")</f>
        <v>This release too shall pass...</v>
      </c>
      <c r="C450" s="3">
        <v>41239.648425925923</v>
      </c>
      <c r="D450" s="2">
        <v>28</v>
      </c>
      <c r="E450" s="2">
        <v>2</v>
      </c>
      <c r="F450" s="2" t="s">
        <v>7</v>
      </c>
      <c r="G450" s="2" t="s">
        <v>7</v>
      </c>
    </row>
    <row r="451" spans="1:7" ht="30" x14ac:dyDescent="0.25">
      <c r="A451" s="4" t="str">
        <f>HYPERLINK("http://www.facebook.com/photo.php?fbid=10151352312007952&amp;set=a.114456157951.118433.8062627951&amp;type=1&amp;relevant_count=1","[Photo]")</f>
        <v>[Photo]</v>
      </c>
      <c r="B451" s="4" t="str">
        <f>HYPERLINK("http://www.facebook.com/8062627951/posts/10151352312052952","Gift Guide: Krups EA82 automatic coffee/espresso maker. How many of you are coffee lovers? - http://tcrn.ch/110fKm6")</f>
        <v>Gift Guide: Krups EA82 automatic coffee/espresso maker. How many of you are coffee lovers? - http://tcrn.ch/110fKm6</v>
      </c>
      <c r="C451" s="3">
        <v>41239.592939814815</v>
      </c>
      <c r="D451" s="2">
        <v>81</v>
      </c>
      <c r="E451" s="2">
        <v>6</v>
      </c>
      <c r="F451" s="2" t="s">
        <v>8</v>
      </c>
      <c r="G451" s="2" t="s">
        <v>8</v>
      </c>
    </row>
    <row r="452" spans="1:7" ht="30" x14ac:dyDescent="0.25">
      <c r="A452" s="4" t="str">
        <f>HYPERLINK("http://www.facebook.com/photo.php?fbid=10151352210737952&amp;set=a.114456157951.118433.8062627951&amp;type=1&amp;relevant_count=1","[Photo]")</f>
        <v>[Photo]</v>
      </c>
      <c r="B452" s="4" t="str">
        <f>HYPERLINK("http://www.facebook.com/8062627951/posts/10151352210777952","After a few days of use, the Google Nexus 4 proves a very strong LTE smartphone - http://tcrn.ch/QGYKk0")</f>
        <v>After a few days of use, the Google Nexus 4 proves a very strong LTE smartphone - http://tcrn.ch/QGYKk0</v>
      </c>
      <c r="C452" s="3">
        <v>41239.540729166663</v>
      </c>
      <c r="D452" s="2">
        <v>98</v>
      </c>
      <c r="E452" s="2">
        <v>13</v>
      </c>
      <c r="F452" s="2" t="s">
        <v>7</v>
      </c>
      <c r="G452" s="2" t="s">
        <v>8</v>
      </c>
    </row>
    <row r="453" spans="1:7" ht="45" x14ac:dyDescent="0.25">
      <c r="A453" s="4" t="str">
        <f>HYPERLINK("http://techcrunch.com/2012/11/26/a-cyber-monday-schtick-thats-actually-cool-randi-zuckerberg-and-others-sell-their-stuff-on-copious-for-charity/","A Cyber Monday Schtick That’s Actually Cool: Randi Zuckerberg And Others Sell Their Stuff On Copious")</f>
        <v>A Cyber Monday Schtick That’s Actually Cool: Randi Zuckerberg And Others Sell Their Stuff On Copious</v>
      </c>
      <c r="B453" s="4" t="s">
        <v>29</v>
      </c>
      <c r="C453" s="3">
        <v>41239.492361111108</v>
      </c>
      <c r="D453" s="2">
        <v>12</v>
      </c>
      <c r="E453" s="2">
        <v>2</v>
      </c>
      <c r="F453" s="2" t="s">
        <v>7</v>
      </c>
      <c r="G453" s="2" t="s">
        <v>7</v>
      </c>
    </row>
    <row r="454" spans="1:7" ht="45" x14ac:dyDescent="0.25">
      <c r="A454" s="4" t="str">
        <f>HYPERLINK("http://www.facebook.com/photo.php?fbid=10151352052252952&amp;set=a.114456157951.118433.8062627951&amp;type=1&amp;relevant_count=1","[Photo]")</f>
        <v>[Photo]</v>
      </c>
      <c r="B454" s="4" t="str">
        <f>HYPERLINK("http://www.facebook.com/8062627951/posts/10151352052302952","Facebook Gifts now lets you buy iTunes credit for friends and recommend what they should purchase - http://tcrn.ch/QGOCYI")</f>
        <v>Facebook Gifts now lets you buy iTunes credit for friends and recommend what they should purchase - http://tcrn.ch/QGOCYI</v>
      </c>
      <c r="C454" s="3">
        <v>41239.451678240737</v>
      </c>
      <c r="D454" s="2">
        <v>54</v>
      </c>
      <c r="E454" s="2">
        <v>1</v>
      </c>
      <c r="F454" s="2" t="s">
        <v>7</v>
      </c>
      <c r="G454" s="2" t="s">
        <v>8</v>
      </c>
    </row>
    <row r="455" spans="1:7" ht="45" x14ac:dyDescent="0.25">
      <c r="A455" s="4" t="str">
        <f>HYPERLINK("http://www.facebook.com/photo.php?fbid=10151351989262952&amp;set=a.114456157951.118433.8062627951&amp;type=1&amp;relevant_count=1","[Photo]")</f>
        <v>[Photo]</v>
      </c>
      <c r="B455" s="4" t="str">
        <f>HYPERLINK("http://www.facebook.com/8062627951/posts/10151351989317952","Twitter CEO Dick Costolo says users can download their entire archive by year-end and Twitter now sees 1B tweets every 2.5 days. - http://tcrn.ch/WS6e5s")</f>
        <v>Twitter CEO Dick Costolo says users can download their entire archive by year-end and Twitter now sees 1B tweets every 2.5 days. - http://tcrn.ch/WS6e5s</v>
      </c>
      <c r="C455" s="3">
        <v>41239.414687500001</v>
      </c>
      <c r="D455" s="2">
        <v>110</v>
      </c>
      <c r="E455" s="2">
        <v>7</v>
      </c>
      <c r="F455" s="2" t="s">
        <v>7</v>
      </c>
      <c r="G455" s="2" t="s">
        <v>8</v>
      </c>
    </row>
    <row r="456" spans="1:7" ht="45" x14ac:dyDescent="0.25">
      <c r="A456" s="4" t="str">
        <f>HYPERLINK("http://techcrunch.com/2012/11/26/ibm-cyber-monday-sales-are-already-up-24-percent-iphone-driving-most-traffic-to-retail-sites/","IBM: Cyber Monday Sales Are Already Up 24 Percent; iPhone Driving Most Traffic To Retail Sites")</f>
        <v>IBM: Cyber Monday Sales Are Already Up 24 Percent; iPhone Driving Most Traffic To Retail Sites</v>
      </c>
      <c r="B456" s="4" t="str">
        <f>HYPERLINK("http://www.facebook.com/8062627951/posts/207649249370571","Have you purchased anything today?")</f>
        <v>Have you purchased anything today?</v>
      </c>
      <c r="C456" s="3">
        <v>41239.402928240743</v>
      </c>
      <c r="D456" s="2">
        <v>27</v>
      </c>
      <c r="E456" s="2">
        <v>2</v>
      </c>
      <c r="F456" s="2" t="s">
        <v>8</v>
      </c>
      <c r="G456" s="2" t="s">
        <v>7</v>
      </c>
    </row>
    <row r="457" spans="1:7" ht="45" x14ac:dyDescent="0.25">
      <c r="A457" s="4" t="str">
        <f>HYPERLINK("http://techcrunch.com/2012/11/26/former-apple-retail-chief-details-apple-store-planning-and-philosophy-in-unaired-video/","Former Apple Retail Chief Details Apple Store Planning And Philosophy In Unaired Video ")</f>
        <v xml:space="preserve">Former Apple Retail Chief Details Apple Store Planning And Philosophy In Unaired Video </v>
      </c>
      <c r="B457" s="4" t="str">
        <f>HYPERLINK("http://www.facebook.com/8062627951/posts/171878646290407","A newly unearthed video sheds some light on what went into evolving Apple Retail from its just-another-store-in-a-mall origins to its iconic present day status.")</f>
        <v>A newly unearthed video sheds some light on what went into evolving Apple Retail from its just-another-store-in-a-mall origins to its iconic present day status.</v>
      </c>
      <c r="C457" s="3">
        <v>41239.396793981483</v>
      </c>
      <c r="D457" s="2">
        <v>31</v>
      </c>
      <c r="E457" s="2">
        <v>4</v>
      </c>
      <c r="F457" s="2" t="s">
        <v>7</v>
      </c>
      <c r="G457" s="2" t="s">
        <v>7</v>
      </c>
    </row>
    <row r="458" spans="1:7" ht="30" x14ac:dyDescent="0.25">
      <c r="A458" s="4" t="str">
        <f>HYPERLINK("http://techcrunch.com/2012/11/26/bitcellar-fxcamera/","After 20M Downloads On Android, Japan’s Bitcellar Brings FxCamera To iOS")</f>
        <v>After 20M Downloads On Android, Japan’s Bitcellar Brings FxCamera To iOS</v>
      </c>
      <c r="B458" s="4" t="str">
        <f>HYPERLINK("http://www.facebook.com/8062627951/posts/304339426336573","Android's popular FxCamera is now on iOS. Give it a try. It's nice.")</f>
        <v>Android's popular FxCamera is now on iOS. Give it a try. It's nice.</v>
      </c>
      <c r="C458" s="3">
        <v>41239.304837962962</v>
      </c>
      <c r="D458" s="2">
        <v>22</v>
      </c>
      <c r="E458" s="2">
        <v>5</v>
      </c>
      <c r="F458" s="2" t="s">
        <v>7</v>
      </c>
      <c r="G458" s="2" t="s">
        <v>7</v>
      </c>
    </row>
    <row r="459" spans="1:7" x14ac:dyDescent="0.25">
      <c r="A459" s="4" t="str">
        <f>HYPERLINK("http://www.facebook.com/photo.php?fbid=10151351776977952&amp;set=a.114456157951.118433.8062627951&amp;type=1&amp;relevant_count=1","[Photo]")</f>
        <v>[Photo]</v>
      </c>
      <c r="B459" s="4" t="str">
        <f>HYPERLINK("http://www.facebook.com/8062627951/posts/10151351777092952","Chinterest is Pinterest for chins - http://tcrn.ch/Qla0RH")</f>
        <v>Chinterest is Pinterest for chins - http://tcrn.ch/Qla0RH</v>
      </c>
      <c r="C459" s="3">
        <v>41239.28396990741</v>
      </c>
      <c r="D459" s="2">
        <v>56</v>
      </c>
      <c r="E459" s="2">
        <v>12</v>
      </c>
      <c r="F459" s="2" t="s">
        <v>7</v>
      </c>
      <c r="G459" s="2" t="s">
        <v>8</v>
      </c>
    </row>
    <row r="460" spans="1:7" ht="30" x14ac:dyDescent="0.25">
      <c r="A460" s="4" t="str">
        <f>HYPERLINK("http://techcrunch.com/2012/11/26/google-reportedly-preparing-to-sell-self-branded-chromebooks/","Google Reportedly Preparing To Sell Self-Branded Chromebooks")</f>
        <v>Google Reportedly Preparing To Sell Self-Branded Chromebooks</v>
      </c>
      <c r="B460" s="4" t="str">
        <f>HYPERLINK("http://www.facebook.com/8062627951/posts/140194466129804","Nexus Chromebook, anyone?")</f>
        <v>Nexus Chromebook, anyone?</v>
      </c>
      <c r="C460" s="3">
        <v>41239.220682870371</v>
      </c>
      <c r="D460" s="2">
        <v>43</v>
      </c>
      <c r="E460" s="2">
        <v>6</v>
      </c>
      <c r="F460" s="2" t="s">
        <v>8</v>
      </c>
      <c r="G460" s="2" t="s">
        <v>7</v>
      </c>
    </row>
    <row r="461" spans="1:7" ht="30" x14ac:dyDescent="0.25">
      <c r="A461" s="4" t="str">
        <f>HYPERLINK("http://techcrunch.com/2012/11/26/samsung-galaxy-note-ii-phablet-passes-five-million-channel-sales-in-two-months/","Samsung Galaxy Note II ‘Phablet’ Passes Five Million Channel Sales In ~Two Months")</f>
        <v>Samsung Galaxy Note II ‘Phablet’ Passes Five Million Channel Sales In ~Two Months</v>
      </c>
      <c r="B461" s="4" t="str">
        <f>HYPERLINK("http://www.facebook.com/8062627951/posts/141035456043759","Samsung sold 5M Galaxy Note II devices in two months. Did you buy one of the massive smartphones?")</f>
        <v>Samsung sold 5M Galaxy Note II devices in two months. Did you buy one of the massive smartphones?</v>
      </c>
      <c r="C461" s="3">
        <v>41239.163807870369</v>
      </c>
      <c r="D461" s="2">
        <v>102</v>
      </c>
      <c r="E461" s="2">
        <v>16</v>
      </c>
      <c r="F461" s="2" t="s">
        <v>8</v>
      </c>
      <c r="G461" s="2" t="s">
        <v>7</v>
      </c>
    </row>
    <row r="462" spans="1:7" ht="60" x14ac:dyDescent="0.25">
      <c r="A462" s="4" t="str">
        <f>HYPERLINK("http://techcrunch.com/2012/11/25/oh-so-this-is-where-you-use-the-microsoft-surface/","Oh, So This Is Where You Use The Microsoft Surface")</f>
        <v>Oh, So This Is Where You Use The Microsoft Surface</v>
      </c>
      <c r="B462" s="4" t="s">
        <v>30</v>
      </c>
      <c r="C462" s="3">
        <v>41238.937835648147</v>
      </c>
      <c r="D462" s="2">
        <v>87</v>
      </c>
      <c r="E462" s="2">
        <v>31</v>
      </c>
      <c r="F462" s="2" t="s">
        <v>8</v>
      </c>
      <c r="G462" s="2" t="s">
        <v>7</v>
      </c>
    </row>
    <row r="463" spans="1:7" x14ac:dyDescent="0.25">
      <c r="A463" s="4" t="str">
        <f>HYPERLINK("http://techcrunch.com/2012/11/25/gift-guide-nokia-lumia-820/","Gift Guide: Nokia Lumia 820")</f>
        <v>Gift Guide: Nokia Lumia 820</v>
      </c>
      <c r="B463" s="4" t="str">
        <f>HYPERLINK("http://www.facebook.com/8062627951/posts/298965483556670","Do you want one?")</f>
        <v>Do you want one?</v>
      </c>
      <c r="C463" s="3">
        <v>41238.680486111109</v>
      </c>
      <c r="D463" s="2">
        <v>34</v>
      </c>
      <c r="E463" s="2">
        <v>29</v>
      </c>
      <c r="F463" s="2" t="s">
        <v>8</v>
      </c>
      <c r="G463" s="2" t="s">
        <v>7</v>
      </c>
    </row>
    <row r="464" spans="1:7" ht="45" x14ac:dyDescent="0.25">
      <c r="A464" s="4" t="str">
        <f>HYPERLINK("http://www.facebook.com/photo.php?fbid=10151350912422952&amp;set=a.114456157951.118433.8062627951&amp;type=1&amp;relevant_count=1","[Photo]")</f>
        <v>[Photo]</v>
      </c>
      <c r="B464" s="4" t="str">
        <f>HYPERLINK("http://www.facebook.com/8062627951/posts/10151350912482952","The iPad owned Black Friday, so let’s start seeing better shopping experiences designed for it - http://tcrn.ch/TbwD7Z")</f>
        <v>The iPad owned Black Friday, so let’s start seeing better shopping experiences designed for it - http://tcrn.ch/TbwD7Z</v>
      </c>
      <c r="C464" s="3">
        <v>41238.632453703707</v>
      </c>
      <c r="D464" s="2">
        <v>58</v>
      </c>
      <c r="E464" s="2">
        <v>1</v>
      </c>
      <c r="F464" s="2" t="s">
        <v>7</v>
      </c>
      <c r="G464" s="2" t="s">
        <v>8</v>
      </c>
    </row>
    <row r="465" spans="1:7" ht="60" x14ac:dyDescent="0.25">
      <c r="A465" s="4" t="str">
        <f>HYPERLINK("http://www.facebook.com/photo.php?fbid=10151350584772952&amp;set=a.114456157951.118433.8062627951&amp;type=1&amp;relevant_count=1","[Photo]")</f>
        <v>[Photo]</v>
      </c>
      <c r="B465" s="4" t="s">
        <v>31</v>
      </c>
      <c r="C465" s="3">
        <v>41238.464907407404</v>
      </c>
      <c r="D465" s="2">
        <v>104</v>
      </c>
      <c r="E465" s="2">
        <v>52</v>
      </c>
      <c r="F465" s="2" t="s">
        <v>7</v>
      </c>
      <c r="G465" s="2" t="s">
        <v>8</v>
      </c>
    </row>
    <row r="466" spans="1:7" ht="30" x14ac:dyDescent="0.25">
      <c r="A466" s="4" t="str">
        <f>HYPERLINK("http://techcrunch.com/2012/11/24/a-designers-take-on-app-development-pretty-first-is-wrong/","Going For “Pretty First” Is Wrong: A Designer’s Take On App Development ")</f>
        <v xml:space="preserve">Going For “Pretty First” Is Wrong: A Designer’s Take On App Development </v>
      </c>
      <c r="B466" s="4" t="str">
        <f>HYPERLINK("http://www.facebook.com/8062627951/posts/418684778201192","Designers, don't go for the pretty.")</f>
        <v>Designers, don't go for the pretty.</v>
      </c>
      <c r="C466" s="3">
        <v>41237.813460648147</v>
      </c>
      <c r="D466" s="2">
        <v>105</v>
      </c>
      <c r="E466" s="2">
        <v>8</v>
      </c>
      <c r="F466" s="2" t="s">
        <v>7</v>
      </c>
      <c r="G466" s="2" t="s">
        <v>7</v>
      </c>
    </row>
    <row r="467" spans="1:7" ht="45" x14ac:dyDescent="0.25">
      <c r="A467" s="4" t="str">
        <f>HYPERLINK("http://www.facebook.com/photo.php?fbid=10151349491242952&amp;set=a.114456157951.118433.8062627951&amp;type=1&amp;relevant_count=1","[Photo]")</f>
        <v>[Photo]</v>
      </c>
      <c r="B467" s="4" t="str">
        <f>HYPERLINK("http://www.facebook.com/8062627951/posts/10151349491297952","Here are the posters Facebook is using to convince employees to test its Android apps, after years of giving them iPhones http://tcrn.ch/T7Kf4e")</f>
        <v>Here are the posters Facebook is using to convince employees to test its Android apps, after years of giving them iPhones http://tcrn.ch/T7Kf4e</v>
      </c>
      <c r="C467" s="3">
        <v>41237.661539351851</v>
      </c>
      <c r="D467" s="2">
        <v>1052</v>
      </c>
      <c r="E467" s="2">
        <v>114</v>
      </c>
      <c r="F467" s="2" t="s">
        <v>7</v>
      </c>
      <c r="G467" s="2" t="s">
        <v>8</v>
      </c>
    </row>
    <row r="468" spans="1:7" ht="30" x14ac:dyDescent="0.25">
      <c r="A468" s="4" t="str">
        <f>HYPERLINK("http://techcrunch.com/2012/11/24/airport-car-rentals-please-god-someone-make-them-not-suck/","Airport Car Rentals: The Next $10 Billion Industry Ready For Disruption ")</f>
        <v xml:space="preserve">Airport Car Rentals: The Next $10 Billion Industry Ready For Disruption </v>
      </c>
      <c r="B468" s="4" t="str">
        <f>HYPERLINK("http://www.facebook.com/8062627951/posts/431246020262220","Do you agree?")</f>
        <v>Do you agree?</v>
      </c>
      <c r="C468" s="3">
        <v>41237.574432870373</v>
      </c>
      <c r="D468" s="2">
        <v>122</v>
      </c>
      <c r="E468" s="2">
        <v>17</v>
      </c>
      <c r="F468" s="2" t="s">
        <v>8</v>
      </c>
      <c r="G468" s="2" t="s">
        <v>7</v>
      </c>
    </row>
    <row r="469" spans="1:7" ht="45" x14ac:dyDescent="0.25">
      <c r="A469" s="4" t="str">
        <f>HYPERLINK("http://techcrunch.com/2012/11/24/netflix-is-bluffing-and-it-will-be-their-downfall/","Netflix Is Bluffing And It Will Be Their Downfall ")</f>
        <v xml:space="preserve">Netflix Is Bluffing And It Will Be Their Downfall </v>
      </c>
      <c r="B469" s="4" t="s">
        <v>32</v>
      </c>
      <c r="C469" s="3">
        <v>41237.542581018519</v>
      </c>
      <c r="D469" s="2">
        <v>144</v>
      </c>
      <c r="E469" s="2">
        <v>33</v>
      </c>
      <c r="F469" s="2" t="s">
        <v>7</v>
      </c>
      <c r="G469" s="2" t="s">
        <v>7</v>
      </c>
    </row>
    <row r="470" spans="1:7" ht="60" x14ac:dyDescent="0.25">
      <c r="A470" s="4" t="str">
        <f>HYPERLINK("http://www.facebook.com/photo.php?fbid=10151349260112952&amp;set=a.114456157951.118433.8062627951&amp;type=1&amp;relevant_count=1","[Photo]")</f>
        <v>[Photo]</v>
      </c>
      <c r="B470" s="4" t="str">
        <f>HYPERLINK("http://www.facebook.com/8062627951/posts/10151349260192952","PSY’s “Gangnam Style” passes Justin Bieber’s “Baby” to become the most popular YouTube video ever with over 805 million views. You know you were one of the viewers - http://tcrn.ch/TmHoXR")</f>
        <v>PSY’s “Gangnam Style” passes Justin Bieber’s “Baby” to become the most popular YouTube video ever with over 805 million views. You know you were one of the viewers - http://tcrn.ch/TmHoXR</v>
      </c>
      <c r="C470" s="3">
        <v>41237.525787037041</v>
      </c>
      <c r="D470" s="2">
        <v>1470</v>
      </c>
      <c r="E470" s="2">
        <v>100</v>
      </c>
      <c r="F470" s="2" t="s">
        <v>7</v>
      </c>
      <c r="G470" s="2" t="s">
        <v>8</v>
      </c>
    </row>
    <row r="471" spans="1:7" ht="45" x14ac:dyDescent="0.25">
      <c r="A471" s="4" t="str">
        <f>HYPERLINK("http://techcrunch.com/2012/11/23/a-glimpse-of-the-apocalypse-walmart-customers-fight-over-phones-on-black-friday/","A Glimpse Of The Apocalypse: Walmart Customers Fight Over Phones On Black Friday ")</f>
        <v xml:space="preserve">A Glimpse Of The Apocalypse: Walmart Customers Fight Over Phones On Black Friday </v>
      </c>
      <c r="B471" s="4" t="str">
        <f>HYPERLINK("http://www.facebook.com/8062627951/posts/303670659743829","Wow.")</f>
        <v>Wow.</v>
      </c>
      <c r="C471" s="3">
        <v>41236.677037037036</v>
      </c>
      <c r="D471" s="2">
        <v>165</v>
      </c>
      <c r="E471" s="2">
        <v>62</v>
      </c>
      <c r="F471" s="2" t="s">
        <v>7</v>
      </c>
      <c r="G471" s="2" t="s">
        <v>7</v>
      </c>
    </row>
    <row r="472" spans="1:7" ht="30" x14ac:dyDescent="0.25">
      <c r="A472" s="4" t="str">
        <f>HYPERLINK("http://techcrunch.com/2012/11/23/gift-guide-sifteo-interactive-gaming-cubes/","Gift Guide: Sifteo Interactive Gaming Cubes")</f>
        <v>Gift Guide: Sifteo Interactive Gaming Cubes</v>
      </c>
      <c r="B472" s="4" t="str">
        <f>HYPERLINK("http://www.facebook.com/8062627951/posts/510518902305741","What do you get the person who already has everything? Sifteo Cubes might be the answer.")</f>
        <v>What do you get the person who already has everything? Sifteo Cubes might be the answer.</v>
      </c>
      <c r="C472" s="3">
        <v>41236.540925925925</v>
      </c>
      <c r="D472" s="2">
        <v>20</v>
      </c>
      <c r="E472" s="2">
        <v>0</v>
      </c>
      <c r="F472" s="2" t="s">
        <v>8</v>
      </c>
      <c r="G472" s="2" t="s">
        <v>7</v>
      </c>
    </row>
    <row r="473" spans="1:7" ht="45" x14ac:dyDescent="0.25">
      <c r="A473" s="4" t="str">
        <f>HYPERLINK("http://www.facebook.com/photo.php?fbid=10151347831087952&amp;set=a.114456157951.118433.8062627951&amp;type=1&amp;relevant_count=1","[Photo]")</f>
        <v>[Photo]</v>
      </c>
      <c r="B473" s="4" t="str">
        <f>HYPERLINK("http://www.facebook.com/8062627951/posts/10151347831112952","Quit clipping! #1 coupon site RetailMeNot launches Facebook app with personalized deals based on your Likes - http://tcrn.ch/Taq0TF")</f>
        <v>Quit clipping! #1 coupon site RetailMeNot launches Facebook app with personalized deals based on your Likes - http://tcrn.ch/Taq0TF</v>
      </c>
      <c r="C473" s="3">
        <v>41236.492696759262</v>
      </c>
      <c r="D473" s="2">
        <v>42</v>
      </c>
      <c r="E473" s="2">
        <v>0</v>
      </c>
      <c r="F473" s="2" t="s">
        <v>7</v>
      </c>
      <c r="G473" s="2" t="s">
        <v>8</v>
      </c>
    </row>
    <row r="474" spans="1:7" ht="45" x14ac:dyDescent="0.25">
      <c r="A474" s="4" t="str">
        <f>HYPERLINK("http://techcrunch.com/2012/11/23/black-friday-online-sales-already-up-13-percent-15-percent-purchases-made-from-mobile-phones/","Black Friday Online Sales Already Up 13 Percent; 15 Percent Purchases Made From Mobile Phones")</f>
        <v>Black Friday Online Sales Already Up 13 Percent; 15 Percent Purchases Made From Mobile Phones</v>
      </c>
      <c r="B474" s="4" t="str">
        <f>HYPERLINK("http://www.facebook.com/8062627951/posts/197859563684976","Are you going to be shopping today?")</f>
        <v>Are you going to be shopping today?</v>
      </c>
      <c r="C474" s="3">
        <v>41236.463275462964</v>
      </c>
      <c r="D474" s="2">
        <v>18</v>
      </c>
      <c r="E474" s="2">
        <v>2</v>
      </c>
      <c r="F474" s="2" t="s">
        <v>8</v>
      </c>
      <c r="G474" s="2" t="s">
        <v>7</v>
      </c>
    </row>
    <row r="475" spans="1:7" ht="30" x14ac:dyDescent="0.25">
      <c r="A475" s="4" t="str">
        <f>HYPERLINK("http://www.facebook.com/photo.php?fbid=10151347666057952&amp;set=a.114456157951.118433.8062627951&amp;type=1&amp;relevant_count=1","[Photo]")</f>
        <v>[Photo]</v>
      </c>
      <c r="B475" s="4" t="str">
        <f>HYPERLINK("http://www.facebook.com/8062627951/posts/10151347666172952","Turkey Day was Instagram's busiest ever. Did you use it?  http://tcrn.ch/10H7VSm")</f>
        <v>Turkey Day was Instagram's busiest ever. Did you use it?  http://tcrn.ch/10H7VSm</v>
      </c>
      <c r="C475" s="3">
        <v>41236.393101851849</v>
      </c>
      <c r="D475" s="2">
        <v>73</v>
      </c>
      <c r="E475" s="2">
        <v>4</v>
      </c>
      <c r="F475" s="2" t="s">
        <v>8</v>
      </c>
      <c r="G475" s="2" t="s">
        <v>8</v>
      </c>
    </row>
    <row r="476" spans="1:7" ht="30" x14ac:dyDescent="0.25">
      <c r="A476" s="4" t="str">
        <f>HYPERLINK("http://techcrunch.com/2012/11/23/lte-lives-in-the-nexus-4-at-least-in-canada/","Report: LTE Lives In Google and LG’s Nexus 4! (At Least In Canada)")</f>
        <v>Report: LTE Lives In Google and LG’s Nexus 4! (At Least In Canada)</v>
      </c>
      <c r="B476" s="4" t="str">
        <f>HYPERLINK("http://www.facebook.com/8062627951/posts/470271663011311","With working LTE, the Nexus 4 just got even more awesome.")</f>
        <v>With working LTE, the Nexus 4 just got even more awesome.</v>
      </c>
      <c r="C476" s="3">
        <v>41236.20888888889</v>
      </c>
      <c r="D476" s="2">
        <v>59</v>
      </c>
      <c r="E476" s="2">
        <v>6</v>
      </c>
      <c r="F476" s="2" t="s">
        <v>7</v>
      </c>
      <c r="G476" s="2" t="s">
        <v>7</v>
      </c>
    </row>
    <row r="477" spans="1:7" ht="45" x14ac:dyDescent="0.25">
      <c r="A477" s="4" t="str">
        <f>HYPERLINK("http://techcrunch.com/2012/11/23/god-complex-peter-molyneux-kicks-off-first-kickstarter-with-project-godus-a-grand-plan-to-recreate-the-entire-god-game-genre/","God Complex: Peter Molyneux Kicks Off First Kickstarter With Project GODUS — A Grand Plan To “Recrea")</f>
        <v>God Complex: Peter Molyneux Kicks Off First Kickstarter With Project GODUS — A Grand Plan To “Recrea</v>
      </c>
      <c r="B477" s="4" t="str">
        <f>HYPERLINK("http://www.facebook.com/8062627951/posts/167894140019887","This is going to be epic.")</f>
        <v>This is going to be epic.</v>
      </c>
      <c r="C477" s="3">
        <v>41236.175868055558</v>
      </c>
      <c r="D477" s="2">
        <v>36</v>
      </c>
      <c r="E477" s="2">
        <v>6</v>
      </c>
      <c r="F477" s="2" t="s">
        <v>7</v>
      </c>
      <c r="G477" s="2" t="s">
        <v>7</v>
      </c>
    </row>
    <row r="478" spans="1:7" ht="30" x14ac:dyDescent="0.25">
      <c r="A478" s="4" t="str">
        <f>HYPERLINK("http://www.facebook.com/photo.php?fbid=10151346426992952&amp;set=a.114456157951.118433.8062627951&amp;type=1&amp;relevant_count=1","[Photo]")</f>
        <v>[Photo]</v>
      </c>
      <c r="B478" s="4" t="str">
        <f>HYPERLINK("http://www.facebook.com/8062627951/posts/10151346427027952","Gift Guide Giveaway: Turkey Day Gift Cards from ThinkGeek - http://tcrn.ch/UhpcQi")</f>
        <v>Gift Guide Giveaway: Turkey Day Gift Cards from ThinkGeek - http://tcrn.ch/UhpcQi</v>
      </c>
      <c r="C478" s="3">
        <v>41235.50949074074</v>
      </c>
      <c r="D478" s="2">
        <v>20</v>
      </c>
      <c r="E478" s="2">
        <v>2</v>
      </c>
      <c r="F478" s="2" t="s">
        <v>7</v>
      </c>
      <c r="G478" s="2" t="s">
        <v>8</v>
      </c>
    </row>
    <row r="479" spans="1:7" ht="30" x14ac:dyDescent="0.25">
      <c r="A479" s="4" t="str">
        <f>HYPERLINK("http://www.facebook.com/photo.php?fbid=10151346308762952&amp;set=a.114456157951.118433.8062627951&amp;type=1&amp;relevant_count=1","[Photo]")</f>
        <v>[Photo]</v>
      </c>
      <c r="B479" s="4" t="str">
        <f>HYPERLINK("http://www.facebook.com/8062627951/posts/10151346308832952","Apple looking into 3D app and file drawer to extend Mac OS X dock - http://tcrn.ch/Y6sGrR")</f>
        <v>Apple looking into 3D app and file drawer to extend Mac OS X dock - http://tcrn.ch/Y6sGrR</v>
      </c>
      <c r="C479" s="3">
        <v>41235.441041666665</v>
      </c>
      <c r="D479" s="2">
        <v>127</v>
      </c>
      <c r="E479" s="2">
        <v>41</v>
      </c>
      <c r="F479" s="2" t="s">
        <v>7</v>
      </c>
      <c r="G479" s="2" t="s">
        <v>8</v>
      </c>
    </row>
    <row r="480" spans="1:7" ht="45" x14ac:dyDescent="0.25">
      <c r="A480" s="4" t="str">
        <f>HYPERLINK("http://techcrunch.com/2012/11/22/best-age-of-first-baby/","Dreading The ‘Grandchildren’ Thanksgiving Talk? Older First-Time Moms May Live Longer ")</f>
        <v xml:space="preserve">Dreading The ‘Grandchildren’ Thanksgiving Talk? Older First-Time Moms May Live Longer </v>
      </c>
      <c r="B480" s="4" t="str">
        <f>HYPERLINK("http://www.facebook.com/8062627951/posts/116947371800562","Did you know this?")</f>
        <v>Did you know this?</v>
      </c>
      <c r="C480" s="3">
        <v>41235.413368055553</v>
      </c>
      <c r="D480" s="2">
        <v>13</v>
      </c>
      <c r="E480" s="2">
        <v>2</v>
      </c>
      <c r="F480" s="2" t="s">
        <v>8</v>
      </c>
      <c r="G480" s="2" t="s">
        <v>7</v>
      </c>
    </row>
    <row r="481" spans="1:7" ht="30" x14ac:dyDescent="0.25">
      <c r="A481" s="4" t="str">
        <f>HYPERLINK("http://www.facebook.com/photo.php?fbid=10151346235782952&amp;set=a.114456157951.118433.8062627951&amp;type=1&amp;relevant_count=1","[Photo]")</f>
        <v>[Photo]</v>
      </c>
      <c r="B481" s="4" t="str">
        <f>HYPERLINK("http://www.facebook.com/8062627951/posts/10151346235827952","Happy Thanksgiving from TechCrunch! What are you thankful for this year?  Now, go eat.")</f>
        <v>Happy Thanksgiving from TechCrunch! What are you thankful for this year?  Now, go eat.</v>
      </c>
      <c r="C481" s="3">
        <v>41235.405775462961</v>
      </c>
      <c r="D481" s="2">
        <v>135</v>
      </c>
      <c r="E481" s="2">
        <v>13</v>
      </c>
      <c r="F481" s="2" t="s">
        <v>8</v>
      </c>
      <c r="G481" s="2" t="s">
        <v>8</v>
      </c>
    </row>
    <row r="482" spans="1:7" ht="30" x14ac:dyDescent="0.25">
      <c r="A482" s="4" t="str">
        <f>HYPERLINK("http://techcrunch.com/2012/11/21/surprise-facebook-stock-up-28-in-past-month-highest-since-july/","Surprise: Facebook Stock Up 28% In Past Month, Highest Since July | TechCrunch")</f>
        <v>Surprise: Facebook Stock Up 28% In Past Month, Highest Since July | TechCrunch</v>
      </c>
      <c r="B482" s="4" t="str">
        <f>HYPERLINK("http://www.facebook.com/8062627951/posts/172407776233671","Facebook's stock is riding high!")</f>
        <v>Facebook's stock is riding high!</v>
      </c>
      <c r="C482" s="3">
        <v>41234.757662037038</v>
      </c>
      <c r="D482" s="2">
        <v>88</v>
      </c>
      <c r="E482" s="2">
        <v>13</v>
      </c>
      <c r="F482" s="2" t="s">
        <v>7</v>
      </c>
      <c r="G482" s="2" t="s">
        <v>7</v>
      </c>
    </row>
    <row r="483" spans="1:7" ht="45" x14ac:dyDescent="0.25">
      <c r="A483" s="4" t="str">
        <f>HYPERLINK("http://techcrunch.com/2012/11/21/voicebunny-search-n-book/","VoiceBunny Launches A Search Engine For Voice Talent, Records The Best Voiceover Ever")</f>
        <v>VoiceBunny Launches A Search Engine For Voice Talent, Records The Best Voiceover Ever</v>
      </c>
      <c r="B483" s="4" t="s">
        <v>33</v>
      </c>
      <c r="C483" s="3">
        <v>41234.713946759257</v>
      </c>
      <c r="D483" s="2">
        <v>35</v>
      </c>
      <c r="E483" s="2">
        <v>7</v>
      </c>
      <c r="F483" s="2" t="s">
        <v>7</v>
      </c>
      <c r="G483" s="2" t="s">
        <v>7</v>
      </c>
    </row>
    <row r="484" spans="1:7" ht="30" x14ac:dyDescent="0.25">
      <c r="A484" s="4" t="str">
        <f>HYPERLINK("http://www.facebook.com/photo.php?fbid=10151345041752952&amp;set=a.114456157951.118433.8062627951&amp;type=1&amp;relevant_count=1","[Photo]")</f>
        <v>[Photo]</v>
      </c>
      <c r="B484" s="4" t="str">
        <f>HYPERLINK("http://www.facebook.com/8062627951/posts/10151345041782952","Microsoft reportedly plans stripped-down Xbox set-top box to compete with Apple TV, Roku - http://tcrn.ch/TcaK9j")</f>
        <v>Microsoft reportedly plans stripped-down Xbox set-top box to compete with Apple TV, Roku - http://tcrn.ch/TcaK9j</v>
      </c>
      <c r="C484" s="3">
        <v>41234.638692129629</v>
      </c>
      <c r="D484" s="2">
        <v>63</v>
      </c>
      <c r="E484" s="2">
        <v>12</v>
      </c>
      <c r="F484" s="2" t="s">
        <v>7</v>
      </c>
      <c r="G484" s="2" t="s">
        <v>8</v>
      </c>
    </row>
    <row r="485" spans="1:7" ht="45" x14ac:dyDescent="0.25">
      <c r="A485" s="4" t="str">
        <f>HYPERLINK("http://techcrunch.com/2012/11/21/3d-systems-sues-3d-printer-company-formlabs-for-patent-infringement-and-kickstarter-for-promotion/","3D Systems Sues 3D Printer Company Formlabs For Patent Infringement And Kickstarter For Promotion |.")</f>
        <v>3D Systems Sues 3D Printer Company Formlabs For Patent Infringement And Kickstarter For Promotion |.</v>
      </c>
      <c r="B485" s="4" t="str">
        <f>HYPERLINK("http://www.facebook.com/8062627951/posts/441279249241629","So much for Thanksgiving, everyone's suing everyone.")</f>
        <v>So much for Thanksgiving, everyone's suing everyone.</v>
      </c>
      <c r="C485" s="3">
        <v>41234.631469907406</v>
      </c>
      <c r="D485" s="2">
        <v>46</v>
      </c>
      <c r="E485" s="2">
        <v>12</v>
      </c>
      <c r="F485" s="2" t="s">
        <v>7</v>
      </c>
      <c r="G485" s="2" t="s">
        <v>7</v>
      </c>
    </row>
    <row r="486" spans="1:7" ht="30" x14ac:dyDescent="0.25">
      <c r="A486" s="4" t="str">
        <f>HYPERLINK("http://techcrunch.com/2012/11/21/lowes-selling-first-gen-nest-thermostat-for-198/","Lowe’s Selling First-Gen Nest Thermostat For $198 | TechCrunch")</f>
        <v>Lowe’s Selling First-Gen Nest Thermostat For $198 | TechCrunch</v>
      </c>
      <c r="B486" s="4" t="str">
        <f>HYPERLINK("http://www.facebook.com/8062627951/posts/311991578915263","This is a Black Friday sale worth posting.")</f>
        <v>This is a Black Friday sale worth posting.</v>
      </c>
      <c r="C486" s="3">
        <v>41234.595682870371</v>
      </c>
      <c r="D486" s="2">
        <v>37</v>
      </c>
      <c r="E486" s="2">
        <v>9</v>
      </c>
      <c r="F486" s="2" t="s">
        <v>7</v>
      </c>
      <c r="G486" s="2" t="s">
        <v>7</v>
      </c>
    </row>
    <row r="487" spans="1:7" ht="30" x14ac:dyDescent="0.25">
      <c r="A487" s="4" t="str">
        <f>HYPERLINK("http://www.facebook.com/photo.php?fbid=10151344829312952&amp;set=a.114456157951.118433.8062627951&amp;type=1&amp;relevant_count=1","[Photo]")</f>
        <v>[Photo]</v>
      </c>
      <c r="B487" s="4" t="str">
        <f>HYPERLINK("http://www.facebook.com/8062627951/posts/10151344829342952","We reviewed the HTC Droid DNA by Verizon. Will you want one? http://tcrn.ch/QZfEKw")</f>
        <v>We reviewed the HTC Droid DNA by Verizon. Will you want one? http://tcrn.ch/QZfEKw</v>
      </c>
      <c r="C487" s="3">
        <v>41234.566122685188</v>
      </c>
      <c r="D487" s="2">
        <v>54</v>
      </c>
      <c r="E487" s="2">
        <v>21</v>
      </c>
      <c r="F487" s="2" t="s">
        <v>8</v>
      </c>
      <c r="G487" s="2" t="s">
        <v>8</v>
      </c>
    </row>
    <row r="488" spans="1:7" ht="30" x14ac:dyDescent="0.25">
      <c r="A488" s="4" t="str">
        <f>HYPERLINK("http://www.facebook.com/photo.php?fbid=10151344796142952&amp;set=a.114456157951.118433.8062627951&amp;type=1&amp;relevant_count=1","[Photo]")</f>
        <v>[Photo]</v>
      </c>
      <c r="B488" s="4" t="str">
        <f>HYPERLINK("http://www.facebook.com/8062627951/posts/10151344796157952","We've got the leak of the secret new product Spotify is launching next month http://tcrn.ch/WksnEh")</f>
        <v>We've got the leak of the secret new product Spotify is launching next month http://tcrn.ch/WksnEh</v>
      </c>
      <c r="C488" s="3">
        <v>41234.548078703701</v>
      </c>
      <c r="D488" s="2">
        <v>134</v>
      </c>
      <c r="E488" s="2">
        <v>9</v>
      </c>
      <c r="F488" s="2" t="s">
        <v>7</v>
      </c>
      <c r="G488" s="2" t="s">
        <v>8</v>
      </c>
    </row>
    <row r="489" spans="1:7" ht="30" x14ac:dyDescent="0.25">
      <c r="A489" s="4" t="str">
        <f>HYPERLINK("http://techcrunch.com/2012/11/21/how-linden-labs-hopes-to-find-second-life-in-mobile-creative-play/","How Linden Labs Hopes To Find Second Life In Mobile Creative Play | TechCrunch")</f>
        <v>How Linden Labs Hopes To Find Second Life In Mobile Creative Play | TechCrunch</v>
      </c>
      <c r="B489" s="4" t="str">
        <f>HYPERLINK("http://www.facebook.com/8062627951/posts/285641634890043","Second Life isn't as cool as it used to be, but can Linden Labs do it again on mobile?")</f>
        <v>Second Life isn't as cool as it used to be, but can Linden Labs do it again on mobile?</v>
      </c>
      <c r="C489" s="3">
        <v>41234.52443287037</v>
      </c>
      <c r="D489" s="2">
        <v>22</v>
      </c>
      <c r="E489" s="2">
        <v>2</v>
      </c>
      <c r="F489" s="2" t="s">
        <v>8</v>
      </c>
      <c r="G489" s="2" t="s">
        <v>7</v>
      </c>
    </row>
    <row r="490" spans="1:7" ht="45" x14ac:dyDescent="0.25">
      <c r="A490" s="4" t="str">
        <f>HYPERLINK("http://techcrunch.com/2012/11/21/the-onions-searing-parody-of-social-media-experts/","The Onion’s Searing Parody Of Social Media Experts | TechCrunch")</f>
        <v>The Onion’s Searing Parody Of Social Media Experts | TechCrunch</v>
      </c>
      <c r="B490" s="4" t="s">
        <v>34</v>
      </c>
      <c r="C490" s="3">
        <v>41234.505648148152</v>
      </c>
      <c r="D490" s="2">
        <v>116</v>
      </c>
      <c r="E490" s="2">
        <v>12</v>
      </c>
      <c r="F490" s="2" t="s">
        <v>7</v>
      </c>
      <c r="G490" s="2" t="s">
        <v>7</v>
      </c>
    </row>
    <row r="491" spans="1:7" ht="45" x14ac:dyDescent="0.25">
      <c r="A491" s="4" t="str">
        <f>HYPERLINK("http://techcrunch.com/2012/11/21/kickstarter-shotgun/","Kickstarter: This Rubber Band Shotgun Is The Mother Of All Rubber Band Shotguns | TechCrunch")</f>
        <v>Kickstarter: This Rubber Band Shotgun Is The Mother Of All Rubber Band Shotguns | TechCrunch</v>
      </c>
      <c r="B491" s="4" t="str">
        <f>HYPERLINK("http://www.facebook.com/8062627951/posts/497944470239832","We're not sure if this is safe for kids. Or adults. But it's cool.")</f>
        <v>We're not sure if this is safe for kids. Or adults. But it's cool.</v>
      </c>
      <c r="C491" s="3">
        <v>41234.491597222222</v>
      </c>
      <c r="D491" s="2">
        <v>64</v>
      </c>
      <c r="E491" s="2">
        <v>9</v>
      </c>
      <c r="F491" s="2" t="s">
        <v>7</v>
      </c>
      <c r="G491" s="2" t="s">
        <v>7</v>
      </c>
    </row>
    <row r="492" spans="1:7" x14ac:dyDescent="0.25">
      <c r="A492" s="4" t="s">
        <v>9</v>
      </c>
      <c r="B492" s="4" t="str">
        <f>HYPERLINK("http://www.facebook.com/8062627951/posts/10151344653027952","In one word, to me the Microsoft Surface is __________.")</f>
        <v>In one word, to me the Microsoft Surface is __________.</v>
      </c>
      <c r="C492" s="3">
        <v>41234.470289351855</v>
      </c>
      <c r="D492" s="2">
        <v>136</v>
      </c>
      <c r="E492" s="2">
        <v>1007</v>
      </c>
      <c r="F492" s="2" t="s">
        <v>7</v>
      </c>
      <c r="G492" s="2" t="s">
        <v>7</v>
      </c>
    </row>
    <row r="493" spans="1:7" ht="30" x14ac:dyDescent="0.25">
      <c r="A493" s="4" t="str">
        <f>HYPERLINK("http://techcrunch.com/2012/11/21/the-oatmeal-is-sued-again-this-time-by-an-obscure-greeting-card-manufacturer/","The Oatmeal Is Sued Again, This Time By An Obscure Greeting Card Manufacturer ")</f>
        <v xml:space="preserve">The Oatmeal Is Sued Again, This Time By An Obscure Greeting Card Manufacturer </v>
      </c>
      <c r="B493" s="4" t="str">
        <f>HYPERLINK("http://www.facebook.com/8062627951/posts/441282815934224","Can Matthew Inman catch a break?")</f>
        <v>Can Matthew Inman catch a break?</v>
      </c>
      <c r="C493" s="3">
        <v>41234.467893518522</v>
      </c>
      <c r="D493" s="2">
        <v>16</v>
      </c>
      <c r="E493" s="2">
        <v>4</v>
      </c>
      <c r="F493" s="2" t="s">
        <v>8</v>
      </c>
      <c r="G493" s="2" t="s">
        <v>7</v>
      </c>
    </row>
    <row r="494" spans="1:7" ht="30" x14ac:dyDescent="0.25">
      <c r="A494" s="4" t="str">
        <f>HYPERLINK("http://techcrunch.tumblr.com/post/36222533042/mike-butcher-rocks","A must see fabulous performance by @ericw and our...")</f>
        <v>A must see fabulous performance by @ericw and our...</v>
      </c>
      <c r="B494" s="4" t="str">
        <f>HYPERLINK("http://www.facebook.com/8062627951/posts/445026545558138","Watch an amazing performance by SoundCloud founder Eric Wahlforss and our very own Mike Butcher at #slush12")</f>
        <v>Watch an amazing performance by SoundCloud founder Eric Wahlforss and our very own Mike Butcher at #slush12</v>
      </c>
      <c r="C494" s="3">
        <v>41234.453935185185</v>
      </c>
      <c r="D494" s="2">
        <v>14</v>
      </c>
      <c r="E494" s="2">
        <v>3</v>
      </c>
      <c r="F494" s="2" t="s">
        <v>7</v>
      </c>
      <c r="G494" s="2" t="s">
        <v>7</v>
      </c>
    </row>
    <row r="495" spans="1:7" ht="45" x14ac:dyDescent="0.25">
      <c r="A495" s="4" t="str">
        <f>HYPERLINK("http://www.facebook.com/photo.php?fbid=10151344587097952&amp;set=a.114456157951.118433.8062627951&amp;type=1&amp;relevant_count=1","[Photo]")</f>
        <v>[Photo]</v>
      </c>
      <c r="B495" s="4" t="str">
        <f>HYPERLINK("http://www.facebook.com/8062627951/posts/10151344587147952","Instagram launches embeddable “badges” to help you promote your beautiful profile on the web - http://tcrn.ch/RUb6Ck")</f>
        <v>Instagram launches embeddable “badges” to help you promote your beautiful profile on the web - http://tcrn.ch/RUb6Ck</v>
      </c>
      <c r="C495" s="3">
        <v>41234.436261574076</v>
      </c>
      <c r="D495" s="2">
        <v>66</v>
      </c>
      <c r="E495" s="2">
        <v>2</v>
      </c>
      <c r="F495" s="2" t="s">
        <v>7</v>
      </c>
      <c r="G495" s="2" t="s">
        <v>8</v>
      </c>
    </row>
    <row r="496" spans="1:7" ht="30" x14ac:dyDescent="0.25">
      <c r="A496" s="4" t="str">
        <f>HYPERLINK("http://techcrunch.com/2012/11/21/mayor-cory-booker-accepts-challenge-to-live-off-of-food-stamps-over-twitter/","Mayor Cory Booker Accepts Challenge To Live Off Of Food Stamps Over Twitter ")</f>
        <v xml:space="preserve">Mayor Cory Booker Accepts Challenge To Live Off Of Food Stamps Over Twitter </v>
      </c>
      <c r="B496" s="4" t="str">
        <f>HYPERLINK("http://www.facebook.com/8062627951/posts/199399643518704","Think he can do it?")</f>
        <v>Think he can do it?</v>
      </c>
      <c r="C496" s="3">
        <v>41234.415856481479</v>
      </c>
      <c r="D496" s="2">
        <v>121</v>
      </c>
      <c r="E496" s="2">
        <v>30</v>
      </c>
      <c r="F496" s="2" t="s">
        <v>8</v>
      </c>
      <c r="G496" s="2" t="s">
        <v>7</v>
      </c>
    </row>
    <row r="497" spans="1:7" ht="30" x14ac:dyDescent="0.25">
      <c r="A497" s="4" t="str">
        <f>HYPERLINK("http://techcrunch.com/2012/11/21/more-american-kids-than-ever-clamor-for-iphones-and-ipads-this-holiday-season/","More American Kids Than Ever Clamor For iPhones And iPads This Holiday Season")</f>
        <v>More American Kids Than Ever Clamor For iPhones And iPads This Holiday Season</v>
      </c>
      <c r="B497" s="4" t="str">
        <f>HYPERLINK("http://www.facebook.com/8062627951/posts/127310084091146","Kids want iPads this year. What's on top of your holiday wish list?")</f>
        <v>Kids want iPads this year. What's on top of your holiday wish list?</v>
      </c>
      <c r="C497" s="3">
        <v>41234.252152777779</v>
      </c>
      <c r="D497" s="2">
        <v>44</v>
      </c>
      <c r="E497" s="2">
        <v>16</v>
      </c>
      <c r="F497" s="2" t="s">
        <v>8</v>
      </c>
      <c r="G497" s="2" t="s">
        <v>7</v>
      </c>
    </row>
    <row r="498" spans="1:7" ht="45" x14ac:dyDescent="0.25">
      <c r="A498" s="4" t="str">
        <f>HYPERLINK("http://techcrunch.com/2012/11/21/the-facebook-mobile-plot-thickens-orange-inks-deal-for-social-calling-service-starting-summer-2013/","The Facebook Mobile Plot Thickens: Orange Inks Deal For Social Calling Service Starting Summer 2013.")</f>
        <v>The Facebook Mobile Plot Thickens: Orange Inks Deal For Social Calling Service Starting Summer 2013.</v>
      </c>
      <c r="B498" s="4" t="str">
        <f>HYPERLINK("http://www.facebook.com/8062627951/posts/215559798559232","It's not the Facebook phone, but it's pretty close.")</f>
        <v>It's not the Facebook phone, but it's pretty close.</v>
      </c>
      <c r="C498" s="3">
        <v>41234.172013888892</v>
      </c>
      <c r="D498" s="2">
        <v>116</v>
      </c>
      <c r="E498" s="2">
        <v>9</v>
      </c>
      <c r="F498" s="2" t="s">
        <v>7</v>
      </c>
      <c r="G498" s="2" t="s">
        <v>7</v>
      </c>
    </row>
    <row r="499" spans="1:7" ht="45" x14ac:dyDescent="0.25">
      <c r="A499" s="4" t="str">
        <f>HYPERLINK("http://techcrunch.com/2012/11/20/its-not-just-hp-and-autonomy-the-enterprise-software-space-is-a-giant-stinking-mess/","It’s Not Just HP And Autonomy, The  Enterprise Software Space Is A Giant Stinking Mess | TechCrunch")</f>
        <v>It’s Not Just HP And Autonomy, The  Enterprise Software Space Is A Giant Stinking Mess | TechCrunch</v>
      </c>
      <c r="B499" s="4" t="str">
        <f>HYPERLINK("http://www.facebook.com/8062627951/posts/435208099877117","Enterprise software: Sexy or Messy?")</f>
        <v>Enterprise software: Sexy or Messy?</v>
      </c>
      <c r="C499" s="3">
        <v>41233.754027777781</v>
      </c>
      <c r="D499" s="2">
        <v>42</v>
      </c>
      <c r="E499" s="2">
        <v>11</v>
      </c>
      <c r="F499" s="2" t="s">
        <v>8</v>
      </c>
      <c r="G499" s="2" t="s">
        <v>7</v>
      </c>
    </row>
    <row r="500" spans="1:7" ht="45" x14ac:dyDescent="0.25">
      <c r="A500" s="4" t="str">
        <f>HYPERLINK("http://techcrunch.com/2012/11/20/makerbot-introduces-3d-photo-booth-in-its-new-york-store-print-your-face-in-3d/","MakerBot Introduces 3D Photo Booth In Its New York Store, Print Your Face In 3D | TechCrunch")</f>
        <v>MakerBot Introduces 3D Photo Booth In Its New York Store, Print Your Face In 3D | TechCrunch</v>
      </c>
      <c r="B500" s="4" t="str">
        <f>HYPERLINK("http://www.facebook.com/8062627951/posts/388609607885691","A 3D printout of our faces? Where do we sign up? Oh, New York City.")</f>
        <v>A 3D printout of our faces? Where do we sign up? Oh, New York City.</v>
      </c>
      <c r="C500" s="3">
        <v>41233.729502314818</v>
      </c>
      <c r="D500" s="2">
        <v>158</v>
      </c>
      <c r="E500" s="2">
        <v>10</v>
      </c>
      <c r="F500" s="2" t="s">
        <v>8</v>
      </c>
      <c r="G500" s="2" t="s">
        <v>7</v>
      </c>
    </row>
    <row r="501" spans="1:7" ht="45" x14ac:dyDescent="0.25">
      <c r="A501" s="4" t="str">
        <f>HYPERLINK("http://techcrunch.com/2012/11/20/lowercase-capital-matt-mazzeo/","Chris Sacca Brings On His First Partner At Lowercase Capital: CAA’s Matt Mazzeo | TechCrunch")</f>
        <v>Chris Sacca Brings On His First Partner At Lowercase Capital: CAA’s Matt Mazzeo | TechCrunch</v>
      </c>
      <c r="B501" s="4" t="str">
        <f>HYPERLINK("http://www.facebook.com/8062627951/posts/495504463814045","Chris Sacca is bringing in his first partner, and he's got the media connections.")</f>
        <v>Chris Sacca is bringing in his first partner, and he's got the media connections.</v>
      </c>
      <c r="C501" s="3">
        <v>41233.685972222222</v>
      </c>
      <c r="D501" s="2">
        <v>29</v>
      </c>
      <c r="E501" s="2">
        <v>0</v>
      </c>
      <c r="F501" s="2" t="s">
        <v>7</v>
      </c>
      <c r="G501" s="2" t="s">
        <v>7</v>
      </c>
    </row>
    <row r="502" spans="1:7" ht="30" x14ac:dyDescent="0.25">
      <c r="A502" s="4" t="str">
        <f>HYPERLINK("http://www.facebook.com/photo.php?fbid=10151343500052952&amp;set=a.114456157951.118433.8062627951&amp;type=1&amp;relevant_count=1","[Photo]")</f>
        <v>[Photo]</v>
      </c>
      <c r="B502" s="4" t="str">
        <f>HYPERLINK("http://www.facebook.com/8062627951/posts/10151343500097952","Pick a Turkey to get pardoned by The White House, on Facebook. But...which one? http://tcrn.ch/RS429o")</f>
        <v>Pick a Turkey to get pardoned by The White House, on Facebook. But...which one? http://tcrn.ch/RS429o</v>
      </c>
      <c r="C502" s="3">
        <v>41233.66207175926</v>
      </c>
      <c r="D502" s="2">
        <v>27</v>
      </c>
      <c r="E502" s="2">
        <v>15</v>
      </c>
      <c r="F502" s="2" t="s">
        <v>8</v>
      </c>
      <c r="G502" s="2" t="s">
        <v>8</v>
      </c>
    </row>
    <row r="503" spans="1:7" ht="30" x14ac:dyDescent="0.25">
      <c r="A503" s="4" t="str">
        <f>HYPERLINK("http://techcrunch.com/2012/11/20/shopkick-sees-big-traffic-engagement-bump-after-major-redesign/","Shopkick Sees Big Traffic, Engagement Bump After Major Redesign | TechCrunch")</f>
        <v>Shopkick Sees Big Traffic, Engagement Bump After Major Redesign | TechCrunch</v>
      </c>
      <c r="B503" s="4" t="str">
        <f>HYPERLINK("http://www.facebook.com/8062627951/posts/600181150008152","Sometimes, all it takes is a little remodeling.")</f>
        <v>Sometimes, all it takes is a little remodeling.</v>
      </c>
      <c r="C503" s="3">
        <v>41233.65148148148</v>
      </c>
      <c r="D503" s="2">
        <v>19</v>
      </c>
      <c r="E503" s="2">
        <v>2</v>
      </c>
      <c r="F503" s="2" t="s">
        <v>7</v>
      </c>
      <c r="G503" s="2" t="s">
        <v>7</v>
      </c>
    </row>
    <row r="504" spans="1:7" ht="45" x14ac:dyDescent="0.25">
      <c r="A504" s="4" t="str">
        <f>HYPERLINK("http://techcrunch.com/2012/11/20/salesforce-beats-expectations-with-q3-revenues-of-788m-and-non-gaap-eps-of-33-cents/","Salesforce Q3 Beats Expectations: $788M Revenue, 33 Cents Non-GAAP EPS  | TechCrunch")</f>
        <v>Salesforce Q3 Beats Expectations: $788M Revenue, 33 Cents Non-GAAP EPS  | TechCrunch</v>
      </c>
      <c r="B504" s="4" t="str">
        <f>HYPERLINK("http://www.facebook.com/8062627951/posts/245334958929523","Somebody is having the best. day. evar.")</f>
        <v>Somebody is having the best. day. evar.</v>
      </c>
      <c r="C504" s="3">
        <v>41233.632141203707</v>
      </c>
      <c r="D504" s="2">
        <v>88</v>
      </c>
      <c r="E504" s="2">
        <v>8</v>
      </c>
      <c r="F504" s="2" t="s">
        <v>7</v>
      </c>
      <c r="G504" s="2" t="s">
        <v>7</v>
      </c>
    </row>
    <row r="505" spans="1:7" ht="45" x14ac:dyDescent="0.25">
      <c r="A505" s="4" t="str">
        <f>HYPERLINK("http://techcrunch.com/2012/11/20/you-asked-it-turns-twitter-into-chatroulette-but-without-the-nudity/","You Asked It! Turns Twitter Into Chatroulette, But Without The Nudity | TechCrunch")</f>
        <v>You Asked It! Turns Twitter Into Chatroulette, But Without The Nudity | TechCrunch</v>
      </c>
      <c r="B505" s="4" t="str">
        <f>HYPERLINK("http://www.facebook.com/8062627951/posts/461532787222066","This makes Twitter pretty darn fun.")</f>
        <v>This makes Twitter pretty darn fun.</v>
      </c>
      <c r="C505" s="3">
        <v>41233.602013888885</v>
      </c>
      <c r="D505" s="2">
        <v>70</v>
      </c>
      <c r="E505" s="2">
        <v>8</v>
      </c>
      <c r="F505" s="2" t="s">
        <v>7</v>
      </c>
      <c r="G505" s="2" t="s">
        <v>7</v>
      </c>
    </row>
    <row r="506" spans="1:7" ht="30" x14ac:dyDescent="0.25">
      <c r="A506" s="4" t="str">
        <f>HYPERLINK("http://www.facebook.com/photo.php?fbid=10151343368022952&amp;set=a.114456157951.118433.8062627951&amp;type=1&amp;relevant_count=1","[Photo]")</f>
        <v>[Photo]</v>
      </c>
      <c r="B506" s="4" t="str">
        <f>HYPERLINK("http://www.facebook.com/8062627951/posts/10151343368062952","Facebook ad views, not just clicks, drive sales - http://tcrn.ch/S90AIT")</f>
        <v>Facebook ad views, not just clicks, drive sales - http://tcrn.ch/S90AIT</v>
      </c>
      <c r="C506" s="3">
        <v>41233.586064814815</v>
      </c>
      <c r="D506" s="2">
        <v>56</v>
      </c>
      <c r="E506" s="2">
        <v>5</v>
      </c>
      <c r="F506" s="2" t="s">
        <v>7</v>
      </c>
      <c r="G506" s="2" t="s">
        <v>8</v>
      </c>
    </row>
    <row r="507" spans="1:7" ht="45" x14ac:dyDescent="0.25">
      <c r="A507" s="4" t="str">
        <f>HYPERLINK("http://techcrunch.com/2012/11/20/ribbon-a-bit-ly-with-payments-brings-simplified-checkout-to-any-platform/","Ribbon, A “Bit.ly With Payments,” Brings Simplified Checkout To Any Platform")</f>
        <v>Ribbon, A “Bit.ly With Payments,” Brings Simplified Checkout To Any Platform</v>
      </c>
      <c r="B507" s="4" t="str">
        <f>HYPERLINK("http://www.facebook.com/8062627951/posts/294949537291149","Introducing a new AngelPad-backed payments startup, Ribbon, which aims to make digital payments easy no matter the platform.")</f>
        <v>Introducing a new AngelPad-backed payments startup, Ribbon, which aims to make digital payments easy no matter the platform.</v>
      </c>
      <c r="C507" s="3">
        <v>41233.553449074076</v>
      </c>
      <c r="D507" s="2">
        <v>30</v>
      </c>
      <c r="E507" s="2">
        <v>0</v>
      </c>
      <c r="F507" s="2" t="s">
        <v>7</v>
      </c>
      <c r="G507" s="2" t="s">
        <v>7</v>
      </c>
    </row>
    <row r="508" spans="1:7" ht="30" x14ac:dyDescent="0.25">
      <c r="A508" s="4" t="str">
        <f>HYPERLINK("http://techcrunch.com/2012/11/20/republicans-and-the-trouble-with-science/","Republicans And The Trouble With Science | TechCrunch")</f>
        <v>Republicans And The Trouble With Science | TechCrunch</v>
      </c>
      <c r="B508" s="4" t="str">
        <f>HYPERLINK("http://www.facebook.com/8062627951/posts/114564285373660","Because....science?")</f>
        <v>Because....science?</v>
      </c>
      <c r="C508" s="3">
        <v>41233.503437500003</v>
      </c>
      <c r="D508" s="2">
        <v>46</v>
      </c>
      <c r="E508" s="2">
        <v>15</v>
      </c>
      <c r="F508" s="2" t="s">
        <v>8</v>
      </c>
      <c r="G508" s="2" t="s">
        <v>7</v>
      </c>
    </row>
    <row r="509" spans="1:7" ht="45" x14ac:dyDescent="0.25">
      <c r="A509" s="4" t="str">
        <f>HYPERLINK("http://techcrunch.com/2012/11/20/twitter-shop-small-free-advertising/","Twitter Offers A Total Of $1M In Free Credits To 10,000 New Advertisers For Small Business Saturday.")</f>
        <v>Twitter Offers A Total Of $1M In Free Credits To 10,000 New Advertisers For Small Business Saturday.</v>
      </c>
      <c r="B509" s="4" t="str">
        <f>HYPERLINK("http://www.facebook.com/8062627951/posts/130838177069617","Think this could kickstart Twitter's biz model?")</f>
        <v>Think this could kickstart Twitter's biz model?</v>
      </c>
      <c r="C509" s="3">
        <v>41233.495324074072</v>
      </c>
      <c r="D509" s="2">
        <v>31</v>
      </c>
      <c r="E509" s="2">
        <v>7</v>
      </c>
      <c r="F509" s="2" t="s">
        <v>8</v>
      </c>
      <c r="G509" s="2" t="s">
        <v>7</v>
      </c>
    </row>
    <row r="510" spans="1:7" ht="45" x14ac:dyDescent="0.25">
      <c r="A510" s="4" t="str">
        <f>HYPERLINK("http://techcrunch.com/2012/11/20/ahead-of-itu-summit-google-wants-you-to-help-preserve-a-free-internet-with-new-campaign/","Ahead Of ITU Summit, Google Wants You To Help Preserve A Free And Open Internet With New Campaign |.")</f>
        <v>Ahead Of ITU Summit, Google Wants You To Help Preserve A Free And Open Internet With New Campaign |.</v>
      </c>
      <c r="B510" s="4" t="str">
        <f>HYPERLINK("http://www.facebook.com/8062627951/posts/427170074003597","Google wants you to take action to save the Internet, will you?")</f>
        <v>Google wants you to take action to save the Internet, will you?</v>
      </c>
      <c r="C510" s="3">
        <v>41233.469988425924</v>
      </c>
      <c r="D510" s="2">
        <v>78</v>
      </c>
      <c r="E510" s="2">
        <v>12</v>
      </c>
      <c r="F510" s="2" t="s">
        <v>8</v>
      </c>
      <c r="G510" s="2" t="s">
        <v>7</v>
      </c>
    </row>
    <row r="511" spans="1:7" ht="45" x14ac:dyDescent="0.25">
      <c r="A511" s="4" t="str">
        <f>HYPERLINK("http://techcrunch.com/2012/11/20/watch-a-wind-powered-childs-toy-evolve-into-a-low-cost-minefield-clearing-machine/","Watch A Wind-Powered Child’s Toy Evolve Into A Low-Cost Minefield Clearing Machine")</f>
        <v>Watch A Wind-Powered Child’s Toy Evolve Into A Low-Cost Minefield Clearing Machine</v>
      </c>
      <c r="B511" s="4" t="str">
        <f>HYPERLINK("http://www.facebook.com/8062627951/posts/294759490635696","Yes. Amazing.")</f>
        <v>Yes. Amazing.</v>
      </c>
      <c r="C511" s="3">
        <v>41233.455659722225</v>
      </c>
      <c r="D511" s="2">
        <v>89</v>
      </c>
      <c r="E511" s="2">
        <v>10</v>
      </c>
      <c r="F511" s="2" t="s">
        <v>7</v>
      </c>
      <c r="G511" s="2" t="s">
        <v>7</v>
      </c>
    </row>
    <row r="512" spans="1:7" ht="30" x14ac:dyDescent="0.25">
      <c r="A512" s="4" t="str">
        <f>HYPERLINK("http://techcrunch.com/2012/11/20/google-promises-to-bring-december-back-to-android-4-2-soon/","Google Promises To Bring December Back To Android 4.2 “Soon”")</f>
        <v>Google Promises To Bring December Back To Android 4.2 “Soon”</v>
      </c>
      <c r="B512" s="4" t="str">
        <f>HYPERLINK("http://www.facebook.com/8062627951/posts/372467242840665","Why thank you, Google.")</f>
        <v>Why thank you, Google.</v>
      </c>
      <c r="C512" s="3">
        <v>41233.42396990741</v>
      </c>
      <c r="D512" s="2">
        <v>116</v>
      </c>
      <c r="E512" s="2">
        <v>26</v>
      </c>
      <c r="F512" s="2" t="s">
        <v>7</v>
      </c>
      <c r="G512" s="2" t="s">
        <v>7</v>
      </c>
    </row>
    <row r="513" spans="1:7" ht="45" x14ac:dyDescent="0.25">
      <c r="A513" s="4" t="str">
        <f>HYPERLINK("http://www.facebook.com/photo.php?fbid=10151343035927952&amp;set=a.114456157951.118433.8062627951&amp;type=1&amp;relevant_count=1","[Photo]")</f>
        <v>[Photo]</v>
      </c>
      <c r="B513" s="4" t="str">
        <f>HYPERLINK("http://www.facebook.com/8062627951/posts/10151343036012952","Startup Genome ranks the world’s top startup ecosystems: Silicon Valley, Tel Aviv &amp; L.A. lead the way - http://tcrn.ch/SbndKZ")</f>
        <v>Startup Genome ranks the world’s top startup ecosystems: Silicon Valley, Tel Aviv &amp; L.A. lead the way - http://tcrn.ch/SbndKZ</v>
      </c>
      <c r="C513" s="3">
        <v>41233.40697916667</v>
      </c>
      <c r="D513" s="2">
        <v>491</v>
      </c>
      <c r="E513" s="2">
        <v>69</v>
      </c>
      <c r="F513" s="2" t="s">
        <v>7</v>
      </c>
      <c r="G513" s="2" t="s">
        <v>8</v>
      </c>
    </row>
    <row r="514" spans="1:7" ht="30" x14ac:dyDescent="0.25">
      <c r="A514" s="4" t="str">
        <f>HYPERLINK("http://www.facebook.com/photo.php?fbid=10151343013492952&amp;set=a.114456157951.118433.8062627951&amp;type=1&amp;relevant_count=1","[Photo]")</f>
        <v>[Photo]</v>
      </c>
      <c r="B514" s="4" t="str">
        <f>HYPERLINK("http://www.facebook.com/8062627951/posts/10151343013527952","Gift Guide: iPhone 5 - http://tcrn.ch/Wif7jF    Are you hoping to give, or receive one this year?")</f>
        <v>Gift Guide: iPhone 5 - http://tcrn.ch/Wif7jF    Are you hoping to give, or receive one this year?</v>
      </c>
      <c r="C514" s="3">
        <v>41233.394212962965</v>
      </c>
      <c r="D514" s="2">
        <v>55</v>
      </c>
      <c r="E514" s="2">
        <v>16</v>
      </c>
      <c r="F514" s="2" t="s">
        <v>8</v>
      </c>
      <c r="G514" s="2" t="s">
        <v>8</v>
      </c>
    </row>
    <row r="515" spans="1:7" ht="45" x14ac:dyDescent="0.25">
      <c r="A515" s="4" t="str">
        <f>HYPERLINK("http://www.facebook.com/photo.php?fbid=10151342980652952&amp;set=a.114456157951.118433.8062627951&amp;type=1&amp;relevant_count=1","[Photo]")</f>
        <v>[Photo]</v>
      </c>
      <c r="B515" s="4" t="str">
        <f>HYPERLINK("http://www.facebook.com/8062627951/posts/10151342980687952","Meet Phorce, a smart bag that charges your gadgets and provides power management via Bluetooth. Would you use this? - http://tcrn.ch/Qse1VH")</f>
        <v>Meet Phorce, a smart bag that charges your gadgets and provides power management via Bluetooth. Would you use this? - http://tcrn.ch/Qse1VH</v>
      </c>
      <c r="C515" s="3">
        <v>41233.37804398148</v>
      </c>
      <c r="D515" s="2">
        <v>44</v>
      </c>
      <c r="E515" s="2">
        <v>10</v>
      </c>
      <c r="F515" s="2" t="s">
        <v>8</v>
      </c>
      <c r="G515" s="2" t="s">
        <v>8</v>
      </c>
    </row>
    <row r="516" spans="1:7" ht="45" x14ac:dyDescent="0.25">
      <c r="A516" s="4" t="str">
        <f>HYPERLINK("http://techcrunch.com/2012/11/20/une-autre-version-de-highlight/","Highlight Launches Android App And New iOS App With Expanded Profiles, “High Fives,” And Improved No")</f>
        <v>Highlight Launches Android App And New iOS App With Expanded Profiles, “High Fives,” And Improved No</v>
      </c>
      <c r="B516" s="4" t="str">
        <f>HYPERLINK("http://www.facebook.com/8062627951/posts/178334998972677","It has definitely been a roller coaster ride for Highlight. What do you think of its new updates?")</f>
        <v>It has definitely been a roller coaster ride for Highlight. What do you think of its new updates?</v>
      </c>
      <c r="C516" s="3">
        <v>41233.365486111114</v>
      </c>
      <c r="D516" s="2">
        <v>18</v>
      </c>
      <c r="E516" s="2">
        <v>3</v>
      </c>
      <c r="F516" s="2" t="s">
        <v>8</v>
      </c>
      <c r="G516" s="2" t="s">
        <v>7</v>
      </c>
    </row>
    <row r="517" spans="1:7" ht="45" x14ac:dyDescent="0.25">
      <c r="A517" s="4" t="str">
        <f>HYPERLINK("http://techcrunch.com/2012/11/20/amazon-offers-amazon-pages-for-brands-to-customize-with-their-own-urls-and-amazon-posts-for-social-media-marketing/","Amazon Offers ‘Amazon Pages’ For Brands To Customize With Their Own URLs, And ‘Amazon Posts’ For Soc")</f>
        <v>Amazon Offers ‘Amazon Pages’ For Brands To Customize With Their Own URLs, And ‘Amazon Posts’ For Soc</v>
      </c>
      <c r="B517" s="4" t="str">
        <f>HYPERLINK("http://www.facebook.com/8062627951/posts/331955280245524","Smart move from Amazon.")</f>
        <v>Smart move from Amazon.</v>
      </c>
      <c r="C517" s="3">
        <v>41233.315347222226</v>
      </c>
      <c r="D517" s="2">
        <v>106</v>
      </c>
      <c r="E517" s="2">
        <v>6</v>
      </c>
      <c r="F517" s="2" t="s">
        <v>7</v>
      </c>
      <c r="G517" s="2" t="s">
        <v>7</v>
      </c>
    </row>
    <row r="518" spans="1:7" ht="45" x14ac:dyDescent="0.25">
      <c r="A518" s="4" t="str">
        <f>HYPERLINK("http://techcrunch.com/2012/11/20/hands-on-with-nokias-here-maps-for-ios-good-stop-gap-until-native-google-maps-video/","Hands On With Nokia’s Here Maps For iOS: Good Stop-Gap Until Native Google Maps [Video]")</f>
        <v>Hands On With Nokia’s Here Maps For iOS: Good Stop-Gap Until Native Google Maps [Video]</v>
      </c>
      <c r="B518" s="4" t="str">
        <f>HYPERLINK("http://www.facebook.com/8062627951/posts/552766118070856","Not as good as Google, but Nokia's new iOS map app is better than Apple's -- although that's not saying much. [hands-on video]")</f>
        <v>Not as good as Google, but Nokia's new iOS map app is better than Apple's -- although that's not saying much. [hands-on video]</v>
      </c>
      <c r="C518" s="3">
        <v>41233.30914351852</v>
      </c>
      <c r="D518" s="2">
        <v>32</v>
      </c>
      <c r="E518" s="2">
        <v>11</v>
      </c>
      <c r="F518" s="2" t="s">
        <v>7</v>
      </c>
      <c r="G518" s="2" t="s">
        <v>7</v>
      </c>
    </row>
    <row r="519" spans="1:7" ht="45" x14ac:dyDescent="0.25">
      <c r="A519" s="4" t="str">
        <f>HYPERLINK("http://techcrunch.com/2012/11/19/kindle-fire-8-9-inch-review/","Review: Amazon Is Gunning For Every Other Tablet Out There With The New Kindle Fire 8.9-Inch")</f>
        <v>Review: Amazon Is Gunning For Every Other Tablet Out There With The New Kindle Fire 8.9-Inch</v>
      </c>
      <c r="B519" s="4" t="str">
        <f>HYPERLINK("http://www.facebook.com/8062627951/posts/554205991272085","Kindle Fire HD 8.9-inch Review")</f>
        <v>Kindle Fire HD 8.9-inch Review</v>
      </c>
      <c r="C519" s="3">
        <v>41233.153645833336</v>
      </c>
      <c r="D519" s="2">
        <v>30</v>
      </c>
      <c r="E519" s="2">
        <v>2</v>
      </c>
      <c r="F519" s="2" t="s">
        <v>7</v>
      </c>
      <c r="G519" s="2" t="s">
        <v>7</v>
      </c>
    </row>
    <row r="520" spans="1:7" ht="30" x14ac:dyDescent="0.25">
      <c r="A520" s="4" t="str">
        <f>HYPERLINK("http://www.facebook.com/photo.php?fbid=10151342345307952&amp;set=a.114456157951.118433.8062627951&amp;type=1&amp;relevant_count=1","[Photo]")</f>
        <v>[Photo]</v>
      </c>
      <c r="B520" s="4" t="str">
        <f>HYPERLINK("http://www.facebook.com/8062627951/posts/10151342345357952","Internal videos show Microsoft released its Kin phones knowing they sucked - http://tcrn.ch/TcuNXe")</f>
        <v>Internal videos show Microsoft released its Kin phones knowing they sucked - http://tcrn.ch/TcuNXe</v>
      </c>
      <c r="C520" s="3">
        <v>41232.845381944448</v>
      </c>
      <c r="D520" s="2">
        <v>143</v>
      </c>
      <c r="E520" s="2">
        <v>33</v>
      </c>
      <c r="F520" s="2" t="s">
        <v>7</v>
      </c>
      <c r="G520" s="2" t="s">
        <v>8</v>
      </c>
    </row>
    <row r="521" spans="1:7" ht="90" x14ac:dyDescent="0.25">
      <c r="A521" s="4" t="str">
        <f>HYPERLINK("http://www.facebook.com/photo.php?fbid=10151342110297952&amp;set=a.114456157951.118433.8062627951&amp;type=1&amp;relevant_count=1","[Photo]")</f>
        <v>[Photo]</v>
      </c>
      <c r="B521" s="4" t="s">
        <v>35</v>
      </c>
      <c r="C521" s="3">
        <v>41232.697974537034</v>
      </c>
      <c r="D521" s="2">
        <v>31</v>
      </c>
      <c r="E521" s="2">
        <v>2</v>
      </c>
      <c r="F521" s="2" t="s">
        <v>7</v>
      </c>
      <c r="G521" s="2" t="s">
        <v>8</v>
      </c>
    </row>
    <row r="522" spans="1:7" ht="30" x14ac:dyDescent="0.25">
      <c r="A522" s="4" t="str">
        <f>HYPERLINK("http://techcrunch.com/2012/11/19/viggle-getglue-ugly-number/","The Ugly Numbers Behind The Viggle-GetGlue Merger | TechCrunch")</f>
        <v>The Ugly Numbers Behind The Viggle-GetGlue Merger | TechCrunch</v>
      </c>
      <c r="B522" s="4" t="str">
        <f>HYPERLINK("http://www.facebook.com/8062627951/posts/526154040729524","Remember that GetGlue acquisition earlier? There's more, have a look at this.")</f>
        <v>Remember that GetGlue acquisition earlier? There's more, have a look at this.</v>
      </c>
      <c r="C522" s="3">
        <v>41232.691423611112</v>
      </c>
      <c r="D522" s="2">
        <v>18</v>
      </c>
      <c r="E522" s="2">
        <v>0</v>
      </c>
      <c r="F522" s="2" t="s">
        <v>8</v>
      </c>
      <c r="G522" s="2" t="s">
        <v>7</v>
      </c>
    </row>
    <row r="523" spans="1:7" ht="45" x14ac:dyDescent="0.25">
      <c r="A523" s="4" t="str">
        <f>HYPERLINK("http://techcrunch.com/2012/11/19/color-labs-and-bill-nguyen-sued-by-ex-employee-alleging-retaliation-emotional-distress/","Color Labs And Bill Nguyen Sued By Ex-Employee Alleging Retaliation, Emotional Distress | TechCrunch")</f>
        <v>Color Labs And Bill Nguyen Sued By Ex-Employee Alleging Retaliation, Emotional Distress | TechCrunch</v>
      </c>
      <c r="B523" s="4" t="str">
        <f>HYPERLINK("http://www.facebook.com/8062627951/posts/281149898655014","Bad news for Color....")</f>
        <v>Bad news for Color....</v>
      </c>
      <c r="C523" s="3">
        <v>41232.669571759259</v>
      </c>
      <c r="D523" s="2">
        <v>25</v>
      </c>
      <c r="E523" s="2">
        <v>10</v>
      </c>
      <c r="F523" s="2" t="s">
        <v>7</v>
      </c>
      <c r="G523" s="2" t="s">
        <v>7</v>
      </c>
    </row>
    <row r="524" spans="1:7" ht="45" x14ac:dyDescent="0.25">
      <c r="A524" s="4" t="str">
        <f>HYPERLINK("http://techcrunch.com/2012/11/19/twitter-ditches-casual-friday-lets-employees-do-fridayforgood-community-service/","Twitter Ditches “Casual Friday”, Lets Employees Do #FridayForGood Community Service | TechCrunch")</f>
        <v>Twitter Ditches “Casual Friday”, Lets Employees Do #FridayForGood Community Service | TechCrunch</v>
      </c>
      <c r="B524" s="4" t="str">
        <f>HYPERLINK("http://www.facebook.com/8062627951/posts/138090089671287","Do the companies you work at do things for the community? Tell us!")</f>
        <v>Do the companies you work at do things for the community? Tell us!</v>
      </c>
      <c r="C524" s="3">
        <v>41232.667650462965</v>
      </c>
      <c r="D524" s="2">
        <v>27</v>
      </c>
      <c r="E524" s="2">
        <v>6</v>
      </c>
      <c r="F524" s="2" t="s">
        <v>8</v>
      </c>
      <c r="G524" s="2" t="s">
        <v>7</v>
      </c>
    </row>
    <row r="525" spans="1:7" ht="30" x14ac:dyDescent="0.25">
      <c r="A525" s="4" t="str">
        <f>HYPERLINK("http://www.facebook.com/photo.php?fbid=10151341890787952&amp;set=a.114456157951.118433.8062627951&amp;type=1&amp;relevant_count=1","[Photo]")</f>
        <v>[Photo]</v>
      </c>
      <c r="B525" s="4" t="str">
        <f>HYPERLINK("http://www.facebook.com/8062627951/posts/10151341890842952","Facebook starts letting iOS users auto-upload all their snapshots with Photo Sync http://tcrn.ch/10130fy")</f>
        <v>Facebook starts letting iOS users auto-upload all their snapshots with Photo Sync http://tcrn.ch/10130fy</v>
      </c>
      <c r="C525" s="3">
        <v>41232.597060185188</v>
      </c>
      <c r="D525" s="2">
        <v>187</v>
      </c>
      <c r="E525" s="2">
        <v>43</v>
      </c>
      <c r="F525" s="2" t="s">
        <v>7</v>
      </c>
      <c r="G525" s="2" t="s">
        <v>8</v>
      </c>
    </row>
    <row r="526" spans="1:7" ht="30" x14ac:dyDescent="0.25">
      <c r="A526" s="4" t="str">
        <f>HYPERLINK("http://www.facebook.com/photo.php?fbid=10151341759237952&amp;set=a.114456157951.118433.8062627951&amp;type=1&amp;relevant_count=1","[Photo]")</f>
        <v>[Photo]</v>
      </c>
      <c r="B526" s="4" t="str">
        <f>HYPERLINK("http://www.facebook.com/8062627951/posts/10151341759267952","An iPad lover’s take on the Surface with Windows RT - http://tcrn.ch/WqrNJY")</f>
        <v>An iPad lover’s take on the Surface with Windows RT - http://tcrn.ch/WqrNJY</v>
      </c>
      <c r="C526" s="3">
        <v>41232.522187499999</v>
      </c>
      <c r="D526" s="2">
        <v>197</v>
      </c>
      <c r="E526" s="2">
        <v>49</v>
      </c>
      <c r="F526" s="2" t="s">
        <v>7</v>
      </c>
      <c r="G526" s="2" t="s">
        <v>8</v>
      </c>
    </row>
    <row r="527" spans="1:7" ht="30" x14ac:dyDescent="0.25">
      <c r="A527" s="4" t="str">
        <f>HYPERLINK("http://www.facebook.com/photo.php?fbid=10151341732067952&amp;set=a.114456157951.118433.8062627951&amp;type=1&amp;relevant_count=1","[Photo]")</f>
        <v>[Photo]</v>
      </c>
      <c r="B527" s="4" t="str">
        <f>HYPERLINK("http://www.facebook.com/8062627951/posts/10151341732082952","Michael Arrington explains how the PSY/MC Hammer duo was born - http://tcrn.ch/UaWC39")</f>
        <v>Michael Arrington explains how the PSY/MC Hammer duo was born - http://tcrn.ch/UaWC39</v>
      </c>
      <c r="C527" s="3">
        <v>41232.509293981479</v>
      </c>
      <c r="D527" s="2">
        <v>118</v>
      </c>
      <c r="E527" s="2">
        <v>9</v>
      </c>
      <c r="F527" s="2" t="s">
        <v>7</v>
      </c>
      <c r="G527" s="2" t="s">
        <v>8</v>
      </c>
    </row>
    <row r="528" spans="1:7" ht="30" x14ac:dyDescent="0.25">
      <c r="A528" s="4" t="str">
        <f>HYPERLINK("http://www.facebook.com/photo.php?fbid=10151341662582952&amp;set=a.114456157951.118433.8062627951&amp;type=1&amp;relevant_count=1","[Photo]")</f>
        <v>[Photo]</v>
      </c>
      <c r="B528" s="4" t="str">
        <f>HYPERLINK("http://www.facebook.com/8062627951/posts/10151341662617952","Oprah tweets her love for the Microsoft Surface... using an iPad. LOL. - http://tcrn.ch/Tc6B7w")</f>
        <v>Oprah tweets her love for the Microsoft Surface... using an iPad. LOL. - http://tcrn.ch/Tc6B7w</v>
      </c>
      <c r="C528" s="3">
        <v>41232.47074074074</v>
      </c>
      <c r="D528" s="2">
        <v>1414</v>
      </c>
      <c r="E528" s="2">
        <v>127</v>
      </c>
      <c r="F528" s="2" t="s">
        <v>7</v>
      </c>
      <c r="G528" s="2" t="s">
        <v>8</v>
      </c>
    </row>
    <row r="529" spans="1:7" ht="75" x14ac:dyDescent="0.25">
      <c r="A529" s="4" t="str">
        <f>HYPERLINK("http://techcrunch.com/2012/11/19/facebook-denies-yahoo-talks/","Facebook Denies That It’s In Talks For A New Search Partnership With Yahoo (Or Anyone Else)")</f>
        <v>Facebook Denies That It’s In Talks For A New Search Partnership With Yahoo (Or Anyone Else)</v>
      </c>
      <c r="B529" s="4" t="s">
        <v>36</v>
      </c>
      <c r="C529" s="3">
        <v>41232.447766203702</v>
      </c>
      <c r="D529" s="2">
        <v>37</v>
      </c>
      <c r="E529" s="2">
        <v>13</v>
      </c>
      <c r="F529" s="2" t="s">
        <v>7</v>
      </c>
      <c r="G529" s="2" t="s">
        <v>7</v>
      </c>
    </row>
    <row r="530" spans="1:7" ht="30" x14ac:dyDescent="0.25">
      <c r="A530" s="4" t="str">
        <f>HYPERLINK("http://www.facebook.com/photo.php?fbid=10151341569792952&amp;set=a.114456157951.118433.8062627951&amp;type=1&amp;relevant_count=1","[Photo]")</f>
        <v>[Photo]</v>
      </c>
      <c r="B530" s="4" t="str">
        <f>HYPERLINK("http://www.facebook.com/8062627951/posts/10151341569832952","This BlackBerry 10 handset “leak” looks awfully staged - http://tcrn.ch/QTADOW")</f>
        <v>This BlackBerry 10 handset “leak” looks awfully staged - http://tcrn.ch/QTADOW</v>
      </c>
      <c r="C530" s="3">
        <v>41232.42046296296</v>
      </c>
      <c r="D530" s="2">
        <v>253</v>
      </c>
      <c r="E530" s="2">
        <v>85</v>
      </c>
      <c r="F530" s="2" t="s">
        <v>7</v>
      </c>
      <c r="G530" s="2" t="s">
        <v>8</v>
      </c>
    </row>
    <row r="531" spans="1:7" ht="30" x14ac:dyDescent="0.25">
      <c r="A531" s="4" t="str">
        <f>HYPERLINK("http://techcrunch.com/2012/11/19/wii-u-gray-market-is-frothy-and-heating-up-as-scalpers-sell-online/","Wii U Gray Market Is Frothy And Heating Up As Scalpers Sell Online")</f>
        <v>Wii U Gray Market Is Frothy And Heating Up As Scalpers Sell Online</v>
      </c>
      <c r="B531" s="4" t="str">
        <f>HYPERLINK("http://www.facebook.com/8062627951/posts/183374561787062","How much extra would you pay for a Wii U?")</f>
        <v>How much extra would you pay for a Wii U?</v>
      </c>
      <c r="C531" s="3">
        <v>41232.378240740742</v>
      </c>
      <c r="D531" s="2">
        <v>13</v>
      </c>
      <c r="E531" s="2">
        <v>5</v>
      </c>
      <c r="F531" s="2" t="s">
        <v>8</v>
      </c>
      <c r="G531" s="2" t="s">
        <v>7</v>
      </c>
    </row>
    <row r="532" spans="1:7" ht="45" x14ac:dyDescent="0.25">
      <c r="A532" s="4" t="str">
        <f>HYPERLINK("http://techcrunch.com/2012/11/19/elon-musk-with-jobs-gone-google-will-win-mobile-and-look-out-for-the-hyperloop/","Elon Musk: With Jobs Gone, Google Will Win mobile (And Look Out For The Hyperloop)")</f>
        <v>Elon Musk: With Jobs Gone, Google Will Win mobile (And Look Out For The Hyperloop)</v>
      </c>
      <c r="B532" s="4" t="str">
        <f>HYPERLINK("http://www.facebook.com/8062627951/posts/551735484840392","Elon Musk is an expert on everything. Seriously, just ask him.")</f>
        <v>Elon Musk is an expert on everything. Seriously, just ask him.</v>
      </c>
      <c r="C532" s="3">
        <v>41232.318599537037</v>
      </c>
      <c r="D532" s="2">
        <v>108</v>
      </c>
      <c r="E532" s="2">
        <v>7</v>
      </c>
      <c r="F532" s="2" t="s">
        <v>7</v>
      </c>
      <c r="G532" s="2" t="s">
        <v>7</v>
      </c>
    </row>
    <row r="533" spans="1:7" ht="30" x14ac:dyDescent="0.25">
      <c r="A533" s="4" t="str">
        <f>HYPERLINK("http://techcrunch.com/2012/11/19/apples-os-x-10-9-reportedly-bringing-siri-maps-integration-to-the-mac/","Apple’s OS X 10.9 Reportedly Bringing Siri, Maps Integration To The Mac")</f>
        <v>Apple’s OS X 10.9 Reportedly Bringing Siri, Maps Integration To The Mac</v>
      </c>
      <c r="B533" s="4" t="str">
        <f>HYPERLINK("http://www.facebook.com/8062627951/posts/307382356036975","Siri is coming to the Mac in OS X 10.9. Hopefully she'll be useful by then.")</f>
        <v>Siri is coming to the Mac in OS X 10.9. Hopefully she'll be useful by then.</v>
      </c>
      <c r="C533" s="3">
        <v>41232.259710648148</v>
      </c>
      <c r="D533" s="2">
        <v>175</v>
      </c>
      <c r="E533" s="2">
        <v>16</v>
      </c>
      <c r="F533" s="2" t="s">
        <v>7</v>
      </c>
      <c r="G533" s="2" t="s">
        <v>7</v>
      </c>
    </row>
    <row r="534" spans="1:7" ht="45" x14ac:dyDescent="0.25">
      <c r="A534" s="4" t="str">
        <f>HYPERLINK("http://techcrunch.com/2012/11/19/ipad-to-dominate-tablet-downloads-for-next-five-years-owning-56-in-2017-analyst/","iPad To Dominate Tablet Downloads For Next Five Years, Owning 56% In 2017: Analyst")</f>
        <v>iPad To Dominate Tablet Downloads For Next Five Years, Owning 56% In 2017: Analyst</v>
      </c>
      <c r="B534" s="4" t="str">
        <f>HYPERLINK("http://www.facebook.com/8062627951/posts/193731044097252","Can no one dethrone the iPad?")</f>
        <v>Can no one dethrone the iPad?</v>
      </c>
      <c r="C534" s="3">
        <v>41232.197175925925</v>
      </c>
      <c r="D534" s="2">
        <v>63</v>
      </c>
      <c r="E534" s="2">
        <v>19</v>
      </c>
      <c r="F534" s="2" t="s">
        <v>8</v>
      </c>
      <c r="G534" s="2" t="s">
        <v>7</v>
      </c>
    </row>
    <row r="535" spans="1:7" ht="30" x14ac:dyDescent="0.25">
      <c r="A535" s="4" t="str">
        <f>HYPERLINK("http://www.facebook.com/photo.php?fbid=10151340615732952&amp;set=a.114456157951.118433.8062627951&amp;type=1&amp;relevant_count=1","[Photo]")</f>
        <v>[Photo]</v>
      </c>
      <c r="B535" s="4" t="str">
        <f>HYPERLINK("http://www.facebook.com/8062627951/posts/10151340615802952","Breaking News: Cisco buys enterprise cloud startup Meraki for $1.2 billion in cash http://tcrn.ch/XpZXPy")</f>
        <v>Breaking News: Cisco buys enterprise cloud startup Meraki for $1.2 billion in cash http://tcrn.ch/XpZXPy</v>
      </c>
      <c r="C535" s="3">
        <v>41231.682372685187</v>
      </c>
      <c r="D535" s="2">
        <v>367</v>
      </c>
      <c r="E535" s="2">
        <v>33</v>
      </c>
      <c r="F535" s="2" t="s">
        <v>7</v>
      </c>
      <c r="G535" s="2" t="s">
        <v>8</v>
      </c>
    </row>
    <row r="536" spans="1:7" ht="45" x14ac:dyDescent="0.25">
      <c r="A536" s="4" t="str">
        <f>HYPERLINK("http://www.facebook.com/photo.php?fbid=10151340444022952&amp;set=a.114456157951.118433.8062627951&amp;type=1&amp;relevant_count=1","[Photo]")</f>
        <v>[Photo]</v>
      </c>
      <c r="B536" s="4" t="str">
        <f>HYPERLINK("http://www.facebook.com/8062627951/posts/10151340444102952","A new San Francisco startup, Degreed, is on a mission to “jailbreak the degree” and give learners a new form of academic credentialing - http://tcrn.ch/TS4OTt")</f>
        <v>A new San Francisco startup, Degreed, is on a mission to “jailbreak the degree” and give learners a new form of academic credentialing - http://tcrn.ch/TS4OTt</v>
      </c>
      <c r="C536" s="3">
        <v>41231.585729166669</v>
      </c>
      <c r="D536" s="2">
        <v>311</v>
      </c>
      <c r="E536" s="2">
        <v>8</v>
      </c>
      <c r="F536" s="2" t="s">
        <v>7</v>
      </c>
      <c r="G536" s="2" t="s">
        <v>8</v>
      </c>
    </row>
    <row r="537" spans="1:7" ht="30" x14ac:dyDescent="0.25">
      <c r="A537" s="4" t="str">
        <f>HYPERLINK("http://techcrunch.com/2012/11/18/crunchweek-volume-1-looking-back-at-the-week-in-tech-tctv/","CrunchWeek, Volume 1: Looking Back At The Week In Tech [TCTV]")</f>
        <v>CrunchWeek, Volume 1: Looking Back At The Week In Tech [TCTV]</v>
      </c>
      <c r="B537" s="4" t="str">
        <f>HYPERLINK("http://www.facebook.com/8062627951/posts/250010385125896","Watch our first TCTV episode of CrunchWeek staring Alexia, Leena, and Colleen!")</f>
        <v>Watch our first TCTV episode of CrunchWeek staring Alexia, Leena, and Colleen!</v>
      </c>
      <c r="C537" s="3">
        <v>41231.529386574075</v>
      </c>
      <c r="D537" s="2">
        <v>16</v>
      </c>
      <c r="E537" s="2">
        <v>0</v>
      </c>
      <c r="F537" s="2" t="s">
        <v>7</v>
      </c>
      <c r="G537" s="2" t="s">
        <v>7</v>
      </c>
    </row>
    <row r="538" spans="1:7" ht="30" x14ac:dyDescent="0.25">
      <c r="A538" s="4" t="str">
        <f>HYPERLINK("http://www.facebook.com/photo.php?fbid=10151340256382952&amp;set=a.114456157951.118433.8062627951&amp;type=1&amp;relevant_count=1","[Photo]")</f>
        <v>[Photo]</v>
      </c>
      <c r="B538" s="4" t="str">
        <f>HYPERLINK("http://www.facebook.com/8062627951/posts/10151340256407952","Gift Guide: Vers 1Q, a wonderful 2-inch Bluetooth speaker - http://tcrn.ch/S3Ydaa")</f>
        <v>Gift Guide: Vers 1Q, a wonderful 2-inch Bluetooth speaker - http://tcrn.ch/S3Ydaa</v>
      </c>
      <c r="C538" s="3">
        <v>41231.484513888892</v>
      </c>
      <c r="D538" s="2">
        <v>49</v>
      </c>
      <c r="E538" s="2">
        <v>2</v>
      </c>
      <c r="F538" s="2" t="s">
        <v>7</v>
      </c>
      <c r="G538" s="2" t="s">
        <v>8</v>
      </c>
    </row>
    <row r="539" spans="1:7" ht="30" x14ac:dyDescent="0.25">
      <c r="A539" s="4" t="str">
        <f>HYPERLINK("http://techcrunch.com/2012/11/18/human-after-all-why-nate-silvers-math-revolution-wont-kill-the-pundits/","Human After All: Why Nate Silver’s Math Revolution Won’t Kill The Pundits")</f>
        <v>Human After All: Why Nate Silver’s Math Revolution Won’t Kill The Pundits</v>
      </c>
      <c r="B539" s="4" t="str">
        <f>HYPERLINK("http://www.facebook.com/8062627951/posts/520411367969417","Do you agree?")</f>
        <v>Do you agree?</v>
      </c>
      <c r="C539" s="3">
        <v>41231.44935185185</v>
      </c>
      <c r="D539" s="2">
        <v>36</v>
      </c>
      <c r="E539" s="2">
        <v>7</v>
      </c>
      <c r="F539" s="2" t="s">
        <v>8</v>
      </c>
      <c r="G539" s="2" t="s">
        <v>7</v>
      </c>
    </row>
    <row r="540" spans="1:7" x14ac:dyDescent="0.25">
      <c r="A540" s="4" t="str">
        <f>HYPERLINK("http://www.facebook.com/photo.php?fbid=10151339787457952&amp;set=a.114456157951.118433.8062627951&amp;type=1&amp;relevant_count=1","[Photo]")</f>
        <v>[Photo]</v>
      </c>
      <c r="B540" s="4" t="str">
        <f>HYPERLINK("http://www.facebook.com/8062627951/posts/10151339787492952","Nintendo Wii U Review - http://tcrn.ch/ZQlvTO")</f>
        <v>Nintendo Wii U Review - http://tcrn.ch/ZQlvTO</v>
      </c>
      <c r="C540" s="3">
        <v>41231.194976851853</v>
      </c>
      <c r="D540" s="2">
        <v>106</v>
      </c>
      <c r="E540" s="2">
        <v>1</v>
      </c>
      <c r="F540" s="2" t="s">
        <v>7</v>
      </c>
      <c r="G540" s="2" t="s">
        <v>8</v>
      </c>
    </row>
    <row r="541" spans="1:7" ht="45" x14ac:dyDescent="0.25">
      <c r="A541" s="4" t="str">
        <f>HYPERLINK("http://techcrunch.com/2012/11/17/long-november-google-left-december-out-of-its-date-picker-in-android-jelly-bean-os-4-2/","Long November: Google Left December Out Of Its Date Picker In Android Jelly Bean OS 4.2 | TechCrunch")</f>
        <v>Long November: Google Left December Out Of Its Date Picker In Android Jelly Bean OS 4.2 | TechCrunch</v>
      </c>
      <c r="B541" s="4" t="str">
        <f>HYPERLINK("http://www.facebook.com/8062627951/posts/295487107235166","Google decided it was a good idea to leave December out of Android 4.2.")</f>
        <v>Google decided it was a good idea to leave December out of Android 4.2.</v>
      </c>
      <c r="C541" s="3">
        <v>41230.8903125</v>
      </c>
      <c r="D541" s="2">
        <v>200</v>
      </c>
      <c r="E541" s="2">
        <v>32</v>
      </c>
      <c r="F541" s="2" t="s">
        <v>7</v>
      </c>
      <c r="G541" s="2" t="s">
        <v>7</v>
      </c>
    </row>
    <row r="542" spans="1:7" ht="60" x14ac:dyDescent="0.25">
      <c r="A542" s="4" t="str">
        <f>HYPERLINK("http://techcrunch.com/2012/11/17/everything-youll-ever-need-to-know-about-gamification/","Everything You’ll Ever Need To Know About Gamification")</f>
        <v>Everything You’ll Ever Need To Know About Gamification</v>
      </c>
      <c r="B542" s="4" t="s">
        <v>37</v>
      </c>
      <c r="C542" s="3">
        <v>41230.853263888886</v>
      </c>
      <c r="D542" s="2">
        <v>88</v>
      </c>
      <c r="E542" s="2">
        <v>5</v>
      </c>
      <c r="F542" s="2" t="s">
        <v>7</v>
      </c>
      <c r="G542" s="2" t="s">
        <v>7</v>
      </c>
    </row>
    <row r="543" spans="1:7" ht="30" x14ac:dyDescent="0.25">
      <c r="A543" s="4" t="str">
        <f>HYPERLINK("http://www.facebook.com/photo.php?fbid=10151339287262952&amp;set=a.114456157951.118433.8062627951&amp;type=1&amp;relevant_count=1","[Photo]")</f>
        <v>[Photo]</v>
      </c>
      <c r="B543" s="4" t="str">
        <f>HYPERLINK("http://www.facebook.com/8062627951/posts/10151339287307952","Looking for a new watch? Review: Xetum Tyndall PVD automatic watch - http://tcrn.ch/U1lg4b")</f>
        <v>Looking for a new watch? Review: Xetum Tyndall PVD automatic watch - http://tcrn.ch/U1lg4b</v>
      </c>
      <c r="C543" s="3">
        <v>41230.765798611108</v>
      </c>
      <c r="D543" s="2">
        <v>150</v>
      </c>
      <c r="E543" s="2">
        <v>14</v>
      </c>
      <c r="F543" s="2" t="s">
        <v>8</v>
      </c>
      <c r="G543" s="2" t="s">
        <v>8</v>
      </c>
    </row>
    <row r="544" spans="1:7" ht="30" x14ac:dyDescent="0.25">
      <c r="A544" s="4" t="str">
        <f>HYPERLINK("http://www.facebook.com/photo.php?fbid=10151339144207952&amp;set=a.114456157951.118433.8062627951&amp;type=1&amp;relevant_count=1","[Photo]")</f>
        <v>[Photo]</v>
      </c>
      <c r="B544" s="4" t="str">
        <f>HYPERLINK("http://www.facebook.com/8062627951/posts/10151339144232952","We're getting very close to the perfect MacBook. What do you think? - http://tcrn.ch/UMwz4c")</f>
        <v>We're getting very close to the perfect MacBook. What do you think? - http://tcrn.ch/UMwz4c</v>
      </c>
      <c r="C544" s="3">
        <v>41230.672118055554</v>
      </c>
      <c r="D544" s="2">
        <v>419</v>
      </c>
      <c r="E544" s="2">
        <v>115</v>
      </c>
      <c r="F544" s="2" t="s">
        <v>8</v>
      </c>
      <c r="G544" s="2" t="s">
        <v>8</v>
      </c>
    </row>
    <row r="545" spans="1:7" ht="30" x14ac:dyDescent="0.25">
      <c r="A545" s="4" t="str">
        <f>HYPERLINK("http://techcrunch.com/2012/11/17/teenage-gamers-better-at-simulated-surgery-than-medical-residents/","Teenage Gamers Better At Simulated Surgery Than Medical Residents")</f>
        <v>Teenage Gamers Better At Simulated Surgery Than Medical Residents</v>
      </c>
      <c r="B545" s="4" t="str">
        <f>HYPERLINK("http://www.facebook.com/8062627951/posts/459070194138851","And your mom said video games will rot your brain.")</f>
        <v>And your mom said video games will rot your brain.</v>
      </c>
      <c r="C545" s="3">
        <v>41230.580428240741</v>
      </c>
      <c r="D545" s="2">
        <v>176</v>
      </c>
      <c r="E545" s="2">
        <v>11</v>
      </c>
      <c r="F545" s="2" t="s">
        <v>7</v>
      </c>
      <c r="G545" s="2" t="s">
        <v>7</v>
      </c>
    </row>
    <row r="546" spans="1:7" ht="30" x14ac:dyDescent="0.25">
      <c r="A546" s="4" t="str">
        <f>HYPERLINK("http://www.facebook.com/photo.php?fbid=10151338930947952&amp;set=a.114456157951.118433.8062627951&amp;type=1&amp;relevant_count=1","[Photo]")</f>
        <v>[Photo]</v>
      </c>
      <c r="B546" s="4" t="str">
        <f>HYPERLINK("http://www.facebook.com/8062627951/posts/10151338930992952","Ugly Men Don’t Get Clicked On - http://tcrn.ch/Wdou44    An article by investor and entrepreneur James Altucher.")</f>
        <v>Ugly Men Don’t Get Clicked On - http://tcrn.ch/Wdou44    An article by investor and entrepreneur James Altucher.</v>
      </c>
      <c r="C546" s="3">
        <v>41230.535219907404</v>
      </c>
      <c r="D546" s="2">
        <v>153</v>
      </c>
      <c r="E546" s="2">
        <v>6</v>
      </c>
      <c r="F546" s="2" t="s">
        <v>7</v>
      </c>
      <c r="G546" s="2" t="s">
        <v>8</v>
      </c>
    </row>
    <row r="547" spans="1:7" ht="30" x14ac:dyDescent="0.25">
      <c r="A547" s="4" t="str">
        <f>HYPERLINK("http://techcrunch.com/2012/11/16/barkbox-the-birchbox-for-dog-lovers-launches-companion-mobile-app/","BarkBox, The Birchbox For Dog Lovers, Launches Companion Mobile App")</f>
        <v>BarkBox, The Birchbox For Dog Lovers, Launches Companion Mobile App</v>
      </c>
      <c r="B547" s="4" t="str">
        <f>HYPERLINK("http://www.facebook.com/8062627951/posts/240839529381612","DOG LOVERS:")</f>
        <v>DOG LOVERS:</v>
      </c>
      <c r="C547" s="3">
        <v>41230.487766203703</v>
      </c>
      <c r="D547" s="2">
        <v>16</v>
      </c>
      <c r="E547" s="2">
        <v>2</v>
      </c>
      <c r="F547" s="2" t="s">
        <v>7</v>
      </c>
      <c r="G547" s="2" t="s">
        <v>7</v>
      </c>
    </row>
    <row r="548" spans="1:7" ht="30" x14ac:dyDescent="0.25">
      <c r="A548" s="4" t="str">
        <f>HYPERLINK("http://techcrunch.com/2012/11/17/heres-how-spotify-scales-up-and-stays-agile-it-runs-squads-like-lean-startups/","Here’s How Spotify Scales Up And Stays Agile: It Runs ‘Squads’ Like Lean Startups")</f>
        <v>Here’s How Spotify Scales Up And Stays Agile: It Runs ‘Squads’ Like Lean Startups</v>
      </c>
      <c r="B548" s="4" t="str">
        <f>HYPERLINK("http://www.facebook.com/8062627951/posts/413670198704259","Great tips from Spotify on how to scale a startup.")</f>
        <v>Great tips from Spotify on how to scale a startup.</v>
      </c>
      <c r="C548" s="3">
        <v>41230.457465277781</v>
      </c>
      <c r="D548" s="2">
        <v>129</v>
      </c>
      <c r="E548" s="2">
        <v>0</v>
      </c>
      <c r="F548" s="2" t="s">
        <v>7</v>
      </c>
      <c r="G548" s="2" t="s">
        <v>7</v>
      </c>
    </row>
    <row r="549" spans="1:7" ht="45" x14ac:dyDescent="0.25">
      <c r="A549" s="4" t="str">
        <f>HYPERLINK("http://techcrunch.com/2012/11/17/twitter-does-a-lot-of-different-things-for-different-people-deal-with-it","Twitter Does A Lot Of Different Things For Different People, Deal With It | TechCrunch")</f>
        <v>Twitter Does A Lot Of Different Things For Different People, Deal With It | TechCrunch</v>
      </c>
      <c r="B549" s="4" t="str">
        <f>HYPERLINK("http://www.facebook.com/8062627951/posts/430850620314822","Is Twitter changing? Is it bad for developers and users? Weigh in.")</f>
        <v>Is Twitter changing? Is it bad for developers and users? Weigh in.</v>
      </c>
      <c r="C549" s="3">
        <v>41230.391724537039</v>
      </c>
      <c r="D549" s="2">
        <v>58</v>
      </c>
      <c r="E549" s="2">
        <v>5</v>
      </c>
      <c r="F549" s="2" t="s">
        <v>8</v>
      </c>
      <c r="G549" s="2" t="s">
        <v>7</v>
      </c>
    </row>
    <row r="550" spans="1:7" ht="30" x14ac:dyDescent="0.25">
      <c r="A550" s="4" t="str">
        <f>HYPERLINK("http://www.facebook.com/photo.php?fbid=10151338459642952&amp;set=a.114456157951.118433.8062627951&amp;type=1&amp;relevant_count=1","[Photo]")</f>
        <v>[Photo]</v>
      </c>
      <c r="B550" s="4" t="str">
        <f>HYPERLINK("http://www.facebook.com/8062627951/posts/10151338459677952","Something someday will kill Facebook, but we’re not there yet - http://tcrn.ch/S4MS88")</f>
        <v>Something someday will kill Facebook, but we’re not there yet - http://tcrn.ch/S4MS88</v>
      </c>
      <c r="C550" s="3">
        <v>41230.252812500003</v>
      </c>
      <c r="D550" s="2">
        <v>316</v>
      </c>
      <c r="E550" s="2">
        <v>43</v>
      </c>
      <c r="F550" s="2" t="s">
        <v>7</v>
      </c>
      <c r="G550" s="2" t="s">
        <v>8</v>
      </c>
    </row>
    <row r="551" spans="1:7" ht="30" x14ac:dyDescent="0.25">
      <c r="A551" s="4" t="str">
        <f>HYPERLINK("http://techcrunch.com/2012/11/16/gift-guide-the-little-printer/","Gift Guide: The Little Printer")</f>
        <v>Gift Guide: The Little Printer</v>
      </c>
      <c r="B551" s="4" t="str">
        <f>HYPERLINK("http://www.facebook.com/8062627951/posts/455582717810778","You might not need The Little Printer printer in your life but it's still awesome.")</f>
        <v>You might not need The Little Printer printer in your life but it's still awesome.</v>
      </c>
      <c r="C551" s="3">
        <v>41230.200069444443</v>
      </c>
      <c r="D551" s="2">
        <v>50</v>
      </c>
      <c r="E551" s="2">
        <v>4</v>
      </c>
      <c r="F551" s="2" t="s">
        <v>7</v>
      </c>
      <c r="G551" s="2" t="s">
        <v>7</v>
      </c>
    </row>
    <row r="552" spans="1:7" ht="45" x14ac:dyDescent="0.25">
      <c r="A552" s="4" t="str">
        <f>HYPERLINK("http://techcrunch.com/2012/11/17/inside-microsofts-cauldron-of-ideas-from-kinect-bing-and-killing-the-blue-screen-of-death-to-code-that-can-learn-pixels-you-can-hold-and-drugs-compiled-from-dna/","Inside Microsoft’s Cauldron Of Ideas: From Kinect, Bing And Killing The Blue Screen Of Death, To Cod")</f>
        <v>Inside Microsoft’s Cauldron Of Ideas: From Kinect, Bing And Killing The Blue Screen Of Death, To Cod</v>
      </c>
      <c r="B552" s="4" t="str">
        <f>HYPERLINK("http://www.facebook.com/8062627951/posts/267115230077213","A deep look into Microsoft Research. This is a must-read.")</f>
        <v>A deep look into Microsoft Research. This is a must-read.</v>
      </c>
      <c r="C552" s="3">
        <v>41230.155659722222</v>
      </c>
      <c r="D552" s="2">
        <v>145</v>
      </c>
      <c r="E552" s="2">
        <v>10</v>
      </c>
      <c r="F552" s="2" t="s">
        <v>7</v>
      </c>
      <c r="G552" s="2" t="s">
        <v>7</v>
      </c>
    </row>
    <row r="553" spans="1:7" ht="30" x14ac:dyDescent="0.25">
      <c r="A553" s="4" t="str">
        <f>HYPERLINK("http://techcrunch.com/2012/11/16/meet-the-6-new-startups-fresh-out-of-jolt-the-toronto-tech-incubator/","Meet The 6 New Startups Fresh Out Of JOLT, The Toronto Tech Incubator ")</f>
        <v xml:space="preserve">Meet The 6 New Startups Fresh Out Of JOLT, The Toronto Tech Incubator </v>
      </c>
      <c r="B553" s="4" t="str">
        <f>HYPERLINK("http://www.facebook.com/8062627951/posts/385538094858480","What do you think, do any stand out to you?")</f>
        <v>What do you think, do any stand out to you?</v>
      </c>
      <c r="C553" s="3">
        <v>41229.69599537037</v>
      </c>
      <c r="D553" s="2">
        <v>37</v>
      </c>
      <c r="E553" s="2">
        <v>5</v>
      </c>
      <c r="F553" s="2" t="s">
        <v>8</v>
      </c>
      <c r="G553" s="2" t="s">
        <v>7</v>
      </c>
    </row>
    <row r="554" spans="1:7" ht="30" x14ac:dyDescent="0.25">
      <c r="A554" s="4" t="str">
        <f>HYPERLINK("http://techcrunch.com/2012/11/16/kive-company-funding/","The Kive Company Raises $500K To Help Parents Save Their Kids’ Art ")</f>
        <v xml:space="preserve">The Kive Company Raises $500K To Help Parents Save Their Kids’ Art </v>
      </c>
      <c r="B554" s="4" t="str">
        <f>HYPERLINK("http://www.facebook.com/8062627951/posts/138984312916206","ArtKive lets you take photos of your kids’ art, then tag it with their name, grade, date, and title. Would you use this?")</f>
        <v>ArtKive lets you take photos of your kids’ art, then tag it with their name, grade, date, and title. Would you use this?</v>
      </c>
      <c r="C554" s="3">
        <v>41229.647141203706</v>
      </c>
      <c r="D554" s="2">
        <v>75</v>
      </c>
      <c r="E554" s="2">
        <v>18</v>
      </c>
      <c r="F554" s="2" t="s">
        <v>8</v>
      </c>
      <c r="G554" s="2" t="s">
        <v>7</v>
      </c>
    </row>
    <row r="555" spans="1:7" ht="30" x14ac:dyDescent="0.25">
      <c r="A555" s="4" t="str">
        <f>HYPERLINK("http://techcrunch.com/2012/11/16/ron-pauls-farewell-address-the-internet-can-stop-big-government/","Ron Paul’s Farewell Address: The Internet Can Stop Big Government ")</f>
        <v xml:space="preserve">Ron Paul’s Farewell Address: The Internet Can Stop Big Government </v>
      </c>
      <c r="B555" s="4" t="str">
        <f>HYPERLINK("http://www.facebook.com/8062627951/posts/531858556842582","“If you find this to be a worthwhile message, spread it throughout the land.”")</f>
        <v>“If you find this to be a worthwhile message, spread it throughout the land.”</v>
      </c>
      <c r="C555" s="3">
        <v>41229.623923611114</v>
      </c>
      <c r="D555" s="2">
        <v>209</v>
      </c>
      <c r="E555" s="2">
        <v>14</v>
      </c>
      <c r="F555" s="2" t="s">
        <v>7</v>
      </c>
      <c r="G555" s="2" t="s">
        <v>7</v>
      </c>
    </row>
    <row r="556" spans="1:7" ht="45" x14ac:dyDescent="0.25">
      <c r="A556" s="4" t="str">
        <f>HYPERLINK("http://techcrunch.com/2012/11/16/facebook-page-reach/","Facebook Explains The Four Ways It Sorts The News Feed And Insists Average Page Reach Didn’t Decreas")</f>
        <v>Facebook Explains The Four Ways It Sorts The News Feed And Insists Average Page Reach Didn’t Decreas</v>
      </c>
      <c r="B556" s="4" t="str">
        <f>HYPERLINK("http://www.facebook.com/8062627951/posts/454105021292862","Check them out. They may not be what you think.")</f>
        <v>Check them out. They may not be what you think.</v>
      </c>
      <c r="C556" s="3">
        <v>41229.576527777775</v>
      </c>
      <c r="D556" s="2">
        <v>79</v>
      </c>
      <c r="E556" s="2">
        <v>16</v>
      </c>
      <c r="F556" s="2" t="s">
        <v>7</v>
      </c>
      <c r="G556" s="2" t="s">
        <v>7</v>
      </c>
    </row>
    <row r="557" spans="1:7" ht="30" x14ac:dyDescent="0.25">
      <c r="A557" s="4" t="str">
        <f>HYPERLINK("http://www.facebook.com/photo.php?fbid=10151337411967952&amp;set=a.114456157951.118433.8062627951&amp;type=1&amp;relevant_count=1","[Photo]")</f>
        <v>[Photo]</v>
      </c>
      <c r="B557" s="4" t="str">
        <f>HYPERLINK("http://www.facebook.com/8062627951/posts/10151337412062952","The Jawbone UP is back, but is it better than ever? Do you have one? - http://tcrn.ch/UJtv9c")</f>
        <v>The Jawbone UP is back, but is it better than ever? Do you have one? - http://tcrn.ch/UJtv9c</v>
      </c>
      <c r="C557" s="3">
        <v>41229.481817129628</v>
      </c>
      <c r="D557" s="2">
        <v>81</v>
      </c>
      <c r="E557" s="2">
        <v>26</v>
      </c>
      <c r="F557" s="2" t="s">
        <v>8</v>
      </c>
      <c r="G557" s="2" t="s">
        <v>8</v>
      </c>
    </row>
    <row r="558" spans="1:7" ht="45" x14ac:dyDescent="0.25">
      <c r="A558" s="4" t="str">
        <f>HYPERLINK("http://techcrunch.com/2012/11/16/techcrunch-giveaway-irobot-roomba-650-get-clean-for-the-holidays-techcrunch/","TechCrunch Giveaway: iRobot Roomba 650. Get Clean For The Holidays #TechCrunch")</f>
        <v>TechCrunch Giveaway: iRobot Roomba 650. Get Clean For The Holidays #TechCrunch</v>
      </c>
      <c r="B558" s="4" t="str">
        <f>HYPERLINK("http://www.facebook.com/8062627951/posts/295701047215329","We are giving away a free iRobot Roomba 650! Make sure to enter.")</f>
        <v>We are giving away a free iRobot Roomba 650! Make sure to enter.</v>
      </c>
      <c r="C558" s="3">
        <v>41229.461458333331</v>
      </c>
      <c r="D558" s="2">
        <v>40</v>
      </c>
      <c r="E558" s="2">
        <v>8</v>
      </c>
      <c r="F558" s="2" t="s">
        <v>7</v>
      </c>
      <c r="G558" s="2" t="s">
        <v>7</v>
      </c>
    </row>
    <row r="559" spans="1:7" ht="45" x14ac:dyDescent="0.25">
      <c r="A559" s="4" t="str">
        <f>HYPERLINK("http://techcrunch.com/2012/11/16/warner-bros-launches-day-after-us-ios-application-making-tv-shows-available-for-free-the-day-after-they-air/","Warner Bros. Launches “Day After US” iOS App, Makes TV Shows Available The Day After They Air")</f>
        <v>Warner Bros. Launches “Day After US” iOS App, Makes TV Shows Available The Day After They Air</v>
      </c>
      <c r="B559" s="4" t="str">
        <f>HYPERLINK("http://www.facebook.com/8062627951/posts/130747617077923","Hey Gossip Girl, Big Bang Theory and The Vampire Diaries lovers (we know), check this out:")</f>
        <v>Hey Gossip Girl, Big Bang Theory and The Vampire Diaries lovers (we know), check this out:</v>
      </c>
      <c r="C559" s="3">
        <v>41229.446238425924</v>
      </c>
      <c r="D559" s="2">
        <v>34</v>
      </c>
      <c r="E559" s="2">
        <v>3</v>
      </c>
      <c r="F559" s="2" t="s">
        <v>7</v>
      </c>
      <c r="G559" s="2" t="s">
        <v>7</v>
      </c>
    </row>
    <row r="560" spans="1:7" ht="30" x14ac:dyDescent="0.25">
      <c r="A560" s="4" t="str">
        <f>HYPERLINK("http://www.facebook.com/photo.php?fbid=10151337293467952&amp;set=a.114456157951.118433.8062627951&amp;type=1&amp;relevant_count=1","[Photo]")</f>
        <v>[Photo]</v>
      </c>
      <c r="B560" s="4" t="str">
        <f>HYPERLINK("http://www.facebook.com/8062627951/posts/10151337293502952","Dear Google &amp; Nokia: to build an accessory ecosystem, you have to ship - http://tcrn.ch/UJ9Cz7")</f>
        <v>Dear Google &amp; Nokia: to build an accessory ecosystem, you have to ship - http://tcrn.ch/UJ9Cz7</v>
      </c>
      <c r="C560" s="3">
        <v>41229.411412037036</v>
      </c>
      <c r="D560" s="2">
        <v>75</v>
      </c>
      <c r="E560" s="2">
        <v>8</v>
      </c>
      <c r="F560" s="2" t="s">
        <v>7</v>
      </c>
      <c r="G560" s="2" t="s">
        <v>8</v>
      </c>
    </row>
    <row r="561" spans="1:7" ht="30" x14ac:dyDescent="0.25">
      <c r="A561" s="4" t="str">
        <f>HYPERLINK("http://techcrunch.com/2012/11/16/kickstarter-spark-connects-your-lightbulbs-to-the-internets/","Kickstarter: Spark Connects Your Lightbulbs To The Internets | TechCrunch")</f>
        <v>Kickstarter: Spark Connects Your Lightbulbs To The Internets | TechCrunch</v>
      </c>
      <c r="B561" s="4" t="str">
        <f>HYPERLINK("http://www.facebook.com/8062627951/posts/244311642363373","It's time for lightbulbs to connect to the Internet.")</f>
        <v>It's time for lightbulbs to connect to the Internet.</v>
      </c>
      <c r="C561" s="3">
        <v>41229.340937499997</v>
      </c>
      <c r="D561" s="2">
        <v>51</v>
      </c>
      <c r="E561" s="2">
        <v>5</v>
      </c>
      <c r="F561" s="2" t="s">
        <v>7</v>
      </c>
      <c r="G561" s="2" t="s">
        <v>7</v>
      </c>
    </row>
    <row r="562" spans="1:7" ht="30" x14ac:dyDescent="0.25">
      <c r="A562" s="4" t="str">
        <f>HYPERLINK("http://techcrunch.com/2012/11/16/facebook-has-decreased-page-reach-and-heres-why/","Facebook Has Decreased Page Reach, And Here’s Why")</f>
        <v>Facebook Has Decreased Page Reach, And Here’s Why</v>
      </c>
      <c r="B562" s="4" t="str">
        <f>HYPERLINK("http://www.facebook.com/8062627951/posts/303344469778317","Facebook has a problem. A big one.")</f>
        <v>Facebook has a problem. A big one.</v>
      </c>
      <c r="C562" s="3">
        <v>41229.303425925929</v>
      </c>
      <c r="D562" s="2">
        <v>309</v>
      </c>
      <c r="E562" s="2">
        <v>38</v>
      </c>
      <c r="F562" s="2" t="s">
        <v>7</v>
      </c>
      <c r="G562" s="2" t="s">
        <v>7</v>
      </c>
    </row>
    <row r="563" spans="1:7" ht="30" x14ac:dyDescent="0.25">
      <c r="A563" s="4" t="str">
        <f>HYPERLINK("http://techcrunch.com/2012/11/16/amazon-gets-into-the-gif-ing-spirit-launches-customizable-video-gift-cards/","Amazon Gets Into The Gif-ing Spirit, Launches Customizable Video Gift Cards")</f>
        <v>Amazon Gets Into The Gif-ing Spirit, Launches Customizable Video Gift Cards</v>
      </c>
      <c r="B563" s="4" t="str">
        <f>HYPERLINK("http://www.facebook.com/8062627951/posts/520886214607060","This holiday season, give the gift of a personalized JibJab Amazon gift card. Your grandma will totally love it.")</f>
        <v>This holiday season, give the gift of a personalized JibJab Amazon gift card. Your grandma will totally love it.</v>
      </c>
      <c r="C563" s="3">
        <v>41229.286527777775</v>
      </c>
      <c r="D563" s="2">
        <v>22</v>
      </c>
      <c r="E563" s="2">
        <v>3</v>
      </c>
      <c r="F563" s="2" t="s">
        <v>7</v>
      </c>
      <c r="G563" s="2" t="s">
        <v>7</v>
      </c>
    </row>
    <row r="564" spans="1:7" ht="30" x14ac:dyDescent="0.25">
      <c r="A564" s="4" t="str">
        <f>HYPERLINK("http://techcrunch.com/2012/11/16/apples-ipad-mini-with-lte-hits-sprint-retail-today-and-likely-other-stores-too/","Apple’s iPad Mini With LTE Hits Sprint Retail Today, And Likely Other Stores, Too")</f>
        <v>Apple’s iPad Mini With LTE Hits Sprint Retail Today, And Likely Other Stores, Too</v>
      </c>
      <c r="B564" s="4" t="str">
        <f>HYPERLINK("http://www.facebook.com/8062627951/posts/328211133952703","Are you getting a 4G iPad mini?")</f>
        <v>Are you getting a 4G iPad mini?</v>
      </c>
      <c r="C564" s="3">
        <v>41229.191331018519</v>
      </c>
      <c r="D564" s="2">
        <v>55</v>
      </c>
      <c r="E564" s="2">
        <v>19</v>
      </c>
      <c r="F564" s="2" t="s">
        <v>8</v>
      </c>
      <c r="G564" s="2" t="s">
        <v>7</v>
      </c>
    </row>
    <row r="565" spans="1:7" ht="45" x14ac:dyDescent="0.25">
      <c r="A565" s="4" t="str">
        <f>HYPERLINK("http://techcrunch.com/2012/11/15/facebook-gifts-available-to-tens-of-millions-of-users-in-time-for-holidays-fab-lindt-pandora-and-others-on-board/","Facebook Gifts Available To Tens Of Millions Of Users In Time For The Holidays — Fab, Lindt, Pandora")</f>
        <v>Facebook Gifts Available To Tens Of Millions Of Users In Time For The Holidays — Fab, Lindt, Pandora</v>
      </c>
      <c r="B565" s="4" t="str">
        <f>HYPERLINK("http://www.facebook.com/8062627951/posts/133844076765002","Hey shoppers...")</f>
        <v>Hey shoppers...</v>
      </c>
      <c r="C565" s="3">
        <v>41228.922175925924</v>
      </c>
      <c r="D565" s="2">
        <v>63</v>
      </c>
      <c r="E565" s="2">
        <v>4</v>
      </c>
      <c r="F565" s="2" t="s">
        <v>7</v>
      </c>
      <c r="G565" s="2" t="s">
        <v>7</v>
      </c>
    </row>
    <row r="566" spans="1:7" ht="30" x14ac:dyDescent="0.25">
      <c r="A566" s="4" t="str">
        <f>HYPERLINK("http://www.facebook.com/photo.php?fbid=10151336657947952&amp;set=a.114456157951.118433.8062627951&amp;type=1&amp;relevant_count=1","[Photo]")</f>
        <v>[Photo]</v>
      </c>
      <c r="B566" s="4" t="str">
        <f>HYPERLINK("http://www.facebook.com/8062627951/posts/10151336657962952","To successfully launch a product, you have to tell a compelling story. LIKE if you agree. - http://tcrn.ch/S3UCGV")</f>
        <v>To successfully launch a product, you have to tell a compelling story. LIKE if you agree. - http://tcrn.ch/S3UCGV</v>
      </c>
      <c r="C566" s="3">
        <v>41228.896909722222</v>
      </c>
      <c r="D566" s="2">
        <v>457</v>
      </c>
      <c r="E566" s="2">
        <v>20</v>
      </c>
      <c r="F566" s="2" t="s">
        <v>7</v>
      </c>
      <c r="G566" s="2" t="s">
        <v>8</v>
      </c>
    </row>
    <row r="567" spans="1:7" ht="30" x14ac:dyDescent="0.25">
      <c r="A567" s="4" t="str">
        <f>HYPERLINK("http://techcrunch.com/2012/11/15/apples-stock-price-is-crashing-and-the-bottom-is-not-in-sight/","Apple’s Stock Price Crashes To Six Month Low And There’s No Bottom In Sight")</f>
        <v>Apple’s Stock Price Crashes To Six Month Low And There’s No Bottom In Sight</v>
      </c>
      <c r="B567" s="4" t="str">
        <f>HYPERLINK("http://www.facebook.com/8062627951/posts/447558495281709","Have Apple's best days passed?")</f>
        <v>Have Apple's best days passed?</v>
      </c>
      <c r="C567" s="3">
        <v>41228.752326388887</v>
      </c>
      <c r="D567" s="2">
        <v>281</v>
      </c>
      <c r="E567" s="2">
        <v>78</v>
      </c>
      <c r="F567" s="2" t="s">
        <v>8</v>
      </c>
      <c r="G567" s="2" t="s">
        <v>7</v>
      </c>
    </row>
    <row r="568" spans="1:7" ht="30" x14ac:dyDescent="0.25">
      <c r="A568" s="4" t="str">
        <f>HYPERLINK("http://www.facebook.com/photo.php?fbid=10151336344882952&amp;set=a.114456157951.118433.8062627951&amp;type=1&amp;relevant_count=1","[Photo]")</f>
        <v>[Photo]</v>
      </c>
      <c r="B568" s="4" t="str">
        <f>HYPERLINK("http://www.facebook.com/8062627951/posts/10151336344922952","Lytro reinvents the camera once again, now lets photos change perspective along with focus - http://tcrn.ch/T5gnJp")</f>
        <v>Lytro reinvents the camera once again, now lets photos change perspective along with focus - http://tcrn.ch/T5gnJp</v>
      </c>
      <c r="C568" s="3">
        <v>41228.67015046296</v>
      </c>
      <c r="D568" s="2">
        <v>474</v>
      </c>
      <c r="E568" s="2">
        <v>20</v>
      </c>
      <c r="F568" s="2" t="s">
        <v>7</v>
      </c>
      <c r="G568" s="2" t="s">
        <v>8</v>
      </c>
    </row>
    <row r="569" spans="1:7" ht="45" x14ac:dyDescent="0.25">
      <c r="A569" s="4" t="str">
        <f>HYPERLINK("http://techcrunch.com/2012/11/15/google-reportedly-readies-maps-app-for-ios-as-eddy-cue-manages-apples-maps-improvements/","Google Reportedly Readies Maps App For iOS As Eddy Cue Manages Apple’s Maps Improvements")</f>
        <v>Google Reportedly Readies Maps App For iOS As Eddy Cue Manages Apple’s Maps Improvements</v>
      </c>
      <c r="B569" s="4" t="str">
        <f>HYPERLINK("http://www.facebook.com/8062627951/posts/463418643709143","Could it finally be happening?")</f>
        <v>Could it finally be happening?</v>
      </c>
      <c r="C569" s="3">
        <v>41228.608067129629</v>
      </c>
      <c r="D569" s="2">
        <v>205</v>
      </c>
      <c r="E569" s="2">
        <v>20</v>
      </c>
      <c r="F569" s="2" t="s">
        <v>8</v>
      </c>
      <c r="G569" s="2" t="s">
        <v>7</v>
      </c>
    </row>
    <row r="570" spans="1:7" ht="45" x14ac:dyDescent="0.25">
      <c r="A570" s="4" t="str">
        <f>HYPERLINK("http://www.facebook.com/photo.php?fbid=10151336207607952&amp;set=a.114456157951.118433.8062627951&amp;type=1&amp;relevant_count=1","[Photo]")</f>
        <v>[Photo]</v>
      </c>
      <c r="B570" s="4" t="str">
        <f>HYPERLINK("http://www.facebook.com/8062627951/posts/10151336207712952","Facebook adds emoji to Messages, more friend tagging, Share button in iOS &amp; Android app updates - http://tcrn.ch/TOUKLo")</f>
        <v>Facebook adds emoji to Messages, more friend tagging, Share button in iOS &amp; Android app updates - http://tcrn.ch/TOUKLo</v>
      </c>
      <c r="C570" s="3">
        <v>41228.586643518516</v>
      </c>
      <c r="D570" s="2">
        <v>162</v>
      </c>
      <c r="E570" s="2">
        <v>11</v>
      </c>
      <c r="F570" s="2" t="s">
        <v>7</v>
      </c>
      <c r="G570" s="2" t="s">
        <v>8</v>
      </c>
    </row>
    <row r="571" spans="1:7" x14ac:dyDescent="0.25">
      <c r="A571" s="4" t="str">
        <f>HYPERLINK("http://techcrunch.com/2012/11/15/gift-guide-the-ipad-mini/","Gift Guide: The iPad Mini ")</f>
        <v xml:space="preserve">Gift Guide: The iPad Mini </v>
      </c>
      <c r="B571" s="4" t="str">
        <f>HYPERLINK("http://www.facebook.com/8062627951/posts/115169815311123","Is an iPad mini on your gift, or wish list this year?")</f>
        <v>Is an iPad mini on your gift, or wish list this year?</v>
      </c>
      <c r="C571" s="3">
        <v>41228.546840277777</v>
      </c>
      <c r="D571" s="2">
        <v>43</v>
      </c>
      <c r="E571" s="2">
        <v>45</v>
      </c>
      <c r="F571" s="2" t="s">
        <v>8</v>
      </c>
      <c r="G571" s="2" t="s">
        <v>7</v>
      </c>
    </row>
    <row r="572" spans="1:7" ht="45" x14ac:dyDescent="0.25">
      <c r="A572" s="4" t="str">
        <f>HYPERLINK("http://techcrunch.com/2012/11/15/google-invests-75m-in-iowa-wind-farm-bringing-its-total-green-energy-investments-to-almost-1b/","Google Invests $75M In Iowa Wind Farm, Bringing Its Total Green Energy Investments To Almost $1B")</f>
        <v>Google Invests $75M In Iowa Wind Farm, Bringing Its Total Green Energy Investments To Almost $1B</v>
      </c>
      <c r="B572" s="4" t="str">
        <f>HYPERLINK("http://www.facebook.com/8062627951/posts/165528000259559","Go Google.")</f>
        <v>Go Google.</v>
      </c>
      <c r="C572" s="3">
        <v>41228.529953703706</v>
      </c>
      <c r="D572" s="2">
        <v>338</v>
      </c>
      <c r="E572" s="2">
        <v>14</v>
      </c>
      <c r="F572" s="2" t="s">
        <v>7</v>
      </c>
      <c r="G572" s="2" t="s">
        <v>7</v>
      </c>
    </row>
    <row r="573" spans="1:7" ht="30" x14ac:dyDescent="0.25">
      <c r="A573" s="4" t="str">
        <f>HYPERLINK("http://techcrunch.com/events/crunchies-2012/event-info-2/","The 6th Annual Crunchies Awards ")</f>
        <v xml:space="preserve">The 6th Annual Crunchies Awards </v>
      </c>
      <c r="B573" s="4" t="str">
        <f>HYPERLINK("http://www.facebook.com/8062627951/posts/328860637221496","The 6th Annual Crunchies Awards are coming up. Who are you nominating? Get your nominations in now!")</f>
        <v>The 6th Annual Crunchies Awards are coming up. Who are you nominating? Get your nominations in now!</v>
      </c>
      <c r="C573" s="3">
        <v>41228.505578703705</v>
      </c>
      <c r="D573" s="2">
        <v>13</v>
      </c>
      <c r="E573" s="2">
        <v>0</v>
      </c>
      <c r="F573" s="2" t="s">
        <v>8</v>
      </c>
      <c r="G573" s="2" t="s">
        <v>7</v>
      </c>
    </row>
    <row r="574" spans="1:7" ht="45" x14ac:dyDescent="0.25">
      <c r="A574" s="4" t="str">
        <f>HYPERLINK("http://techcrunch.com/2012/11/15/evernote-5-for-mac-update-revamps-interface-and-streamlines-navigation/","Evernote 5 For Mac Update Revamps Interface And Streamlines Navigation")</f>
        <v>Evernote 5 For Mac Update Revamps Interface And Streamlines Navigation</v>
      </c>
      <c r="B574" s="4" t="str">
        <f>HYPERLINK("http://www.facebook.com/8062627951/posts/219087324891234","Hey Evernote users, Evernote has just released a major update to its desktop software dubbed Evernote 5 for Mac, “with over 100 new features.”")</f>
        <v>Hey Evernote users, Evernote has just released a major update to its desktop software dubbed Evernote 5 for Mac, “with over 100 new features.”</v>
      </c>
      <c r="C574" s="3">
        <v>41228.49722222222</v>
      </c>
      <c r="D574" s="2">
        <v>59</v>
      </c>
      <c r="E574" s="2">
        <v>3</v>
      </c>
      <c r="F574" s="2" t="s">
        <v>7</v>
      </c>
      <c r="G574" s="2" t="s">
        <v>7</v>
      </c>
    </row>
    <row r="575" spans="1:7" ht="60" x14ac:dyDescent="0.25">
      <c r="A575" s="4" t="str">
        <f>HYPERLINK("http://www.facebook.com/photo.php?fbid=10151336013862952&amp;set=a.114456157951.118433.8062627951&amp;type=1&amp;relevant_count=1","[Photo]")</f>
        <v>[Photo]</v>
      </c>
      <c r="B575" s="4" t="str">
        <f>HYPERLINK("http://www.facebook.com/8062627951/posts/10151336013897952","Backed by $2 million in funding from Learn Capital, Kapor, 500 Startups, Bruno Mars &amp; others, Chromatik’s digital music platform goes live. What do you think? - http://tcrn.ch/XdcSUR")</f>
        <v>Backed by $2 million in funding from Learn Capital, Kapor, 500 Startups, Bruno Mars &amp; others, Chromatik’s digital music platform goes live. What do you think? - http://tcrn.ch/XdcSUR</v>
      </c>
      <c r="C575" s="3">
        <v>41228.482164351852</v>
      </c>
      <c r="D575" s="2">
        <v>156</v>
      </c>
      <c r="E575" s="2">
        <v>14</v>
      </c>
      <c r="F575" s="2" t="s">
        <v>8</v>
      </c>
      <c r="G575" s="2" t="s">
        <v>8</v>
      </c>
    </row>
    <row r="576" spans="1:7" ht="30" x14ac:dyDescent="0.25">
      <c r="A576" s="4" t="str">
        <f>HYPERLINK("http://www.facebook.com/photo.php?fbid=10151335951692952&amp;set=a.114456157951.118433.8062627951&amp;type=1&amp;relevant_count=1","[Photo]")</f>
        <v>[Photo]</v>
      </c>
      <c r="B576" s="4" t="str">
        <f>HYPERLINK("http://www.facebook.com/8062627951/posts/10151335951752952","Litographs puts entire books on t-shirts. Awesome. - http://tcrn.ch/WaYafw")</f>
        <v>Litographs puts entire books on t-shirts. Awesome. - http://tcrn.ch/WaYafw</v>
      </c>
      <c r="C576" s="3">
        <v>41228.447094907409</v>
      </c>
      <c r="D576" s="2">
        <v>189</v>
      </c>
      <c r="E576" s="2">
        <v>14</v>
      </c>
      <c r="F576" s="2" t="s">
        <v>7</v>
      </c>
      <c r="G576" s="2" t="s">
        <v>8</v>
      </c>
    </row>
    <row r="577" spans="1:7" ht="75" x14ac:dyDescent="0.25">
      <c r="A577" s="4" t="str">
        <f>HYPERLINK("http://techcrunch.com/2012/11/15/aaron-sorkins-steve-jobs-movie-to-feature-just-3-scenes-in-real-time-backstage-at-product-launches/","Aaron Sorkin’s Steve Jobs Movie To Feature Just 3 Scenes In Real-Time Backstage At Product Launches.")</f>
        <v>Aaron Sorkin’s Steve Jobs Movie To Feature Just 3 Scenes In Real-Time Backstage At Product Launches.</v>
      </c>
      <c r="B577" s="4" t="s">
        <v>38</v>
      </c>
      <c r="C577" s="3">
        <v>41228.441435185188</v>
      </c>
      <c r="D577" s="2">
        <v>26</v>
      </c>
      <c r="E577" s="2">
        <v>4</v>
      </c>
      <c r="F577" s="2" t="s">
        <v>8</v>
      </c>
      <c r="G577" s="2" t="s">
        <v>7</v>
      </c>
    </row>
    <row r="578" spans="1:7" ht="30" x14ac:dyDescent="0.25">
      <c r="A578" s="4" t="str">
        <f>HYPERLINK("http://www.facebook.com/photo.php?fbid=10151335875977952&amp;set=a.114456157951.118433.8062627951&amp;type=1&amp;relevant_count=1","[Photo]")</f>
        <v>[Photo]</v>
      </c>
      <c r="B578" s="4" t="str">
        <f>HYPERLINK("http://www.facebook.com/8062627951/posts/10151335876017952","Oh my. Thieves grab 3,600 iPad minis worth $1.5M in JFK Airport heist - http://tcrn.ch/TGkTta")</f>
        <v>Oh my. Thieves grab 3,600 iPad minis worth $1.5M in JFK Airport heist - http://tcrn.ch/TGkTta</v>
      </c>
      <c r="C578" s="3">
        <v>41228.400173611109</v>
      </c>
      <c r="D578" s="2">
        <v>311</v>
      </c>
      <c r="E578" s="2">
        <v>33</v>
      </c>
      <c r="F578" s="2" t="s">
        <v>7</v>
      </c>
      <c r="G578" s="2" t="s">
        <v>8</v>
      </c>
    </row>
    <row r="579" spans="1:7" ht="45" x14ac:dyDescent="0.25">
      <c r="A579" s="4" t="str">
        <f>HYPERLINK("http://techcrunch.com/2012/11/15/flipboard-now-offers-books-categories-promotes-apples-ibookstore-content-in-app/","Flipboard Now Offers Books Categories, Promotes Apple’s iBookstore Content In-App")</f>
        <v>Flipboard Now Offers Books Categories, Promotes Apple’s iBookstore Content In-App</v>
      </c>
      <c r="B579" s="4" t="str">
        <f>HYPERLINK("http://www.facebook.com/8062627951/posts/448339521870657","Flipboard just got a little more awesome.")</f>
        <v>Flipboard just got a little more awesome.</v>
      </c>
      <c r="C579" s="3">
        <v>41228.345370370371</v>
      </c>
      <c r="D579" s="2">
        <v>46</v>
      </c>
      <c r="E579" s="2">
        <v>1</v>
      </c>
      <c r="F579" s="2" t="s">
        <v>7</v>
      </c>
      <c r="G579" s="2" t="s">
        <v>7</v>
      </c>
    </row>
    <row r="580" spans="1:7" ht="45" x14ac:dyDescent="0.25">
      <c r="A580" s="4" t="str">
        <f>HYPERLINK("http://techcrunch.com/2012/11/15/kindle-fire-hd-8-9-shipping-today-on-best-buy-store-shelves-tomorrow/","Kindle Fire HD 8.9&lt;U+2033&gt; Shipping Today, On Best Buy Store Shelves Tomorrow")</f>
        <v>Kindle Fire HD 8.9&lt;U+2033&gt; Shipping Today, On Best Buy Store Shelves Tomorrow</v>
      </c>
      <c r="B580" s="4" t="str">
        <f>HYPERLINK("http://www.facebook.com/8062627951/posts/462226157148966","The Kindle Fire HD 8.9 ships today. iPad killer?")</f>
        <v>The Kindle Fire HD 8.9 ships today. iPad killer?</v>
      </c>
      <c r="C580" s="3">
        <v>41228.303263888891</v>
      </c>
      <c r="D580" s="2">
        <v>31</v>
      </c>
      <c r="E580" s="2">
        <v>17</v>
      </c>
      <c r="F580" s="2" t="s">
        <v>8</v>
      </c>
      <c r="G580" s="2" t="s">
        <v>7</v>
      </c>
    </row>
    <row r="581" spans="1:7" ht="30" x14ac:dyDescent="0.25">
      <c r="A581" s="4" t="str">
        <f>HYPERLINK("http://techcrunch.com/2012/11/15/tokyo-might-be-ubers-first-asian-launch/","Tokyo “Might” Be Uber’s First Asian Launch")</f>
        <v>Tokyo “Might” Be Uber’s First Asian Launch</v>
      </c>
      <c r="B581" s="4" t="str">
        <f>HYPERLINK("http://www.facebook.com/8062627951/posts/229118650551895","Uber is coming to Asia! But is Toyko the best city to launch in?")</f>
        <v>Uber is coming to Asia! But is Toyko the best city to launch in?</v>
      </c>
      <c r="C581" s="3">
        <v>41228.173356481479</v>
      </c>
      <c r="D581" s="2">
        <v>21</v>
      </c>
      <c r="E581" s="2">
        <v>4</v>
      </c>
      <c r="F581" s="2" t="s">
        <v>8</v>
      </c>
      <c r="G581" s="2" t="s">
        <v>7</v>
      </c>
    </row>
    <row r="582" spans="1:7" ht="45" x14ac:dyDescent="0.25">
      <c r="A582" s="4" t="str">
        <f>HYPERLINK("http://techcrunch.com/2012/11/14/steve-ballmer-android-ecosystem-is-wild-and-uncontrolled-apple-is-high-priced-and-highly-controlled/","Steve Ballmer: Android Ecosystem Is Wild And Uncontrolled, Apple Is High Priced And Highly Controlle")</f>
        <v>Steve Ballmer: Android Ecosystem Is Wild And Uncontrolled, Apple Is High Priced And Highly Controlle</v>
      </c>
      <c r="B582" s="4" t="str">
        <f>HYPERLINK("http://www.facebook.com/8062627951/posts/125216410967190","What do you think about Ballmer's statements?")</f>
        <v>What do you think about Ballmer's statements?</v>
      </c>
      <c r="C582" s="3">
        <v>41227.885671296295</v>
      </c>
      <c r="D582" s="2">
        <v>89</v>
      </c>
      <c r="E582" s="2">
        <v>63</v>
      </c>
      <c r="F582" s="2" t="s">
        <v>8</v>
      </c>
      <c r="G582" s="2" t="s">
        <v>7</v>
      </c>
    </row>
    <row r="583" spans="1:7" ht="45" x14ac:dyDescent="0.25">
      <c r="A583" s="4" t="str">
        <f>HYPERLINK("http://www.5min.com/Video/517538305","Keen On... Steve Wozniak: Is Microsoft More Innovative Than Apple?")</f>
        <v>Keen On... Steve Wozniak: Is Microsoft More Innovative Than Apple?</v>
      </c>
      <c r="B583" s="4" t="str">
        <f>HYPERLINK("http://www.facebook.com/8062627951/posts/137025586446319","Do you agree with Steve Wozniak saying Microsoft has become more innovative than Apple? More here: http://tcrn.ch/XFNo1s")</f>
        <v>Do you agree with Steve Wozniak saying Microsoft has become more innovative than Apple? More here: http://tcrn.ch/XFNo1s</v>
      </c>
      <c r="C583" s="3">
        <v>41227.755277777775</v>
      </c>
      <c r="D583" s="2">
        <v>422</v>
      </c>
      <c r="E583" s="2">
        <v>135</v>
      </c>
      <c r="F583" s="2" t="s">
        <v>8</v>
      </c>
      <c r="G583" s="2" t="s">
        <v>7</v>
      </c>
    </row>
    <row r="584" spans="1:7" ht="45" x14ac:dyDescent="0.25">
      <c r="A584" s="4" t="str">
        <f>HYPERLINK("http://techcrunch.com/2012/11/14/the-school-less-revolution-free-online-courses-being-considered-for-college-credit/","The School-Less Revolution: Free Online Courses Being Considered For College Credit ")</f>
        <v xml:space="preserve">The School-Less Revolution: Free Online Courses Being Considered For College Credit </v>
      </c>
      <c r="B584" s="4" t="str">
        <f>HYPERLINK("http://www.facebook.com/8062627951/posts/299228730178079","Students could soon receive college credit for taking free online courses. Would you be for, or against this?")</f>
        <v>Students could soon receive college credit for taking free online courses. Would you be for, or against this?</v>
      </c>
      <c r="C584" s="3">
        <v>41227.704456018517</v>
      </c>
      <c r="D584" s="2">
        <v>297</v>
      </c>
      <c r="E584" s="2">
        <v>41</v>
      </c>
      <c r="F584" s="2" t="s">
        <v>8</v>
      </c>
      <c r="G584" s="2" t="s">
        <v>7</v>
      </c>
    </row>
    <row r="585" spans="1:7" ht="45" x14ac:dyDescent="0.25">
      <c r="A585" s="4" t="str">
        <f>HYPERLINK("http://techcrunch.com/2012/11/14/techcrunch-finally-has-an-iphone-app-and-it-lets-you-easily-share-news-and-read-things-later/","TechCrunch Finally Has An iPhone App, And It Lets You Easily Share News And Read Things Later")</f>
        <v>TechCrunch Finally Has An iPhone App, And It Lets You Easily Share News And Read Things Later</v>
      </c>
      <c r="B585" s="4" t="str">
        <f>HYPERLINK("http://www.facebook.com/8062627951/posts/402752089796528","Yes, we finally have an iPhone app. Go download it now!")</f>
        <v>Yes, we finally have an iPhone app. Go download it now!</v>
      </c>
      <c r="C585" s="3">
        <v>41227.657604166663</v>
      </c>
      <c r="D585" s="2">
        <v>90</v>
      </c>
      <c r="E585" s="2">
        <v>25</v>
      </c>
      <c r="F585" s="2" t="s">
        <v>7</v>
      </c>
      <c r="G585" s="2" t="s">
        <v>7</v>
      </c>
    </row>
    <row r="586" spans="1:7" ht="60" x14ac:dyDescent="0.25">
      <c r="A586" s="4" t="str">
        <f>HYPERLINK("http://techcrunch.com/2012/11/14/cpuc-uber-lyft-sidecar-citations/","California Regulator Issues Citations And Fines Against Transportation Services Uber, Lyft, And Side")</f>
        <v>California Regulator Issues Citations And Fines Against Transportation Services Uber, Lyft, And Side</v>
      </c>
      <c r="B586" s="4" t="s">
        <v>39</v>
      </c>
      <c r="C586" s="3">
        <v>41227.635914351849</v>
      </c>
      <c r="D586" s="2">
        <v>27</v>
      </c>
      <c r="E586" s="2">
        <v>7</v>
      </c>
      <c r="F586" s="2" t="s">
        <v>7</v>
      </c>
      <c r="G586" s="2" t="s">
        <v>7</v>
      </c>
    </row>
    <row r="587" spans="1:7" ht="30" x14ac:dyDescent="0.25">
      <c r="A587" s="4" t="str">
        <f>HYPERLINK("http://www.facebook.com/photo.php?fbid=10151334769047952&amp;set=a.114456157951.118433.8062627951&amp;type=1&amp;relevant_count=1","[Photo]")</f>
        <v>[Photo]</v>
      </c>
      <c r="B587" s="4" t="str">
        <f>HYPERLINK("http://www.facebook.com/8062627951/posts/10151334769122952","Facebook's mobile apps are getting a Share button http://tcrn.ch/UDOdaz")</f>
        <v>Facebook's mobile apps are getting a Share button http://tcrn.ch/UDOdaz</v>
      </c>
      <c r="C587" s="3">
        <v>41227.577002314814</v>
      </c>
      <c r="D587" s="2">
        <v>291</v>
      </c>
      <c r="E587" s="2">
        <v>68</v>
      </c>
      <c r="F587" s="2" t="s">
        <v>7</v>
      </c>
      <c r="G587" s="2" t="s">
        <v>8</v>
      </c>
    </row>
    <row r="588" spans="1:7" ht="45" x14ac:dyDescent="0.25">
      <c r="A588" s="4" t="str">
        <f>HYPERLINK("http://www.facebook.com/photo.php?fbid=10151334707252952&amp;set=a.114456157951.118433.8062627951&amp;type=1&amp;relevant_count=1","[Photo]")</f>
        <v>[Photo]</v>
      </c>
      <c r="B588" s="4" t="s">
        <v>40</v>
      </c>
      <c r="C588" s="3">
        <v>41227.549293981479</v>
      </c>
      <c r="D588" s="2">
        <v>663</v>
      </c>
      <c r="E588" s="2">
        <v>80</v>
      </c>
      <c r="F588" s="2" t="s">
        <v>7</v>
      </c>
      <c r="G588" s="2" t="s">
        <v>8</v>
      </c>
    </row>
    <row r="589" spans="1:7" ht="30" x14ac:dyDescent="0.25">
      <c r="A589" s="4" t="str">
        <f>HYPERLINK("http://www.facebook.com/photo.php?fbid=10151334654627952&amp;set=a.114456157951.118433.8062627951&amp;type=1&amp;relevant_count=1","[Photo]")</f>
        <v>[Photo]</v>
      </c>
      <c r="B589" s="4" t="str">
        <f>HYPERLINK("http://www.facebook.com/8062627951/posts/10151334654662952","Meet Shine: the elegant activity tracker that has a neat trick for syncing with the iPhone - http://tcrn.ch/RUaIVu")</f>
        <v>Meet Shine: the elegant activity tracker that has a neat trick for syncing with the iPhone - http://tcrn.ch/RUaIVu</v>
      </c>
      <c r="C589" s="3">
        <v>41227.520243055558</v>
      </c>
      <c r="D589" s="2">
        <v>284</v>
      </c>
      <c r="E589" s="2">
        <v>13</v>
      </c>
      <c r="F589" s="2" t="s">
        <v>7</v>
      </c>
      <c r="G589" s="2" t="s">
        <v>8</v>
      </c>
    </row>
    <row r="590" spans="1:7" ht="45" x14ac:dyDescent="0.25">
      <c r="A590" s="4" t="str">
        <f>HYPERLINK("http://techcrunch.com/2012/11/14/drawchat-auction/","DrawChat’s Creators Are Auctioning Off The App So They Can Focus On Their ‘Billion-Dollar Idea’")</f>
        <v>DrawChat’s Creators Are Auctioning Off The App So They Can Focus On Their ‘Billion-Dollar Idea’</v>
      </c>
      <c r="B590" s="4" t="str">
        <f>HYPERLINK("http://www.facebook.com/8062627951/posts/511371412214517","Anyone willing to buy DrawChat? Bidding starts at $10,000.")</f>
        <v>Anyone willing to buy DrawChat? Bidding starts at $10,000.</v>
      </c>
      <c r="C590" s="3">
        <v>41227.505219907405</v>
      </c>
      <c r="D590" s="2">
        <v>17</v>
      </c>
      <c r="E590" s="2">
        <v>7</v>
      </c>
      <c r="F590" s="2" t="s">
        <v>8</v>
      </c>
      <c r="G590" s="2" t="s">
        <v>7</v>
      </c>
    </row>
    <row r="591" spans="1:7" ht="60" x14ac:dyDescent="0.25">
      <c r="A591" s="4" t="str">
        <f>HYPERLINK("http://www.facebook.com/photo.php?fbid=10151334581982952&amp;set=a.114456157951.118433.8062627951&amp;type=1&amp;relevant_count=1","[Photo]")</f>
        <v>[Photo]</v>
      </c>
      <c r="B591" s="4" t="str">
        <f>HYPERLINK("http://www.facebook.com/8062627951/posts/10151334582012952","SeatID launches a service to book flights based on your social networks.    Would you want your Facebook friends to know which flight you were on so they could book the same flight? Or is that too muc...")</f>
        <v>SeatID launches a service to book flights based on your social networks.    Would you want your Facebook friends to know which flight you were on so they could book the same flight? Or is that too muc...</v>
      </c>
      <c r="C591" s="3">
        <v>41227.482789351852</v>
      </c>
      <c r="D591" s="2">
        <v>85</v>
      </c>
      <c r="E591" s="2">
        <v>72</v>
      </c>
      <c r="F591" s="2" t="s">
        <v>8</v>
      </c>
      <c r="G591" s="2" t="s">
        <v>8</v>
      </c>
    </row>
    <row r="592" spans="1:7" ht="30" x14ac:dyDescent="0.25">
      <c r="A592" s="4" t="str">
        <f>HYPERLINK("http://www.facebook.com/photo.php?fbid=10151334537802952&amp;set=a.114456157951.118433.8062627951&amp;type=1&amp;relevant_count=1","[Photo]")</f>
        <v>[Photo]</v>
      </c>
      <c r="B592" s="4" t="str">
        <f>HYPERLINK("http://www.facebook.com/8062627951/posts/10151334537837952","Square is killing it - now processing $10B in annual payments; added $2B over the past month - http://tcrn.ch/QGPs7l")</f>
        <v>Square is killing it - now processing $10B in annual payments; added $2B over the past month - http://tcrn.ch/QGPs7l</v>
      </c>
      <c r="C592" s="3">
        <v>41227.46166666667</v>
      </c>
      <c r="D592" s="2">
        <v>509</v>
      </c>
      <c r="E592" s="2">
        <v>14</v>
      </c>
      <c r="F592" s="2" t="s">
        <v>7</v>
      </c>
      <c r="G592" s="2" t="s">
        <v>8</v>
      </c>
    </row>
    <row r="593" spans="1:7" ht="30" x14ac:dyDescent="0.25">
      <c r="A593" s="4" t="str">
        <f>HYPERLINK("http://www.facebook.com/photo.php?fbid=10151334494492952&amp;set=a.114456157951.118433.8062627951&amp;type=1&amp;relevant_count=1","[Photo]")</f>
        <v>[Photo]</v>
      </c>
      <c r="B593" s="4" t="str">
        <f>HYPERLINK("http://www.facebook.com/8062627951/posts/10151334494552952","The light at the end of Facebook’s lockup tunnel.     It might finally be time to invest in Facebook - http://tcrn.ch/ZuoQYq")</f>
        <v>The light at the end of Facebook’s lockup tunnel.     It might finally be time to invest in Facebook - http://tcrn.ch/ZuoQYq</v>
      </c>
      <c r="C593" s="3">
        <v>41227.43545138889</v>
      </c>
      <c r="D593" s="2">
        <v>86</v>
      </c>
      <c r="E593" s="2">
        <v>14</v>
      </c>
      <c r="F593" s="2" t="s">
        <v>7</v>
      </c>
      <c r="G593" s="2" t="s">
        <v>8</v>
      </c>
    </row>
    <row r="594" spans="1:7" ht="45" x14ac:dyDescent="0.25">
      <c r="A594" s="4" t="str">
        <f>HYPERLINK("http://techcrunch.com/2012/11/14/google-turns-on-in-stream-installs-for-android-apps-in-google/","Google Turns On In-Stream Installs For Android Apps In Google+ ")</f>
        <v xml:space="preserve">Google Turns On In-Stream Installs For Android Apps In Google+ </v>
      </c>
      <c r="B594" s="4" t="s">
        <v>41</v>
      </c>
      <c r="C594" s="3">
        <v>41227.417696759258</v>
      </c>
      <c r="D594" s="2">
        <v>122</v>
      </c>
      <c r="E594" s="2">
        <v>6</v>
      </c>
      <c r="F594" s="2" t="s">
        <v>7</v>
      </c>
      <c r="G594" s="2" t="s">
        <v>7</v>
      </c>
    </row>
    <row r="595" spans="1:7" ht="30" x14ac:dyDescent="0.25">
      <c r="A595" s="4" t="str">
        <f>HYPERLINK("http://techcrunch.com/2012/11/14/snoox-is-a-pinterest-with-purpose/","Snoox Is Pinterest With A Purpose")</f>
        <v>Snoox Is Pinterest With A Purpose</v>
      </c>
      <c r="B595" s="4" t="str">
        <f>HYPERLINK("http://www.facebook.com/8062627951/posts/124449537712968","Introducing a new startup hitting the scene today, Snoox. Pinterest users, what do you think?")</f>
        <v>Introducing a new startup hitting the scene today, Snoox. Pinterest users, what do you think?</v>
      </c>
      <c r="C595" s="3">
        <v>41227.385601851849</v>
      </c>
      <c r="D595" s="2">
        <v>43</v>
      </c>
      <c r="E595" s="2">
        <v>7</v>
      </c>
      <c r="F595" s="2" t="s">
        <v>8</v>
      </c>
      <c r="G595" s="2" t="s">
        <v>7</v>
      </c>
    </row>
    <row r="596" spans="1:7" ht="30" x14ac:dyDescent="0.25">
      <c r="A596" s="4" t="str">
        <f>HYPERLINK("http://techcrunch.com/2012/11/14/sugarsync-updates-desktop-app-streamlines-file-sharing-options/","SugarSync Updates Desktop App, Streamlines File Sharing Options")</f>
        <v>SugarSync Updates Desktop App, Streamlines File Sharing Options</v>
      </c>
      <c r="B596" s="4" t="str">
        <f>HYPERLINK("http://www.facebook.com/8062627951/posts/444917852232930","SugarSync gets a bit more sweet.")</f>
        <v>SugarSync gets a bit more sweet.</v>
      </c>
      <c r="C596" s="3">
        <v>41227.339965277781</v>
      </c>
      <c r="D596" s="2">
        <v>17</v>
      </c>
      <c r="E596" s="2">
        <v>0</v>
      </c>
      <c r="F596" s="2" t="s">
        <v>7</v>
      </c>
      <c r="G596" s="2" t="s">
        <v>7</v>
      </c>
    </row>
    <row r="597" spans="1:7" ht="45" x14ac:dyDescent="0.25">
      <c r="A597" s="4" t="str">
        <f>HYPERLINK("http://techcrunch.com/2012/11/14/facebook-biggest-lockup-expiration/","Facebook Shares Up 6.1 Percent In The Wake Of Biggest Lockup Expiration, Irrational Changes Are Over")</f>
        <v>Facebook Shares Up 6.1 Percent In The Wake Of Biggest Lockup Expiration, Irrational Changes Are Over</v>
      </c>
      <c r="B597" s="4" t="str">
        <f>HYPERLINK("http://www.facebook.com/8062627951/posts/388868447858334","Facebook's stock price explodes!")</f>
        <v>Facebook's stock price explodes!</v>
      </c>
      <c r="C597" s="3">
        <v>41227.281273148146</v>
      </c>
      <c r="D597" s="2">
        <v>116</v>
      </c>
      <c r="E597" s="2">
        <v>29</v>
      </c>
      <c r="F597" s="2" t="s">
        <v>7</v>
      </c>
      <c r="G597" s="2" t="s">
        <v>7</v>
      </c>
    </row>
    <row r="598" spans="1:7" ht="45" x14ac:dyDescent="0.25">
      <c r="A598" s="4" t="str">
        <f>HYPERLINK("http://techcrunch.com/2012/11/14/gartner-samsung-widens-its-lead-over-apple-in-smartphones-in-q33-but-overall-sales-of-mobile-handsets-down-3/","Gartner: Android Accounted For 72% Of Smartphone Sales In Q3, Overall Sales Of Mobile Handsets Down.")</f>
        <v>Gartner: Android Accounted For 72% Of Smartphone Sales In Q3, Overall Sales Of Mobile Handsets Down.</v>
      </c>
      <c r="B598" s="4" t="str">
        <f>HYPERLINK("http://www.facebook.com/8062627951/posts/370639119689807","Android is taking over the world.")</f>
        <v>Android is taking over the world.</v>
      </c>
      <c r="C598" s="3">
        <v>41227.241006944445</v>
      </c>
      <c r="D598" s="2">
        <v>137</v>
      </c>
      <c r="E598" s="2">
        <v>15</v>
      </c>
      <c r="F598" s="2" t="s">
        <v>7</v>
      </c>
      <c r="G598" s="2" t="s">
        <v>7</v>
      </c>
    </row>
    <row r="599" spans="1:7" ht="30" x14ac:dyDescent="0.25">
      <c r="A599" s="4" t="str">
        <f>HYPERLINK("http://www.facebook.com/photo.php?fbid=10151334166152952&amp;set=a.114456157951.118433.8062627951&amp;type=1&amp;relevant_count=1","[Photo]")</f>
        <v>[Photo]</v>
      </c>
      <c r="B599" s="4" t="str">
        <f>HYPERLINK("http://www.facebook.com/8062627951/posts/10151334166177952","Here’s a BlackBerry 10 device next to an iPhone 5 - http://tcrn.ch/Qd6Oc7")</f>
        <v>Here’s a BlackBerry 10 device next to an iPhone 5 - http://tcrn.ch/Qd6Oc7</v>
      </c>
      <c r="C599" s="3">
        <v>41227.223530092589</v>
      </c>
      <c r="D599" s="2">
        <v>397</v>
      </c>
      <c r="E599" s="2">
        <v>125</v>
      </c>
      <c r="F599" s="2" t="s">
        <v>7</v>
      </c>
      <c r="G599" s="2" t="s">
        <v>8</v>
      </c>
    </row>
    <row r="600" spans="1:7" ht="30" x14ac:dyDescent="0.25">
      <c r="A600" s="4" t="str">
        <f>HYPERLINK("http://techcrunch.com/2012/11/14/serious-skype-security-flaw-prompts-password-reset-page-removal/","Serious Skype Security Flaw Prompts Password Reset Page Removal")</f>
        <v>Serious Skype Security Flaw Prompts Password Reset Page Removal</v>
      </c>
      <c r="B600" s="4" t="str">
        <f>HYPERLINK("http://www.facebook.com/8062627951/posts/302949869811334","Skype users, you might want to check your account")</f>
        <v>Skype users, you might want to check your account</v>
      </c>
      <c r="C600" s="3">
        <v>41227.213240740741</v>
      </c>
      <c r="D600" s="2">
        <v>46</v>
      </c>
      <c r="E600" s="2">
        <v>7</v>
      </c>
      <c r="F600" s="2" t="s">
        <v>7</v>
      </c>
      <c r="G600" s="2" t="s">
        <v>7</v>
      </c>
    </row>
    <row r="601" spans="1:7" ht="45" x14ac:dyDescent="0.25">
      <c r="A601" s="4" t="str">
        <f>HYPERLINK("http://techcrunch.com/2012/11/13/tiring-of-running-after-your-roommates-spacesplitter-delivers-household-supplies-and-splits-costs/","Tired Of Chasing Your Roommates For Money? SpaceSplitter Delivers Household Supplies And Splits Cost")</f>
        <v>Tired Of Chasing Your Roommates For Money? SpaceSplitter Delivers Household Supplies And Splits Cost</v>
      </c>
      <c r="B601" s="4" t="str">
        <f>HYPERLINK("http://www.facebook.com/8062627951/posts/111982865630996","Do you, or have you ever, had problems with your roommates?")</f>
        <v>Do you, or have you ever, had problems with your roommates?</v>
      </c>
      <c r="C601" s="3">
        <v>41226.819699074076</v>
      </c>
      <c r="D601" s="2">
        <v>45</v>
      </c>
      <c r="E601" s="2">
        <v>2</v>
      </c>
      <c r="F601" s="2" t="s">
        <v>8</v>
      </c>
      <c r="G601" s="2" t="s">
        <v>7</v>
      </c>
    </row>
    <row r="602" spans="1:7" ht="30" x14ac:dyDescent="0.25">
      <c r="A602" s="4" t="s">
        <v>9</v>
      </c>
      <c r="B602" s="4" t="str">
        <f>HYPERLINK("http://www.facebook.com/8062627951/posts/10151333534247952","Question: for our next set of Meetups, you would like us to go to ___________.")</f>
        <v>Question: for our next set of Meetups, you would like us to go to ___________.</v>
      </c>
      <c r="C602" s="3">
        <v>41226.69159722222</v>
      </c>
      <c r="D602" s="2">
        <v>52</v>
      </c>
      <c r="E602" s="2">
        <v>395</v>
      </c>
      <c r="F602" s="2" t="s">
        <v>7</v>
      </c>
      <c r="G602" s="2" t="s">
        <v>7</v>
      </c>
    </row>
    <row r="603" spans="1:7" ht="75" x14ac:dyDescent="0.25">
      <c r="A603" s="4" t="str">
        <f>HYPERLINK("http://techcrunch.com/2012/11/13/chartio-improves-the-way-you-visualize-your-data/","Chartio Improves The Way You Visualize Your Data ")</f>
        <v xml:space="preserve">Chartio Improves The Way You Visualize Your Data </v>
      </c>
      <c r="B603" s="4" t="s">
        <v>42</v>
      </c>
      <c r="C603" s="3">
        <v>41226.663055555553</v>
      </c>
      <c r="D603" s="2">
        <v>67</v>
      </c>
      <c r="E603" s="2">
        <v>2</v>
      </c>
      <c r="F603" s="2" t="s">
        <v>7</v>
      </c>
      <c r="G603" s="2" t="s">
        <v>7</v>
      </c>
    </row>
    <row r="604" spans="1:7" ht="30" x14ac:dyDescent="0.25">
      <c r="A604" s="4" t="str">
        <f>HYPERLINK("http://www.facebook.com/photo.php?fbid=10151333402242952&amp;set=a.114456157951.118433.8062627951&amp;type=1&amp;relevant_count=1","[Photo]")</f>
        <v>[Photo]</v>
      </c>
      <c r="B604" s="4" t="str">
        <f>HYPERLINK("http://www.facebook.com/8062627951/posts/10151333402267952","Foxconn allegedly replacing human workers with robots. With 1 million robots to be exact. - http://tcrn.ch/QEV6qs")</f>
        <v>Foxconn allegedly replacing human workers with robots. With 1 million robots to be exact. - http://tcrn.ch/QEV6qs</v>
      </c>
      <c r="C604" s="3">
        <v>41226.609189814815</v>
      </c>
      <c r="D604" s="2">
        <v>156</v>
      </c>
      <c r="E604" s="2">
        <v>57</v>
      </c>
      <c r="F604" s="2" t="s">
        <v>7</v>
      </c>
      <c r="G604" s="2" t="s">
        <v>8</v>
      </c>
    </row>
    <row r="605" spans="1:7" ht="45" x14ac:dyDescent="0.25">
      <c r="A605" s="4" t="str">
        <f>HYPERLINK("http://techcrunch.com/2012/11/13/redesign-electronic-medical-record/","Designer Fund And The White House Challenge You To Redesign The Electronic Medical Record")</f>
        <v>Designer Fund And The White House Challenge You To Redesign The Electronic Medical Record</v>
      </c>
      <c r="B605" s="4" t="str">
        <f>HYPERLINK("http://www.facebook.com/8062627951/posts/520969937913096","Are you a designer? Make sure you check this out, you could help save lives: http://tcrn.ch/PSgZRR")</f>
        <v>Are you a designer? Make sure you check this out, you could help save lives: http://tcrn.ch/PSgZRR</v>
      </c>
      <c r="C605" s="3">
        <v>41226.589699074073</v>
      </c>
      <c r="D605" s="2">
        <v>60</v>
      </c>
      <c r="E605" s="2">
        <v>0</v>
      </c>
      <c r="F605" s="2" t="s">
        <v>8</v>
      </c>
      <c r="G605" s="2" t="s">
        <v>7</v>
      </c>
    </row>
    <row r="606" spans="1:7" ht="45" x14ac:dyDescent="0.25">
      <c r="A606" s="4" t="str">
        <f>HYPERLINK("http://techcrunch.com/2012/11/13/zynga-retools-exec-team-by-promoting-from-within-mark-vranesh-takes-over-as-cfo-david-ko-as-coo-barry-cottle-as-cfo/","Zynga Retools Exec Team By Promoting From Within: Mark Vranesh Takes Over As CFO, David Ko As COO, B")</f>
        <v>Zynga Retools Exec Team By Promoting From Within: Mark Vranesh Takes Over As CFO, David Ko As COO, B</v>
      </c>
      <c r="B606" s="4" t="str">
        <f>HYPERLINK("http://www.facebook.com/8062627951/posts/483841878322745","Think Zynga can bounce back?")</f>
        <v>Think Zynga can bounce back?</v>
      </c>
      <c r="C606" s="3">
        <v>41226.563217592593</v>
      </c>
      <c r="D606" s="2">
        <v>17</v>
      </c>
      <c r="E606" s="2">
        <v>19</v>
      </c>
      <c r="F606" s="2" t="s">
        <v>8</v>
      </c>
      <c r="G606" s="2" t="s">
        <v>7</v>
      </c>
    </row>
    <row r="607" spans="1:7" ht="30" x14ac:dyDescent="0.25">
      <c r="A607" s="4" t="str">
        <f>HYPERLINK("http://techcrunch.com/2012/11/13/gift-guide-the-updesk-standing-desk-video-review/","Gift Guide: The UpDesk Standing Desk Video Review")</f>
        <v>Gift Guide: The UpDesk Standing Desk Video Review</v>
      </c>
      <c r="B607" s="4" t="str">
        <f>HYPERLINK("http://www.facebook.com/8062627951/posts/168110286665003","What do you think of standing desks? Do you have one?")</f>
        <v>What do you think of standing desks? Do you have one?</v>
      </c>
      <c r="C607" s="3">
        <v>41226.521793981483</v>
      </c>
      <c r="D607" s="2">
        <v>48</v>
      </c>
      <c r="E607" s="2">
        <v>22</v>
      </c>
      <c r="F607" s="2" t="s">
        <v>8</v>
      </c>
      <c r="G607" s="2" t="s">
        <v>7</v>
      </c>
    </row>
    <row r="608" spans="1:7" ht="45" x14ac:dyDescent="0.25">
      <c r="A608" s="4" t="str">
        <f>HYPERLINK("http://www.facebook.com/photo.php?fbid=10151333187992952&amp;set=a.114456157951.118433.8062627951&amp;type=1&amp;relevant_count=1","[Photo]")</f>
        <v>[Photo]</v>
      </c>
      <c r="B608" s="4" t="str">
        <f>HYPERLINK("http://www.facebook.com/8062627951/posts/10151333188042952","Airbnb debuts ‘Local Lounges’ in SF to expand beyond people’s homes and into local businesses - http://tcrn.ch/STjgd6")</f>
        <v>Airbnb debuts ‘Local Lounges’ in SF to expand beyond people’s homes and into local businesses - http://tcrn.ch/STjgd6</v>
      </c>
      <c r="C608" s="3">
        <v>41226.490393518521</v>
      </c>
      <c r="D608" s="2">
        <v>90</v>
      </c>
      <c r="E608" s="2">
        <v>9</v>
      </c>
      <c r="F608" s="2" t="s">
        <v>7</v>
      </c>
      <c r="G608" s="2" t="s">
        <v>8</v>
      </c>
    </row>
    <row r="609" spans="1:7" ht="30" x14ac:dyDescent="0.25">
      <c r="A609" s="4" t="str">
        <f>HYPERLINK("http://techcrunch.com/2012/11/13/mark-cuban-bought-facebook-stock-right-before-he-didnt/","Mark Cuban Bought Facebook Stock, Right Before He Didn’t")</f>
        <v>Mark Cuban Bought Facebook Stock, Right Before He Didn’t</v>
      </c>
      <c r="B609" s="4" t="str">
        <f>HYPERLINK("http://www.facebook.com/8062627951/posts/464274206947116","Sloppy...")</f>
        <v>Sloppy...</v>
      </c>
      <c r="C609" s="3">
        <v>41226.474710648145</v>
      </c>
      <c r="D609" s="2">
        <v>37</v>
      </c>
      <c r="E609" s="2">
        <v>7</v>
      </c>
      <c r="F609" s="2" t="s">
        <v>7</v>
      </c>
      <c r="G609" s="2" t="s">
        <v>7</v>
      </c>
    </row>
    <row r="610" spans="1:7" ht="45" x14ac:dyDescent="0.25">
      <c r="A610" s="4" t="str">
        <f>HYPERLINK("http://www.facebook.com/photo.php?fbid=10151333126302952&amp;set=a.114456157951.118433.8062627951&amp;type=1&amp;relevant_count=1","[Photo]")</f>
        <v>[Photo]</v>
      </c>
      <c r="B610" s="4" t="str">
        <f>HYPERLINK("http://www.facebook.com/8062627951/posts/10151333126337952","Dropbox just hit 100 million users: http://tcrn.ch/UEQVHc    And we found the CEO so inspiring that we wrote a poem for the startup:")</f>
        <v>Dropbox just hit 100 million users: http://tcrn.ch/UEQVHc    And we found the CEO so inspiring that we wrote a poem for the startup:</v>
      </c>
      <c r="C610" s="3">
        <v>41226.454641203702</v>
      </c>
      <c r="D610" s="2">
        <v>271</v>
      </c>
      <c r="E610" s="2">
        <v>13</v>
      </c>
      <c r="F610" s="2" t="s">
        <v>7</v>
      </c>
      <c r="G610" s="2" t="s">
        <v>8</v>
      </c>
    </row>
    <row r="611" spans="1:7" ht="45" x14ac:dyDescent="0.25">
      <c r="A611" s="4" t="str">
        <f>HYPERLINK("http://www.facebook.com/photo.php?fbid=10151333090287952&amp;set=a.114456157951.118433.8062627951&amp;type=1&amp;relevant_count=1","[Photo]")</f>
        <v>[Photo]</v>
      </c>
      <c r="B611" s="4" t="str">
        <f>HYPERLINK("http://www.facebook.com/8062627951/posts/10151333090342952","Google wages war with Apple and the rest of the tablet industry by unleashing the impressive Nexus 7 +Mobile. What are your thoughts on it? - http://tcrn.ch/T1P4j4")</f>
        <v>Google wages war with Apple and the rest of the tablet industry by unleashing the impressive Nexus 7 +Mobile. What are your thoughts on it? - http://tcrn.ch/T1P4j4</v>
      </c>
      <c r="C611" s="3">
        <v>41226.436261574076</v>
      </c>
      <c r="D611" s="2">
        <v>185</v>
      </c>
      <c r="E611" s="2">
        <v>58</v>
      </c>
      <c r="F611" s="2" t="s">
        <v>8</v>
      </c>
      <c r="G611" s="2" t="s">
        <v>8</v>
      </c>
    </row>
    <row r="612" spans="1:7" ht="45" x14ac:dyDescent="0.25">
      <c r="A612" s="4" t="str">
        <f>HYPERLINK("http://techcrunch.com/2012/11/13/loosecubes-shutdown-casts-a-shadow-over-workspace-marketplace-model/","Loosecubes Shutdown Casts A Shadow Over ‘Workspace Marketplace’ Model | TechCrunch")</f>
        <v>Loosecubes Shutdown Casts A Shadow Over ‘Workspace Marketplace’ Model | TechCrunch</v>
      </c>
      <c r="B612" s="4" t="str">
        <f>HYPERLINK("http://www.facebook.com/8062627951/posts/343444099086386","Goodnight, sweet Loosecubes.")</f>
        <v>Goodnight, sweet Loosecubes.</v>
      </c>
      <c r="C612" s="3">
        <v>41226.323020833333</v>
      </c>
      <c r="D612" s="2">
        <v>13</v>
      </c>
      <c r="E612" s="2">
        <v>2</v>
      </c>
      <c r="F612" s="2" t="s">
        <v>7</v>
      </c>
      <c r="G612" s="2" t="s">
        <v>7</v>
      </c>
    </row>
    <row r="613" spans="1:7" ht="45" x14ac:dyDescent="0.25">
      <c r="A613" s="4" t="str">
        <f>HYPERLINK("http://techcrunch.com/2012/11/13/pissing-money-up-a-wall/","Urinals Paved With Gold: Captive Media Raises $700K For Its Interactive Washroom Tech")</f>
        <v>Urinals Paved With Gold: Captive Media Raises $700K For Its Interactive Washroom Tech</v>
      </c>
      <c r="B613" s="4" t="s">
        <v>43</v>
      </c>
      <c r="C613" s="3">
        <v>41226.294074074074</v>
      </c>
      <c r="D613" s="2">
        <v>27</v>
      </c>
      <c r="E613" s="2">
        <v>6</v>
      </c>
      <c r="F613" s="2" t="s">
        <v>7</v>
      </c>
      <c r="G613" s="2" t="s">
        <v>7</v>
      </c>
    </row>
    <row r="614" spans="1:7" ht="30" x14ac:dyDescent="0.25">
      <c r="A614" s="4" t="str">
        <f>HYPERLINK("http://www.facebook.com/photo.php?fbid=10151332766677952&amp;set=a.114456157951.118433.8062627951&amp;type=1&amp;relevant_count=1","[Photo]")</f>
        <v>[Photo]</v>
      </c>
      <c r="B614" s="4" t="str">
        <f>HYPERLINK("http://www.facebook.com/8062627951/posts/10151332766697952","High-end specs + low price + no wireless contract = Success for the Nexus 4 - http://tcrn.ch/TCEN8i")</f>
        <v>High-end specs + low price + no wireless contract = Success for the Nexus 4 - http://tcrn.ch/TCEN8i</v>
      </c>
      <c r="C614" s="3">
        <v>41226.231435185182</v>
      </c>
      <c r="D614" s="2">
        <v>351</v>
      </c>
      <c r="E614" s="2">
        <v>25</v>
      </c>
      <c r="F614" s="2" t="s">
        <v>7</v>
      </c>
      <c r="G614" s="2" t="s">
        <v>8</v>
      </c>
    </row>
    <row r="615" spans="1:7" ht="45" x14ac:dyDescent="0.25">
      <c r="A615" s="4" t="str">
        <f>HYPERLINK("http://techcrunch.com/2012/11/13/spotify-is-now-live-in-17-countries-after-quietly-adding-ireland-and-luxembourg-today/?utm_source=feedburner&amp;utm_medium=feed&amp;utm_campaign=Feed%3A+Techcrunch+%28TechCru...","Spotify Is Now Live In 17 Countries After Quietly Adding Ireland And Luxembourg Today")</f>
        <v>Spotify Is Now Live In 17 Countries After Quietly Adding Ireland And Luxembourg Today</v>
      </c>
      <c r="B615" s="4" t="str">
        <f>HYPERLINK("http://www.facebook.com/8062627951/posts/344499178979747","Spotify is taking over the world.")</f>
        <v>Spotify is taking over the world.</v>
      </c>
      <c r="C615" s="3">
        <v>41226.172685185185</v>
      </c>
      <c r="D615" s="2">
        <v>99</v>
      </c>
      <c r="E615" s="2">
        <v>18</v>
      </c>
      <c r="F615" s="2" t="s">
        <v>7</v>
      </c>
      <c r="G615" s="2" t="s">
        <v>7</v>
      </c>
    </row>
    <row r="616" spans="1:7" ht="45" x14ac:dyDescent="0.25">
      <c r="A616" s="4" t="str">
        <f>HYPERLINK("http://techcrunch.com/2012/11/13/googles-nexus-4-smartphone-sells-out-in-u-k-within-hours-of-going-on-sale-32gb-nexus-10-tablet-also-out-of-stock/","Google’s Nexus 4 Smartphone Sells Out In U.K. Within Hours Of Going On Sale; 32GB Nexus 10 Tablet Al")</f>
        <v>Google’s Nexus 4 Smartphone Sells Out In U.K. Within Hours Of Going On Sale; 32GB Nexus 10 Tablet Al</v>
      </c>
      <c r="B616" s="4" t="str">
        <f>HYPERLINK("http://www.facebook.com/8062627951/posts/384257608317867","The Nexus 4 is a hit!")</f>
        <v>The Nexus 4 is a hit!</v>
      </c>
      <c r="C616" s="3">
        <v>41226.152592592596</v>
      </c>
      <c r="D616" s="2">
        <v>158</v>
      </c>
      <c r="E616" s="2">
        <v>13</v>
      </c>
      <c r="F616" s="2" t="s">
        <v>7</v>
      </c>
      <c r="G616" s="2" t="s">
        <v>7</v>
      </c>
    </row>
    <row r="617" spans="1:7" x14ac:dyDescent="0.25">
      <c r="A617" s="4" t="str">
        <f>HYPERLINK("http://techcrunch.com/events/crunchies-2012/","The 6th Annual Crunchies Event Info")</f>
        <v>The 6th Annual Crunchies Event Info</v>
      </c>
      <c r="B617" s="4" t="str">
        <f>HYPERLINK("http://www.facebook.com/8062627951/posts/552710671421993","Have you nominated your favorites yet?")</f>
        <v>Have you nominated your favorites yet?</v>
      </c>
      <c r="C617" s="3">
        <v>41225.941944444443</v>
      </c>
      <c r="D617" s="2">
        <v>11</v>
      </c>
      <c r="E617" s="2">
        <v>0</v>
      </c>
      <c r="F617" s="2" t="s">
        <v>8</v>
      </c>
      <c r="G617" s="2" t="s">
        <v>7</v>
      </c>
    </row>
    <row r="618" spans="1:7" ht="30" x14ac:dyDescent="0.25">
      <c r="A618" s="4" t="str">
        <f>HYPERLINK("http://www.facebook.com/photo.php?fbid=10151332448717952&amp;set=a.114456157951.118433.8062627951&amp;type=1&amp;relevant_count=1","[Photo]")</f>
        <v>[Photo]</v>
      </c>
      <c r="B618" s="4" t="str">
        <f>HYPERLINK("http://www.facebook.com/8062627951/posts/10151332448752952","Why cheap cameras are so bad - http://tcrn.ch/VYSOE2    Ever wondered what was inside a cheap digital camera?")</f>
        <v>Why cheap cameras are so bad - http://tcrn.ch/VYSOE2    Ever wondered what was inside a cheap digital camera?</v>
      </c>
      <c r="C618" s="3">
        <v>41225.897013888891</v>
      </c>
      <c r="D618" s="2">
        <v>151</v>
      </c>
      <c r="E618" s="2">
        <v>12</v>
      </c>
      <c r="F618" s="2" t="s">
        <v>8</v>
      </c>
      <c r="G618" s="2" t="s">
        <v>8</v>
      </c>
    </row>
    <row r="619" spans="1:7" ht="45" x14ac:dyDescent="0.25">
      <c r="A619" s="4" t="str">
        <f>HYPERLINK("http://techcrunch.com/2012/11/12/microsofts-windows-president-steven-sinofsky-leaves-company-following-launch-of-windows-8/","Microsoft’s Windows President, Steven Sinofsky, Leaves Company Following Launch Of Windows 8")</f>
        <v>Microsoft’s Windows President, Steven Sinofsky, Leaves Company Following Launch Of Windows 8</v>
      </c>
      <c r="B619" s="4" t="str">
        <f>HYPERLINK("http://www.facebook.com/8062627951/posts/467233436648871","Microsoft has just dropped a major bombshell: Steven Sinofsky, President, Windows Division, is leaving the company, effective immediately.")</f>
        <v>Microsoft has just dropped a major bombshell: Steven Sinofsky, President, Windows Division, is leaving the company, effective immediately.</v>
      </c>
      <c r="C619" s="3">
        <v>41225.783356481479</v>
      </c>
      <c r="D619" s="2">
        <v>146</v>
      </c>
      <c r="E619" s="2">
        <v>49</v>
      </c>
      <c r="F619" s="2" t="s">
        <v>7</v>
      </c>
      <c r="G619" s="2" t="s">
        <v>7</v>
      </c>
    </row>
    <row r="620" spans="1:7" ht="45" x14ac:dyDescent="0.25">
      <c r="A620" s="4" t="str">
        <f>HYPERLINK("http://www.facebook.com/photo.php?fbid=10151332172537952&amp;set=a.114456157951.118433.8062627951&amp;type=1&amp;relevant_count=1","[Photo]")</f>
        <v>[Photo]</v>
      </c>
      <c r="B620" s="4" t="str">
        <f>HYPERLINK("http://www.facebook.com/8062627951/posts/10151332172582952","Just hours after it was discovered, Facebook has shut down the link that let you see an almost unfiltered view of your news feed http://tcrn.ch/QBQiC RIP")</f>
        <v>Just hours after it was discovered, Facebook has shut down the link that let you see an almost unfiltered view of your news feed http://tcrn.ch/QBQiC RIP</v>
      </c>
      <c r="C620" s="3">
        <v>41225.774456018517</v>
      </c>
      <c r="D620" s="2">
        <v>371</v>
      </c>
      <c r="E620" s="2">
        <v>115</v>
      </c>
      <c r="F620" s="2" t="s">
        <v>7</v>
      </c>
      <c r="G620" s="2" t="s">
        <v>8</v>
      </c>
    </row>
    <row r="621" spans="1:7" ht="45" x14ac:dyDescent="0.25">
      <c r="A621" s="4" t="str">
        <f>HYPERLINK("http://www.facebook.com/photo.php?fbid=10151332139782952&amp;set=a.114456157951.118433.8062627951&amp;type=1&amp;relevant_count=1","[Photo]")</f>
        <v>[Photo]</v>
      </c>
      <c r="B621" s="4" t="str">
        <f>HYPERLINK("http://www.facebook.com/8062627951/posts/10151332139837952","Tremor co-founder grabs $4.3M for Connected Sports Ventures to bring sports to life through the second screen - http://tcrn.ch/ZymhDM")</f>
        <v>Tremor co-founder grabs $4.3M for Connected Sports Ventures to bring sports to life through the second screen - http://tcrn.ch/ZymhDM</v>
      </c>
      <c r="C621" s="3">
        <v>41225.753101851849</v>
      </c>
      <c r="D621" s="2">
        <v>32</v>
      </c>
      <c r="E621" s="2">
        <v>4</v>
      </c>
      <c r="F621" s="2" t="s">
        <v>7</v>
      </c>
      <c r="G621" s="2" t="s">
        <v>8</v>
      </c>
    </row>
    <row r="622" spans="1:7" ht="60" x14ac:dyDescent="0.25">
      <c r="A622" s="4" t="str">
        <f>HYPERLINK("http://www.facebook.com/photo.php?fbid=10151331964082952&amp;set=a.10151331964022952.530114.8062627951&amp;type=1&amp;relevant_count=57","[Photo]")</f>
        <v>[Photo]</v>
      </c>
      <c r="B622" s="4" t="str">
        <f>HYPERLINK("http://www.facebook.com/8062627951/posts/10151331973307952","We traveled to Chicago, Detroit, and Toronto to meet with startups and entrepreneurs. Thank you to everyone who came out to each city. It was a blast! More photos here: http://www.flickr.com/photos/te...")</f>
        <v>We traveled to Chicago, Detroit, and Toronto to meet with startups and entrepreneurs. Thank you to everyone who came out to each city. It was a blast! More photos here: http://www.flickr.com/photos/te...</v>
      </c>
      <c r="C622" s="3">
        <v>41225.6481712963</v>
      </c>
      <c r="D622" s="2">
        <v>49</v>
      </c>
      <c r="E622" s="2">
        <v>3</v>
      </c>
      <c r="F622" s="2" t="s">
        <v>7</v>
      </c>
      <c r="G622" s="2" t="s">
        <v>8</v>
      </c>
    </row>
    <row r="623" spans="1:7" ht="30" x14ac:dyDescent="0.25">
      <c r="A623" s="4" t="str">
        <f>HYPERLINK("http://techcrunch.com/2012/11/12/welcome-to-the-techcrunch-gadgets-2012-gift-guide/","Welcome To The TechCrunch Gadgets 2012 Gift Guide")</f>
        <v>Welcome To The TechCrunch Gadgets 2012 Gift Guide</v>
      </c>
      <c r="B623" s="4" t="str">
        <f>HYPERLINK("http://www.facebook.com/8062627951/posts/421790101209213","It's the most... wonderful time... of the year.")</f>
        <v>It's the most... wonderful time... of the year.</v>
      </c>
      <c r="C623" s="3">
        <v>41225.593449074076</v>
      </c>
      <c r="D623" s="2">
        <v>29</v>
      </c>
      <c r="E623" s="2">
        <v>4</v>
      </c>
      <c r="F623" s="2" t="s">
        <v>7</v>
      </c>
      <c r="G623" s="2" t="s">
        <v>7</v>
      </c>
    </row>
    <row r="624" spans="1:7" x14ac:dyDescent="0.25">
      <c r="A624" s="4" t="str">
        <f>HYPERLINK("http://www.facebook.com/photo.php?fbid=10151331781722952&amp;set=a.114456157951.118433.8062627951&amp;type=1&amp;relevant_count=1","[Photo]")</f>
        <v>[Photo]</v>
      </c>
      <c r="B624" s="4" t="str">
        <f>HYPERLINK("http://www.facebook.com/8062627951/posts/10151331781767952","Detroit Hack City - http://tcrn.ch/RR2hZz")</f>
        <v>Detroit Hack City - http://tcrn.ch/RR2hZz</v>
      </c>
      <c r="C624" s="3">
        <v>41225.539918981478</v>
      </c>
      <c r="D624" s="2">
        <v>58</v>
      </c>
      <c r="E624" s="2">
        <v>6</v>
      </c>
      <c r="F624" s="2" t="s">
        <v>7</v>
      </c>
      <c r="G624" s="2" t="s">
        <v>8</v>
      </c>
    </row>
    <row r="625" spans="1:7" x14ac:dyDescent="0.25">
      <c r="A625" s="4" t="str">
        <f>HYPERLINK("http://www.facebook.com/photo.php?fbid=10151331749127952&amp;set=a.10151134316772952.498619.8062627951&amp;type=1&amp;relevant_count=1","[Photo]")</f>
        <v>[Photo]</v>
      </c>
      <c r="B625" s="4" t="str">
        <f>HYPERLINK("http://www.facebook.com/8062627951/posts/10151331749167952","John Biggs says Happy Monday.  ")</f>
        <v xml:space="preserve">John Biggs says Happy Monday.  </v>
      </c>
      <c r="C625" s="3">
        <v>41225.522060185183</v>
      </c>
      <c r="D625" s="2">
        <v>113</v>
      </c>
      <c r="E625" s="2">
        <v>24</v>
      </c>
      <c r="F625" s="2" t="s">
        <v>7</v>
      </c>
      <c r="G625" s="2" t="s">
        <v>8</v>
      </c>
    </row>
    <row r="626" spans="1:7" ht="45" x14ac:dyDescent="0.25">
      <c r="A626" s="4" t="str">
        <f>HYPERLINK("http://techcrunch.com/2012/11/12/facebook-all-feed-link/","This Facebook “All” Link Lets You See An Unfiltered News Feed, But It Might Get Shut Down")</f>
        <v>This Facebook “All” Link Lets You See An Unfiltered News Feed, But It Might Get Shut Down</v>
      </c>
      <c r="B626" s="4" t="str">
        <f>HYPERLINK("http://www.facebook.com/8062627951/posts/513493382003364","Check it out, quickly.")</f>
        <v>Check it out, quickly.</v>
      </c>
      <c r="C626" s="3">
        <v>41225.49355324074</v>
      </c>
      <c r="D626" s="2">
        <v>228</v>
      </c>
      <c r="E626" s="2">
        <v>31</v>
      </c>
      <c r="F626" s="2" t="s">
        <v>7</v>
      </c>
      <c r="G626" s="2" t="s">
        <v>7</v>
      </c>
    </row>
    <row r="627" spans="1:7" ht="60" x14ac:dyDescent="0.25">
      <c r="A627" s="4" t="str">
        <f>HYPERLINK("http://www.facebook.com/photo.php?fbid=10151331676387952&amp;set=a.114456157951.118433.8062627951&amp;type=1&amp;relevant_count=1","[Photo]")</f>
        <v>[Photo]</v>
      </c>
      <c r="B627" s="4" t="s">
        <v>44</v>
      </c>
      <c r="C627" s="3">
        <v>41225.479641203703</v>
      </c>
      <c r="D627" s="2">
        <v>232</v>
      </c>
      <c r="E627" s="2">
        <v>27</v>
      </c>
      <c r="F627" s="2" t="s">
        <v>7</v>
      </c>
      <c r="G627" s="2" t="s">
        <v>8</v>
      </c>
    </row>
    <row r="628" spans="1:7" ht="30" x14ac:dyDescent="0.25">
      <c r="A628" s="4" t="str">
        <f>HYPERLINK("http://www.facebook.com/photo.php?fbid=10151331546017952&amp;set=a.114456157951.118433.8062627951&amp;type=1&amp;relevant_count=1","[Photo]")</f>
        <v>[Photo]</v>
      </c>
      <c r="B628" s="4" t="str">
        <f>HYPERLINK("http://www.facebook.com/8062627951/posts/10151331546062952","AT&amp;T to launch Samsung’s $499 Galaxy Camera on November 16th. Will you be getting one? - http://tcrn.ch/UDfCUb")</f>
        <v>AT&amp;T to launch Samsung’s $499 Galaxy Camera on November 16th. Will you be getting one? - http://tcrn.ch/UDfCUb</v>
      </c>
      <c r="C628" s="3">
        <v>41225.404629629629</v>
      </c>
      <c r="D628" s="2">
        <v>146</v>
      </c>
      <c r="E628" s="2">
        <v>27</v>
      </c>
      <c r="F628" s="2" t="s">
        <v>8</v>
      </c>
      <c r="G628" s="2" t="s">
        <v>8</v>
      </c>
    </row>
    <row r="629" spans="1:7" ht="30" x14ac:dyDescent="0.25">
      <c r="A629" s="4" t="str">
        <f>HYPERLINK("http://techcrunch.com/2012/11/12/one-year-later-youtube-pulling-the-plug-on-60-of-its-original-content-channels/","One Year Later, YouTube Pulling The Plug On 60% Of Its Original Content Channels")</f>
        <v>One Year Later, YouTube Pulling The Plug On 60% Of Its Original Content Channels</v>
      </c>
      <c r="B629" s="4" t="str">
        <f>HYPERLINK("http://www.facebook.com/8062627951/posts/377678758987875","YouTube is starting to trim the fat. Think you or anyone you know will miss some original content channels?")</f>
        <v>YouTube is starting to trim the fat. Think you or anyone you know will miss some original content channels?</v>
      </c>
      <c r="C629" s="3">
        <v>41225.384293981479</v>
      </c>
      <c r="D629" s="2">
        <v>30</v>
      </c>
      <c r="E629" s="2">
        <v>10</v>
      </c>
      <c r="F629" s="2" t="s">
        <v>8</v>
      </c>
      <c r="G629" s="2" t="s">
        <v>7</v>
      </c>
    </row>
    <row r="630" spans="1:7" ht="30" x14ac:dyDescent="0.25">
      <c r="A630" s="4" t="str">
        <f>HYPERLINK("http://techcrunch.com/2012/11/12/chicago-meetup-startup-sails-are-full-in-the-windy-city/","Chicago Meetup: Startup Sails Are Full In The Windy City")</f>
        <v>Chicago Meetup: Startup Sails Are Full In The Windy City</v>
      </c>
      <c r="B630" s="4" t="str">
        <f>HYPERLINK("http://www.facebook.com/8062627951/posts/291717474273134","Thanks for the good times, Chicago. The meetup was great.")</f>
        <v>Thanks for the good times, Chicago. The meetup was great.</v>
      </c>
      <c r="C630" s="3">
        <v>41225.362615740742</v>
      </c>
      <c r="D630" s="2">
        <v>21</v>
      </c>
      <c r="E630" s="2">
        <v>0</v>
      </c>
      <c r="F630" s="2" t="s">
        <v>7</v>
      </c>
      <c r="G630" s="2" t="s">
        <v>7</v>
      </c>
    </row>
    <row r="631" spans="1:7" ht="30" x14ac:dyDescent="0.25">
      <c r="A631" s="4" t="str">
        <f>HYPERLINK("http://techcrunch.com/2012/11/12/omg-cursive-education-on-the-chopping-block/","OMG! Cursive Education On the Chopping Block")</f>
        <v>OMG! Cursive Education On the Chopping Block</v>
      </c>
      <c r="B631" s="4" t="str">
        <f>HYPERLINK("http://www.facebook.com/8062627951/posts/429450583787448","Cursive could be going the way of Palm's Graffiti (You know, shorthand language used on Palm Pilots).")</f>
        <v>Cursive could be going the way of Palm's Graffiti (You know, shorthand language used on Palm Pilots).</v>
      </c>
      <c r="C631" s="3">
        <v>41225.320416666669</v>
      </c>
      <c r="D631" s="2">
        <v>25</v>
      </c>
      <c r="E631" s="2">
        <v>11</v>
      </c>
      <c r="F631" s="2" t="s">
        <v>7</v>
      </c>
      <c r="G631" s="2" t="s">
        <v>7</v>
      </c>
    </row>
    <row r="632" spans="1:7" ht="45" x14ac:dyDescent="0.25">
      <c r="A632" s="4" t="str">
        <f>HYPERLINK("http://techcrunch.com/2012/11/12/apple-rumored-to-begin-trial-production-of-iphone-5s-soon-farewell-yearly-update-cycle/","Apple Rumored To Begin Trial Production Of iPhone 5S Soon: Farewell Yearly Update Cycle?")</f>
        <v>Apple Rumored To Begin Trial Production Of iPhone 5S Soon: Farewell Yearly Update Cycle?</v>
      </c>
      <c r="B632" s="4" t="str">
        <f>HYPERLINK("http://www.facebook.com/8062627951/posts/346385982123408","Remember when the iPhone 5 was the latest iPhone? Yeah, it might be replaced real soon.")</f>
        <v>Remember when the iPhone 5 was the latest iPhone? Yeah, it might be replaced real soon.</v>
      </c>
      <c r="C632" s="3">
        <v>41225.287754629629</v>
      </c>
      <c r="D632" s="2">
        <v>235</v>
      </c>
      <c r="E632" s="2">
        <v>57</v>
      </c>
      <c r="F632" s="2" t="s">
        <v>8</v>
      </c>
      <c r="G632" s="2" t="s">
        <v>7</v>
      </c>
    </row>
    <row r="633" spans="1:7" ht="45" x14ac:dyDescent="0.25">
      <c r="A633" s="4" t="str">
        <f>HYPERLINK("http://techcrunch.com/2012/11/12/apple-reportedly-swallows-a-20-price-hike-for-its-samsung-supplied-mobile-processors/","Apple Reportedly Swallows A 20% Price Hike For Its Samsung-Supplied Mobile Processors")</f>
        <v>Apple Reportedly Swallows A 20% Price Hike For Its Samsung-Supplied Mobile Processors</v>
      </c>
      <c r="B633" s="4" t="s">
        <v>45</v>
      </c>
      <c r="C633" s="3">
        <v>41225.224976851852</v>
      </c>
      <c r="D633" s="2">
        <v>330</v>
      </c>
      <c r="E633" s="2">
        <v>60</v>
      </c>
      <c r="F633" s="2" t="s">
        <v>7</v>
      </c>
      <c r="G633" s="2" t="s">
        <v>7</v>
      </c>
    </row>
    <row r="634" spans="1:7" ht="30" x14ac:dyDescent="0.25">
      <c r="A634" s="4" t="str">
        <f>HYPERLINK("http://techcrunch.com/2012/11/12/blackberry-10-launch-event-on-january-30-2013-to-detail-first-two-bb10-smartphones/","BlackBerry 10 Launch Event On January 30, 2013 To Detail First Two BB10 Smartphones")</f>
        <v>BlackBerry 10 Launch Event On January 30, 2013 To Detail First Two BB10 Smartphones</v>
      </c>
      <c r="B634" s="4" t="str">
        <f>HYPERLINK("http://www.facebook.com/8062627951/posts/420569111343180","Look, everyone! RIM is still alive!")</f>
        <v>Look, everyone! RIM is still alive!</v>
      </c>
      <c r="C634" s="3">
        <v>41225.177847222221</v>
      </c>
      <c r="D634" s="2">
        <v>109</v>
      </c>
      <c r="E634" s="2">
        <v>31</v>
      </c>
      <c r="F634" s="2" t="s">
        <v>7</v>
      </c>
      <c r="G634" s="2" t="s">
        <v>7</v>
      </c>
    </row>
    <row r="635" spans="1:7" ht="45" x14ac:dyDescent="0.25">
      <c r="A635" s="4" t="str">
        <f>HYPERLINK("http://techcrunch.com/2012/11/12/microsoft-surface-sales-starting-modestly-says-ballmer-wont-give-exact-sales-figures/","Microsoft Surface Sales “Starting Modestly”, Says Ballmer; Won’t Give Exact Sales Figures")</f>
        <v>Microsoft Surface Sales “Starting Modestly”, Says Ballmer; Won’t Give Exact Sales Figures</v>
      </c>
      <c r="B635" s="4" t="str">
        <f>HYPERLINK("http://www.facebook.com/8062627951/posts/413148122091617","Where are the real Surface sale numbers, Microsoft?")</f>
        <v>Where are the real Surface sale numbers, Microsoft?</v>
      </c>
      <c r="C635" s="3">
        <v>41225.123344907406</v>
      </c>
      <c r="D635" s="2">
        <v>30</v>
      </c>
      <c r="E635" s="2">
        <v>12</v>
      </c>
      <c r="F635" s="2" t="s">
        <v>8</v>
      </c>
      <c r="G635" s="2" t="s">
        <v>7</v>
      </c>
    </row>
    <row r="636" spans="1:7" ht="30" x14ac:dyDescent="0.25">
      <c r="A636" s="4" t="str">
        <f>HYPERLINK("http://www.facebook.com/photo.php?fbid=10151331103172952&amp;set=a.114456157951.118433.8062627951&amp;type=1&amp;relevant_count=1","[Photo]")</f>
        <v>[Photo]</v>
      </c>
      <c r="B636" s="4" t="str">
        <f>HYPERLINK("http://www.facebook.com/8062627951/posts/10151331103207952","Come to TechCrunch Tokyo 2012 this Thursday - http://tcrn.ch/QAmwxL")</f>
        <v>Come to TechCrunch Tokyo 2012 this Thursday - http://tcrn.ch/QAmwxL</v>
      </c>
      <c r="C636" s="3">
        <v>41225.089965277781</v>
      </c>
      <c r="D636" s="2">
        <v>37</v>
      </c>
      <c r="E636" s="2">
        <v>3</v>
      </c>
      <c r="F636" s="2" t="s">
        <v>7</v>
      </c>
      <c r="G636" s="2" t="s">
        <v>8</v>
      </c>
    </row>
    <row r="637" spans="1:7" ht="30" x14ac:dyDescent="0.25">
      <c r="A637" s="4" t="str">
        <f>HYPERLINK("http://www.facebook.com/photo.php?fbid=10151330904407952&amp;set=a.114456157951.118433.8062627951&amp;type=1&amp;relevant_count=1","[Photo]")</f>
        <v>[Photo]</v>
      </c>
      <c r="B637" s="4" t="str">
        <f>HYPERLINK("http://www.facebook.com/8062627951/posts/10151330904442952","Apple stomps on Tapjoy’s app download circle jerk (again) - http://tcrn.ch/VVfc18")</f>
        <v>Apple stomps on Tapjoy’s app download circle jerk (again) - http://tcrn.ch/VVfc18</v>
      </c>
      <c r="C637" s="3">
        <v>41224.891331018516</v>
      </c>
      <c r="D637" s="2">
        <v>81</v>
      </c>
      <c r="E637" s="2">
        <v>5</v>
      </c>
      <c r="F637" s="2" t="s">
        <v>7</v>
      </c>
      <c r="G637" s="2" t="s">
        <v>8</v>
      </c>
    </row>
    <row r="638" spans="1:7" ht="30" x14ac:dyDescent="0.25">
      <c r="A638" s="4" t="str">
        <f>HYPERLINK("http://www.facebook.com/photo.php?fbid=10151330784732952&amp;set=a.114456157951.118433.8062627951&amp;type=1&amp;relevant_count=1","[Photo]")</f>
        <v>[Photo]</v>
      </c>
      <c r="B638" s="4" t="str">
        <f>HYPERLINK("http://www.facebook.com/8062627951/posts/10151330784772952","The Surface of Mars: a date with a Microsoft kiosk - http://tcrn.ch/SOEatX")</f>
        <v>The Surface of Mars: a date with a Microsoft kiosk - http://tcrn.ch/SOEatX</v>
      </c>
      <c r="C638" s="3">
        <v>41224.811284722222</v>
      </c>
      <c r="D638" s="2">
        <v>171</v>
      </c>
      <c r="E638" s="2">
        <v>13</v>
      </c>
      <c r="F638" s="2" t="s">
        <v>7</v>
      </c>
      <c r="G638" s="2" t="s">
        <v>8</v>
      </c>
    </row>
    <row r="639" spans="1:7" ht="30" x14ac:dyDescent="0.25">
      <c r="A639" s="4" t="str">
        <f>HYPERLINK("http://techcrunch.com/2012/11/11/with-htc-patent-deal-apple-is-going-for-androids-jugular/","With HTC Patent Deal, Apple Is Going For Android’s Jugular | TechCrunch")</f>
        <v>With HTC Patent Deal, Apple Is Going For Android’s Jugular | TechCrunch</v>
      </c>
      <c r="B639" s="4" t="s">
        <v>46</v>
      </c>
      <c r="C639" s="3">
        <v>41224.535428240742</v>
      </c>
      <c r="D639" s="2">
        <v>117</v>
      </c>
      <c r="E639" s="2">
        <v>40</v>
      </c>
      <c r="F639" s="2" t="s">
        <v>8</v>
      </c>
      <c r="G639" s="2" t="s">
        <v>7</v>
      </c>
    </row>
    <row r="640" spans="1:7" ht="30" x14ac:dyDescent="0.25">
      <c r="A640" s="4" t="str">
        <f>HYPERLINK("http://techcrunch.com/2012/11/11/pre-mature-facebook-election-hype-a-response-to-theatlantic/","Premature Facebook Election Hype, A Response To The Atlantic | TechCrunch")</f>
        <v>Premature Facebook Election Hype, A Response To The Atlantic | TechCrunch</v>
      </c>
      <c r="B640" s="4" t="str">
        <f>HYPERLINK("http://www.facebook.com/8062627951/posts/300720476695201","Did Facebook give Democrats an advantage on Election Day?")</f>
        <v>Did Facebook give Democrats an advantage on Election Day?</v>
      </c>
      <c r="C640" s="3">
        <v>41224.515439814815</v>
      </c>
      <c r="D640" s="2">
        <v>22</v>
      </c>
      <c r="E640" s="2">
        <v>7</v>
      </c>
      <c r="F640" s="2" t="s">
        <v>8</v>
      </c>
      <c r="G640" s="2" t="s">
        <v>7</v>
      </c>
    </row>
    <row r="641" spans="1:7" x14ac:dyDescent="0.25">
      <c r="A641" s="4" t="str">
        <f>HYPERLINK("http://techcrunch.com/2012/11/11/detroit-hack-city/","Detroit Hack City  | TechCrunch")</f>
        <v>Detroit Hack City  | TechCrunch</v>
      </c>
      <c r="B641" s="4" t="str">
        <f>HYPERLINK("http://www.facebook.com/8062627951/posts/437549182976233","We Love Detroit.")</f>
        <v>We Love Detroit.</v>
      </c>
      <c r="C641" s="3">
        <v>41224.480439814812</v>
      </c>
      <c r="D641" s="2">
        <v>39</v>
      </c>
      <c r="E641" s="2">
        <v>1</v>
      </c>
      <c r="F641" s="2" t="s">
        <v>7</v>
      </c>
      <c r="G641" s="2" t="s">
        <v>7</v>
      </c>
    </row>
    <row r="642" spans="1:7" ht="30" x14ac:dyDescent="0.25">
      <c r="A642" s="4" t="str">
        <f>HYPERLINK("http://techcrunch.com/2012/11/11/iterations-putting-entrepreneurial-risk-in-perspective/","Iterations: Putting Entrepreneurial Risk In Perspective | TechCrunch")</f>
        <v>Iterations: Putting Entrepreneurial Risk In Perspective | TechCrunch</v>
      </c>
      <c r="B642" s="4" t="str">
        <f>HYPERLINK("http://www.facebook.com/8062627951/posts/300195066762773","In honor of Veteran’s Day.")</f>
        <v>In honor of Veteran’s Day.</v>
      </c>
      <c r="C642" s="3">
        <v>41224.448252314818</v>
      </c>
      <c r="D642" s="2">
        <v>35</v>
      </c>
      <c r="E642" s="2">
        <v>0</v>
      </c>
      <c r="F642" s="2" t="s">
        <v>7</v>
      </c>
      <c r="G642" s="2" t="s">
        <v>7</v>
      </c>
    </row>
    <row r="643" spans="1:7" ht="45" x14ac:dyDescent="0.25">
      <c r="A643" s="4" t="str">
        <f>HYPERLINK("http://techcrunch.com/2012/11/10/does-apples-htc-agreement-indicate-a-softening-of-its-approach-to-patent-litigation/","Does Apple’s HTC Agreement Indicate A Softening Of Its Approach To Patent Litigation?")</f>
        <v>Does Apple’s HTC Agreement Indicate A Softening Of Its Approach To Patent Litigation?</v>
      </c>
      <c r="B643" s="4" t="str">
        <f>HYPERLINK("http://www.facebook.com/8062627951/posts/162712940541369","Is Apple going soft?")</f>
        <v>Is Apple going soft?</v>
      </c>
      <c r="C643" s="3">
        <v>41224.419004629628</v>
      </c>
      <c r="D643" s="2">
        <v>33</v>
      </c>
      <c r="E643" s="2">
        <v>8</v>
      </c>
      <c r="F643" s="2" t="s">
        <v>8</v>
      </c>
      <c r="G643" s="2" t="s">
        <v>7</v>
      </c>
    </row>
    <row r="644" spans="1:7" ht="30" x14ac:dyDescent="0.25">
      <c r="A644" s="4" t="str">
        <f>HYPERLINK("http://techcrunch.com/2012/11/11/the-land-of-opportunity-south-of-the-border/","Startups Find Fertile Ground For Explosive Growth In Latin America")</f>
        <v>Startups Find Fertile Ground For Explosive Growth In Latin America</v>
      </c>
      <c r="B644" s="4" t="str">
        <f>HYPERLINK("http://www.facebook.com/8062627951/posts/225069254291368","Latin America is a startup hotbed, and it's getting hotter.")</f>
        <v>Latin America is a startup hotbed, and it's getting hotter.</v>
      </c>
      <c r="C644" s="3">
        <v>41224.370497685188</v>
      </c>
      <c r="D644" s="2">
        <v>57</v>
      </c>
      <c r="E644" s="2">
        <v>3</v>
      </c>
      <c r="F644" s="2" t="s">
        <v>7</v>
      </c>
      <c r="G644" s="2" t="s">
        <v>7</v>
      </c>
    </row>
    <row r="645" spans="1:7" ht="45" x14ac:dyDescent="0.25">
      <c r="A645" s="4" t="str">
        <f>HYPERLINK("http://www.facebook.com/photo.php?fbid=10151329999192952&amp;set=a.114456157951.118433.8062627951&amp;type=1&amp;relevant_count=1","[Photo]")</f>
        <v>[Photo]</v>
      </c>
      <c r="B645" s="4" t="str">
        <f>HYPERLINK("http://www.facebook.com/8062627951/posts/10151329999252952","On the weekends, do you spend more time checking in on Facebook, Twitter Google+ than you do throughout the week?")</f>
        <v>On the weekends, do you spend more time checking in on Facebook, Twitter Google+ than you do throughout the week?</v>
      </c>
      <c r="C645" s="3">
        <v>41224.366944444446</v>
      </c>
      <c r="D645" s="2">
        <v>137</v>
      </c>
      <c r="E645" s="2">
        <v>37</v>
      </c>
      <c r="F645" s="2" t="s">
        <v>8</v>
      </c>
      <c r="G645" s="2" t="s">
        <v>8</v>
      </c>
    </row>
    <row r="646" spans="1:7" ht="30" x14ac:dyDescent="0.25">
      <c r="A646" s="4" t="str">
        <f>HYPERLINK("http://techcrunch.com/2012/11/10/how-jaiku-helped-prezi-open-quickly-in-the-us/","How Jaiku Made Prezi Focus On The US Market | TechCrunch")</f>
        <v>How Jaiku Made Prezi Focus On The US Market | TechCrunch</v>
      </c>
      <c r="B646" s="4" t="str">
        <f>HYPERLINK("http://www.facebook.com/8062627951/posts/110092402487994","You all know Twitter, but how about Jaiku? Here's how that service influenced others...")</f>
        <v>You all know Twitter, but how about Jaiku? Here's how that service influenced others...</v>
      </c>
      <c r="C646" s="3">
        <v>41223.683692129627</v>
      </c>
      <c r="D646" s="2">
        <v>31</v>
      </c>
      <c r="E646" s="2">
        <v>6</v>
      </c>
      <c r="F646" s="2" t="s">
        <v>8</v>
      </c>
      <c r="G646" s="2" t="s">
        <v>7</v>
      </c>
    </row>
    <row r="647" spans="1:7" ht="30" x14ac:dyDescent="0.25">
      <c r="A647" s="4" t="str">
        <f>HYPERLINK("http://techcrunch.com/2012/11/10/watch-all-the-videos-from-techcrunchs-detroit-meetup-tctv/","Watch: All The Videos From TechCrunch’s Detroit Meetup [TCTV] | TechCrunch")</f>
        <v>Watch: All The Videos From TechCrunch’s Detroit Meetup [TCTV] | TechCrunch</v>
      </c>
      <c r="B647" s="4" t="str">
        <f>HYPERLINK("http://www.facebook.com/8062627951/posts/557286977621635","Since it's the weekend, why not sit back and watch our videos from the Detroit meetup!")</f>
        <v>Since it's the weekend, why not sit back and watch our videos from the Detroit meetup!</v>
      </c>
      <c r="C647" s="3">
        <v>41223.642511574071</v>
      </c>
      <c r="D647" s="2">
        <v>21</v>
      </c>
      <c r="E647" s="2">
        <v>5</v>
      </c>
      <c r="F647" s="2" t="s">
        <v>7</v>
      </c>
      <c r="G647" s="2" t="s">
        <v>7</v>
      </c>
    </row>
    <row r="648" spans="1:7" ht="45" x14ac:dyDescent="0.25">
      <c r="A648" s="4" t="str">
        <f>HYPERLINK("http://techcrunch.com/2012/11/10/spotify-is-having-a-good-2012-revenues-could-reach-500m-as-it-expands-the-digital-music-market/","Spotify Is Having A Good 2012: Revenues Could Reach $500M As It Expands The Digital Music Market  |.")</f>
        <v>Spotify Is Having A Good 2012: Revenues Could Reach $500M As It Expands The Digital Music Market  |.</v>
      </c>
      <c r="B648" s="4" t="str">
        <f>HYPERLINK("http://www.facebook.com/8062627951/posts/474353332615007","SCOOP! Holy wow. This is really good news if you're a Spotify fan or digital music streaming fan in general.")</f>
        <v>SCOOP! Holy wow. This is really good news if you're a Spotify fan or digital music streaming fan in general.</v>
      </c>
      <c r="C648" s="3">
        <v>41223.589629629627</v>
      </c>
      <c r="D648" s="2">
        <v>158</v>
      </c>
      <c r="E648" s="2">
        <v>12</v>
      </c>
      <c r="F648" s="2" t="s">
        <v>7</v>
      </c>
      <c r="G648" s="2" t="s">
        <v>7</v>
      </c>
    </row>
    <row r="649" spans="1:7" ht="45" x14ac:dyDescent="0.25">
      <c r="A649" s="4" t="str">
        <f>HYPERLINK("http://techcrunch.com/2012/11/10/rim-plans-to-woo-would-be-blackberry-10-game-developers-with-money-and-hardware/","RIM Plans To Woo Would-Be BlackBerry 10 Game Developers With Money And Hardware | TechCrunch")</f>
        <v>RIM Plans To Woo Would-Be BlackBerry 10 Game Developers With Money And Hardware | TechCrunch</v>
      </c>
      <c r="B649" s="4" t="str">
        <f>HYPERLINK("http://www.facebook.com/8062627951/posts/300121840093852","They're trying to get back into the game, will this be enough????")</f>
        <v>They're trying to get back into the game, will this be enough????</v>
      </c>
      <c r="C649" s="3">
        <v>41223.577997685185</v>
      </c>
      <c r="D649" s="2">
        <v>73</v>
      </c>
      <c r="E649" s="2">
        <v>23</v>
      </c>
      <c r="F649" s="2" t="s">
        <v>8</v>
      </c>
      <c r="G649" s="2" t="s">
        <v>7</v>
      </c>
    </row>
    <row r="650" spans="1:7" ht="60" x14ac:dyDescent="0.25">
      <c r="A650" s="4" t="str">
        <f>HYPERLINK("http://techcrunch.com/2012/11/09/part-incubator-workspace-code-school-galvanize-wants-to-turn-denver-into-a-startup-hub-uber-forkly-more-already-on-board/?icid=trending8&amp;grcc2=2a43bdd117caa55869959fcd...","Part Incubator, Workspace &amp; Code School, Galvanize Wants To Turn Denver Into A Startup Hub; Uber, Fo")</f>
        <v>Part Incubator, Workspace &amp; Code School, Galvanize Wants To Turn Denver Into A Startup Hub; Uber, Fo</v>
      </c>
      <c r="B650" s="4" t="s">
        <v>47</v>
      </c>
      <c r="C650" s="3">
        <v>41223.541562500002</v>
      </c>
      <c r="D650" s="2">
        <v>94</v>
      </c>
      <c r="E650" s="2">
        <v>10</v>
      </c>
      <c r="F650" s="2" t="s">
        <v>8</v>
      </c>
      <c r="G650" s="2" t="s">
        <v>7</v>
      </c>
    </row>
    <row r="651" spans="1:7" ht="45" x14ac:dyDescent="0.25">
      <c r="A651" s="4" t="str">
        <f>HYPERLINK("http://techcrunch.com/2012/11/09/can-social-media-influence-really-be-measured/","The Problem With Measuring Digital Influence | TechCrunch")</f>
        <v>The Problem With Measuring Digital Influence | TechCrunch</v>
      </c>
      <c r="B651" s="4" t="s">
        <v>48</v>
      </c>
      <c r="C651" s="3">
        <v>41223.506296296298</v>
      </c>
      <c r="D651" s="2">
        <v>45</v>
      </c>
      <c r="E651" s="2">
        <v>2</v>
      </c>
      <c r="F651" s="2" t="s">
        <v>8</v>
      </c>
      <c r="G651" s="2" t="s">
        <v>7</v>
      </c>
    </row>
    <row r="652" spans="1:7" ht="30" x14ac:dyDescent="0.25">
      <c r="A652" s="4" t="str">
        <f>HYPERLINK("http://techcrunch.com/2012/11/10/if-when-and-how-to-avoid-hiring-a-ceo/","If, When, And How To Avoid Hiring A CEO | TechCrunch")</f>
        <v>If, When, And How To Avoid Hiring A CEO | TechCrunch</v>
      </c>
      <c r="B652" s="4" t="str">
        <f>HYPERLINK("http://www.facebook.com/8062627951/posts/474614265895234","A pro telling it like it is for startups. This is an absolute MUST read.")</f>
        <v>A pro telling it like it is for startups. This is an absolute MUST read.</v>
      </c>
      <c r="C652" s="3">
        <v>41223.397673611114</v>
      </c>
      <c r="D652" s="2">
        <v>160</v>
      </c>
      <c r="E652" s="2">
        <v>5</v>
      </c>
      <c r="F652" s="2" t="s">
        <v>7</v>
      </c>
      <c r="G652" s="2" t="s">
        <v>7</v>
      </c>
    </row>
    <row r="653" spans="1:7" ht="45" x14ac:dyDescent="0.25">
      <c r="A653" s="4" t="str">
        <f>HYPERLINK("http://techcrunch.com/2012/11/10/crazy-like-a-fox-donate-to-charity-and-have-your-twitter-name-tattooed-on-me/","Crazy Like A Fox: Donate To Charity And Have Your Twitter Name Tattooed On Me | TechCrunch")</f>
        <v>Crazy Like A Fox: Donate To Charity And Have Your Twitter Name Tattooed On Me | TechCrunch</v>
      </c>
      <c r="B653" s="4" t="str">
        <f>HYPERLINK("http://www.facebook.com/8062627951/posts/275646012538454","Will you donate to help children with cancer? Here's something interesting, to say the least.")</f>
        <v>Will you donate to help children with cancer? Here's something interesting, to say the least.</v>
      </c>
      <c r="C653" s="3">
        <v>41223.382048611114</v>
      </c>
      <c r="D653" s="2">
        <v>30</v>
      </c>
      <c r="E653" s="2">
        <v>0</v>
      </c>
      <c r="F653" s="2" t="s">
        <v>8</v>
      </c>
      <c r="G653" s="2" t="s">
        <v>7</v>
      </c>
    </row>
    <row r="654" spans="1:7" ht="45" x14ac:dyDescent="0.25">
      <c r="A654" s="4" t="str">
        <f>HYPERLINK("http://techcrunch.com/2012/11/09/toytalk-the-company-with-the-futuristic-talking-bear-raises-11-5m-from-charles-rivers-ventures/","ToyTalk, The Company With The Futuristic Talking Bear, Raises $11.5M from Charles Rivers Ventures |.")</f>
        <v>ToyTalk, The Company With The Futuristic Talking Bear, Raises $11.5M from Charles Rivers Ventures |.</v>
      </c>
      <c r="B654" s="4" t="str">
        <f>HYPERLINK("http://www.facebook.com/8062627951/posts/383663368376183","This Bear Has Mad Cash, Yo.")</f>
        <v>This Bear Has Mad Cash, Yo.</v>
      </c>
      <c r="C654" s="3">
        <v>41222.823298611111</v>
      </c>
      <c r="D654" s="2">
        <v>36</v>
      </c>
      <c r="E654" s="2">
        <v>7</v>
      </c>
      <c r="F654" s="2" t="s">
        <v>7</v>
      </c>
      <c r="G654" s="2" t="s">
        <v>7</v>
      </c>
    </row>
    <row r="655" spans="1:7" ht="45" x14ac:dyDescent="0.25">
      <c r="A655" s="4" t="str">
        <f>HYPERLINK("http://crunchies2012.techcrunch.com/nominate/","Crunchies 2012 - Nominate your favorite companies, products, and people")</f>
        <v>Crunchies 2012 - Nominate your favorite companies, products, and people</v>
      </c>
      <c r="B655" s="4" t="str">
        <f>HYPERLINK("http://www.facebook.com/8062627951/posts/122803751210509","Don't forget to nominate your fav companies. Also, get your tickets: http://techcrunch.com/2012/11/08/crunchies-tickets-on-sale-now/")</f>
        <v>Don't forget to nominate your fav companies. Also, get your tickets: http://techcrunch.com/2012/11/08/crunchies-tickets-on-sale-now/</v>
      </c>
      <c r="C655" s="3">
        <v>41222.785914351851</v>
      </c>
      <c r="D655" s="2">
        <v>34</v>
      </c>
      <c r="E655" s="2">
        <v>0</v>
      </c>
      <c r="F655" s="2" t="s">
        <v>7</v>
      </c>
      <c r="G655" s="2" t="s">
        <v>7</v>
      </c>
    </row>
    <row r="656" spans="1:7" ht="45" x14ac:dyDescent="0.25">
      <c r="A656" s="4" t="str">
        <f>HYPERLINK("http://techcrunch.com/2012/11/09/motor-city-meetup-a-startup-hotbed-in-the-making/","Motor City Meetup: A Startup Hotbed In The Making  | TechCrunch")</f>
        <v>Motor City Meetup: A Startup Hotbed In The Making  | TechCrunch</v>
      </c>
      <c r="B656" s="4" t="str">
        <f>HYPERLINK("http://www.facebook.com/8062627951/posts/173008042837419","Check out what the team did in Detroit! http://techcrunch.com/2012/11/09/motor-city-meetup-a-startup-hotbed-in-the-making/")</f>
        <v>Check out what the team did in Detroit! http://techcrunch.com/2012/11/09/motor-city-meetup-a-startup-hotbed-in-the-making/</v>
      </c>
      <c r="C656" s="3">
        <v>41222.779108796298</v>
      </c>
      <c r="D656" s="2">
        <v>22</v>
      </c>
      <c r="E656" s="2">
        <v>2</v>
      </c>
      <c r="F656" s="2" t="s">
        <v>7</v>
      </c>
      <c r="G656" s="2" t="s">
        <v>7</v>
      </c>
    </row>
    <row r="657" spans="1:7" ht="45" x14ac:dyDescent="0.25">
      <c r="A657" s="4" t="str">
        <f>HYPERLINK("http://techcrunch.com/2012/11/09/betaworks-launches-swirl-to-let-you-easily-create-albums-from-instagram-twitter-hashtags/","Betaworks Launches Swirl To Let You Easily Create Albums From Instagram &amp; Twitter Hashtags | TechCru")</f>
        <v>Betaworks Launches Swirl To Let You Easily Create Albums From Instagram &amp; Twitter Hashtags | TechCru</v>
      </c>
      <c r="B657" s="4" t="str">
        <f>HYPERLINK("http://www.facebook.com/8062627951/posts/243901109069461","Instagram+Twitter Hashtags = Awesome Albums.")</f>
        <v>Instagram+Twitter Hashtags = Awesome Albums.</v>
      </c>
      <c r="C657" s="3">
        <v>41222.719467592593</v>
      </c>
      <c r="D657" s="2">
        <v>51</v>
      </c>
      <c r="E657" s="2">
        <v>2</v>
      </c>
      <c r="F657" s="2" t="s">
        <v>7</v>
      </c>
      <c r="G657" s="2" t="s">
        <v>7</v>
      </c>
    </row>
    <row r="658" spans="1:7" x14ac:dyDescent="0.25">
      <c r="A658" s="4" t="str">
        <f>HYPERLINK("http://www.facebook.com/photo.php?fbid=10151327697922952&amp;set=a.10151134316772952.498619.8062627951&amp;type=1&amp;relevant_count=1","[Photo]")</f>
        <v>[Photo]</v>
      </c>
      <c r="B658" s="4" t="str">
        <f>HYPERLINK("http://www.facebook.com/8062627951/posts/10151327697967952","TCTV and Darrell Etherington. Come out.  #tcchicago  ")</f>
        <v xml:space="preserve">TCTV and Darrell Etherington. Come out.  #tcchicago  </v>
      </c>
      <c r="C658" s="3">
        <v>41222.717847222222</v>
      </c>
      <c r="D658" s="2">
        <v>10</v>
      </c>
      <c r="E658" s="2">
        <v>0</v>
      </c>
      <c r="F658" s="2" t="s">
        <v>7</v>
      </c>
      <c r="G658" s="2" t="s">
        <v>8</v>
      </c>
    </row>
    <row r="659" spans="1:7" x14ac:dyDescent="0.25">
      <c r="A659" s="4" t="str">
        <f>HYPERLINK("http://www.facebook.com/photo.php?fbid=10151327682502952&amp;set=a.10151134316772952.498619.8062627951&amp;type=1&amp;relevant_count=1","[Photo]")</f>
        <v>[Photo]</v>
      </c>
      <c r="B659" s="4" t="str">
        <f>HYPERLINK("http://www.facebook.com/8062627951/posts/10151327682527952","Hello Chicago! #TCChicago ")</f>
        <v xml:space="preserve">Hello Chicago! #TCChicago </v>
      </c>
      <c r="C659" s="3">
        <v>41222.707511574074</v>
      </c>
      <c r="D659" s="2">
        <v>37</v>
      </c>
      <c r="E659" s="2">
        <v>3</v>
      </c>
      <c r="F659" s="2" t="s">
        <v>7</v>
      </c>
      <c r="G659" s="2" t="s">
        <v>8</v>
      </c>
    </row>
    <row r="660" spans="1:7" ht="45" x14ac:dyDescent="0.25">
      <c r="A660" s="4" t="str">
        <f>HYPERLINK("http://techcrunch.com/2012/11/09/kickstarter-release-your-inner-james-bond-with-these-high-tech-linear-watches/","Kickstarter: Release Your Inner James Bond With These High-Tech Linear Watches | TechCrunch")</f>
        <v>Kickstarter: Release Your Inner James Bond With These High-Tech Linear Watches | TechCrunch</v>
      </c>
      <c r="B660" s="4" t="str">
        <f>HYPERLINK("http://www.facebook.com/8062627951/posts/457811247598954","Bond. James Bond. Gimme this watch right NOW.")</f>
        <v>Bond. James Bond. Gimme this watch right NOW.</v>
      </c>
      <c r="C660" s="3">
        <v>41222.688472222224</v>
      </c>
      <c r="D660" s="2">
        <v>80</v>
      </c>
      <c r="E660" s="2">
        <v>8</v>
      </c>
      <c r="F660" s="2" t="s">
        <v>7</v>
      </c>
      <c r="G660" s="2" t="s">
        <v>7</v>
      </c>
    </row>
    <row r="661" spans="1:7" ht="30" x14ac:dyDescent="0.25">
      <c r="A661" s="4" t="str">
        <f>HYPERLINK("http://www.facebook.com/photo.php?fbid=10151327642862952&amp;set=a.114456157951.118433.8062627951&amp;type=1&amp;relevant_count=1","[Photo]")</f>
        <v>[Photo]</v>
      </c>
      <c r="B661" s="4" t="str">
        <f>HYPERLINK("http://www.facebook.com/8062627951/posts/10151327642917952","If you could have ONE gadget that you don't have already, what would it be?")</f>
        <v>If you could have ONE gadget that you don't have already, what would it be?</v>
      </c>
      <c r="C661" s="3">
        <v>41222.681990740741</v>
      </c>
      <c r="D661" s="2">
        <v>204</v>
      </c>
      <c r="E661" s="2">
        <v>425</v>
      </c>
      <c r="F661" s="2" t="s">
        <v>8</v>
      </c>
      <c r="G661" s="2" t="s">
        <v>8</v>
      </c>
    </row>
    <row r="662" spans="1:7" ht="45" x14ac:dyDescent="0.25">
      <c r="A662" s="4" t="str">
        <f>HYPERLINK("http://techcrunch.com/2012/11/09/notes-from-a-startup-night-the-enterprise-can-be-as-boring-as-hell-but-the-whole-goddamn-thing-is-paved-with-gold/","Notes From A Startup Night: The Enterprise Can Be As Boring As Hell But The Whole Goddamn Thing Is P")</f>
        <v>Notes From A Startup Night: The Enterprise Can Be As Boring As Hell But The Whole Goddamn Thing Is P</v>
      </c>
      <c r="B662" s="4" t="str">
        <f>HYPERLINK("http://www.facebook.com/8062627951/posts/300396936731060","Enterprise. Maybe boring, but lots of opportunities for greatness.")</f>
        <v>Enterprise. Maybe boring, but lots of opportunities for greatness.</v>
      </c>
      <c r="C662" s="3">
        <v>41222.654062499998</v>
      </c>
      <c r="D662" s="2">
        <v>40</v>
      </c>
      <c r="E662" s="2">
        <v>1</v>
      </c>
      <c r="F662" s="2" t="s">
        <v>7</v>
      </c>
      <c r="G662" s="2" t="s">
        <v>7</v>
      </c>
    </row>
    <row r="663" spans="1:7" ht="45" x14ac:dyDescent="0.25">
      <c r="A663" s="4" t="str">
        <f>HYPERLINK("http://tcrn.ch/Quq9p5","Zynga Announces Acquisition Of November Software To Build ‘Mid-Core’ Game Battlestone | TechCrunch")</f>
        <v>Zynga Announces Acquisition Of November Software To Build ‘Mid-Core’ Game Battlestone | TechCrunch</v>
      </c>
      <c r="B663" s="4" t="str">
        <f>HYPERLINK("http://www.facebook.com/8062627951/posts/341373369294239","Fire. Hire. Fire. Acquire. What's up over at Zynga??? http://tcrn.ch/Quq9p5")</f>
        <v>Fire. Hire. Fire. Acquire. What's up over at Zynga??? http://tcrn.ch/Quq9p5</v>
      </c>
      <c r="C663" s="3">
        <v>41222.599039351851</v>
      </c>
      <c r="D663" s="2">
        <v>38</v>
      </c>
      <c r="E663" s="2">
        <v>9</v>
      </c>
      <c r="F663" s="2" t="s">
        <v>8</v>
      </c>
      <c r="G663" s="2" t="s">
        <v>7</v>
      </c>
    </row>
    <row r="664" spans="1:7" ht="45" x14ac:dyDescent="0.25">
      <c r="A664" s="4" t="str">
        <f>HYPERLINK("http://techcrunch.com/2012/11/09/china-blocks-virtually-all-of-googles-web-services-as-18th-party-congress-gets-underway/","China Blocks Virtually All Of Google’s Web Services As 18th Party Congress Gets Underway | TechCrunc")</f>
        <v>China Blocks Virtually All Of Google’s Web Services As 18th Party Congress Gets Underway | TechCrunc</v>
      </c>
      <c r="B664" s="4" t="str">
        <f>HYPERLINK("http://www.facebook.com/8062627951/posts/247710268688991","Whoah, this is huge. China is blocking Google services and users are wondering what's up.")</f>
        <v>Whoah, this is huge. China is blocking Google services and users are wondering what's up.</v>
      </c>
      <c r="C664" s="3">
        <v>41222.588252314818</v>
      </c>
      <c r="D664" s="2">
        <v>155</v>
      </c>
      <c r="E664" s="2">
        <v>26</v>
      </c>
      <c r="F664" s="2" t="s">
        <v>7</v>
      </c>
      <c r="G664" s="2" t="s">
        <v>7</v>
      </c>
    </row>
    <row r="665" spans="1:7" ht="45" x14ac:dyDescent="0.25">
      <c r="A665" s="4" t="str">
        <f>HYPERLINK("http://techcrunch.com/2012/11/09/standalone-guinea-pigs/","If You Use Facebook Camera Or Messenger, You’re One Of Zuck’s Guinea Pigs | TechCrunch")</f>
        <v>If You Use Facebook Camera Or Messenger, You’re One Of Zuck’s Guinea Pigs | TechCrunch</v>
      </c>
      <c r="B665" s="4" t="str">
        <f>HYPERLINK("http://www.facebook.com/8062627951/posts/189574761167404","Do you mind testing out new Facebook things? We don't.")</f>
        <v>Do you mind testing out new Facebook things? We don't.</v>
      </c>
      <c r="C665" s="3">
        <v>41222.519328703704</v>
      </c>
      <c r="D665" s="2">
        <v>56</v>
      </c>
      <c r="E665" s="2">
        <v>5</v>
      </c>
      <c r="F665" s="2" t="s">
        <v>8</v>
      </c>
      <c r="G665" s="2" t="s">
        <v>7</v>
      </c>
    </row>
    <row r="666" spans="1:7" ht="30" x14ac:dyDescent="0.25">
      <c r="A666" s="4" t="str">
        <f>HYPERLINK("http://techcrunch.com/2012/11/09/vets-in-tech-holds-hackathon-in-sf-this-weekend/","Vets In Tech Holds Hackathon In SF This Weekend | TechCrunch")</f>
        <v>Vets In Tech Holds Hackathon In SF This Weekend | TechCrunch</v>
      </c>
      <c r="B666" s="4" t="str">
        <f>HYPERLINK("http://www.facebook.com/8062627951/posts/426455584068891","It's Veteran's Day this weekend, time to be thankful. Check out this cool Hackathon!")</f>
        <v>It's Veteran's Day this weekend, time to be thankful. Check out this cool Hackathon!</v>
      </c>
      <c r="C666" s="3">
        <v>41222.513194444444</v>
      </c>
      <c r="D666" s="2">
        <v>29</v>
      </c>
      <c r="E666" s="2">
        <v>4</v>
      </c>
      <c r="F666" s="2" t="s">
        <v>7</v>
      </c>
      <c r="G666" s="2" t="s">
        <v>7</v>
      </c>
    </row>
    <row r="667" spans="1:7" ht="45" x14ac:dyDescent="0.25">
      <c r="A667" s="4" t="str">
        <f>HYPERLINK("http://techcrunch.com/2012/11/09/with-pepper-spray-iphone-case-you-can-defend-yourself-and-wear-tight-jeans/?icid=trending2&amp;grcc2=1d46930f431e1d570791d1c97af8c070%7E1352488637580%7Efca4fa8af1286d8a77f...","With Pepper Spray iPhone Case, You Can Defend Yourself And Wear Tight Jeans | TechCrunch")</f>
        <v>With Pepper Spray iPhone Case, You Can Defend Yourself And Wear Tight Jeans | TechCrunch</v>
      </c>
      <c r="B667" s="4" t="str">
        <f>HYPERLINK("http://www.facebook.com/8062627951/posts/424319057633960","Oh I'm talking on the phone while you harass me...oh see this? ITS PEPPER SPRAY!!!!")</f>
        <v>Oh I'm talking on the phone while you harass me...oh see this? ITS PEPPER SPRAY!!!!</v>
      </c>
      <c r="C667" s="3">
        <v>41222.477465277778</v>
      </c>
      <c r="D667" s="2">
        <v>117</v>
      </c>
      <c r="E667" s="2">
        <v>14</v>
      </c>
      <c r="F667" s="2" t="s">
        <v>8</v>
      </c>
      <c r="G667" s="2" t="s">
        <v>7</v>
      </c>
    </row>
    <row r="668" spans="1:7" ht="45" x14ac:dyDescent="0.25">
      <c r="A668" s="4" t="str">
        <f>HYPERLINK("http://tcrn.ch/PJiCkJ","Apple Gives $2.5 Million To Hurricane Sandy Relief Efforts, Raises Additional “Millions” Via iTunes.")</f>
        <v>Apple Gives $2.5 Million To Hurricane Sandy Relief Efforts, Raises Additional “Millions” Via iTunes.</v>
      </c>
      <c r="B668" s="4" t="str">
        <f>HYPERLINK("http://www.facebook.com/8062627951/posts/110129812483334","Does this make you like Apple more if you don't already like them? Kudos to those who gave!")</f>
        <v>Does this make you like Apple more if you don't already like them? Kudos to those who gave!</v>
      </c>
      <c r="C668" s="3">
        <v>41222.45621527778</v>
      </c>
      <c r="D668" s="2">
        <v>138</v>
      </c>
      <c r="E668" s="2">
        <v>40</v>
      </c>
      <c r="F668" s="2" t="s">
        <v>8</v>
      </c>
      <c r="G668" s="2" t="s">
        <v>7</v>
      </c>
    </row>
    <row r="669" spans="1:7" ht="45" x14ac:dyDescent="0.25">
      <c r="A669" s="4" t="str">
        <f>HYPERLINK("http://techcrunch.com/2012/11/09/microsofts-wowzapp-hackathon-attracts-17000-student-developers-who-want-to-build-windows-apps/","Microsoft’s Wowzapp Hackathon Attracts 17,000 Student Developers Who Want To Build Windows Apps  | T")</f>
        <v>Microsoft’s Wowzapp Hackathon Attracts 17,000 Student Developers Who Want To Build Windows Apps  | T</v>
      </c>
      <c r="B669" s="4" t="str">
        <f>HYPERLINK("http://www.facebook.com/8062627951/posts/409452409127995","This is a great idea to get more people developing on the Windows platform!!!")</f>
        <v>This is a great idea to get more people developing on the Windows platform!!!</v>
      </c>
      <c r="C669" s="3">
        <v>41222.448020833333</v>
      </c>
      <c r="D669" s="2">
        <v>55</v>
      </c>
      <c r="E669" s="2">
        <v>5</v>
      </c>
      <c r="F669" s="2" t="s">
        <v>7</v>
      </c>
      <c r="G669" s="2" t="s">
        <v>7</v>
      </c>
    </row>
    <row r="670" spans="1:7" ht="45" x14ac:dyDescent="0.25">
      <c r="A670" s="4" t="str">
        <f>HYPERLINK("http://techcrunch.com/2012/11/09/rumor-foxconn-planning-to-build-us-based-plants-will-train-american-engineers-in-taiwan-or-china/?icid=trending1&amp;grcc2=d0501a2009bcbebd659f86982e799682%7E1352484612361...","Rumor: Foxconn Planning To Build US-Based Plants, Will Train American Engineers In Taiwan Or China |")</f>
        <v>Rumor: Foxconn Planning To Build US-Based Plants, Will Train American Engineers In Taiwan Or China |</v>
      </c>
      <c r="B670" s="4" t="str">
        <f>HYPERLINK("http://www.facebook.com/8062627951/posts/289113621200719","Rumor time! Apple to bring some of its engineering work to the US? That would be amazing.")</f>
        <v>Rumor time! Apple to bring some of its engineering work to the US? That would be amazing.</v>
      </c>
      <c r="C670" s="3">
        <v>41222.424351851849</v>
      </c>
      <c r="D670" s="2">
        <v>117</v>
      </c>
      <c r="E670" s="2">
        <v>19</v>
      </c>
      <c r="F670" s="2" t="s">
        <v>8</v>
      </c>
      <c r="G670" s="2" t="s">
        <v>7</v>
      </c>
    </row>
    <row r="671" spans="1:7" x14ac:dyDescent="0.25">
      <c r="A671" s="4" t="str">
        <f>HYPERLINK("http://www.facebook.com/photo.php?fbid=10151326759362952&amp;set=a.10151134316772952.498619.8062627951&amp;type=1&amp;relevant_count=1","[Photo]")</f>
        <v>[Photo]</v>
      </c>
      <c r="B671" s="4" t="str">
        <f>HYPERLINK("http://www.facebook.com/8062627951/posts/10151326759422952","Chicago, are you ready for us tonight? #TCChicago ")</f>
        <v xml:space="preserve">Chicago, are you ready for us tonight? #TCChicago </v>
      </c>
      <c r="C671" s="3">
        <v>41222.391469907408</v>
      </c>
      <c r="D671" s="2">
        <v>121</v>
      </c>
      <c r="E671" s="2">
        <v>6</v>
      </c>
      <c r="F671" s="2" t="s">
        <v>8</v>
      </c>
      <c r="G671" s="2" t="s">
        <v>8</v>
      </c>
    </row>
    <row r="672" spans="1:7" ht="30" x14ac:dyDescent="0.25">
      <c r="A672" s="4" t="str">
        <f>HYPERLINK("http://techcrunch.com/2012/11/08/we-are-worth-at-least-3k/","You Can’t Put A Price Tag On A TechCrunch Post")</f>
        <v>You Can’t Put A Price Tag On A TechCrunch Post</v>
      </c>
      <c r="B672" s="4" t="str">
        <f>HYPERLINK("http://www.facebook.com/8062627951/posts/200827033386181","Everything about this is wrong. And sick. And disgusting.")</f>
        <v>Everything about this is wrong. And sick. And disgusting.</v>
      </c>
      <c r="C672" s="3">
        <v>41222.289340277777</v>
      </c>
      <c r="D672" s="2">
        <v>129</v>
      </c>
      <c r="E672" s="2">
        <v>27</v>
      </c>
      <c r="F672" s="2" t="s">
        <v>7</v>
      </c>
      <c r="G672" s="2" t="s">
        <v>7</v>
      </c>
    </row>
    <row r="673" spans="1:7" ht="45" x14ac:dyDescent="0.25">
      <c r="A673" s="4" t="str">
        <f>HYPERLINK("http://www.facebook.com/photo.php?fbid=10151326213032952&amp;set=a.114456157951.118433.8062627951&amp;type=1&amp;relevant_count=1","[Photo]")</f>
        <v>[Photo]</v>
      </c>
      <c r="B673" s="4" t="str">
        <f>HYPERLINK("http://www.facebook.com/8062627951/posts/10151326213062952","Killing rumors with data: No, Facebook didn’t decrease Page feed reach to sell more Promoted Posts http://tcrn.ch/VFYEtZ")</f>
        <v>Killing rumors with data: No, Facebook didn’t decrease Page feed reach to sell more Promoted Posts http://tcrn.ch/VFYEtZ</v>
      </c>
      <c r="C673" s="3">
        <v>41222.080196759256</v>
      </c>
      <c r="D673" s="2">
        <v>191</v>
      </c>
      <c r="E673" s="2">
        <v>32</v>
      </c>
      <c r="F673" s="2" t="s">
        <v>7</v>
      </c>
      <c r="G673" s="2" t="s">
        <v>8</v>
      </c>
    </row>
    <row r="674" spans="1:7" ht="60" x14ac:dyDescent="0.25">
      <c r="A674" s="4" t="str">
        <f>HYPERLINK("http://www.facebook.com/photo.php?fbid=10151325638397952&amp;set=a.114456157951.118433.8062627951&amp;type=1&amp;relevant_count=1","[Photo]")</f>
        <v>[Photo]</v>
      </c>
      <c r="B674" s="4" t="s">
        <v>49</v>
      </c>
      <c r="C674" s="3">
        <v>41221.728750000002</v>
      </c>
      <c r="D674" s="2">
        <v>60</v>
      </c>
      <c r="E674" s="2">
        <v>11</v>
      </c>
      <c r="F674" s="2" t="s">
        <v>7</v>
      </c>
      <c r="G674" s="2" t="s">
        <v>8</v>
      </c>
    </row>
    <row r="675" spans="1:7" ht="30" x14ac:dyDescent="0.25">
      <c r="A675" s="4" t="str">
        <f>HYPERLINK("http://techcrunch.com/2012/11/08/google-taps-its-inner-j-j-abrams-with-the-niantic-project/","Google Taps Its Inner J.J. Abrams With The Niantic Project | TechCrunch")</f>
        <v>Google Taps Its Inner J.J. Abrams With The Niantic Project | TechCrunch</v>
      </c>
      <c r="B675" s="4" t="str">
        <f>HYPERLINK("http://www.facebook.com/8062627951/posts/462950873743099","We're not sure what this is, maybe you'll have a better idea. Check it out and let us know!")</f>
        <v>We're not sure what this is, maybe you'll have a better idea. Check it out and let us know!</v>
      </c>
      <c r="C675" s="3">
        <v>41221.704988425925</v>
      </c>
      <c r="D675" s="2">
        <v>29</v>
      </c>
      <c r="E675" s="2">
        <v>6</v>
      </c>
      <c r="F675" s="2" t="s">
        <v>7</v>
      </c>
      <c r="G675" s="2" t="s">
        <v>7</v>
      </c>
    </row>
    <row r="676" spans="1:7" ht="45" x14ac:dyDescent="0.25">
      <c r="A676" s="4" t="str">
        <f>HYPERLINK("http://techcrunch.com/2012/11/08/behind-the-scenes-how-apple-keeps-grey-marketeers-from-buying-out-iphone-stock-in-shenzhen/","Behind The Scenes: How Apple Keeps Grey Marketeers From Buying Out iPhone Stock In Shenzhen | TechCr")</f>
        <v>Behind The Scenes: How Apple Keeps Grey Marketeers From Buying Out iPhone Stock In Shenzhen | TechCr</v>
      </c>
      <c r="B676" s="4" t="str">
        <f>HYPERLINK("http://www.facebook.com/8062627951/posts/248386665288771","Sales of the iPhone are limited in China...here's how they do it (Hint: It's quite fascinating)")</f>
        <v>Sales of the iPhone are limited in China...here's how they do it (Hint: It's quite fascinating)</v>
      </c>
      <c r="C676" s="3">
        <v>41221.673761574071</v>
      </c>
      <c r="D676" s="2">
        <v>30</v>
      </c>
      <c r="E676" s="2">
        <v>6</v>
      </c>
      <c r="F676" s="2" t="s">
        <v>7</v>
      </c>
      <c r="G676" s="2" t="s">
        <v>7</v>
      </c>
    </row>
    <row r="677" spans="1:7" ht="45" x14ac:dyDescent="0.25">
      <c r="A677" s="4" t="str">
        <f>HYPERLINK("http://techcrunch.com/2012/11/08/groupons-q3-2012-earnings/?icid=trending5&amp;grcc2=133ba0c6cb69424698238a7a5aadf7d9%7E1352417568737%7Efca4fa8af1286d8a77f26033fdeed202%7Eb6dfe3212c58f40b393e9db1db5a3f95%...","Groupon Reports Q3 2012 Earnings Significantly Below Expectations: $568.6M In Revenue, Operating Inc")</f>
        <v>Groupon Reports Q3 2012 Earnings Significantly Below Expectations: $568.6M In Revenue, Operating Inc</v>
      </c>
      <c r="B677" s="4" t="str">
        <f>HYPERLINK("http://www.facebook.com/8062627951/posts/501085426582580","Oops, Groupon didn't do so well this quarter. Do you still use their service to find deals??")</f>
        <v>Oops, Groupon didn't do so well this quarter. Do you still use their service to find deals??</v>
      </c>
      <c r="C677" s="3">
        <v>41221.648182870369</v>
      </c>
      <c r="D677" s="2">
        <v>37</v>
      </c>
      <c r="E677" s="2">
        <v>63</v>
      </c>
      <c r="F677" s="2" t="s">
        <v>8</v>
      </c>
      <c r="G677" s="2" t="s">
        <v>7</v>
      </c>
    </row>
    <row r="678" spans="1:7" ht="60" x14ac:dyDescent="0.25">
      <c r="A678" s="4" t="str">
        <f>HYPERLINK("http://www.facebook.com/photo.php?fbid=10151325406217952&amp;set=a.114456157951.118433.8062627951&amp;type=1&amp;relevant_count=1","[Photo]")</f>
        <v>[Photo]</v>
      </c>
      <c r="B678" s="4" t="s">
        <v>50</v>
      </c>
      <c r="C678" s="3">
        <v>41221.611388888887</v>
      </c>
      <c r="D678" s="2">
        <v>191</v>
      </c>
      <c r="E678" s="2">
        <v>21</v>
      </c>
      <c r="F678" s="2" t="s">
        <v>7</v>
      </c>
      <c r="G678" s="2" t="s">
        <v>8</v>
      </c>
    </row>
    <row r="679" spans="1:7" ht="30" x14ac:dyDescent="0.25">
      <c r="A679" s="4" t="str">
        <f>HYPERLINK("http://www.facebook.com/photo.php?fbid=10151325233387952&amp;set=a.114456157951.118433.8062627951&amp;type=1&amp;relevant_count=1","[Photo]")</f>
        <v>[Photo]</v>
      </c>
      <c r="B679" s="4" t="str">
        <f>HYPERLINK("http://www.facebook.com/8062627951/posts/10151325233427952","Facebook publishes super nerdy engineering blog post to attract hardcore coders http://tcrn.ch/QrADFA")</f>
        <v>Facebook publishes super nerdy engineering blog post to attract hardcore coders http://tcrn.ch/QrADFA</v>
      </c>
      <c r="C679" s="3">
        <v>41221.511469907404</v>
      </c>
      <c r="D679" s="2">
        <v>225</v>
      </c>
      <c r="E679" s="2">
        <v>11</v>
      </c>
      <c r="F679" s="2" t="s">
        <v>7</v>
      </c>
      <c r="G679" s="2" t="s">
        <v>8</v>
      </c>
    </row>
    <row r="680" spans="1:7" ht="45" x14ac:dyDescent="0.25">
      <c r="A680" s="4" t="str">
        <f>HYPERLINK("http://techcrunch.com/2012/11/08/forrester-u-s-online-holiday-sales-will-grow-15-percent-this-year-to-68-4b/","Forrester: U.S. Online Holiday Sales Will Grow 15 Percent This Year To $68.4B | TechCrunch")</f>
        <v>Forrester: U.S. Online Holiday Sales Will Grow 15 Percent This Year To $68.4B | TechCrunch</v>
      </c>
      <c r="B680" s="4" t="str">
        <f>HYPERLINK("http://www.facebook.com/8062627951/posts/556243391068415","So much for window shopping...how many of your holiday gifts do you buy online?")</f>
        <v>So much for window shopping...how many of your holiday gifts do you buy online?</v>
      </c>
      <c r="C680" s="3">
        <v>41221.472442129627</v>
      </c>
      <c r="D680" s="2">
        <v>19</v>
      </c>
      <c r="E680" s="2">
        <v>3</v>
      </c>
      <c r="F680" s="2" t="s">
        <v>8</v>
      </c>
      <c r="G680" s="2" t="s">
        <v>7</v>
      </c>
    </row>
    <row r="681" spans="1:7" ht="30" x14ac:dyDescent="0.25">
      <c r="A681" s="4" t="str">
        <f>HYPERLINK("http://techcrunch.com/2012/11/08/how-to-use-electronics-all-day-without-destroying-your-body/","How To Use Electronics All Day Without Destroying Your Body | TechCrunch")</f>
        <v>How To Use Electronics All Day Without Destroying Your Body | TechCrunch</v>
      </c>
      <c r="B681" s="4" t="str">
        <f>HYPERLINK("http://www.facebook.com/8062627951/posts/297547743683823","Here's how to stay healthy while you stare at your screen all day.")</f>
        <v>Here's how to stay healthy while you stare at your screen all day.</v>
      </c>
      <c r="C681" s="3">
        <v>41221.457442129627</v>
      </c>
      <c r="D681" s="2">
        <v>76</v>
      </c>
      <c r="E681" s="2">
        <v>2</v>
      </c>
      <c r="F681" s="2" t="s">
        <v>7</v>
      </c>
      <c r="G681" s="2" t="s">
        <v>7</v>
      </c>
    </row>
    <row r="682" spans="1:7" ht="30" x14ac:dyDescent="0.25">
      <c r="A682" s="4" t="str">
        <f>HYPERLINK("http://tcrn.ch/RHIVrv","Crunchies Tickets On Sale Now | TechCrunch")</f>
        <v>Crunchies Tickets On Sale Now | TechCrunch</v>
      </c>
      <c r="B682" s="4" t="str">
        <f>HYPERLINK("http://www.facebook.com/8062627951/posts/109112409252742","Now for good news! Crunchies Tickets On Sale Now!!! Get yours, folks.")</f>
        <v>Now for good news! Crunchies Tickets On Sale Now!!! Get yours, folks.</v>
      </c>
      <c r="C682" s="3">
        <v>41221.417569444442</v>
      </c>
      <c r="D682" s="2">
        <v>10</v>
      </c>
      <c r="E682" s="2">
        <v>1</v>
      </c>
      <c r="F682" s="2" t="s">
        <v>7</v>
      </c>
      <c r="G682" s="2" t="s">
        <v>7</v>
      </c>
    </row>
    <row r="683" spans="1:7" ht="45" x14ac:dyDescent="0.25">
      <c r="A683" s="4" t="str">
        <f>HYPERLINK("http://techcrunch.com/2012/11/08/twitters-response-to-compromised-account-situation-accounts-were-compromised-but-we-sent-out-too-many-emails/","Twitter’s Response To Compromised Account Situation: Accounts Were Compromised, But We Sent Out Too.")</f>
        <v>Twitter’s Response To Compromised Account Situation: Accounts Were Compromised, But We Sent Out Too.</v>
      </c>
      <c r="B683" s="4" t="str">
        <f>HYPERLINK("http://www.facebook.com/8062627951/posts/550779021605693","Twitter responds. Accounts compromised but too many password resets.")</f>
        <v>Twitter responds. Accounts compromised but too many password resets.</v>
      </c>
      <c r="C683" s="3">
        <v>41221.37605324074</v>
      </c>
      <c r="D683" s="2">
        <v>19</v>
      </c>
      <c r="E683" s="2">
        <v>1</v>
      </c>
      <c r="F683" s="2" t="s">
        <v>7</v>
      </c>
      <c r="G683" s="2" t="s">
        <v>7</v>
      </c>
    </row>
    <row r="684" spans="1:7" ht="45" x14ac:dyDescent="0.25">
      <c r="A684" s="4" t="str">
        <f>HYPERLINK("http://techcrunch.com/2012/11/08/twitter-responds-about-implementing-two-factor-authentication-for-more-security-in-the-future/","Twitter Responds About Implementing Two-Factor Authentication For More Security In The Future | Tech")</f>
        <v>Twitter Responds About Implementing Two-Factor Authentication For More Security In The Future | Tech</v>
      </c>
      <c r="B684" s="4" t="str">
        <f>HYPERLINK("http://www.facebook.com/8062627951/posts/451346204902512","More security is a good thing. It's our data at risk.")</f>
        <v>More security is a good thing. It's our data at risk.</v>
      </c>
      <c r="C684" s="3">
        <v>41221.359953703701</v>
      </c>
      <c r="D684" s="2">
        <v>44</v>
      </c>
      <c r="E684" s="2">
        <v>0</v>
      </c>
      <c r="F684" s="2" t="s">
        <v>7</v>
      </c>
      <c r="G684" s="2" t="s">
        <v>7</v>
      </c>
    </row>
    <row r="685" spans="1:7" ht="45" x14ac:dyDescent="0.25">
      <c r="A685" s="4" t="str">
        <f>HYPERLINK("http://techcrunch.com/2012/11/08/apple-explores-internal-fans-for-mobile-devices-headphones-that-are-also-speakers/","Apple Explores Internal Fans For Mobile Devices, Headphones That Are Also Speakers | TechCrunch")</f>
        <v>Apple Explores Internal Fans For Mobile Devices, Headphones That Are Also Speakers | TechCrunch</v>
      </c>
      <c r="B685" s="4" t="str">
        <f>HYPERLINK("http://www.facebook.com/8062627951/posts/460948060613083","Fans + Headphones? That's kind of neat.")</f>
        <v>Fans + Headphones? That's kind of neat.</v>
      </c>
      <c r="C685" s="3">
        <v>41221.317800925928</v>
      </c>
      <c r="D685" s="2">
        <v>27</v>
      </c>
      <c r="E685" s="2">
        <v>4</v>
      </c>
      <c r="F685" s="2" t="s">
        <v>8</v>
      </c>
      <c r="G685" s="2" t="s">
        <v>7</v>
      </c>
    </row>
    <row r="686" spans="1:7" ht="45" x14ac:dyDescent="0.25">
      <c r="A686" s="4" t="str">
        <f>HYPERLINK("http://techcrunch.com/2012/11/08/you-might-have-gotten-an-email-from-twitter-about-your-account-being-compromised/","You Might Have Gotten An Email From Twitter About Your Account Being Compromised, It’s Real | TechCr")</f>
        <v>You Might Have Gotten An Email From Twitter About Your Account Being Compromised, It’s Real | TechCr</v>
      </c>
      <c r="B686" s="4" t="str">
        <f>HYPERLINK("http://www.facebook.com/8062627951/posts/403878423019362","If you got the email, it's real. Please update your passwords immediately.")</f>
        <v>If you got the email, it's real. Please update your passwords immediately.</v>
      </c>
      <c r="C686" s="3">
        <v>41221.26966435185</v>
      </c>
      <c r="D686" s="2">
        <v>78</v>
      </c>
      <c r="E686" s="2">
        <v>8</v>
      </c>
      <c r="F686" s="2" t="s">
        <v>7</v>
      </c>
      <c r="G686" s="2" t="s">
        <v>7</v>
      </c>
    </row>
    <row r="687" spans="1:7" ht="45" x14ac:dyDescent="0.25">
      <c r="A687" s="4" t="str">
        <f>HYPERLINK("http://techcrunch.com/2012/11/08/samsung-galaxy-siii-beats-iphone-4s-to-be-top-selling-smartphone-globally-in-q3-iphone-5-to-be-top-in-q4-analyst/","Samsung Galaxy SIII Beats iPhone 4S To Be Top-Selling Smartphone Globally In Q3; iPhone 5 To Be Top.")</f>
        <v>Samsung Galaxy SIII Beats iPhone 4S To Be Top-Selling Smartphone Globally In Q3; iPhone 5 To Be Top.</v>
      </c>
      <c r="B687" s="4" t="str">
        <f>HYPERLINK("http://www.facebook.com/8062627951/posts/527442557285532","Bow to the new king: The Samsung Galaxy S III, the best selling smartphone in all the land.")</f>
        <v>Bow to the new king: The Samsung Galaxy S III, the best selling smartphone in all the land.</v>
      </c>
      <c r="C687" s="3">
        <v>41221.22515046296</v>
      </c>
      <c r="D687" s="2">
        <v>450</v>
      </c>
      <c r="E687" s="2">
        <v>49</v>
      </c>
      <c r="F687" s="2" t="s">
        <v>7</v>
      </c>
      <c r="G687" s="2" t="s">
        <v>7</v>
      </c>
    </row>
    <row r="688" spans="1:7" ht="45" x14ac:dyDescent="0.25">
      <c r="A688" s="4" t="str">
        <f>HYPERLINK("http://techcrunch.com/2012/11/07/square-wallet-will-now-be-accepted-in-over-7000-starbucks-stores-in-the-united-states/","Square Wallet Will Now Be Accepted In Over 7,000 Starbucks Stores In The United States | TechCrunch")</f>
        <v>Square Wallet Will Now Be Accepted In Over 7,000 Starbucks Stores In The United States | TechCrunch</v>
      </c>
      <c r="B688" s="4" t="str">
        <f>HYPERLINK("http://www.facebook.com/8062627951/posts/208326535969056","Percolation Station. Starbucks now accepts Square Wallet.")</f>
        <v>Percolation Station. Starbucks now accepts Square Wallet.</v>
      </c>
      <c r="C688" s="3">
        <v>41220.907939814817</v>
      </c>
      <c r="D688" s="2">
        <v>106</v>
      </c>
      <c r="E688" s="2">
        <v>4</v>
      </c>
      <c r="F688" s="2" t="s">
        <v>7</v>
      </c>
      <c r="G688" s="2" t="s">
        <v>7</v>
      </c>
    </row>
    <row r="689" spans="1:7" ht="45" x14ac:dyDescent="0.25">
      <c r="A689" s="4" t="str">
        <f>HYPERLINK("http://techcrunch.com/2012/11/07/reserving-judgements-is-a-matter-of-infinite-hope/","The Narcissism Of Minor Silicon Valley Differences | TechCrunch")</f>
        <v>The Narcissism Of Minor Silicon Valley Differences | TechCrunch</v>
      </c>
      <c r="B689" s="4" t="s">
        <v>51</v>
      </c>
      <c r="C689" s="3">
        <v>41220.875787037039</v>
      </c>
      <c r="D689" s="2">
        <v>42</v>
      </c>
      <c r="E689" s="2">
        <v>7</v>
      </c>
      <c r="F689" s="2" t="s">
        <v>7</v>
      </c>
      <c r="G689" s="2" t="s">
        <v>7</v>
      </c>
    </row>
    <row r="690" spans="1:7" ht="45" x14ac:dyDescent="0.25">
      <c r="A690" s="4" t="str">
        <f>HYPERLINK("http://techcrunch.com/2012/11/07/tumblr-updates-its-ios-app-to-be-completely-native-features-redesigned-dashboard-notifications-and-gestures/","Tumblr Updates Its iOS App To Be “Completely Native”, Features Redesigned Dashboard, Notifications A")</f>
        <v>Tumblr Updates Its iOS App To Be “Completely Native”, Features Redesigned Dashboard, Notifications A</v>
      </c>
      <c r="B690" s="4" t="str">
        <f>HYPERLINK("http://www.facebook.com/8062627951/posts/525287074167938","Oooh, a new Tumblr app for iOS. It's pretty. Do you dig it?")</f>
        <v>Oooh, a new Tumblr app for iOS. It's pretty. Do you dig it?</v>
      </c>
      <c r="C690" s="3">
        <v>41220.842418981483</v>
      </c>
      <c r="D690" s="2">
        <v>44</v>
      </c>
      <c r="E690" s="2">
        <v>11</v>
      </c>
      <c r="F690" s="2" t="s">
        <v>8</v>
      </c>
      <c r="G690" s="2" t="s">
        <v>7</v>
      </c>
    </row>
    <row r="691" spans="1:7" ht="45" x14ac:dyDescent="0.25">
      <c r="A691" s="4" t="str">
        <f>HYPERLINK("http://www.facebook.com/photo.php?fbid=10151324135482952&amp;set=a.114456157951.118433.8062627951&amp;type=1&amp;relevant_count=1","[Photo]")</f>
        <v>[Photo]</v>
      </c>
      <c r="B691" s="4" t="str">
        <f>HYPERLINK("http://www.facebook.com/8062627951/posts/10151324135502952","Is election predictor Nate Silver a witch? Probably. And quantified self data will make you one too http://tcrn.ch/PY7BNS")</f>
        <v>Is election predictor Nate Silver a witch? Probably. And quantified self data will make you one too http://tcrn.ch/PY7BNS</v>
      </c>
      <c r="C691" s="3">
        <v>41220.728703703702</v>
      </c>
      <c r="D691" s="2">
        <v>95</v>
      </c>
      <c r="E691" s="2">
        <v>10</v>
      </c>
      <c r="F691" s="2" t="s">
        <v>8</v>
      </c>
      <c r="G691" s="2" t="s">
        <v>8</v>
      </c>
    </row>
    <row r="692" spans="1:7" ht="45" x14ac:dyDescent="0.25">
      <c r="A692" s="4" t="str">
        <f>HYPERLINK("http://techcrunch.com/2012/11/07/heres-what-a-piece-of-viral-news-looks-like-as-it-makes-its-way-to-google-explore/","Here’s What A Piece Of Viral News Looks Like As It Makes Its Way To Google+ Explore | TechCrunch")</f>
        <v>Here’s What A Piece Of Viral News Looks Like As It Makes Its Way To Google+ Explore | TechCrunch</v>
      </c>
      <c r="B692" s="4" t="str">
        <f>HYPERLINK("http://www.facebook.com/8062627951/posts/366025473489480","Watch the content flow.")</f>
        <v>Watch the content flow.</v>
      </c>
      <c r="C692" s="3">
        <v>41220.713321759256</v>
      </c>
      <c r="D692" s="2">
        <v>54</v>
      </c>
      <c r="E692" s="2">
        <v>1</v>
      </c>
      <c r="F692" s="2" t="s">
        <v>7</v>
      </c>
      <c r="G692" s="2" t="s">
        <v>7</v>
      </c>
    </row>
    <row r="693" spans="1:7" x14ac:dyDescent="0.25">
      <c r="A693" s="4" t="str">
        <f>HYPERLINK("http://www.facebook.com/photo.php?fbid=10151324071517952&amp;set=a.10151134316772952.498619.8062627951&amp;type=1&amp;relevant_count=1","[Photo]")</f>
        <v>[Photo]</v>
      </c>
      <c r="B693" s="4" t="str">
        <f>HYPERLINK("http://www.facebook.com/8062627951/posts/10151324071547952","TCTV and John Biggs doing their thing. #tcdetroit  ")</f>
        <v xml:space="preserve">TCTV and John Biggs doing their thing. #tcdetroit  </v>
      </c>
      <c r="C693" s="3">
        <v>41220.687708333331</v>
      </c>
      <c r="D693" s="2">
        <v>9</v>
      </c>
      <c r="E693" s="2">
        <v>0</v>
      </c>
      <c r="F693" s="2" t="s">
        <v>7</v>
      </c>
      <c r="G693" s="2" t="s">
        <v>8</v>
      </c>
    </row>
    <row r="694" spans="1:7" ht="45" x14ac:dyDescent="0.25">
      <c r="A694" s="4" t="str">
        <f>HYPERLINK("http://techcrunch.com/2012/11/07/too-many-twits-make-a-pm/","Well, What Do You Know: The UK Prime Minister’s iPad ‘App’ Is Real. We Have Details. | TechCrunch")</f>
        <v>Well, What Do You Know: The UK Prime Minister’s iPad ‘App’ Is Real. We Have Details. | TechCrunch</v>
      </c>
      <c r="B694" s="4" t="str">
        <f>HYPERLINK("http://www.facebook.com/8062627951/posts/378508475557081","It's real. And it's kinda geeky. Check this out.")</f>
        <v>It's real. And it's kinda geeky. Check this out.</v>
      </c>
      <c r="C694" s="3">
        <v>41220.683333333334</v>
      </c>
      <c r="D694" s="2">
        <v>46</v>
      </c>
      <c r="E694" s="2">
        <v>1</v>
      </c>
      <c r="F694" s="2" t="s">
        <v>7</v>
      </c>
      <c r="G694" s="2" t="s">
        <v>7</v>
      </c>
    </row>
    <row r="695" spans="1:7" ht="45" x14ac:dyDescent="0.25">
      <c r="A695" s="4" t="str">
        <f>HYPERLINK("http://techcrunch.com/2012/11/07/travtar-hotel-marketplace-bookings-newme-video/","Travtar Lets You Sell Those Hotel Reservations You’ve Booked But Can’t Use | TechCrunch")</f>
        <v>Travtar Lets You Sell Those Hotel Reservations You’ve Booked But Can’t Use | TechCrunch</v>
      </c>
      <c r="B695" s="4" t="str">
        <f>HYPERLINK("http://www.facebook.com/8062627951/posts/547880281892864","Here's a killer idea. It's like subletting your hotel room that you can't use.")</f>
        <v>Here's a killer idea. It's like subletting your hotel room that you can't use.</v>
      </c>
      <c r="C695" s="3">
        <v>41220.66814814815</v>
      </c>
      <c r="D695" s="2">
        <v>69</v>
      </c>
      <c r="E695" s="2">
        <v>14</v>
      </c>
      <c r="F695" s="2" t="s">
        <v>7</v>
      </c>
      <c r="G695" s="2" t="s">
        <v>7</v>
      </c>
    </row>
    <row r="696" spans="1:7" x14ac:dyDescent="0.25">
      <c r="A696" s="4" t="str">
        <f>HYPERLINK("http://www.facebook.com/photo.php?fbid=10151324004692952&amp;set=a.10151134316772952.498619.8062627951&amp;type=1&amp;relevant_count=1","[Photo]")</f>
        <v>[Photo]</v>
      </c>
      <c r="B696" s="4" t="str">
        <f>HYPERLINK("http://www.facebook.com/8062627951/posts/10151324004742952","Detroit Meetup going strong! #tcdetroit  ")</f>
        <v xml:space="preserve">Detroit Meetup going strong! #tcdetroit  </v>
      </c>
      <c r="C696" s="3">
        <v>41220.653831018521</v>
      </c>
      <c r="D696" s="2">
        <v>25</v>
      </c>
      <c r="E696" s="2">
        <v>2</v>
      </c>
      <c r="F696" s="2" t="s">
        <v>7</v>
      </c>
      <c r="G696" s="2" t="s">
        <v>8</v>
      </c>
    </row>
    <row r="697" spans="1:7" ht="30" x14ac:dyDescent="0.25">
      <c r="A697" s="4" t="str">
        <f>HYPERLINK("http://techcrunch.com/2012/11/07/the-kangaroo-is-a-freelancer/","Come Swim With The Sharks (We’re Hiring!) | TechCrunch")</f>
        <v>Come Swim With The Sharks (We’re Hiring!) | TechCrunch</v>
      </c>
      <c r="B697" s="4" t="str">
        <f>HYPERLINK("http://www.facebook.com/8062627951/posts/211326715666948","Nice piece, Joey. We're gonna need a bigger boat!")</f>
        <v>Nice piece, Joey. We're gonna need a bigger boat!</v>
      </c>
      <c r="C697" s="3">
        <v>41220.624108796299</v>
      </c>
      <c r="D697" s="2">
        <v>26</v>
      </c>
      <c r="E697" s="2">
        <v>2</v>
      </c>
      <c r="F697" s="2" t="s">
        <v>7</v>
      </c>
      <c r="G697" s="2" t="s">
        <v>7</v>
      </c>
    </row>
    <row r="698" spans="1:7" ht="45" x14ac:dyDescent="0.25">
      <c r="A698" s="4" t="str">
        <f>HYPERLINK("http://techcrunch.com/2012/11/07/awkward-aclu-defends-pedophiles-to-preserve-anonymous-free-speech/","Awkward! ACLU Defends Pedophiles To Preserve Anonymous Free Speech | TechCrunch")</f>
        <v>Awkward! ACLU Defends Pedophiles To Preserve Anonymous Free Speech | TechCrunch</v>
      </c>
      <c r="B698" s="4" t="str">
        <f>HYPERLINK("http://www.facebook.com/8062627951/posts/379347608806642","“Stopping human trafficking is a worthy goal, but this portion of Prop 35 won’t get us there,” said American Civil Liberties Union attorney, Michael Risher.")</f>
        <v>“Stopping human trafficking is a worthy goal, but this portion of Prop 35 won’t get us there,” said American Civil Liberties Union attorney, Michael Risher.</v>
      </c>
      <c r="C698" s="3">
        <v>41220.619467592594</v>
      </c>
      <c r="D698" s="2">
        <v>9</v>
      </c>
      <c r="E698" s="2">
        <v>4</v>
      </c>
      <c r="F698" s="2" t="s">
        <v>7</v>
      </c>
      <c r="G698" s="2" t="s">
        <v>7</v>
      </c>
    </row>
    <row r="699" spans="1:7" ht="30" x14ac:dyDescent="0.25">
      <c r="A699" s="4" t="str">
        <f>HYPERLINK("http://www.facebook.com/photo.php?fbid=10151323918012952&amp;set=a.10151134316772952.498619.8062627951&amp;type=1&amp;relevant_count=1","[Photo]")</f>
        <v>[Photo]</v>
      </c>
      <c r="B699" s="4" t="str">
        <f>HYPERLINK("http://www.facebook.com/8062627951/posts/10151323918072952","The Detroit Meetup is on. Detroit, we'll see you at 6pm. #TCDetroit  ")</f>
        <v xml:space="preserve">The Detroit Meetup is on. Detroit, we'll see you at 6pm. #TCDetroit  </v>
      </c>
      <c r="C699" s="3">
        <v>41220.605509259258</v>
      </c>
      <c r="D699" s="2">
        <v>33</v>
      </c>
      <c r="E699" s="2">
        <v>2</v>
      </c>
      <c r="F699" s="2" t="s">
        <v>7</v>
      </c>
      <c r="G699" s="2" t="s">
        <v>8</v>
      </c>
    </row>
    <row r="700" spans="1:7" ht="30" x14ac:dyDescent="0.25">
      <c r="A700" s="4" t="str">
        <f>HYPERLINK("http://tcrn.ch/SutNem","Reminder: The TechCrunch Detroit Meetup Is Tonight! | TechCrunch")</f>
        <v>Reminder: The TechCrunch Detroit Meetup Is Tonight! | TechCrunch</v>
      </c>
      <c r="B700" s="4" t="str">
        <f>HYPERLINK("http://www.facebook.com/8062627951/posts/208025589332301","Reminder time! We're in Detroit, let's hang out.")</f>
        <v>Reminder time! We're in Detroit, let's hang out.</v>
      </c>
      <c r="C700" s="3">
        <v>41220.591249999998</v>
      </c>
      <c r="D700" s="2">
        <v>16</v>
      </c>
      <c r="E700" s="2">
        <v>0</v>
      </c>
      <c r="F700" s="2" t="s">
        <v>7</v>
      </c>
      <c r="G700" s="2" t="s">
        <v>7</v>
      </c>
    </row>
    <row r="701" spans="1:7" ht="30" x14ac:dyDescent="0.25">
      <c r="A701" s="4" t="str">
        <f>HYPERLINK("http://www.5min.com/Video/517531684","Perihan Abou-Zeid of Qabila Media Productions")</f>
        <v>Perihan Abou-Zeid of Qabila Media Productions</v>
      </c>
      <c r="B701" s="4" t="str">
        <f>HYPERLINK("http://www.facebook.com/8062627951/posts/112240665589542","What a great company, and a great person. Check out what's hot in Egypt.")</f>
        <v>What a great company, and a great person. Check out what's hot in Egypt.</v>
      </c>
      <c r="C701" s="3">
        <v>41220.580416666664</v>
      </c>
      <c r="D701" s="2">
        <v>8</v>
      </c>
      <c r="E701" s="2">
        <v>5</v>
      </c>
      <c r="F701" s="2" t="s">
        <v>7</v>
      </c>
      <c r="G701" s="2" t="s">
        <v>7</v>
      </c>
    </row>
    <row r="702" spans="1:7" ht="45" x14ac:dyDescent="0.25">
      <c r="A702" s="4" t="str">
        <f>HYPERLINK("http://techcrunch.com/2012/11/07/airbnb-partners-with-nyc-gov-to-provide-free-housing-for-hurricane-sandy-victims/","Airbnb Partners With NYC.gov To Provide Free Housing For Hurricane Sandy Victims | TechCrunch")</f>
        <v>Airbnb Partners With NYC.gov To Provide Free Housing For Hurricane Sandy Victims | TechCrunch</v>
      </c>
      <c r="B702" s="4" t="str">
        <f>HYPERLINK("http://www.facebook.com/8062627951/posts/385562928186909","Awesome move by Airbnb. Are you affected by Sandy and perhaps the next upcoming storm? Let us know how you're getting by! Stay safe.")</f>
        <v>Awesome move by Airbnb. Are you affected by Sandy and perhaps the next upcoming storm? Let us know how you're getting by! Stay safe.</v>
      </c>
      <c r="C702" s="3">
        <v>41220.558587962965</v>
      </c>
      <c r="D702" s="2">
        <v>189</v>
      </c>
      <c r="E702" s="2">
        <v>3</v>
      </c>
      <c r="F702" s="2" t="s">
        <v>8</v>
      </c>
      <c r="G702" s="2" t="s">
        <v>7</v>
      </c>
    </row>
    <row r="703" spans="1:7" x14ac:dyDescent="0.25">
      <c r="A703" s="4" t="str">
        <f>HYPERLINK("http://www.facebook.com/photo.php?fbid=10151323811227952&amp;set=a.114456157951.118433.8062627951&amp;type=1&amp;relevant_count=1","[Photo]")</f>
        <v>[Photo]</v>
      </c>
      <c r="B703" s="4" t="str">
        <f>HYPERLINK("http://www.facebook.com/8062627951/posts/10151323811257952","Check out the new sign outside of our San Francisco office!")</f>
        <v>Check out the new sign outside of our San Francisco office!</v>
      </c>
      <c r="C703" s="3">
        <v>41220.547569444447</v>
      </c>
      <c r="D703" s="2">
        <v>99</v>
      </c>
      <c r="E703" s="2">
        <v>8</v>
      </c>
      <c r="F703" s="2" t="s">
        <v>7</v>
      </c>
      <c r="G703" s="2" t="s">
        <v>8</v>
      </c>
    </row>
    <row r="704" spans="1:7" ht="45" x14ac:dyDescent="0.25">
      <c r="A704" s="4" t="str">
        <f>HYPERLINK("http://techcrunch.com/2012/11/07/killing-rumors-with-facts-no-facebook-didnt-decrease-page-news-feed-reach-to-sell-more-promoted-posts/","Killing Rumors With Facts: No, Facebook Didn’t Decrease Page Feed Reach To Sell More Promoted Posts.")</f>
        <v>Killing Rumors With Facts: No, Facebook Didn’t Decrease Page Feed Reach To Sell More Promoted Posts.</v>
      </c>
      <c r="B704" s="4" t="str">
        <f>HYPERLINK("http://www.facebook.com/8062627951/posts/304263383020822","Ok lets step back for a second.  False rumors proven false.")</f>
        <v>Ok lets step back for a second.  False rumors proven false.</v>
      </c>
      <c r="C704" s="3">
        <v>41220.524710648147</v>
      </c>
      <c r="D704" s="2">
        <v>105</v>
      </c>
      <c r="E704" s="2">
        <v>33</v>
      </c>
      <c r="F704" s="2" t="s">
        <v>7</v>
      </c>
      <c r="G704" s="2" t="s">
        <v>7</v>
      </c>
    </row>
    <row r="705" spans="1:7" ht="45" x14ac:dyDescent="0.25">
      <c r="A705" s="4" t="str">
        <f>HYPERLINK("http://techcrunch.com/2012/11/07/betabrand-6-5m-foundry/","Cult Clothing Retailer Betabrand Raises $6.5 Million From Foundry Group  | TechCrunch")</f>
        <v>Cult Clothing Retailer Betabrand Raises $6.5 Million From Foundry Group  | TechCrunch</v>
      </c>
      <c r="B705" s="4" t="str">
        <f>HYPERLINK("http://www.facebook.com/8062627951/posts/551400474875881","So this is pretty neat. Fans are involved in getting design ideas going for clothes. What would you make if you had a say?")</f>
        <v>So this is pretty neat. Fans are involved in getting design ideas going for clothes. What would you make if you had a say?</v>
      </c>
      <c r="C705" s="3">
        <v>41220.506319444445</v>
      </c>
      <c r="D705" s="2">
        <v>32</v>
      </c>
      <c r="E705" s="2">
        <v>4</v>
      </c>
      <c r="F705" s="2" t="s">
        <v>8</v>
      </c>
      <c r="G705" s="2" t="s">
        <v>7</v>
      </c>
    </row>
    <row r="706" spans="1:7" ht="45" x14ac:dyDescent="0.25">
      <c r="A706" s="4" t="str">
        <f>HYPERLINK("http://techcrunch.com/2012/11/07/report-u-s-internet-data-usage-up-120-percent/","Report: North American Internet Data Usage Up 120% In The Last Year, Netflix Still Responsible For 3")</f>
        <v>Report: North American Internet Data Usage Up 120% In The Last Year, Netflix Still Responsible For 3</v>
      </c>
      <c r="B706" s="4" t="str">
        <f>HYPERLINK("http://www.facebook.com/8062627951/posts/305921139520792","So much Netflixing. What do you like to watch?")</f>
        <v>So much Netflixing. What do you like to watch?</v>
      </c>
      <c r="C706" s="3">
        <v>41220.4609837963</v>
      </c>
      <c r="D706" s="2">
        <v>26</v>
      </c>
      <c r="E706" s="2">
        <v>6</v>
      </c>
      <c r="F706" s="2" t="s">
        <v>8</v>
      </c>
      <c r="G706" s="2" t="s">
        <v>7</v>
      </c>
    </row>
    <row r="707" spans="1:7" ht="45" x14ac:dyDescent="0.25">
      <c r="A707" s="4" t="str">
        <f>HYPERLINK("http://techcrunch.com/2012/11/07/the-12-companies-that-will-compete-in-this-years-leweb-paris-startup-competition/","The 12 Companies That Will Compete In This Year’s LeWeb Paris Startup Competition ")</f>
        <v xml:space="preserve">The 12 Companies That Will Compete In This Year’s LeWeb Paris Startup Competition </v>
      </c>
      <c r="B707" s="4" t="str">
        <f>HYPERLINK("http://www.facebook.com/8062627951/posts/369104553180466","Do any stand out to you?")</f>
        <v>Do any stand out to you?</v>
      </c>
      <c r="C707" s="3">
        <v>41220.393796296295</v>
      </c>
      <c r="D707" s="2">
        <v>32</v>
      </c>
      <c r="E707" s="2">
        <v>5</v>
      </c>
      <c r="F707" s="2" t="s">
        <v>8</v>
      </c>
      <c r="G707" s="2" t="s">
        <v>7</v>
      </c>
    </row>
    <row r="708" spans="1:7" ht="45" x14ac:dyDescent="0.25">
      <c r="A708" s="4" t="str">
        <f>HYPERLINK("http://techcrunch.com/2012/11/07/u-s-court-orders-apple-to-pay-368-million-damages-for-facetime-patent-infringement/","U.S. Court Orders Apple To Pay $368 Million Damages For FaceTime Patent Infringement ")</f>
        <v xml:space="preserve">U.S. Court Orders Apple To Pay $368 Million Damages For FaceTime Patent Infringement </v>
      </c>
      <c r="B708" s="4" t="str">
        <f>HYPERLINK("http://www.facebook.com/8062627951/posts/165027050306783","Yikes. Apple just can't catch a break in the courts right now.")</f>
        <v>Yikes. Apple just can't catch a break in the courts right now.</v>
      </c>
      <c r="C708" s="3">
        <v>41220.36215277778</v>
      </c>
      <c r="D708" s="2">
        <v>228</v>
      </c>
      <c r="E708" s="2">
        <v>47</v>
      </c>
      <c r="F708" s="2" t="s">
        <v>7</v>
      </c>
      <c r="G708" s="2" t="s">
        <v>7</v>
      </c>
    </row>
    <row r="709" spans="1:7" ht="45" x14ac:dyDescent="0.25">
      <c r="A709" s="4" t="str">
        <f>HYPERLINK("http://www.facebook.com/photo.php?fbid=10151323423742952&amp;set=a.10151134316772952.498619.8062627951&amp;type=1&amp;relevant_count=1","[Photo]")</f>
        <v>[Photo]</v>
      </c>
      <c r="B709" s="4" t="str">
        <f>HYPERLINK("http://www.facebook.com/8062627951/posts/10151323423857952","Hey, #annarbor startups with scheduled office hours with us in Michigan today: we are in the basement of the Starbucks downstairs. See you soon. ")</f>
        <v xml:space="preserve">Hey, #annarbor startups with scheduled office hours with us in Michigan today: we are in the basement of the Starbucks downstairs. See you soon. </v>
      </c>
      <c r="C709" s="3">
        <v>41220.354861111111</v>
      </c>
      <c r="D709" s="2">
        <v>35</v>
      </c>
      <c r="E709" s="2">
        <v>2</v>
      </c>
      <c r="F709" s="2" t="s">
        <v>7</v>
      </c>
      <c r="G709" s="2" t="s">
        <v>8</v>
      </c>
    </row>
    <row r="710" spans="1:7" ht="30" x14ac:dyDescent="0.25">
      <c r="A710" s="4" t="str">
        <f>HYPERLINK("http://www.facebook.com/photo.php?fbid=10151323275197952&amp;set=a.114456157951.118433.8062627951&amp;type=1&amp;relevant_count=1","[Photo]")</f>
        <v>[Photo]</v>
      </c>
      <c r="B710" s="4" t="str">
        <f>HYPERLINK("http://www.facebook.com/8062627951/posts/10151323275222952","This robotic dragonfly will soon flit into your nightmares for $99 - http://tcrn.ch/TvZFjP")</f>
        <v>This robotic dragonfly will soon flit into your nightmares for $99 - http://tcrn.ch/TvZFjP</v>
      </c>
      <c r="C710" s="3">
        <v>41220.281087962961</v>
      </c>
      <c r="D710" s="2">
        <v>312</v>
      </c>
      <c r="E710" s="2">
        <v>21</v>
      </c>
      <c r="F710" s="2" t="s">
        <v>7</v>
      </c>
      <c r="G710" s="2" t="s">
        <v>8</v>
      </c>
    </row>
    <row r="711" spans="1:7" ht="30" x14ac:dyDescent="0.25">
      <c r="A711" s="4" t="str">
        <f>HYPERLINK("http://techcrunch.com/2012/11/07/more-tickets-released-for-detroit-and-chicago-meetups/","More Tickets Released For Detroit And Chicago Meetups")</f>
        <v>More Tickets Released For Detroit And Chicago Meetups</v>
      </c>
      <c r="B711" s="4" t="str">
        <f>HYPERLINK("http://www.facebook.com/8062627951/posts/437856399609934","We just released more tickets to our Detroit and Chicago Meetups. Get them while you can!")</f>
        <v>We just released more tickets to our Detroit and Chicago Meetups. Get them while you can!</v>
      </c>
      <c r="C711" s="3">
        <v>41220.264166666668</v>
      </c>
      <c r="D711" s="2">
        <v>10</v>
      </c>
      <c r="E711" s="2">
        <v>0</v>
      </c>
      <c r="F711" s="2" t="s">
        <v>7</v>
      </c>
      <c r="G711" s="2" t="s">
        <v>7</v>
      </c>
    </row>
    <row r="712" spans="1:7" ht="30" x14ac:dyDescent="0.25">
      <c r="A712" s="4" t="str">
        <f>HYPERLINK("http://techcrunch.com/2012/11/07/pundit-forecasts-all-wrong-silver-perfectly-right-is-punditry-dead/","Pundit Forecasts All Wrong, Silver Perfectly Right. Is Punditry Dead?")</f>
        <v>Pundit Forecasts All Wrong, Silver Perfectly Right. Is Punditry Dead?</v>
      </c>
      <c r="B712" s="4" t="str">
        <f>HYPERLINK("http://www.facebook.com/8062627951/posts/404968846243798","What do you think? Is it?")</f>
        <v>What do you think? Is it?</v>
      </c>
      <c r="C712" s="3">
        <v>41220.258379629631</v>
      </c>
      <c r="D712" s="2">
        <v>137</v>
      </c>
      <c r="E712" s="2">
        <v>24</v>
      </c>
      <c r="F712" s="2" t="s">
        <v>8</v>
      </c>
      <c r="G712" s="2" t="s">
        <v>7</v>
      </c>
    </row>
    <row r="713" spans="1:7" ht="30" x14ac:dyDescent="0.25">
      <c r="A713" s="4" t="str">
        <f>HYPERLINK("http://www.facebook.com/photo.php?fbid=10151322816997952&amp;set=a.114456157951.118433.8062627951&amp;type=1&amp;relevant_count=1","[Photo]")</f>
        <v>[Photo]</v>
      </c>
      <c r="B713" s="4" t="str">
        <f>HYPERLINK("http://www.facebook.com/8062627951/posts/10151322817037952","Obama declares election victory via email and tweet before speech http://tcrn.ch/SZBES4")</f>
        <v>Obama declares election victory via email and tweet before speech http://tcrn.ch/SZBES4</v>
      </c>
      <c r="C713" s="3">
        <v>41219.915601851855</v>
      </c>
      <c r="D713" s="2">
        <v>922</v>
      </c>
      <c r="E713" s="2">
        <v>47</v>
      </c>
      <c r="F713" s="2" t="s">
        <v>7</v>
      </c>
      <c r="G713" s="2" t="s">
        <v>8</v>
      </c>
    </row>
    <row r="714" spans="1:7" ht="30" x14ac:dyDescent="0.25">
      <c r="A714" s="4" t="str">
        <f>HYPERLINK("http://techcrunch.com/2012/11/06/obama-wins-the-election-heres-his-technology-agenda/","Obama Wins The Election! Here’s His Technology Agenda")</f>
        <v>Obama Wins The Election! Here’s His Technology Agenda</v>
      </c>
      <c r="B714" s="4" t="str">
        <f>HYPERLINK("http://www.facebook.com/8062627951/posts/450142988381590","Obama Wins! Here's his technology agenda")</f>
        <v>Obama Wins! Here's his technology agenda</v>
      </c>
      <c r="C714" s="3">
        <v>41219.8515625</v>
      </c>
      <c r="D714" s="2">
        <v>451</v>
      </c>
      <c r="E714" s="2">
        <v>18</v>
      </c>
      <c r="F714" s="2" t="s">
        <v>7</v>
      </c>
      <c r="G714" s="2" t="s">
        <v>7</v>
      </c>
    </row>
    <row r="715" spans="1:7" ht="30" x14ac:dyDescent="0.25">
      <c r="A715" s="4" t="str">
        <f>HYPERLINK("http://techcrunch.com/2012/11/06/the-pen-is-not-mightier/","If Pen Beats Sword, Camera Beats Pen | TechCrunch")</f>
        <v>If Pen Beats Sword, Camera Beats Pen | TechCrunch</v>
      </c>
      <c r="B715" s="4" t="str">
        <f>HYPERLINK("http://www.facebook.com/8062627951/posts/243045289155925","Is Instagram the key to Facebook's Timeline feature moving forward to the next level?")</f>
        <v>Is Instagram the key to Facebook's Timeline feature moving forward to the next level?</v>
      </c>
      <c r="C715" s="3">
        <v>41219.711828703701</v>
      </c>
      <c r="D715" s="2">
        <v>49</v>
      </c>
      <c r="E715" s="2">
        <v>3</v>
      </c>
      <c r="F715" s="2" t="s">
        <v>8</v>
      </c>
      <c r="G715" s="2" t="s">
        <v>7</v>
      </c>
    </row>
    <row r="716" spans="1:7" ht="45" x14ac:dyDescent="0.25">
      <c r="A716" s="4" t="str">
        <f>HYPERLINK("http://techcrunch.com/2012/11/06/spriggle-kids-toys-playdates/","Spriggle Wants To Let Parents Shop For Science-Friendly Kids’ Toys Through Tupperware-Type Parties |")</f>
        <v>Spriggle Wants To Let Parents Shop For Science-Friendly Kids’ Toys Through Tupperware-Type Parties |</v>
      </c>
      <c r="B716" s="4" t="str">
        <f>HYPERLINK("http://www.facebook.com/8062627951/posts/116423715183345","Science is awesome, especially for kids. This is cool, huh?")</f>
        <v>Science is awesome, especially for kids. This is cool, huh?</v>
      </c>
      <c r="C716" s="3">
        <v>41219.669178240743</v>
      </c>
      <c r="D716" s="2">
        <v>23</v>
      </c>
      <c r="E716" s="2">
        <v>0</v>
      </c>
      <c r="F716" s="2" t="s">
        <v>8</v>
      </c>
      <c r="G716" s="2" t="s">
        <v>7</v>
      </c>
    </row>
    <row r="717" spans="1:7" ht="45" x14ac:dyDescent="0.25">
      <c r="A717" s="4" t="str">
        <f>HYPERLINK("http://techcrunch.com/2012/11/06/duxter-public-beta/","A LinkedIn For Gamers? Duxter Tries To Build A Broad Gaming Social Networking, Opens Public Beta | T")</f>
        <v>A LinkedIn For Gamers? Duxter Tries To Build A Broad Gaming Social Networking, Opens Public Beta | T</v>
      </c>
      <c r="B717" s="4" t="str">
        <f>HYPERLINK("http://www.facebook.com/8062627951/posts/375260799223264","And now for something completely different. Are you a gamer looking to hang out and talk to other gamers? This could be up your alley.")</f>
        <v>And now for something completely different. Are you a gamer looking to hang out and talk to other gamers? This could be up your alley.</v>
      </c>
      <c r="C717" s="3">
        <v>41219.608287037037</v>
      </c>
      <c r="D717" s="2">
        <v>37</v>
      </c>
      <c r="E717" s="2">
        <v>5</v>
      </c>
      <c r="F717" s="2" t="s">
        <v>8</v>
      </c>
      <c r="G717" s="2" t="s">
        <v>7</v>
      </c>
    </row>
    <row r="718" spans="1:7" ht="30" x14ac:dyDescent="0.25">
      <c r="A718" s="4" t="str">
        <f>HYPERLINK("http://techcrunch.com/2012/11/06/google-tests-new-navigation-lots-of-whitespace-no-sidebar-ads","Google Tests New Navigation: Lots Of Whitespace, No Sidebar Ads | TechCrunch")</f>
        <v>Google Tests New Navigation: Lots Of Whitespace, No Sidebar Ads | TechCrunch</v>
      </c>
      <c r="B718" s="4" t="str">
        <f>HYPERLINK("http://www.facebook.com/8062627951/posts/405427502856696","Ooooh, Google is playing with its design again. Do you have it yet? Do you like simple or could is Google too plain?")</f>
        <v>Ooooh, Google is playing with its design again. Do you have it yet? Do you like simple or could is Google too plain?</v>
      </c>
      <c r="C718" s="3">
        <v>41219.595729166664</v>
      </c>
      <c r="D718" s="2">
        <v>67</v>
      </c>
      <c r="E718" s="2">
        <v>30</v>
      </c>
      <c r="F718" s="2" t="s">
        <v>8</v>
      </c>
      <c r="G718" s="2" t="s">
        <v>7</v>
      </c>
    </row>
    <row r="719" spans="1:7" ht="30" x14ac:dyDescent="0.25">
      <c r="A719" s="4" t="str">
        <f>HYPERLINK("http://techcrunch.com/2012/10/31/pirates-love-prop-e/","If You Love Startups And Live In San Francisco, Vote Yes On Prop E")</f>
        <v>If You Love Startups And Live In San Francisco, Vote Yes On Prop E</v>
      </c>
      <c r="B719" s="4" t="str">
        <f>HYPERLINK("http://www.facebook.com/8062627951/posts/462333720476825","San Franciscans, don't forget. Go VOTE.")</f>
        <v>San Franciscans, don't forget. Go VOTE.</v>
      </c>
      <c r="C719" s="3">
        <v>41219.593252314815</v>
      </c>
      <c r="D719" s="2">
        <v>33</v>
      </c>
      <c r="E719" s="2">
        <v>4</v>
      </c>
      <c r="F719" s="2" t="s">
        <v>7</v>
      </c>
      <c r="G719" s="2" t="s">
        <v>7</v>
      </c>
    </row>
    <row r="720" spans="1:7" ht="45" x14ac:dyDescent="0.25">
      <c r="A720" s="4" t="str">
        <f>HYPERLINK("http://techcrunch.com/2012/11/06/report-internet-explorer-10-is-the-fastest-browser-on-windows-chrome-19-wins-on-mac/","Report: Internet Explorer 10 Is The Fastest Browser On Windows, Chrome 19 Wins On Mac | TechCrunch")</f>
        <v>Report: Internet Explorer 10 Is The Fastest Browser On Windows, Chrome 19 Wins On Mac | TechCrunch</v>
      </c>
      <c r="B720" s="4" t="str">
        <f>HYPERLINK("http://www.facebook.com/8062627951/posts/125900170896984","Does this surprise you at all? Looks like Chrome has some catching up to do. What's your browser of choice?")</f>
        <v>Does this surprise you at all? Looks like Chrome has some catching up to do. What's your browser of choice?</v>
      </c>
      <c r="C720" s="3">
        <v>41219.586782407408</v>
      </c>
      <c r="D720" s="2">
        <v>44</v>
      </c>
      <c r="E720" s="2">
        <v>14</v>
      </c>
      <c r="F720" s="2" t="s">
        <v>8</v>
      </c>
      <c r="G720" s="2" t="s">
        <v>7</v>
      </c>
    </row>
    <row r="721" spans="1:7" ht="45" x14ac:dyDescent="0.25">
      <c r="A721" s="4" t="str">
        <f>HYPERLINK("http://techcrunch.com/2012/11/06/apple-looks-to-add-jelly-bean-galaxy-note-10-1-to-existing-samsung-lawsuit/","Apple Looks To Add Jelly Bean, Galaxy Note 10.1 To Existing Samsung Lawsuit | TechCrunch")</f>
        <v>Apple Looks To Add Jelly Bean, Galaxy Note 10.1 To Existing Samsung Lawsuit | TechCrunch</v>
      </c>
      <c r="B721" s="4" t="str">
        <f>HYPERLINK("http://www.facebook.com/8062627951/posts/414854888581671","Apple isn't happy, therefore nothing is safe. Enjoy your Jelly Bean(s)!")</f>
        <v>Apple isn't happy, therefore nothing is safe. Enjoy your Jelly Bean(s)!</v>
      </c>
      <c r="C721" s="3">
        <v>41219.574259259258</v>
      </c>
      <c r="D721" s="2">
        <v>54</v>
      </c>
      <c r="E721" s="2">
        <v>42</v>
      </c>
      <c r="F721" s="2" t="s">
        <v>7</v>
      </c>
      <c r="G721" s="2" t="s">
        <v>7</v>
      </c>
    </row>
    <row r="722" spans="1:7" ht="45" x14ac:dyDescent="0.25">
      <c r="A722" s="4" t="str">
        <f>HYPERLINK("http://techcrunch.com/2012/11/06/raspberry-pi-gets-risc-os-a-25-year-old-system-made-by-the-wizards-of-arm/","Raspberry Pi Gets RISC OS, A 25-Year-Old System Made By The Wizards Of ARM | TechCrunch")</f>
        <v>Raspberry Pi Gets RISC OS, A 25-Year-Old System Made By The Wizards Of ARM | TechCrunch</v>
      </c>
      <c r="B722" s="4" t="str">
        <f>HYPERLINK("http://www.facebook.com/8062627951/posts/278628398907233","Something new with something old. If you're an uber geek, check this one out.")</f>
        <v>Something new with something old. If you're an uber geek, check this one out.</v>
      </c>
      <c r="C722" s="3">
        <v>41219.552997685183</v>
      </c>
      <c r="D722" s="2">
        <v>39</v>
      </c>
      <c r="E722" s="2">
        <v>0</v>
      </c>
      <c r="F722" s="2" t="s">
        <v>7</v>
      </c>
      <c r="G722" s="2" t="s">
        <v>7</v>
      </c>
    </row>
    <row r="723" spans="1:7" ht="45" x14ac:dyDescent="0.25">
      <c r="A723" s="4" t="str">
        <f>HYPERLINK("http://techcrunch.com/2012/11/06/verizon-and-htc-to-show-off-their-latest-collaboration-on-november-13/","Verizon And HTC To Show Off Their “Latest Collaboration” On November 13 | TechCrunch")</f>
        <v>Verizon And HTC To Show Off Their “Latest Collaboration” On November 13 | TechCrunch</v>
      </c>
      <c r="B723" s="4" t="str">
        <f>HYPERLINK("http://www.facebook.com/8062627951/posts/493807403974638","Maybe THIS is the flying car that we're all waiting for. What do you think Verizon and HTC has up their sleeve for the 13th?")</f>
        <v>Maybe THIS is the flying car that we're all waiting for. What do you think Verizon and HTC has up their sleeve for the 13th?</v>
      </c>
      <c r="C723" s="3">
        <v>41219.500532407408</v>
      </c>
      <c r="D723" s="2">
        <v>17</v>
      </c>
      <c r="E723" s="2">
        <v>3</v>
      </c>
      <c r="F723" s="2" t="s">
        <v>8</v>
      </c>
      <c r="G723" s="2" t="s">
        <v>7</v>
      </c>
    </row>
    <row r="724" spans="1:7" ht="45" x14ac:dyDescent="0.25">
      <c r="A724" s="4" t="str">
        <f>HYPERLINK("http://techcrunch.com/2012/11/06/keen-on-tucker-max-how-an-asshole-is-blowing-up-the-publishing-industry-tctv/","Keen On… Tucker Max: How An Asshole Is Blowing Up The Publishing Industry [TCTV] | TechCrunch")</f>
        <v>Keen On… Tucker Max: How An Asshole Is Blowing Up The Publishing Industry [TCTV] | TechCrunch</v>
      </c>
      <c r="B724" s="4" t="str">
        <f>HYPERLINK("http://www.facebook.com/8062627951/posts/363413280418250","All the disruptions! Now Publishing is getting blown up.")</f>
        <v>All the disruptions! Now Publishing is getting blown up.</v>
      </c>
      <c r="C724" s="3">
        <v>41219.495775462965</v>
      </c>
      <c r="D724" s="2">
        <v>27</v>
      </c>
      <c r="E724" s="2">
        <v>3</v>
      </c>
      <c r="F724" s="2" t="s">
        <v>7</v>
      </c>
      <c r="G724" s="2" t="s">
        <v>7</v>
      </c>
    </row>
    <row r="725" spans="1:7" ht="45" x14ac:dyDescent="0.25">
      <c r="A725" s="4" t="str">
        <f>HYPERLINK("http://tcrn.ch/SydLQZ","End Of An Era: Windows Live Messenger To Be Retired, Users Transitioned To Skype | TechCrunch")</f>
        <v>End Of An Era: Windows Live Messenger To Be Retired, Users Transitioned To Skype | TechCrunch</v>
      </c>
      <c r="B725" s="4" t="str">
        <f>HYPERLINK("http://www.facebook.com/8062627951/posts/297799253668916","Goodbye Windows Live Messenger, Hello Super Skype.")</f>
        <v>Goodbye Windows Live Messenger, Hello Super Skype.</v>
      </c>
      <c r="C725" s="3">
        <v>41219.479212962964</v>
      </c>
      <c r="D725" s="2">
        <v>231</v>
      </c>
      <c r="E725" s="2">
        <v>20</v>
      </c>
      <c r="F725" s="2" t="s">
        <v>7</v>
      </c>
      <c r="G725" s="2" t="s">
        <v>7</v>
      </c>
    </row>
    <row r="726" spans="1:7" ht="30" x14ac:dyDescent="0.25">
      <c r="A726" s="4" t="str">
        <f>HYPERLINK("http://techcrunch.com/2012/11/06/watch-voting-machine-change-obama-votes-to-romney-votes/","Watch Voting Machine Change Obama Votes To Romney Votes | TechCrunch")</f>
        <v>Watch Voting Machine Change Obama Votes To Romney Votes | TechCrunch</v>
      </c>
      <c r="B726" s="4" t="str">
        <f>HYPERLINK("http://www.facebook.com/8062627951/posts/418587471541377","Pretty sure this is a bug and not a feature. Yikes!")</f>
        <v>Pretty sure this is a bug and not a feature. Yikes!</v>
      </c>
      <c r="C726" s="3">
        <v>41219.466956018521</v>
      </c>
      <c r="D726" s="2">
        <v>281</v>
      </c>
      <c r="E726" s="2">
        <v>97</v>
      </c>
      <c r="F726" s="2" t="s">
        <v>7</v>
      </c>
      <c r="G726" s="2" t="s">
        <v>7</v>
      </c>
    </row>
    <row r="727" spans="1:7" ht="45" x14ac:dyDescent="0.25">
      <c r="A727" s="4" t="str">
        <f>HYPERLINK("http://techcrunch.com/2012/11/06/betaworks-tapestry/","Betaworks Launches Tapestry, A Way To Author Beautiful Smartphone Essays | TechCrunch")</f>
        <v>Betaworks Launches Tapestry, A Way To Author Beautiful Smartphone Essays | TechCrunch</v>
      </c>
      <c r="B727" s="4" t="str">
        <f>HYPERLINK("http://www.facebook.com/8062627951/posts/439612022765430","Write an essay on a smartphone? Well that's cool.")</f>
        <v>Write an essay on a smartphone? Well that's cool.</v>
      </c>
      <c r="C727" s="3">
        <v>41219.460972222223</v>
      </c>
      <c r="D727" s="2">
        <v>29</v>
      </c>
      <c r="E727" s="2">
        <v>1</v>
      </c>
      <c r="F727" s="2" t="s">
        <v>8</v>
      </c>
      <c r="G727" s="2" t="s">
        <v>7</v>
      </c>
    </row>
    <row r="728" spans="1:7" ht="45" x14ac:dyDescent="0.25">
      <c r="A728" s="4" t="str">
        <f>HYPERLINK("http://techcrunch.com/2012/11/06/apis-and-private-equity-european-startups-address-both-ends-of-the-spectrum-in-one-day/","APIs And Private Equity – European Startups Address Both Ends Of The Spectrum In One Day | TechCrunc")</f>
        <v>APIs And Private Equity – European Startups Address Both Ends Of The Spectrum In One Day | TechCrunc</v>
      </c>
      <c r="B728" s="4" t="str">
        <f>HYPERLINK("http://www.facebook.com/8062627951/posts/373282392753606","This is great news for London. VCs are taking notice.")</f>
        <v>This is great news for London. VCs are taking notice.</v>
      </c>
      <c r="C728" s="3">
        <v>41219.450358796297</v>
      </c>
      <c r="D728" s="2">
        <v>24</v>
      </c>
      <c r="E728" s="2">
        <v>3</v>
      </c>
      <c r="F728" s="2" t="s">
        <v>7</v>
      </c>
      <c r="G728" s="2" t="s">
        <v>7</v>
      </c>
    </row>
    <row r="729" spans="1:7" ht="45" x14ac:dyDescent="0.25">
      <c r="A729" s="4" t="str">
        <f>HYPERLINK("http://techcrunch.com/2012/11/06/google-chromes-latest-release-promises-to-take-it-easier-on-your-devices-battery-25-for-some/","Google Chrome’s Latest Release Promises To Take It Easier On Your Battery, Adds “Do Not Track” Suppo")</f>
        <v>Google Chrome’s Latest Release Promises To Take It Easier On Your Battery, Adds “Do Not Track” Suppo</v>
      </c>
      <c r="B729" s="4" t="str">
        <f>HYPERLINK("http://www.facebook.com/8062627951/posts/377281182354302","Good news, Google Chrome is faster and more secure. Bad news, still no flying cars.")</f>
        <v>Good news, Google Chrome is faster and more secure. Bad news, still no flying cars.</v>
      </c>
      <c r="C729" s="3">
        <v>41219.443530092591</v>
      </c>
      <c r="D729" s="2">
        <v>82</v>
      </c>
      <c r="E729" s="2">
        <v>9</v>
      </c>
      <c r="F729" s="2" t="s">
        <v>7</v>
      </c>
      <c r="G729" s="2" t="s">
        <v>7</v>
      </c>
    </row>
    <row r="730" spans="1:7" ht="45" x14ac:dyDescent="0.25">
      <c r="A730" s="4" t="str">
        <f>HYPERLINK("http://techcrunch.com/2012/11/05/mary-meeker-internet-trends/","Mary Meeker Gives Mid-Year Internet Trends Report: Android Adoption Ramping Up 6X Faster Than iPhone")</f>
        <v>Mary Meeker Gives Mid-Year Internet Trends Report: Android Adoption Ramping Up 6X Faster Than iPhone</v>
      </c>
      <c r="B730" s="4" t="str">
        <f>HYPERLINK("http://www.facebook.com/8062627951/posts/464646240241119","Really important mobile trends here. Android appears to be on fire. Are you Android/iOS/Windows/Other?")</f>
        <v>Really important mobile trends here. Android appears to be on fire. Are you Android/iOS/Windows/Other?</v>
      </c>
      <c r="C730" s="3">
        <v>41219.416168981479</v>
      </c>
      <c r="D730" s="2">
        <v>91</v>
      </c>
      <c r="E730" s="2">
        <v>28</v>
      </c>
      <c r="F730" s="2" t="s">
        <v>8</v>
      </c>
      <c r="G730" s="2" t="s">
        <v>7</v>
      </c>
    </row>
    <row r="731" spans="1:7" x14ac:dyDescent="0.25">
      <c r="A731" s="4" t="str">
        <f>HYPERLINK("http://www.facebook.com/photo.php?fbid=10151321787212952&amp;set=a.10151134316772952.498619.8062627951&amp;type=1&amp;relevant_count=1","[Photo]")</f>
        <v>[Photo]</v>
      </c>
      <c r="B731" s="4" t="str">
        <f>HYPERLINK("http://www.facebook.com/8062627951/posts/10151321787242952","Bye Toronto. It was fun! #TCToronto ")</f>
        <v xml:space="preserve">Bye Toronto. It was fun! #TCToronto </v>
      </c>
      <c r="C731" s="3">
        <v>41219.408206018517</v>
      </c>
      <c r="D731" s="2">
        <v>73</v>
      </c>
      <c r="E731" s="2">
        <v>1</v>
      </c>
      <c r="F731" s="2" t="s">
        <v>7</v>
      </c>
      <c r="G731" s="2" t="s">
        <v>8</v>
      </c>
    </row>
    <row r="732" spans="1:7" ht="45" x14ac:dyDescent="0.25">
      <c r="A732" s="4" t="str">
        <f>HYPERLINK("http://techcrunch.com/2012/11/06/cant-figure-out-which-candidate-is-winning-use-these-web-apps/","Can’t Figure Out Which Candidate Is Winning? Use These Web Apps | TechCrunch")</f>
        <v>Can’t Figure Out Which Candidate Is Winning? Use These Web Apps | TechCrunch</v>
      </c>
      <c r="B732" s="4" t="str">
        <f>HYPERLINK("http://www.facebook.com/8062627951/posts/370595209694601","This public service announcement brought to you by geeks who care. Share with your friends and family!")</f>
        <v>This public service announcement brought to you by geeks who care. Share with your friends and family!</v>
      </c>
      <c r="C732" s="3">
        <v>41219.390462962961</v>
      </c>
      <c r="D732" s="2">
        <v>69</v>
      </c>
      <c r="E732" s="2">
        <v>2</v>
      </c>
      <c r="F732" s="2" t="s">
        <v>7</v>
      </c>
      <c r="G732" s="2" t="s">
        <v>7</v>
      </c>
    </row>
    <row r="733" spans="1:7" ht="45" x14ac:dyDescent="0.25">
      <c r="A733" s="4" t="str">
        <f>HYPERLINK("http://techcrunch.com/2012/11/06/att-to-launch-99-nokia-lumia-920-49-lumia-820-on-nov-9-htcs-8x-to-arrive-before-thanksgiving/","AT&amp;T To Launch $99 Nokia Lumia 920, $49 Lumia 820 On Nov. 9; HTC’s 8X To Arrive “Before Thanksgiving")</f>
        <v>AT&amp;T To Launch $99 Nokia Lumia 920, $49 Lumia 820 On Nov. 9; HTC’s 8X To Arrive “Before Thanksgiving</v>
      </c>
      <c r="B733" s="4" t="str">
        <f>HYPERLINK("http://www.facebook.com/8062627951/posts/475167322527739","Happy Turkey Day, more Windows Phones. Are you in?")</f>
        <v>Happy Turkey Day, more Windows Phones. Are you in?</v>
      </c>
      <c r="C733" s="3">
        <v>41219.37804398148</v>
      </c>
      <c r="D733" s="2">
        <v>34</v>
      </c>
      <c r="E733" s="2">
        <v>1</v>
      </c>
      <c r="F733" s="2" t="s">
        <v>8</v>
      </c>
      <c r="G733" s="2" t="s">
        <v>7</v>
      </c>
    </row>
    <row r="734" spans="1:7" ht="45" x14ac:dyDescent="0.25">
      <c r="A734" s="4" t="str">
        <f>HYPERLINK("http://techcrunch.com/2012/11/06/click-facebooks-im-voting-button-research-shows-it-boosts-turnout/","Click Facebook’s ‘I’m Voting’ Button, Research Shows It Boosts Turnout | TechCrunch")</f>
        <v>Click Facebook’s ‘I’m Voting’ Button, Research Shows It Boosts Turnout | TechCrunch</v>
      </c>
      <c r="B734" s="4" t="str">
        <f>HYPERLINK("http://www.facebook.com/8062627951/posts/135014703313934","Happy Election Day! Are you voting? Facebook now lets you tell your friends if you are.")</f>
        <v>Happy Election Day! Are you voting? Facebook now lets you tell your friends if you are.</v>
      </c>
      <c r="C734" s="3">
        <v>41219.358275462961</v>
      </c>
      <c r="D734" s="2">
        <v>48</v>
      </c>
      <c r="E734" s="2">
        <v>11</v>
      </c>
      <c r="F734" s="2" t="s">
        <v>8</v>
      </c>
      <c r="G734" s="2" t="s">
        <v>7</v>
      </c>
    </row>
    <row r="735" spans="1:7" ht="45" x14ac:dyDescent="0.25">
      <c r="A735" s="4" t="str">
        <f>HYPERLINK("http://techcrunch.com/2012/11/06/yep-its-coming-google-wallets-help-site-mentions-the-google-wallet-card/","Yep, It’s Coming: Google Wallet’s Help Site Mentions The “Google Wallet Card” | TechCrunch")</f>
        <v>Yep, It’s Coming: Google Wallet’s Help Site Mentions The “Google Wallet Card” | TechCrunch</v>
      </c>
      <c r="B735" s="4" t="str">
        <f>HYPERLINK("http://www.facebook.com/8062627951/posts/125690954251464","Oh boy, another card to carry! Will you be getting yours?")</f>
        <v>Oh boy, another card to carry! Will you be getting yours?</v>
      </c>
      <c r="C735" s="3">
        <v>41219.349305555559</v>
      </c>
      <c r="D735" s="2">
        <v>52</v>
      </c>
      <c r="E735" s="2">
        <v>15</v>
      </c>
      <c r="F735" s="2" t="s">
        <v>8</v>
      </c>
      <c r="G735" s="2" t="s">
        <v>7</v>
      </c>
    </row>
    <row r="736" spans="1:7" ht="30" x14ac:dyDescent="0.25">
      <c r="A736" s="4" t="str">
        <f>HYPERLINK("http://techcrunch.com/2012/11/06/amazon-offers-7-99-monthly-subscription-to-amazon-prime/","Amazon Offers $7.99 Monthly Subscription To Amazon Prime | TechCrunch")</f>
        <v>Amazon Offers $7.99 Monthly Subscription To Amazon Prime | TechCrunch</v>
      </c>
      <c r="B736" s="4" t="str">
        <f>HYPERLINK("http://www.facebook.com/8062627951/posts/401670263235823","That's not a bad deal. Have you signed up?")</f>
        <v>That's not a bad deal. Have you signed up?</v>
      </c>
      <c r="C736" s="3">
        <v>41219.347037037034</v>
      </c>
      <c r="D736" s="2">
        <v>55</v>
      </c>
      <c r="E736" s="2">
        <v>17</v>
      </c>
      <c r="F736" s="2" t="s">
        <v>8</v>
      </c>
      <c r="G736" s="2" t="s">
        <v>7</v>
      </c>
    </row>
    <row r="737" spans="1:7" x14ac:dyDescent="0.25">
      <c r="A737" s="4" t="str">
        <f>HYPERLINK("http://www.facebook.com/photo.php?fbid=10151321644897952&amp;set=a.10151134316772952.498619.8062627951&amp;type=1&amp;relevant_count=1","[Photo]")</f>
        <v>[Photo]</v>
      </c>
      <c r="B737" s="4" t="str">
        <f>HYPERLINK("http://www.facebook.com/8062627951/posts/10151321644957952","From last night. Detroit, are you ready? #TCDetroit ")</f>
        <v xml:space="preserve">From last night. Detroit, are you ready? #TCDetroit </v>
      </c>
      <c r="C737" s="3">
        <v>41219.34679398148</v>
      </c>
      <c r="D737" s="2">
        <v>33</v>
      </c>
      <c r="E737" s="2">
        <v>2</v>
      </c>
      <c r="F737" s="2" t="s">
        <v>8</v>
      </c>
      <c r="G737" s="2" t="s">
        <v>8</v>
      </c>
    </row>
    <row r="738" spans="1:7" ht="45" x14ac:dyDescent="0.25">
      <c r="A738" s="4" t="str">
        <f>HYPERLINK("http://techcrunch.com/2012/11/05/facebook-multi-photo-uploads/","Facebook’s iOS App Gets Multi-Photo Sharing, Gifts, Chat Buddy List. And Here’s What Might Come Next")</f>
        <v>Facebook’s iOS App Gets Multi-Photo Sharing, Gifts, Chat Buddy List. And Here’s What Might Come Next</v>
      </c>
      <c r="B738" s="4" t="str">
        <f>HYPERLINK("http://www.facebook.com/8062627951/posts/244613475664308","Buddy Lists, Multi-Photo Sharing, Gifts, Oh My!")</f>
        <v>Buddy Lists, Multi-Photo Sharing, Gifts, Oh My!</v>
      </c>
      <c r="C738" s="3">
        <v>41218.672523148147</v>
      </c>
      <c r="D738" s="2">
        <v>86</v>
      </c>
      <c r="E738" s="2">
        <v>12</v>
      </c>
      <c r="F738" s="2" t="s">
        <v>7</v>
      </c>
      <c r="G738" s="2" t="s">
        <v>7</v>
      </c>
    </row>
    <row r="739" spans="1:7" ht="30" x14ac:dyDescent="0.25">
      <c r="A739" s="4" t="str">
        <f>HYPERLINK("http://www.facebook.com/photo.php?fbid=10151320575812952&amp;set=a.10151134316772952.498619.8062627951&amp;type=1&amp;relevant_count=1","[Photo]")</f>
        <v>[Photo]</v>
      </c>
      <c r="B739" s="4" t="str">
        <f>HYPERLINK("http://www.facebook.com/8062627951/posts/10151320575867952","#TCToronto going strong and it's only the beginning of the night! ")</f>
        <v xml:space="preserve">#TCToronto going strong and it's only the beginning of the night! </v>
      </c>
      <c r="C739" s="3">
        <v>41218.669918981483</v>
      </c>
      <c r="D739" s="2">
        <v>68</v>
      </c>
      <c r="E739" s="2">
        <v>3</v>
      </c>
      <c r="F739" s="2" t="s">
        <v>7</v>
      </c>
      <c r="G739" s="2" t="s">
        <v>8</v>
      </c>
    </row>
    <row r="740" spans="1:7" ht="45" x14ac:dyDescent="0.25">
      <c r="A740" s="4" t="str">
        <f>HYPERLINK("http://techcrunch.com/2012/11/05/apple-reportedly-looking-into-switching-from-intel-to-in-house-chips-for-macs/","Apple Reportedly Looking Into Switching From Intel To In-House Chips For Macs | TechCrunch")</f>
        <v>Apple Reportedly Looking Into Switching From Intel To In-House Chips For Macs | TechCrunch</v>
      </c>
      <c r="B740" s="4" t="str">
        <f>HYPERLINK("http://www.facebook.com/8062627951/posts/398851530186051","Apple could be bringing more of its manufacturing in-house. What's next?")</f>
        <v>Apple could be bringing more of its manufacturing in-house. What's next?</v>
      </c>
      <c r="C740" s="3">
        <v>41218.640706018516</v>
      </c>
      <c r="D740" s="2">
        <v>117</v>
      </c>
      <c r="E740" s="2">
        <v>36</v>
      </c>
      <c r="F740" s="2" t="s">
        <v>8</v>
      </c>
      <c r="G740" s="2" t="s">
        <v>7</v>
      </c>
    </row>
    <row r="741" spans="1:7" ht="45" x14ac:dyDescent="0.25">
      <c r="A741" s="4" t="str">
        <f>HYPERLINK("http://techcrunch.com/2012/11/05/foursquares-adds-some-magic-to-its-explore-functionality-in-ios-and-its-a-completely-fresh-approach/","Foursquare’s Adds Some “Magic” To Its Explore Functionality In iOS, And It’s A Completely Fresh Appr")</f>
        <v>Foursquare’s Adds Some “Magic” To Its Explore Functionality In iOS, And It’s A Completely Fresh Appr</v>
      </c>
      <c r="B741" s="4" t="str">
        <f>HYPERLINK("http://www.facebook.com/8062627951/posts/169373106520411","What services do you use to find places to eat or grab coffee?")</f>
        <v>What services do you use to find places to eat or grab coffee?</v>
      </c>
      <c r="C741" s="3">
        <v>41218.612025462964</v>
      </c>
      <c r="D741" s="2">
        <v>31</v>
      </c>
      <c r="E741" s="2">
        <v>12</v>
      </c>
      <c r="F741" s="2" t="s">
        <v>8</v>
      </c>
      <c r="G741" s="2" t="s">
        <v>7</v>
      </c>
    </row>
    <row r="742" spans="1:7" x14ac:dyDescent="0.25">
      <c r="A742" s="4" t="str">
        <f>HYPERLINK("http://www.facebook.com/photo.php?fbid=10151320476612952&amp;set=a.10151134316772952.498619.8062627951&amp;type=1&amp;relevant_count=1","[Photo]")</f>
        <v>[Photo]</v>
      </c>
      <c r="B742" s="4" t="str">
        <f>HYPERLINK("http://www.facebook.com/8062627951/posts/10151320476647952","Hello Toronto. ")</f>
        <v xml:space="preserve">Hello Toronto. </v>
      </c>
      <c r="C742" s="3">
        <v>41218.611018518517</v>
      </c>
      <c r="D742" s="2">
        <v>133</v>
      </c>
      <c r="E742" s="2">
        <v>12</v>
      </c>
      <c r="F742" s="2" t="s">
        <v>7</v>
      </c>
      <c r="G742" s="2" t="s">
        <v>8</v>
      </c>
    </row>
    <row r="743" spans="1:7" ht="45" x14ac:dyDescent="0.25">
      <c r="A743" s="4" t="str">
        <f>HYPERLINK("http://techcrunch.com/2012/11/05/zillow-q3-earnings/","Real Estate Site Zillow (Barely) Beats Analyst Estimates For Q3: $31.9M In Revenue, $0.08 EPS, Tops.")</f>
        <v>Real Estate Site Zillow (Barely) Beats Analyst Estimates For Q3: $31.9M In Revenue, $0.08 EPS, Tops.</v>
      </c>
      <c r="B743" s="4" t="str">
        <f>HYPERLINK("http://www.facebook.com/8062627951/posts/290868727699200","Eeeked by on revenue estimates, but got 36.1M unique visitors, up from 11.9M from last year.")</f>
        <v>Eeeked by on revenue estimates, but got 36.1M unique visitors, up from 11.9M from last year.</v>
      </c>
      <c r="C743" s="3">
        <v>41218.589050925926</v>
      </c>
      <c r="D743" s="2">
        <v>12</v>
      </c>
      <c r="E743" s="2">
        <v>0</v>
      </c>
      <c r="F743" s="2" t="s">
        <v>7</v>
      </c>
      <c r="G743" s="2" t="s">
        <v>7</v>
      </c>
    </row>
    <row r="744" spans="1:7" ht="45" x14ac:dyDescent="0.25">
      <c r="A744" s="4" t="str">
        <f>HYPERLINK("http://techcrunch.com/2012/11/05/want-to-pitch-a-vc-while-he-cleans-your-house-exec-and-shervin-pishevar-thought-so/?icid=trending3&amp;grcc2=b0a38eeb2d1f32d056b296d9946a6a1b%7E1352146341648%7Efca4fa8af12...","Want To Pitch A VC While He Cleans Your House? Exec And Shervin Pishevar Thought So | TechCrunch")</f>
        <v>Want To Pitch A VC While He Cleans Your House? Exec And Shervin Pishevar Thought So | TechCrunch</v>
      </c>
      <c r="B744" s="4" t="str">
        <f>HYPERLINK("http://www.facebook.com/8062627951/posts/294643730646781","Well this is different. Shervin Pishevar will clean your house while you pitch him about your business.")</f>
        <v>Well this is different. Shervin Pishevar will clean your house while you pitch him about your business.</v>
      </c>
      <c r="C744" s="3">
        <v>41218.529629629629</v>
      </c>
      <c r="D744" s="2">
        <v>37</v>
      </c>
      <c r="E744" s="2">
        <v>6</v>
      </c>
      <c r="F744" s="2" t="s">
        <v>7</v>
      </c>
      <c r="G744" s="2" t="s">
        <v>7</v>
      </c>
    </row>
    <row r="745" spans="1:7" ht="45" x14ac:dyDescent="0.25">
      <c r="A745" s="4" t="str">
        <f>HYPERLINK("http://techcrunch.com/2012/11/05/kinect-fusion-microsofts-3-d-modeling-technology-is-coming-to-the-kinect-for-windows-sdk/","Kinect Fusion, Microsoft’s 3-D Modeling Technology, Is Coming To The Kinect For Windows SDK | TechCr")</f>
        <v>Kinect Fusion, Microsoft’s 3-D Modeling Technology, Is Coming To The Kinect For Windows SDK | TechCr</v>
      </c>
      <c r="B745" s="4" t="str">
        <f>HYPERLINK("http://www.facebook.com/8062627951/posts/539852199373149","This is some TRON-futuristic type stuff right here.")</f>
        <v>This is some TRON-futuristic type stuff right here.</v>
      </c>
      <c r="C745" s="3">
        <v>41218.508958333332</v>
      </c>
      <c r="D745" s="2">
        <v>66</v>
      </c>
      <c r="E745" s="2">
        <v>0</v>
      </c>
      <c r="F745" s="2" t="s">
        <v>7</v>
      </c>
      <c r="G745" s="2" t="s">
        <v>7</v>
      </c>
    </row>
    <row r="746" spans="1:7" ht="30" x14ac:dyDescent="0.25">
      <c r="A746" s="4" t="str">
        <f>HYPERLINK("http://techcrunch.com/2012/11/05/bleeding-edge-election-day-get-out-the-vote-tech/","Bleeding-Edge Election Day Get-Out-The-Vote Tech | TechCrunch")</f>
        <v>Bleeding-Edge Election Day Get-Out-The-Vote Tech | TechCrunch</v>
      </c>
      <c r="B746" s="4" t="str">
        <f>HYPERLINK("http://www.facebook.com/8062627951/posts/130842267065917","Are you voting? Everything is better with friends!")</f>
        <v>Are you voting? Everything is better with friends!</v>
      </c>
      <c r="C746" s="3">
        <v>41218.489490740743</v>
      </c>
      <c r="D746" s="2">
        <v>13</v>
      </c>
      <c r="E746" s="2">
        <v>0</v>
      </c>
      <c r="F746" s="2" t="s">
        <v>8</v>
      </c>
      <c r="G746" s="2" t="s">
        <v>7</v>
      </c>
    </row>
    <row r="747" spans="1:7" ht="45" x14ac:dyDescent="0.25">
      <c r="A747" s="4" t="str">
        <f>HYPERLINK("http://techcrunch.com/2012/11/05/tumblr-20-billion-pageviews/","With Mobile Impressions, Tumblr Pushes Past 20 Billion Pageviews A Month  | TechCrunch")</f>
        <v>With Mobile Impressions, Tumblr Pushes Past 20 Billion Pageviews A Month  | TechCrunch</v>
      </c>
      <c r="B747" s="4" t="str">
        <f>HYPERLINK("http://www.facebook.com/8062627951/posts/440654725982056","Are you using Tumblr? If not, you might want to start....")</f>
        <v>Are you using Tumblr? If not, you might want to start....</v>
      </c>
      <c r="C747" s="3">
        <v>41218.477870370371</v>
      </c>
      <c r="D747" s="2">
        <v>56</v>
      </c>
      <c r="E747" s="2">
        <v>7</v>
      </c>
      <c r="F747" s="2" t="s">
        <v>8</v>
      </c>
      <c r="G747" s="2" t="s">
        <v>7</v>
      </c>
    </row>
    <row r="748" spans="1:7" ht="45" x14ac:dyDescent="0.25">
      <c r="A748" s="4" t="str">
        <f>HYPERLINK("http://techcrunch.com/2012/11/05/mobile-first-web-second-instagram-finally-lets-users-have-functional-web-profiles/","Mobile First, Web Second: Instagram Finally Lets Users Have Functional Web Profiles | TechCrunch")</f>
        <v>Mobile First, Web Second: Instagram Finally Lets Users Have Functional Web Profiles | TechCrunch</v>
      </c>
      <c r="B748" s="4" t="str">
        <f>HYPERLINK("http://www.facebook.com/8062627951/posts/401348289936177","This is big news. Are you excited about more Instagram on the web?")</f>
        <v>This is big news. Are you excited about more Instagram on the web?</v>
      </c>
      <c r="C748" s="3">
        <v>41218.459560185183</v>
      </c>
      <c r="D748" s="2">
        <v>215</v>
      </c>
      <c r="E748" s="2">
        <v>18</v>
      </c>
      <c r="F748" s="2" t="s">
        <v>8</v>
      </c>
      <c r="G748" s="2" t="s">
        <v>7</v>
      </c>
    </row>
    <row r="749" spans="1:7" ht="45" x14ac:dyDescent="0.25">
      <c r="A749" s="4" t="str">
        <f>HYPERLINK("http://techcrunch.com/2012/11/05/report-google-maps-for-ios-will-be-ready-by-end-of-year-but-google-isnt-sure-apple-will-approve-it/","Report: Google Maps For iOS Will Be Ready By End Of Year, But Google Isn’t Sure Apple Will Approve I")</f>
        <v>Report: Google Maps For iOS Will Be Ready By End Of Year, But Google Isn’t Sure Apple Will Approve I</v>
      </c>
      <c r="B749" s="4" t="str">
        <f>HYPERLINK("http://www.facebook.com/8062627951/posts/383921848351502","This could be great news for Map users. Think Apple will MapBlock it?")</f>
        <v>This could be great news for Map users. Think Apple will MapBlock it?</v>
      </c>
      <c r="C749" s="3">
        <v>41218.449131944442</v>
      </c>
      <c r="D749" s="2">
        <v>76</v>
      </c>
      <c r="E749" s="2">
        <v>11</v>
      </c>
      <c r="F749" s="2" t="s">
        <v>8</v>
      </c>
      <c r="G749" s="2" t="s">
        <v>7</v>
      </c>
    </row>
    <row r="750" spans="1:7" x14ac:dyDescent="0.25">
      <c r="A750" s="4" t="str">
        <f>HYPERLINK("http://www.facebook.com/photo.php?fbid=10151320080877952&amp;set=a.114456157951.118433.8062627951&amp;type=1&amp;relevant_count=1","[Photo]")</f>
        <v>[Photo]</v>
      </c>
      <c r="B750" s="4" t="str">
        <f>HYPERLINK("http://www.facebook.com/8062627951/posts/10151320080937952","Toronto, we will see you tonight! http://tcrn.ch/OEFUIb")</f>
        <v>Toronto, we will see you tonight! http://tcrn.ch/OEFUIb</v>
      </c>
      <c r="C750" s="3">
        <v>41218.429085648146</v>
      </c>
      <c r="D750" s="2">
        <v>49</v>
      </c>
      <c r="E750" s="2">
        <v>7</v>
      </c>
      <c r="F750" s="2" t="s">
        <v>7</v>
      </c>
      <c r="G750" s="2" t="s">
        <v>8</v>
      </c>
    </row>
    <row r="751" spans="1:7" ht="45" x14ac:dyDescent="0.25">
      <c r="A751" s="4" t="str">
        <f>HYPERLINK("http://techcrunch.com/2012/11/05/cbs-hulu/","CBS Finally Does A Deal With Hulu, But Only For Older Shows That Are Off The Air  | TechCrunch")</f>
        <v>CBS Finally Does A Deal With Hulu, But Only For Older Shows That Are Off The Air  | TechCrunch</v>
      </c>
      <c r="B751" s="4" t="str">
        <f>HYPERLINK("http://www.facebook.com/8062627951/posts/163662010442487","No new shows, that's a bummer. What do you watch on Hulu?")</f>
        <v>No new shows, that's a bummer. What do you watch on Hulu?</v>
      </c>
      <c r="C751" s="3">
        <v>41218.420254629629</v>
      </c>
      <c r="D751" s="2">
        <v>13</v>
      </c>
      <c r="E751" s="2">
        <v>7</v>
      </c>
      <c r="F751" s="2" t="s">
        <v>8</v>
      </c>
      <c r="G751" s="2" t="s">
        <v>7</v>
      </c>
    </row>
    <row r="752" spans="1:7" ht="45" x14ac:dyDescent="0.25">
      <c r="A752" s="4" t="str">
        <f>HYPERLINK("http://techcrunch.com/2012/11/05/linkedin-steps-up-to-help-children-in-need-after-hurricane-sandy-devastation/","LinkedIn Steps Up To Help Children In Need After Hurricane Sandy Devastation | TechCrunch")</f>
        <v>LinkedIn Steps Up To Help Children In Need After Hurricane Sandy Devastation | TechCrunch</v>
      </c>
      <c r="B752" s="4" t="str">
        <f>HYPERLINK("http://www.facebook.com/8062627951/posts/493241380709761","LinkedIn Is stepping up to help those affected by the Hurricane. Will you?")</f>
        <v>LinkedIn Is stepping up to help those affected by the Hurricane. Will you?</v>
      </c>
      <c r="C752" s="3">
        <v>41218.417291666665</v>
      </c>
      <c r="D752" s="2">
        <v>47</v>
      </c>
      <c r="E752" s="2">
        <v>2</v>
      </c>
      <c r="F752" s="2" t="s">
        <v>8</v>
      </c>
      <c r="G752" s="2" t="s">
        <v>7</v>
      </c>
    </row>
    <row r="753" spans="1:7" ht="30" x14ac:dyDescent="0.25">
      <c r="A753" s="4" t="str">
        <f>HYPERLINK("http://techcrunch.com/2012/11/04/the-ipad-mini-is-the-ideal-second-screen-companion/","The iPad Mini Is The Ideal Second Screen Companion")</f>
        <v>The iPad Mini Is The Ideal Second Screen Companion</v>
      </c>
      <c r="B753" s="4" t="str">
        <f>HYPERLINK("http://www.facebook.com/8062627951/posts/123364467818368","Is the iPad mini really the best couch computing device?")</f>
        <v>Is the iPad mini really the best couch computing device?</v>
      </c>
      <c r="C753" s="3">
        <v>41218.222951388889</v>
      </c>
      <c r="D753" s="2">
        <v>65</v>
      </c>
      <c r="E753" s="2">
        <v>36</v>
      </c>
      <c r="F753" s="2" t="s">
        <v>8</v>
      </c>
      <c r="G753" s="2" t="s">
        <v>7</v>
      </c>
    </row>
    <row r="754" spans="1:7" ht="45" x14ac:dyDescent="0.25">
      <c r="A754" s="4" t="str">
        <f>HYPERLINK("http://techcrunch.com/2012/11/05/android-malware-surges-despite-googles-efforts-to-bounce-dodgy-apps-off-its-platform-f-secure-ids-51447-unique-samples-in-q3/","Android Malware Surges Despite Google’s Efforts To Bounce Dodgy Apps Off Its Platform; F-Secure IDs.")</f>
        <v>Android Malware Surges Despite Google’s Efforts To Bounce Dodgy Apps Off Its Platform; F-Secure IDs.</v>
      </c>
      <c r="B754" s="4" t="str">
        <f>HYPERLINK("http://www.facebook.com/8062627951/posts/292688494182520","Have you ever downloaded an Android app that turned out to be malware?")</f>
        <v>Have you ever downloaded an Android app that turned out to be malware?</v>
      </c>
      <c r="C754" s="3">
        <v>41218.199641203704</v>
      </c>
      <c r="D754" s="2">
        <v>38</v>
      </c>
      <c r="E754" s="2">
        <v>31</v>
      </c>
      <c r="F754" s="2" t="s">
        <v>8</v>
      </c>
      <c r="G754" s="2" t="s">
        <v>7</v>
      </c>
    </row>
    <row r="755" spans="1:7" ht="30" x14ac:dyDescent="0.25">
      <c r="A755" s="4" t="str">
        <f>HYPERLINK("http://techcrunch.com/2012/11/04/facebook-addiction/","Facebook Admits Too Much Facebook Probably Isn’t Healthy | TechCrunch")</f>
        <v>Facebook Admits Too Much Facebook Probably Isn’t Healthy | TechCrunch</v>
      </c>
      <c r="B755" s="4" t="str">
        <f>HYPERLINK("http://www.facebook.com/8062627951/posts/381886845223145","Are you addicted? Facebook might not want you to be.")</f>
        <v>Are you addicted? Facebook might not want you to be.</v>
      </c>
      <c r="C755" s="3">
        <v>41217.762604166666</v>
      </c>
      <c r="D755" s="2">
        <v>185</v>
      </c>
      <c r="E755" s="2">
        <v>14</v>
      </c>
      <c r="F755" s="2" t="s">
        <v>8</v>
      </c>
      <c r="G755" s="2" t="s">
        <v>7</v>
      </c>
    </row>
    <row r="756" spans="1:7" ht="45" x14ac:dyDescent="0.25">
      <c r="A756" s="4" t="str">
        <f>HYPERLINK("http://techcrunch.com/2012/11/04/snl-brilliantly-tackles-inane-social-media-political-comments/?icid=trending8&amp;grcc2=86d6c17b863710c0af0bc59480e009fa%7E1352077666650%7Efca4fa8af1286d8a77f26033fdeed202...","‘SNL’ Brilliantly Tackles Inane Social Media Political Comments | TechCrunch")</f>
        <v>‘SNL’ Brilliantly Tackles Inane Social Media Political Comments | TechCrunch</v>
      </c>
      <c r="B756" s="4" t="s">
        <v>52</v>
      </c>
      <c r="C756" s="3">
        <v>41217.714131944442</v>
      </c>
      <c r="D756" s="2">
        <v>81</v>
      </c>
      <c r="E756" s="2">
        <v>11</v>
      </c>
      <c r="F756" s="2" t="s">
        <v>8</v>
      </c>
      <c r="G756" s="2" t="s">
        <v>7</v>
      </c>
    </row>
    <row r="757" spans="1:7" x14ac:dyDescent="0.25">
      <c r="A757" s="4" t="str">
        <f>HYPERLINK("http://www.facebook.com/photo.php?fbid=10151318692052952&amp;set=a.114456157951.118433.8062627951&amp;type=1&amp;relevant_count=1","[Photo]")</f>
        <v>[Photo]</v>
      </c>
      <c r="B757" s="4" t="str">
        <f>HYPERLINK("http://www.facebook.com/8062627951/posts/10151318692102952","Here is New York - http://tcrn.ch/U2tkiN")</f>
        <v>Here is New York - http://tcrn.ch/U2tkiN</v>
      </c>
      <c r="C757" s="3">
        <v>41217.508113425924</v>
      </c>
      <c r="D757" s="2">
        <v>758</v>
      </c>
      <c r="E757" s="2">
        <v>24</v>
      </c>
      <c r="F757" s="2" t="s">
        <v>7</v>
      </c>
      <c r="G757" s="2" t="s">
        <v>8</v>
      </c>
    </row>
    <row r="758" spans="1:7" ht="30" x14ac:dyDescent="0.25">
      <c r="A758" s="4" t="str">
        <f>HYPERLINK("http://techcrunch.com/2012/11/03/drews-mom-reviews-startups-silicon-valley/","Drew’s Mom Reviews “Startups: Silicon Valley” | TechCrunch")</f>
        <v>Drew’s Mom Reviews “Startups: Silicon Valley” | TechCrunch</v>
      </c>
      <c r="B758" s="4" t="str">
        <f>HYPERLINK("http://www.facebook.com/8062627951/posts/257663451022818","Drew's mom tells it like it is. Will you be watching the show?")</f>
        <v>Drew's mom tells it like it is. Will you be watching the show?</v>
      </c>
      <c r="C758" s="3">
        <v>41217.344583333332</v>
      </c>
      <c r="D758" s="2">
        <v>17</v>
      </c>
      <c r="E758" s="2">
        <v>2</v>
      </c>
      <c r="F758" s="2" t="s">
        <v>8</v>
      </c>
      <c r="G758" s="2" t="s">
        <v>7</v>
      </c>
    </row>
    <row r="759" spans="1:7" ht="30" x14ac:dyDescent="0.25">
      <c r="A759" s="4" t="str">
        <f>HYPERLINK("http://www.facebook.com/photo.php?fbid=10151317578517952&amp;set=a.114456157951.118433.8062627951&amp;type=1&amp;relevant_count=1","[Photo]")</f>
        <v>[Photo]</v>
      </c>
      <c r="B759" s="4" t="str">
        <f>HYPERLINK("http://www.facebook.com/8062627951/posts/10151317578547952","3D printers are not like 2D printers: a rant - http://tcrn.ch/SEUGP6")</f>
        <v>3D printers are not like 2D printers: a rant - http://tcrn.ch/SEUGP6</v>
      </c>
      <c r="C759" s="3">
        <v>41216.773888888885</v>
      </c>
      <c r="D759" s="2">
        <v>190</v>
      </c>
      <c r="E759" s="2">
        <v>15</v>
      </c>
      <c r="F759" s="2" t="s">
        <v>7</v>
      </c>
      <c r="G759" s="2" t="s">
        <v>8</v>
      </c>
    </row>
    <row r="760" spans="1:7" x14ac:dyDescent="0.25">
      <c r="A760" s="4" t="str">
        <f>HYPERLINK("http://techcrunch.com/2012/11/03/get-your-ass-to-metro-windows-8/","Get Your Ass To Metro (Windows 8)")</f>
        <v>Get Your Ass To Metro (Windows 8)</v>
      </c>
      <c r="B760" s="4" t="str">
        <f>HYPERLINK("http://www.facebook.com/8062627951/posts/288113907972159","Do it. Now.")</f>
        <v>Do it. Now.</v>
      </c>
      <c r="C760" s="3">
        <v>41216.560949074075</v>
      </c>
      <c r="D760" s="2">
        <v>71</v>
      </c>
      <c r="E760" s="2">
        <v>23</v>
      </c>
      <c r="F760" s="2" t="s">
        <v>7</v>
      </c>
      <c r="G760" s="2" t="s">
        <v>7</v>
      </c>
    </row>
    <row r="761" spans="1:7" ht="30" x14ac:dyDescent="0.25">
      <c r="A761" s="4" t="str">
        <f>HYPERLINK("http://www.facebook.com/photo.php?fbid=10151317200757952&amp;set=a.114456157951.118433.8062627951&amp;type=1&amp;relevant_count=1","[Photo]")</f>
        <v>[Photo]</v>
      </c>
      <c r="B761" s="4" t="str">
        <f>HYPERLINK("http://www.facebook.com/8062627951/posts/10151317200812952","iPad mini display under the microscope: not as good as iPad 4th gen, but much better than iPad 2 - http://tcrn.ch/Vk1a91")</f>
        <v>iPad mini display under the microscope: not as good as iPad 4th gen, but much better than iPad 2 - http://tcrn.ch/Vk1a91</v>
      </c>
      <c r="C761" s="3">
        <v>41216.514467592591</v>
      </c>
      <c r="D761" s="2">
        <v>242</v>
      </c>
      <c r="E761" s="2">
        <v>59</v>
      </c>
      <c r="F761" s="2" t="s">
        <v>7</v>
      </c>
      <c r="G761" s="2" t="s">
        <v>8</v>
      </c>
    </row>
    <row r="762" spans="1:7" ht="30" x14ac:dyDescent="0.25">
      <c r="A762" s="4" t="str">
        <f>HYPERLINK("http://techcrunch.com/2012/11/03/the-20-most-innovative-people-in-democracy-2012/","The 20 Most Innovative People In Democracy 2012")</f>
        <v>The 20 Most Innovative People In Democracy 2012</v>
      </c>
      <c r="B762" s="4" t="str">
        <f>HYPERLINK("http://www.facebook.com/8062627951/posts/462197580489851","Meet the pioneers of cutting-edge democracy")</f>
        <v>Meet the pioneers of cutting-edge democracy</v>
      </c>
      <c r="C762" s="3">
        <v>41216.34101851852</v>
      </c>
      <c r="D762" s="2">
        <v>57</v>
      </c>
      <c r="E762" s="2">
        <v>3</v>
      </c>
      <c r="F762" s="2" t="s">
        <v>7</v>
      </c>
      <c r="G762" s="2" t="s">
        <v>7</v>
      </c>
    </row>
    <row r="763" spans="1:7" ht="30" x14ac:dyDescent="0.25">
      <c r="A763" s="4" t="str">
        <f>HYPERLINK("http://techcrunch.com/2012/11/02/should-you-buy-an-ipad-mini/","Where The iPad Mini Fits On My Digital Tool Belt")</f>
        <v>Where The iPad Mini Fits On My Digital Tool Belt</v>
      </c>
      <c r="B763" s="4" t="str">
        <f>HYPERLINK("http://www.facebook.com/8062627951/posts/546880375329229","Where do you think the iPad mini would fit in yours?")</f>
        <v>Where do you think the iPad mini would fit in yours?</v>
      </c>
      <c r="C763" s="3">
        <v>41215.664537037039</v>
      </c>
      <c r="D763" s="2">
        <v>83</v>
      </c>
      <c r="E763" s="2">
        <v>44</v>
      </c>
      <c r="F763" s="2" t="s">
        <v>8</v>
      </c>
      <c r="G763" s="2" t="s">
        <v>7</v>
      </c>
    </row>
    <row r="764" spans="1:7" ht="45" x14ac:dyDescent="0.25">
      <c r="A764" s="4" t="str">
        <f>HYPERLINK("http://techcrunch.com/2012/11/02/foursquare-looks-into-a-hefty-fourth-round-some-investors-skeptical/","Foursquare Looks Into A Hefty Fourth Round, Some Investors Skeptical ")</f>
        <v xml:space="preserve">Foursquare Looks Into A Hefty Fourth Round, Some Investors Skeptical </v>
      </c>
      <c r="B764" s="4" t="str">
        <f>HYPERLINK("http://www.facebook.com/8062627951/posts/200774496724815","Foursquare seeks to flesh out this new round at a pre-money valuation of around $700 million.  What do you personally think Foursquare should be valued at?")</f>
        <v>Foursquare seeks to flesh out this new round at a pre-money valuation of around $700 million.  What do you personally think Foursquare should be valued at?</v>
      </c>
      <c r="C764" s="3">
        <v>41215.595914351848</v>
      </c>
      <c r="D764" s="2">
        <v>63</v>
      </c>
      <c r="E764" s="2">
        <v>45</v>
      </c>
      <c r="F764" s="2" t="s">
        <v>8</v>
      </c>
      <c r="G764" s="2" t="s">
        <v>7</v>
      </c>
    </row>
    <row r="765" spans="1:7" x14ac:dyDescent="0.25">
      <c r="A765" s="4" t="str">
        <f>HYPERLINK("http://www.facebook.com/photo.php?fbid=10151541120806729&amp;set=a.376995711728.190761.20531316728&amp;type=1","[Photo]")</f>
        <v>[Photo]</v>
      </c>
      <c r="B765" s="4" t="str">
        <f>HYPERLINK("http://www.facebook.com/8062627951/posts/358732350888021","Anyone know what this means?")</f>
        <v>Anyone know what this means?</v>
      </c>
      <c r="C765" s="3">
        <v>41215.55363425926</v>
      </c>
      <c r="D765" s="2">
        <v>2327</v>
      </c>
      <c r="E765" s="2">
        <v>543</v>
      </c>
      <c r="F765" s="2" t="s">
        <v>8</v>
      </c>
      <c r="G765" s="2" t="s">
        <v>8</v>
      </c>
    </row>
    <row r="766" spans="1:7" ht="45" x14ac:dyDescent="0.25">
      <c r="A766" s="4" t="str">
        <f>HYPERLINK("http://www.facebook.com/photo.php?fbid=10151315708642952&amp;set=a.114456157951.118433.8062627951&amp;type=1&amp;relevant_count=1","[Photo]")</f>
        <v>[Photo]</v>
      </c>
      <c r="B766" s="4" t="str">
        <f>HYPERLINK("http://www.facebook.com/8062627951/posts/10151315708692952","Now that Facebook employees have had their $3.1 billion stock payday, will they quit or keep hacking?  http://tcrn.ch/U4KfYf")</f>
        <v>Now that Facebook employees have had their $3.1 billion stock payday, will they quit or keep hacking?  http://tcrn.ch/U4KfYf</v>
      </c>
      <c r="C766" s="3">
        <v>41215.523877314816</v>
      </c>
      <c r="D766" s="2">
        <v>97</v>
      </c>
      <c r="E766" s="2">
        <v>7</v>
      </c>
      <c r="F766" s="2" t="s">
        <v>8</v>
      </c>
      <c r="G766" s="2" t="s">
        <v>8</v>
      </c>
    </row>
    <row r="767" spans="1:7" ht="45" x14ac:dyDescent="0.25">
      <c r="A767" s="4" t="str">
        <f>HYPERLINK("http://www.facebook.com/photo.php?fbid=10151315594072952&amp;set=a.114456157951.118433.8062627951&amp;type=1&amp;relevant_count=1","[Photo]")</f>
        <v>[Photo]</v>
      </c>
      <c r="B767" s="4" t="str">
        <f>HYPERLINK("http://www.facebook.com/8062627951/posts/10151315594152952","Quick question: which one of these would you rather have - the Nexus 10, or the Nexus 4? You'll all find out why soon, so let us know.")</f>
        <v>Quick question: which one of these would you rather have - the Nexus 10, or the Nexus 4? You'll all find out why soon, so let us know.</v>
      </c>
      <c r="C767" s="3">
        <v>41215.464363425926</v>
      </c>
      <c r="D767" s="2">
        <v>213</v>
      </c>
      <c r="E767" s="2">
        <v>441</v>
      </c>
      <c r="F767" s="2" t="s">
        <v>8</v>
      </c>
      <c r="G767" s="2" t="s">
        <v>8</v>
      </c>
    </row>
    <row r="768" spans="1:7" ht="30" x14ac:dyDescent="0.25">
      <c r="A768" s="4" t="str">
        <f>HYPERLINK("http://techcrunch.com/2012/11/02/emoji-apps-are-getting-kicked-out-of-the-apple-app-store/","Emoji Apps Are Getting Kicked Out Of The Apple App Store")</f>
        <v>Emoji Apps Are Getting Kicked Out Of The Apple App Store</v>
      </c>
      <c r="B768" s="4" t="str">
        <f>HYPERLINK("http://www.facebook.com/8062627951/posts/369783373110772","Does this make you happy, or sad?")</f>
        <v>Does this make you happy, or sad?</v>
      </c>
      <c r="C768" s="3">
        <v>41215.461724537039</v>
      </c>
      <c r="D768" s="2">
        <v>65</v>
      </c>
      <c r="E768" s="2">
        <v>45</v>
      </c>
      <c r="F768" s="2" t="s">
        <v>8</v>
      </c>
      <c r="G768" s="2" t="s">
        <v>7</v>
      </c>
    </row>
    <row r="769" spans="1:7" ht="45" x14ac:dyDescent="0.25">
      <c r="A769" s="4" t="str">
        <f>HYPERLINK("http://www.facebook.com/photo.php?fbid=10151315544892952&amp;set=a.114456157951.118433.8062627951&amp;type=1&amp;relevant_count=1","[Photo]")</f>
        <v>[Photo]</v>
      </c>
      <c r="B769" s="4" t="str">
        <f>HYPERLINK("http://www.facebook.com/8062627951/posts/10151315544957952","Review: Google’s Android OS might be better suited for tablets, and the Nexus 10 is a shining example. What do you think? - http://tcrn.ch/ViLeny")</f>
        <v>Review: Google’s Android OS might be better suited for tablets, and the Nexus 10 is a shining example. What do you think? - http://tcrn.ch/ViLeny</v>
      </c>
      <c r="C769" s="3">
        <v>41215.4375</v>
      </c>
      <c r="D769" s="2">
        <v>163</v>
      </c>
      <c r="E769" s="2">
        <v>19</v>
      </c>
      <c r="F769" s="2" t="s">
        <v>8</v>
      </c>
      <c r="G769" s="2" t="s">
        <v>8</v>
      </c>
    </row>
    <row r="770" spans="1:7" ht="30" x14ac:dyDescent="0.25">
      <c r="A770" s="4" t="str">
        <f>HYPERLINK("http://techcrunch.com/2012/11/02/oprah-declares-the-microsoft-surface-one-of-her-favorite-things/","Oprah Declares The Microsoft Surface One Of Her Favorite Things")</f>
        <v>Oprah Declares The Microsoft Surface One Of Her Favorite Things</v>
      </c>
      <c r="B770" s="4" t="str">
        <f>HYPERLINK("http://www.facebook.com/8062627951/posts/287267961384833","You get a Surface! And you get a Surface! And you get Surface!")</f>
        <v>You get a Surface! And you get a Surface! And you get Surface!</v>
      </c>
      <c r="C770" s="3">
        <v>41215.393182870372</v>
      </c>
      <c r="D770" s="2">
        <v>150</v>
      </c>
      <c r="E770" s="2">
        <v>56</v>
      </c>
      <c r="F770" s="2" t="s">
        <v>7</v>
      </c>
      <c r="G770" s="2" t="s">
        <v>7</v>
      </c>
    </row>
    <row r="771" spans="1:7" ht="30" x14ac:dyDescent="0.25">
      <c r="A771" s="4" t="str">
        <f>HYPERLINK("http://www.facebook.com/photo.php?fbid=10151315301992952&amp;set=a.114456157951.118433.8062627951&amp;type=1&amp;relevant_count=1","[Photo]")</f>
        <v>[Photo]</v>
      </c>
      <c r="B771" s="4" t="str">
        <f>HYPERLINK("http://www.facebook.com/8062627951/posts/10151315302017952","Nexus 4 Review: Not Exactly Perfect, But Close Enough For Me - http://tcrn.ch/U3XSa4")</f>
        <v>Nexus 4 Review: Not Exactly Perfect, But Close Enough For Me - http://tcrn.ch/U3XSa4</v>
      </c>
      <c r="C771" s="3">
        <v>41215.296087962961</v>
      </c>
      <c r="D771" s="2">
        <v>245</v>
      </c>
      <c r="E771" s="2">
        <v>28</v>
      </c>
      <c r="F771" s="2" t="s">
        <v>7</v>
      </c>
      <c r="G771" s="2" t="s">
        <v>8</v>
      </c>
    </row>
    <row r="772" spans="1:7" ht="30" x14ac:dyDescent="0.25">
      <c r="A772" s="4" t="str">
        <f>HYPERLINK("http://techcrunch.com/2012/11/02/microsoft-is-reportedly-testing-its-own-smartphone/","Microsoft Is Reportedly Testing Its Own Smartphone")</f>
        <v>Microsoft Is Reportedly Testing Its Own Smartphone</v>
      </c>
      <c r="B772" s="4" t="str">
        <f>HYPERLINK("http://www.facebook.com/8062627951/posts/196423610493883","Would you buy a Microsoft Surface smartphone?")</f>
        <v>Would you buy a Microsoft Surface smartphone?</v>
      </c>
      <c r="C772" s="3">
        <v>41215.251759259256</v>
      </c>
      <c r="D772" s="2">
        <v>57</v>
      </c>
      <c r="E772" s="2">
        <v>52</v>
      </c>
      <c r="F772" s="2" t="s">
        <v>8</v>
      </c>
      <c r="G772" s="2" t="s">
        <v>7</v>
      </c>
    </row>
    <row r="773" spans="1:7" ht="30" x14ac:dyDescent="0.25">
      <c r="A773" s="4" t="str">
        <f>HYPERLINK("http://techcrunch.com/2012/11/02/apples-ipad-mini-launch-draws-smaller-crowds-than-previous-product-debuts/","Apple’s iPad Mini Launch Draws Smaller Crowds Than Previous Product Debuts")</f>
        <v>Apple’s iPad Mini Launch Draws Smaller Crowds Than Previous Product Debuts</v>
      </c>
      <c r="B773" s="4" t="str">
        <f>HYPERLINK("http://www.facebook.com/8062627951/posts/111004909060005","Smaller iPad, smaller lines.")</f>
        <v>Smaller iPad, smaller lines.</v>
      </c>
      <c r="C773" s="3">
        <v>41215.225312499999</v>
      </c>
      <c r="D773" s="2">
        <v>81</v>
      </c>
      <c r="E773" s="2">
        <v>31</v>
      </c>
      <c r="F773" s="2" t="s">
        <v>7</v>
      </c>
      <c r="G773" s="2" t="s">
        <v>7</v>
      </c>
    </row>
    <row r="774" spans="1:7" ht="30" x14ac:dyDescent="0.25">
      <c r="A774" s="4" t="str">
        <f>HYPERLINK("http://www.facebook.com/photo.php?fbid=10151314874537952&amp;set=a.114456157951.118433.8062627951&amp;type=1&amp;relevant_count=1","[Photo]")</f>
        <v>[Photo]</v>
      </c>
      <c r="B774" s="4" t="str">
        <f>HYPERLINK("http://www.facebook.com/8062627951/posts/10151314874577952","Fancy car for sale outside Zynga taken way too symbolically... http://tcrn.ch/Qac5AW")</f>
        <v>Fancy car for sale outside Zynga taken way too symbolically... http://tcrn.ch/Qac5AW</v>
      </c>
      <c r="C774" s="3">
        <v>41214.92046296296</v>
      </c>
      <c r="D774" s="2">
        <v>377</v>
      </c>
      <c r="E774" s="2">
        <v>62</v>
      </c>
      <c r="F774" s="2" t="s">
        <v>7</v>
      </c>
      <c r="G774" s="2" t="s">
        <v>8</v>
      </c>
    </row>
    <row r="775" spans="1:7" ht="30" x14ac:dyDescent="0.25">
      <c r="A775" s="4" t="s">
        <v>9</v>
      </c>
      <c r="B775" s="4" t="str">
        <f>HYPERLINK("http://www.facebook.com/8062627951/posts/10151314729072952","What do you think: the most important trait of a successful entrepreneur is _______________.")</f>
        <v>What do you think: the most important trait of a successful entrepreneur is _______________.</v>
      </c>
      <c r="C775" s="3">
        <v>41214.814872685187</v>
      </c>
      <c r="D775" s="2">
        <v>173</v>
      </c>
      <c r="E775" s="2">
        <v>786</v>
      </c>
      <c r="F775" s="2" t="s">
        <v>7</v>
      </c>
      <c r="G775" s="2" t="s">
        <v>7</v>
      </c>
    </row>
    <row r="776" spans="1:7" ht="30" x14ac:dyDescent="0.25">
      <c r="A776" s="4" t="str">
        <f>HYPERLINK("http://techcrunch.com/2012/11/01/hands-on-with-the-node-a-sensor-packed-smartphone-dongle/","Hands On With The Node, A Sensor-Packed Smartphone Dongle")</f>
        <v>Hands On With The Node, A Sensor-Packed Smartphone Dongle</v>
      </c>
      <c r="B776" s="4" t="str">
        <f>HYPERLINK("http://www.facebook.com/8062627951/posts/121535648000999","For all of you scientists out there, the Node is available now: http://tcrn.ch/PpCn0E")</f>
        <v>For all of you scientists out there, the Node is available now: http://tcrn.ch/PpCn0E</v>
      </c>
      <c r="C776" s="3">
        <v>41214.618159722224</v>
      </c>
      <c r="D776" s="2">
        <v>59</v>
      </c>
      <c r="E776" s="2">
        <v>4</v>
      </c>
      <c r="F776" s="2" t="s">
        <v>7</v>
      </c>
      <c r="G776" s="2" t="s">
        <v>7</v>
      </c>
    </row>
    <row r="777" spans="1:7" ht="30" x14ac:dyDescent="0.25">
      <c r="A777" s="4" t="str">
        <f>HYPERLINK("http://techcrunch.com/2012/11/01/move-over-teddy-ruxpin-this-toytalk-bear-will-absolutely-blow-your-mind/","Move Over Teddy Ruxpin, This ToyTalk Bear Will Absolutely Blow Your Mind")</f>
        <v>Move Over Teddy Ruxpin, This ToyTalk Bear Will Absolutely Blow Your Mind</v>
      </c>
      <c r="B777" s="4" t="str">
        <f>HYPERLINK("http://www.facebook.com/8062627951/posts/519857968043180","Have you heard of ToyTalk yet?")</f>
        <v>Have you heard of ToyTalk yet?</v>
      </c>
      <c r="C777" s="3">
        <v>41214.588101851848</v>
      </c>
      <c r="D777" s="2">
        <v>43</v>
      </c>
      <c r="E777" s="2">
        <v>4</v>
      </c>
      <c r="F777" s="2" t="s">
        <v>8</v>
      </c>
      <c r="G777" s="2" t="s">
        <v>7</v>
      </c>
    </row>
    <row r="778" spans="1:7" ht="45" x14ac:dyDescent="0.25">
      <c r="A778" s="4" t="str">
        <f>HYPERLINK("http://techcrunch.com/2012/11/01/linkedin-q3-2012/","LinkedIn Beats Expectations With Another Strong Quarter: $252 Million In Q3 Revenue, Up 81% Year-Ove")</f>
        <v>LinkedIn Beats Expectations With Another Strong Quarter: $252 Million In Q3 Revenue, Up 81% Year-Ove</v>
      </c>
      <c r="B778" s="4" t="str">
        <f>HYPERLINK("http://www.facebook.com/8062627951/posts/302608109854271","Professionally-minded social network LinkedIn once again beat Wall Street analysts’ expectations this afternoon. Surprised?")</f>
        <v>Professionally-minded social network LinkedIn once again beat Wall Street analysts’ expectations this afternoon. Surprised?</v>
      </c>
      <c r="C778" s="3">
        <v>41214.558854166666</v>
      </c>
      <c r="D778" s="2">
        <v>111</v>
      </c>
      <c r="E778" s="2">
        <v>12</v>
      </c>
      <c r="F778" s="2" t="s">
        <v>8</v>
      </c>
      <c r="G778" s="2" t="s">
        <v>7</v>
      </c>
    </row>
    <row r="779" spans="1:7" ht="45" x14ac:dyDescent="0.25">
      <c r="A779" s="4" t="str">
        <f>HYPERLINK("http://techcrunch.com/2012/11/01/coaster/","Tired Of Waiting In Line At Bars? Coaster’s Got Your Back With A Mobile App For Placing Drink Orders")</f>
        <v>Tired Of Waiting In Line At Bars? Coaster’s Got Your Back With A Mobile App For Placing Drink Orders</v>
      </c>
      <c r="B779" s="4" t="s">
        <v>53</v>
      </c>
      <c r="C779" s="3">
        <v>41214.470370370371</v>
      </c>
      <c r="D779" s="2">
        <v>113</v>
      </c>
      <c r="E779" s="2">
        <v>5</v>
      </c>
      <c r="F779" s="2" t="s">
        <v>7</v>
      </c>
      <c r="G779" s="2" t="s">
        <v>7</v>
      </c>
    </row>
    <row r="780" spans="1:7" ht="30" x14ac:dyDescent="0.25">
      <c r="A780" s="4" t="str">
        <f>HYPERLINK("http://www.facebook.com/photo.php?fbid=10151313961602952&amp;set=a.114456157951.118433.8062627951&amp;type=1&amp;relevant_count=1","[Photo]")</f>
        <v>[Photo]</v>
      </c>
      <c r="B780" s="4" t="str">
        <f>HYPERLINK("http://www.facebook.com/8062627951/posts/10151313961722952","Nominations are open for the 6th Annual Crunchies Awards! - http://tcrn.ch/WbKQsc")</f>
        <v>Nominations are open for the 6th Annual Crunchies Awards! - http://tcrn.ch/WbKQsc</v>
      </c>
      <c r="C780" s="3">
        <v>41214.421631944446</v>
      </c>
      <c r="D780" s="2">
        <v>25</v>
      </c>
      <c r="E780" s="2">
        <v>4</v>
      </c>
      <c r="F780" s="2" t="s">
        <v>7</v>
      </c>
      <c r="G780" s="2" t="s">
        <v>8</v>
      </c>
    </row>
    <row r="781" spans="1:7" ht="30" x14ac:dyDescent="0.25">
      <c r="A781" s="4" t="str">
        <f>HYPERLINK("http://www.facebook.com/photo.php?fbid=10151313909657952&amp;set=a.114456157951.118433.8062627951&amp;type=1&amp;relevant_count=1","[Photo]")</f>
        <v>[Photo]</v>
      </c>
      <c r="B781" s="4" t="str">
        <f>HYPERLINK("http://www.facebook.com/8062627951/posts/10151313909722952","Microsoft Surface RT: the sad treadmill of overhyped expectations - http://tcrn.ch/UkWtq8")</f>
        <v>Microsoft Surface RT: the sad treadmill of overhyped expectations - http://tcrn.ch/UkWtq8</v>
      </c>
      <c r="C781" s="3">
        <v>41214.401504629626</v>
      </c>
      <c r="D781" s="2">
        <v>368</v>
      </c>
      <c r="E781" s="2">
        <v>91</v>
      </c>
      <c r="F781" s="2" t="s">
        <v>7</v>
      </c>
      <c r="G781" s="2" t="s">
        <v>8</v>
      </c>
    </row>
    <row r="782" spans="1:7" ht="30" x14ac:dyDescent="0.25">
      <c r="A782" s="4" t="str">
        <f>HYPERLINK("http://www.facebook.com/photo.php?fbid=10151313810417952&amp;set=a.114456157951.118433.8062627951&amp;type=1&amp;relevant_count=1","[Photo]")</f>
        <v>[Photo]</v>
      </c>
      <c r="B782" s="4" t="str">
        <f>HYPERLINK("http://www.facebook.com/8062627951/posts/10151313810457952","Here it is, Path comes to the iPad, a platform Dave Morin calls “the future of the personal computer” - http://tcrn.ch/ShJgyB")</f>
        <v>Here it is, Path comes to the iPad, a platform Dave Morin calls “the future of the personal computer” - http://tcrn.ch/ShJgyB</v>
      </c>
      <c r="C782" s="3">
        <v>41214.351423611108</v>
      </c>
      <c r="D782" s="2">
        <v>203</v>
      </c>
      <c r="E782" s="2">
        <v>14</v>
      </c>
      <c r="F782" s="2" t="s">
        <v>7</v>
      </c>
      <c r="G782" s="2" t="s">
        <v>8</v>
      </c>
    </row>
    <row r="783" spans="1:7" ht="45" x14ac:dyDescent="0.25">
      <c r="A783" s="4" t="str">
        <f>HYPERLINK("http://techcrunch.com/2012/11/01/u-k-court-judge-gives-apple-24-hours-to-removereplace-incorrect-web-notice-on-samsung-galaxy-tab-ruling/","U.K. Court Judge Gives Apple 24 Hours To Remove/Replace “Incorrect” Web Notice On Samsung Galaxy Tab")</f>
        <v>U.K. Court Judge Gives Apple 24 Hours To Remove/Replace “Incorrect” Web Notice On Samsung Galaxy Tab</v>
      </c>
      <c r="B783" s="4" t="str">
        <f>HYPERLINK("http://www.facebook.com/8062627951/posts/186270108164296","Whoops. Apple has to say sorry again.")</f>
        <v>Whoops. Apple has to say sorry again.</v>
      </c>
      <c r="C783" s="3">
        <v>41214.264479166668</v>
      </c>
      <c r="D783" s="2">
        <v>308</v>
      </c>
      <c r="E783" s="2">
        <v>25</v>
      </c>
      <c r="F783" s="2" t="s">
        <v>7</v>
      </c>
      <c r="G783" s="2" t="s">
        <v>7</v>
      </c>
    </row>
    <row r="784" spans="1:7" ht="30" x14ac:dyDescent="0.25">
      <c r="A784" s="4" t="str">
        <f>HYPERLINK("http://www.facebook.com/photo.php?fbid=10151313548107952&amp;set=a.114456157951.118433.8062627951&amp;type=1&amp;relevant_count=1","[Photo]")</f>
        <v>[Photo]</v>
      </c>
      <c r="B784" s="4" t="str">
        <f>HYPERLINK("http://www.facebook.com/8062627951/posts/10151313548132952","At 9 million users strong, Fab raises more money and is just getting warmed up - http://tcrn.ch/X3aNJP")</f>
        <v>At 9 million users strong, Fab raises more money and is just getting warmed up - http://tcrn.ch/X3aNJP</v>
      </c>
      <c r="C784" s="3">
        <v>41214.215925925928</v>
      </c>
      <c r="D784" s="2">
        <v>141</v>
      </c>
      <c r="E784" s="2">
        <v>7</v>
      </c>
      <c r="F784" s="2" t="s">
        <v>7</v>
      </c>
      <c r="G784" s="2" t="s">
        <v>8</v>
      </c>
    </row>
    <row r="785" spans="1:7" ht="30" x14ac:dyDescent="0.25">
      <c r="A785" s="4" t="str">
        <f>HYPERLINK("http://www.facebook.com/photo.php?fbid=10151313274122952&amp;set=a.114456157951.118433.8062627951&amp;type=1&amp;relevant_count=1","[Photo]")</f>
        <v>[Photo]</v>
      </c>
      <c r="B785" s="4" t="str">
        <f>HYPERLINK("http://www.facebook.com/8062627951/posts/10151313274152952","Hey Google, your Nexus 7 marketing images look like crap. - http://tcrn.ch/W9ta0t")</f>
        <v>Hey Google, your Nexus 7 marketing images look like crap. - http://tcrn.ch/W9ta0t</v>
      </c>
      <c r="C785" s="3">
        <v>41213.970925925925</v>
      </c>
      <c r="D785" s="2">
        <v>204</v>
      </c>
      <c r="E785" s="2">
        <v>58</v>
      </c>
      <c r="F785" s="2" t="s">
        <v>7</v>
      </c>
      <c r="G785" s="2" t="s">
        <v>8</v>
      </c>
    </row>
    <row r="786" spans="1:7" ht="45" x14ac:dyDescent="0.25">
      <c r="A786" s="4" t="str">
        <f>HYPERLINK("http://techcrunch.com/2012/10/31/djz/","Turntable.fm Founder’s New DJZ Dance Music Site And DJZtxt App Will Make Your Eyes And Ears Bleed |.")</f>
        <v>Turntable.fm Founder’s New DJZ Dance Music Site And DJZtxt App Will Make Your Eyes And Ears Bleed |.</v>
      </c>
      <c r="B786" s="4" t="str">
        <f>HYPERLINK("http://www.facebook.com/8062627951/posts/212046722261682","With $1 million in funding from Kleiner Perkins, music industry folk and more, DJZ could capture the youth’s eyes and dollars, or get skipped.  How do you think DJZ will do?")</f>
        <v>With $1 million in funding from Kleiner Perkins, music industry folk and more, DJZ could capture the youth’s eyes and dollars, or get skipped.  How do you think DJZ will do?</v>
      </c>
      <c r="C786" s="3">
        <v>41213.797025462962</v>
      </c>
      <c r="D786" s="2">
        <v>25</v>
      </c>
      <c r="E786" s="2">
        <v>7</v>
      </c>
      <c r="F786" s="2" t="s">
        <v>8</v>
      </c>
      <c r="G786" s="2" t="s">
        <v>7</v>
      </c>
    </row>
    <row r="787" spans="1:7" ht="30" x14ac:dyDescent="0.25">
      <c r="A787" s="4" t="str">
        <f>HYPERLINK("http://www.facebook.com/photo.php?fbid=10151312809727952&amp;set=a.114456157951.118433.8062627951&amp;type=1&amp;relevant_count=1","[Photo]")</f>
        <v>[Photo]</v>
      </c>
      <c r="B787" s="4" t="str">
        <f>HYPERLINK("http://www.facebook.com/8062627951/posts/10151312809772952","Watch nerdery: up close with the new Seiko “Orange Monster” - http://tcrn.ch/RtiBkD")</f>
        <v>Watch nerdery: up close with the new Seiko “Orange Monster” - http://tcrn.ch/RtiBkD</v>
      </c>
      <c r="C787" s="3">
        <v>41213.671736111108</v>
      </c>
      <c r="D787" s="2">
        <v>61</v>
      </c>
      <c r="E787" s="2">
        <v>5</v>
      </c>
      <c r="F787" s="2" t="s">
        <v>7</v>
      </c>
      <c r="G787" s="2" t="s">
        <v>8</v>
      </c>
    </row>
    <row r="788" spans="1:7" ht="45" x14ac:dyDescent="0.25">
      <c r="A788" s="4" t="str">
        <f>HYPERLINK("http://techcrunch.com/2012/10/31/icahn-netflix/","Get Ready For Some Fireworks: Activist Investor Carl Icahn Sets His Sights On Netflix, Taking A 10%.")</f>
        <v>Get Ready For Some Fireworks: Activist Investor Carl Icahn Sets His Sights On Netflix, Taking A 10%.</v>
      </c>
      <c r="B788" s="4" t="str">
        <f>HYPERLINK("http://www.facebook.com/8062627951/posts/552095474805816","Oh boy, this could get really interesting really fast. What does Netflix need to shake up? Share your thoughts.")</f>
        <v>Oh boy, this could get really interesting really fast. What does Netflix need to shake up? Share your thoughts.</v>
      </c>
      <c r="C788" s="3">
        <v>41213.593634259261</v>
      </c>
      <c r="D788" s="2">
        <v>38</v>
      </c>
      <c r="E788" s="2">
        <v>7</v>
      </c>
      <c r="F788" s="2" t="s">
        <v>8</v>
      </c>
      <c r="G788" s="2" t="s">
        <v>7</v>
      </c>
    </row>
    <row r="789" spans="1:7" ht="60" x14ac:dyDescent="0.25">
      <c r="A789" s="4" t="str">
        <f>HYPERLINK("http://techcrunch.com/2012/10/31/att-and-t-mobile-combine-wireless-coverage-in-sandy-affected-areas/","AT&amp;T And T-Mobile Combine Wireless Coverage In Sandy-Affected Areas ")</f>
        <v xml:space="preserve">AT&amp;T And T-Mobile Combine Wireless Coverage In Sandy-Affected Areas </v>
      </c>
      <c r="B789" s="4" t="str">
        <f>HYPERLINK("http://www.facebook.com/8062627951/posts/204473026353532","AT&amp;T and T-Mobile have signed an agreement that lets subscribers to either company roam on either network in devastated parts of the country where Hurricane Sandy has left users with poor cellular cov...")</f>
        <v>AT&amp;T and T-Mobile have signed an agreement that lets subscribers to either company roam on either network in devastated parts of the country where Hurricane Sandy has left users with poor cellular cov...</v>
      </c>
      <c r="C789" s="3">
        <v>41213.500162037039</v>
      </c>
      <c r="D789" s="2">
        <v>194</v>
      </c>
      <c r="E789" s="2">
        <v>11</v>
      </c>
      <c r="F789" s="2" t="s">
        <v>7</v>
      </c>
      <c r="G789" s="2" t="s">
        <v>7</v>
      </c>
    </row>
    <row r="790" spans="1:7" ht="30" x14ac:dyDescent="0.25">
      <c r="A790" s="4" t="str">
        <f>HYPERLINK("http://techcrunch.com/2012/10/31/pirates-love-prop-e/","If You Love Startups And Live In San Francisco, Vote Yes On Prop E")</f>
        <v>If You Love Startups And Live In San Francisco, Vote Yes On Prop E</v>
      </c>
      <c r="B790" s="4" t="str">
        <f>HYPERLINK("http://www.facebook.com/8062627951/posts/548456471836613","Pirates love Prop E.")</f>
        <v>Pirates love Prop E.</v>
      </c>
      <c r="C790" s="3">
        <v>41213.465173611112</v>
      </c>
      <c r="D790" s="2">
        <v>14</v>
      </c>
      <c r="E790" s="2">
        <v>2</v>
      </c>
      <c r="F790" s="2" t="s">
        <v>7</v>
      </c>
      <c r="G790" s="2" t="s">
        <v>7</v>
      </c>
    </row>
    <row r="791" spans="1:7" ht="45" x14ac:dyDescent="0.25">
      <c r="A791" s="4" t="str">
        <f>HYPERLINK("http://www.facebook.com/photo.php?fbid=10151312282502952&amp;set=a.114456157951.118433.8062627951&amp;type=1&amp;relevant_count=1","[Photo]")</f>
        <v>[Photo]</v>
      </c>
      <c r="B791" s="4" t="str">
        <f>HYPERLINK("http://www.facebook.com/8062627951/posts/10151312282552952","Samsung’s $249 Chromebook: if you like the web, and you like cheap, then this is the computer for you. - http://tcrn.ch/VDQnSz    How many of you are getting one?")</f>
        <v>Samsung’s $249 Chromebook: if you like the web, and you like cheap, then this is the computer for you. - http://tcrn.ch/VDQnSz    How many of you are getting one?</v>
      </c>
      <c r="C791" s="3">
        <v>41213.442893518521</v>
      </c>
      <c r="D791" s="2">
        <v>318</v>
      </c>
      <c r="E791" s="2">
        <v>50</v>
      </c>
      <c r="F791" s="2" t="s">
        <v>8</v>
      </c>
      <c r="G791" s="2" t="s">
        <v>8</v>
      </c>
    </row>
    <row r="792" spans="1:7" ht="45" x14ac:dyDescent="0.25">
      <c r="A792" s="4" t="str">
        <f>HYPERLINK("http://techcrunch.com/2012/10/31/better-than-gmail-tasks-to-do-list-app-any-do-now-syncs-with-gmail-turns-emails-into-action-items-on-ios-android-chrome/","Better Than Gmail Tasks: To-Do List App Any.DO Now Syncs With Gmail, Turns Emails Into Action Items.")</f>
        <v>Better Than Gmail Tasks: To-Do List App Any.DO Now Syncs With Gmail, Turns Emails Into Action Items.</v>
      </c>
      <c r="B792" s="4" t="str">
        <f>HYPERLINK("http://www.facebook.com/8062627951/posts/380316318710996","Have any of you tried Any.DO yet?")</f>
        <v>Have any of you tried Any.DO yet?</v>
      </c>
      <c r="C792" s="3">
        <v>41213.41070601852</v>
      </c>
      <c r="D792" s="2">
        <v>142</v>
      </c>
      <c r="E792" s="2">
        <v>25</v>
      </c>
      <c r="F792" s="2" t="s">
        <v>8</v>
      </c>
      <c r="G792" s="2" t="s">
        <v>7</v>
      </c>
    </row>
    <row r="793" spans="1:7" ht="45" x14ac:dyDescent="0.25">
      <c r="A793" s="4" t="str">
        <f>HYPERLINK("http://techcrunch.com/2012/10/31/500-startups-batch-five/","Dave McClure’s 500 Startups Chooses 33 Companies For Its Fifth Accelerator Batch, Bets Big On Intern")</f>
        <v>Dave McClure’s 500 Startups Chooses 33 Companies For Its Fifth Accelerator Batch, Bets Big On Intern</v>
      </c>
      <c r="B793" s="4" t="str">
        <f>HYPERLINK("http://www.facebook.com/8062627951/posts/456575384385163","Here they are! Which ones stick out to you?")</f>
        <v>Here they are! Which ones stick out to you?</v>
      </c>
      <c r="C793" s="3">
        <v>41213.385752314818</v>
      </c>
      <c r="D793" s="2">
        <v>47</v>
      </c>
      <c r="E793" s="2">
        <v>10</v>
      </c>
      <c r="F793" s="2" t="s">
        <v>8</v>
      </c>
      <c r="G793" s="2" t="s">
        <v>7</v>
      </c>
    </row>
    <row r="794" spans="1:7" x14ac:dyDescent="0.25">
      <c r="A794" s="4" t="str">
        <f>HYPERLINK("http://www.facebook.com/photo.php?fbid=10151311913747952&amp;set=a.114456157951.118433.8062627951&amp;type=1&amp;relevant_count=1","[Photo]")</f>
        <v>[Photo]</v>
      </c>
      <c r="B794" s="4" t="str">
        <f>HYPERLINK("http://www.facebook.com/8062627951/posts/10151311913782952","Happy Halloween from Google! - http://tcrn.ch/VDpmyP")</f>
        <v>Happy Halloween from Google! - http://tcrn.ch/VDpmyP</v>
      </c>
      <c r="C794" s="3">
        <v>41213.251539351855</v>
      </c>
      <c r="D794" s="2">
        <v>192</v>
      </c>
      <c r="E794" s="2">
        <v>2</v>
      </c>
      <c r="F794" s="2" t="s">
        <v>7</v>
      </c>
      <c r="G794" s="2" t="s">
        <v>8</v>
      </c>
    </row>
    <row r="795" spans="1:7" ht="30" x14ac:dyDescent="0.25">
      <c r="A795" s="4" t="str">
        <f>HYPERLINK("http://techcrunch.com/2012/10/31/boxee-tv-hits-walmart-stores-tomorrow/","Boxee TV Hits Walmart Stores Tomorrow")</f>
        <v>Boxee TV Hits Walmart Stores Tomorrow</v>
      </c>
      <c r="B795" s="4" t="str">
        <f>HYPERLINK("http://www.facebook.com/8062627951/posts/508884682464011","NYC-based Boxee is launching the Boxee TV in Walmart tomorrow. Any interest?")</f>
        <v>NYC-based Boxee is launching the Boxee TV in Walmart tomorrow. Any interest?</v>
      </c>
      <c r="C795" s="3">
        <v>41213.203680555554</v>
      </c>
      <c r="D795" s="2">
        <v>33</v>
      </c>
      <c r="E795" s="2">
        <v>12</v>
      </c>
      <c r="F795" s="2" t="s">
        <v>8</v>
      </c>
      <c r="G795" s="2" t="s">
        <v>7</v>
      </c>
    </row>
    <row r="796" spans="1:7" ht="45" x14ac:dyDescent="0.25">
      <c r="A796" s="4" t="str">
        <f>HYPERLINK("http://techcrunch.com/2012/10/31/what-the-ipad-minis-up-against-asus-reports-nexus-7-sales-approach-1-million-per-month/","What The iPad Mini’s Up Against: Asus Reports Nexus 7 Sales Approach 1 Million Per Month")</f>
        <v>What The iPad Mini’s Up Against: Asus Reports Nexus 7 Sales Approach 1 Million Per Month</v>
      </c>
      <c r="B796" s="4" t="str">
        <f>HYPERLINK("http://www.facebook.com/8062627951/posts/254719251317987","Did you contribute to the Nexus 7 sales?")</f>
        <v>Did you contribute to the Nexus 7 sales?</v>
      </c>
      <c r="C796" s="3">
        <v>41213.152268518519</v>
      </c>
      <c r="D796" s="2">
        <v>73</v>
      </c>
      <c r="E796" s="2">
        <v>23</v>
      </c>
      <c r="F796" s="2" t="s">
        <v>8</v>
      </c>
      <c r="G796" s="2" t="s">
        <v>7</v>
      </c>
    </row>
    <row r="797" spans="1:7" x14ac:dyDescent="0.25">
      <c r="A797" s="4" t="str">
        <f>HYPERLINK("http://www.facebook.com/photo.php?fbid=10151311451427952&amp;set=a.114456157951.118433.8062627951&amp;type=1&amp;relevant_count=1","[Photo]")</f>
        <v>[Photo]</v>
      </c>
      <c r="B797" s="4" t="str">
        <f>HYPERLINK("http://www.facebook.com/8062627951/posts/10151311451467952","Gallows humor - http://tcrn.ch/W4wrOL")</f>
        <v>Gallows humor - http://tcrn.ch/W4wrOL</v>
      </c>
      <c r="C797" s="3">
        <v>41212.87703703704</v>
      </c>
      <c r="D797" s="2">
        <v>174</v>
      </c>
      <c r="E797" s="2">
        <v>11</v>
      </c>
      <c r="F797" s="2" t="s">
        <v>7</v>
      </c>
      <c r="G797" s="2" t="s">
        <v>8</v>
      </c>
    </row>
    <row r="798" spans="1:7" ht="30" x14ac:dyDescent="0.25">
      <c r="A798" s="4" t="str">
        <f>HYPERLINK("http://www.facebook.com/photo.php?fbid=10151311208137952&amp;set=a.114456157951.118433.8062627951&amp;type=1&amp;relevant_count=1","[Photo]")</f>
        <v>[Photo]</v>
      </c>
      <c r="B798" s="4" t="str">
        <f>HYPERLINK("http://www.facebook.com/8062627951/posts/10151311208192952","With the new iPad, Apple accelerates; with the iPad mini, it’s pedal to the metal - http://tcrn.ch/PFRpkn")</f>
        <v>With the new iPad, Apple accelerates; with the iPad mini, it’s pedal to the metal - http://tcrn.ch/PFRpkn</v>
      </c>
      <c r="C798" s="3">
        <v>41212.727708333332</v>
      </c>
      <c r="D798" s="2">
        <v>127</v>
      </c>
      <c r="E798" s="2">
        <v>19</v>
      </c>
      <c r="F798" s="2" t="s">
        <v>7</v>
      </c>
      <c r="G798" s="2" t="s">
        <v>8</v>
      </c>
    </row>
    <row r="799" spans="1:7" ht="30" x14ac:dyDescent="0.25">
      <c r="A799" s="4" t="str">
        <f>HYPERLINK("http://techcrunch.com/2012/10/30/george-lucas-i-sold-lucasfilm-to-disney-to-protect-it/","George Lucas: I Sold Lucasfilm To Disney To ‘Protect It’")</f>
        <v>George Lucas: I Sold Lucasfilm To Disney To ‘Protect It’</v>
      </c>
      <c r="B799" s="4" t="str">
        <f>HYPERLINK("http://www.facebook.com/8062627951/posts/372908469460953","Do you think George Lucas made the right decision?")</f>
        <v>Do you think George Lucas made the right decision?</v>
      </c>
      <c r="C799" s="3">
        <v>41212.651342592595</v>
      </c>
      <c r="D799" s="2">
        <v>299</v>
      </c>
      <c r="E799" s="2">
        <v>133</v>
      </c>
      <c r="F799" s="2" t="s">
        <v>8</v>
      </c>
      <c r="G799" s="2" t="s">
        <v>7</v>
      </c>
    </row>
    <row r="800" spans="1:7" ht="30" x14ac:dyDescent="0.25">
      <c r="A800" s="4" t="str">
        <f>HYPERLINK("http://techcrunch.tumblr.com/post/34664036539/walter-white-halloween","@ryanlawler’s epic Walter White Halloween...")</f>
        <v>@ryanlawler’s epic Walter White Halloween...</v>
      </c>
      <c r="B800" s="4" t="str">
        <f>HYPERLINK("http://www.facebook.com/8062627951/posts/439659849424741","It's almost Halloween. What are you being?")</f>
        <v>It's almost Halloween. What are you being?</v>
      </c>
      <c r="C800" s="3">
        <v>41212.631701388891</v>
      </c>
      <c r="D800" s="2">
        <v>23</v>
      </c>
      <c r="E800" s="2">
        <v>19</v>
      </c>
      <c r="F800" s="2" t="s">
        <v>8</v>
      </c>
      <c r="G800" s="2" t="s">
        <v>7</v>
      </c>
    </row>
    <row r="801" spans="1:7" ht="30" x14ac:dyDescent="0.25">
      <c r="A801" s="4" t="str">
        <f>HYPERLINK("http://techcrunch.com/2012/10/30/reminder-our-northern-meetups-are-next-week-is-your-pitch-ready/","Reminder: Our Northern Meetups Are Next Week. Is Your Pitch Ready? ")</f>
        <v xml:space="preserve">Reminder: Our Northern Meetups Are Next Week. Is Your Pitch Ready? </v>
      </c>
      <c r="B801" s="4" t="str">
        <f>HYPERLINK("http://www.facebook.com/8062627951/posts/186825394775334","Next week we are hitting Toronto, Detroit and Chicago. Make sure to get your pitches ready and come join!")</f>
        <v>Next week we are hitting Toronto, Detroit and Chicago. Make sure to get your pitches ready and come join!</v>
      </c>
      <c r="C801" s="3">
        <v>41212.590914351851</v>
      </c>
      <c r="D801" s="2">
        <v>21</v>
      </c>
      <c r="E801" s="2">
        <v>4</v>
      </c>
      <c r="F801" s="2" t="s">
        <v>7</v>
      </c>
      <c r="G801" s="2" t="s">
        <v>7</v>
      </c>
    </row>
    <row r="802" spans="1:7" ht="45" x14ac:dyDescent="0.25">
      <c r="A802" s="4" t="str">
        <f>HYPERLINK("http://www.facebook.com/photo.php?fbid=10151310847077952&amp;set=a.114456157951.118433.8062627951&amp;type=1&amp;relevant_count=1","[Photo]")</f>
        <v>[Photo]</v>
      </c>
      <c r="B802" s="4" t="str">
        <f>HYPERLINK("http://www.facebook.com/8062627951/posts/10151310847117952","Wow. Where Hollywood and tech collide: Disney to buy ‘Star Wars’ maker Lucasfilm for $4.05 billion. - http://tcrn.ch/PjQkNF")</f>
        <v>Wow. Where Hollywood and tech collide: Disney to buy ‘Star Wars’ maker Lucasfilm for $4.05 billion. - http://tcrn.ch/PjQkNF</v>
      </c>
      <c r="C802" s="3">
        <v>41212.534143518518</v>
      </c>
      <c r="D802" s="2">
        <v>660</v>
      </c>
      <c r="E802" s="2">
        <v>63</v>
      </c>
      <c r="F802" s="2" t="s">
        <v>7</v>
      </c>
      <c r="G802" s="2" t="s">
        <v>8</v>
      </c>
    </row>
    <row r="803" spans="1:7" ht="30" x14ac:dyDescent="0.25">
      <c r="A803" s="4" t="str">
        <f>HYPERLINK("http://techcrunch.com/2012/10/30/exec-cleaning/","Underwear On Your Floor? YC’s Exec Has A House Cleaning Service For That")</f>
        <v>Underwear On Your Floor? YC’s Exec Has A House Cleaning Service For That</v>
      </c>
      <c r="B803" s="4" t="str">
        <f>HYPERLINK("http://www.facebook.com/8062627951/posts/436966049695336","Need some help cleaning?")</f>
        <v>Need some help cleaning?</v>
      </c>
      <c r="C803" s="3">
        <v>41212.491620370369</v>
      </c>
      <c r="D803" s="2">
        <v>22</v>
      </c>
      <c r="E803" s="2">
        <v>0</v>
      </c>
      <c r="F803" s="2" t="s">
        <v>8</v>
      </c>
      <c r="G803" s="2" t="s">
        <v>7</v>
      </c>
    </row>
    <row r="804" spans="1:7" ht="45" x14ac:dyDescent="0.25">
      <c r="A804" s="4" t="str">
        <f>HYPERLINK("http://www.facebook.com/photo.php?fbid=10151310710382952&amp;set=a.114456157951.118433.8062627951&amp;type=1&amp;relevant_count=1","[Photo]")</f>
        <v>[Photo]</v>
      </c>
      <c r="B804" s="4" t="str">
        <f>HYPERLINK("http://www.facebook.com/8062627951/posts/10151310710462952","Facebook becomes nation’s hurricane bulletin board: “We are ok” was the #1 shared term this morning - http://tcrn.ch/TTY8s4")</f>
        <v>Facebook becomes nation’s hurricane bulletin board: “We are ok” was the #1 shared term this morning - http://tcrn.ch/TTY8s4</v>
      </c>
      <c r="C804" s="3">
        <v>41212.460636574076</v>
      </c>
      <c r="D804" s="2">
        <v>379</v>
      </c>
      <c r="E804" s="2">
        <v>12</v>
      </c>
      <c r="F804" s="2" t="s">
        <v>7</v>
      </c>
      <c r="G804" s="2" t="s">
        <v>8</v>
      </c>
    </row>
    <row r="805" spans="1:7" ht="45" x14ac:dyDescent="0.25">
      <c r="A805" s="4" t="str">
        <f>HYPERLINK("http://techcrunch.com/2012/10/30/googles-gmail-launches-new-compose-email-view-and-reply-experience-that-will-save-you-time/","Google’s Gmail Launches New Compose Email View And Reply Experience That Will Save You Time")</f>
        <v>Google’s Gmail Launches New Compose Email View And Reply Experience That Will Save You Time</v>
      </c>
      <c r="B805" s="4" t="str">
        <f>HYPERLINK("http://www.facebook.com/8062627951/posts/216337268498897","This should save all you Gmail users some time.")</f>
        <v>This should save all you Gmail users some time.</v>
      </c>
      <c r="C805" s="3">
        <v>41212.422152777777</v>
      </c>
      <c r="D805" s="2">
        <v>207</v>
      </c>
      <c r="E805" s="2">
        <v>9</v>
      </c>
      <c r="F805" s="2" t="s">
        <v>7</v>
      </c>
      <c r="G805" s="2" t="s">
        <v>7</v>
      </c>
    </row>
    <row r="806" spans="1:7" ht="60" x14ac:dyDescent="0.25">
      <c r="A806" s="4" t="str">
        <f>HYPERLINK("http://techcrunch.com/2012/10/30/why-pundits-and-politicians-hate-nyt-election-forecaster-nate-silver/","Why Pundits And Politicians Hate NYT Election Forecaster Nate Silver ")</f>
        <v xml:space="preserve">Why Pundits And Politicians Hate NYT Election Forecaster Nate Silver </v>
      </c>
      <c r="B806" s="4" t="str">
        <f>HYPERLINK("http://www.facebook.com/8062627951/posts/362991927123784","Why does Silver, who is really just an apartisan puzzle-solver, inspire so much loathing?   Perhaps because his results reveal a psychologically disturbing fact: we live in an uncontrollable, unpredic...")</f>
        <v>Why does Silver, who is really just an apartisan puzzle-solver, inspire so much loathing?   Perhaps because his results reveal a psychologically disturbing fact: we live in an uncontrollable, unpredic...</v>
      </c>
      <c r="C806" s="3">
        <v>41212.388877314814</v>
      </c>
      <c r="D806" s="2">
        <v>24</v>
      </c>
      <c r="E806" s="2">
        <v>6</v>
      </c>
      <c r="F806" s="2" t="s">
        <v>8</v>
      </c>
      <c r="G806" s="2" t="s">
        <v>7</v>
      </c>
    </row>
    <row r="807" spans="1:7" ht="30" x14ac:dyDescent="0.25">
      <c r="A807" s="4" t="str">
        <f>HYPERLINK("http://www.facebook.com/photo.php?fbid=10151310397382952&amp;set=a.114456157951.118433.8062627951&amp;type=1&amp;relevant_count=1","[Photo]")</f>
        <v>[Photo]</v>
      </c>
      <c r="B807" s="4" t="str">
        <f>HYPERLINK("http://www.facebook.com/8062627951/posts/10151310397397952","How the top 100 brands perform in the Apple App Store - http://tcrn.ch/W2esrW")</f>
        <v>How the top 100 brands perform in the Apple App Store - http://tcrn.ch/W2esrW</v>
      </c>
      <c r="C807" s="3">
        <v>41212.304594907408</v>
      </c>
      <c r="D807" s="2">
        <v>278</v>
      </c>
      <c r="E807" s="2">
        <v>38</v>
      </c>
      <c r="F807" s="2" t="s">
        <v>7</v>
      </c>
      <c r="G807" s="2" t="s">
        <v>8</v>
      </c>
    </row>
    <row r="808" spans="1:7" ht="30" x14ac:dyDescent="0.25">
      <c r="A808" s="4" t="str">
        <f>HYPERLINK("http://www.facebook.com/photo.php?fbid=10151310233842952&amp;set=a.114456157951.118433.8062627951&amp;type=1&amp;relevant_count=1","[Photo]")</f>
        <v>[Photo]</v>
      </c>
      <c r="B808" s="4" t="str">
        <f>HYPERLINK("http://www.facebook.com/8062627951/posts/10151310233897952","Review: The New Nook HD Tablet Is Just About The Best Reader You Can Buy - http://tcrn.ch/SuoLRk")</f>
        <v>Review: The New Nook HD Tablet Is Just About The Best Reader You Can Buy - http://tcrn.ch/SuoLRk</v>
      </c>
      <c r="C808" s="3">
        <v>41212.202187499999</v>
      </c>
      <c r="D808" s="2">
        <v>112</v>
      </c>
      <c r="E808" s="2">
        <v>18</v>
      </c>
      <c r="F808" s="2" t="s">
        <v>7</v>
      </c>
      <c r="G808" s="2" t="s">
        <v>8</v>
      </c>
    </row>
    <row r="809" spans="1:7" ht="45" x14ac:dyDescent="0.25">
      <c r="A809" s="4" t="str">
        <f>HYPERLINK("http://techcrunch.com/2012/10/30/heres-to-another-crazy-one-microsofts-steve-ballmer-narrates-windows-phone-8-ad/","Here’s To Another Crazy One: Microsoft’s Steve Ballmer Narrates Windows Phone 8 Ad")</f>
        <v>Here’s To Another Crazy One: Microsoft’s Steve Ballmer Narrates Windows Phone 8 Ad</v>
      </c>
      <c r="B809" s="4" t="str">
        <f>HYPERLINK("http://www.facebook.com/8062627951/posts/559749444040532","Here's Steve Ballmer's Windows Phone 8 commercial. Any advice?")</f>
        <v>Here's Steve Ballmer's Windows Phone 8 commercial. Any advice?</v>
      </c>
      <c r="C809" s="3">
        <v>41212.170428240737</v>
      </c>
      <c r="D809" s="2">
        <v>50</v>
      </c>
      <c r="E809" s="2">
        <v>19</v>
      </c>
      <c r="F809" s="2" t="s">
        <v>8</v>
      </c>
      <c r="G809" s="2" t="s">
        <v>7</v>
      </c>
    </row>
    <row r="810" spans="1:7" ht="30" x14ac:dyDescent="0.25">
      <c r="A810" s="4" t="s">
        <v>9</v>
      </c>
      <c r="B810" s="4" t="str">
        <f>HYPERLINK("http://www.facebook.com/8062627951/posts/10151310156012952","Our thoughts go out to everyone in the path of Hurricane Sandy. Stay safe.")</f>
        <v>Our thoughts go out to everyone in the path of Hurricane Sandy. Stay safe.</v>
      </c>
      <c r="C810" s="3">
        <v>41212.137928240743</v>
      </c>
      <c r="D810" s="2">
        <v>256</v>
      </c>
      <c r="E810" s="2">
        <v>15</v>
      </c>
      <c r="F810" s="2" t="s">
        <v>7</v>
      </c>
      <c r="G810" s="2" t="s">
        <v>7</v>
      </c>
    </row>
    <row r="811" spans="1:7" ht="60" x14ac:dyDescent="0.25">
      <c r="A811" s="4" t="str">
        <f>HYPERLINK("http://techcrunch.com/2012/10/29/google-adds-power-outage-information-to-its-hurricane-sandy-crisis-map/","Google Adds Power Outage Information To Its Hurricane Sandy Crisis Map")</f>
        <v>Google Adds Power Outage Information To Its Hurricane Sandy Crisis Map</v>
      </c>
      <c r="B811" s="4" t="str">
        <f>HYPERLINK("http://www.facebook.com/8062627951/posts/384909088250831","From the Google Maps team:  New on our #Sandy map: Power outage maps. On a mobile device? Click the “layers” button to see more, including shelter information, storm tracking and public alerts.  Visit...")</f>
        <v>From the Google Maps team:  New on our #Sandy map: Power outage maps. On a mobile device? Click the “layers” button to see more, including shelter information, storm tracking and public alerts.  Visit...</v>
      </c>
      <c r="C811" s="3">
        <v>41211.958425925928</v>
      </c>
      <c r="D811" s="2">
        <v>206</v>
      </c>
      <c r="E811" s="2">
        <v>3</v>
      </c>
      <c r="F811" s="2" t="s">
        <v>8</v>
      </c>
      <c r="G811" s="2" t="s">
        <v>7</v>
      </c>
    </row>
    <row r="812" spans="1:7" ht="45" x14ac:dyDescent="0.25">
      <c r="A812" s="4" t="str">
        <f>HYPERLINK("http://techcrunch.com/2012/10/29/conan-takes-on-the-ipad-mini-and-apples-increasingly-crowded-tablet-lineup/","Conan Takes On The iPad Mini And Apple’s Increasingly Crowded Tablet Lineup")</f>
        <v>Conan Takes On The iPad Mini And Apple’s Increasingly Crowded Tablet Lineup</v>
      </c>
      <c r="B812" s="4" t="str">
        <f>HYPERLINK("http://www.facebook.com/8062627951/posts/258050837650701","[Video] The best part of this whole thing? The slogan at the end, which Cupertino might want to consider officially adopting.")</f>
        <v>[Video] The best part of this whole thing? The slogan at the end, which Cupertino might want to consider officially adopting.</v>
      </c>
      <c r="C812" s="3">
        <v>41211.954375000001</v>
      </c>
      <c r="D812" s="2">
        <v>61</v>
      </c>
      <c r="E812" s="2">
        <v>3</v>
      </c>
      <c r="F812" s="2" t="s">
        <v>8</v>
      </c>
      <c r="G812" s="2" t="s">
        <v>7</v>
      </c>
    </row>
    <row r="813" spans="1:7" ht="45" x14ac:dyDescent="0.25">
      <c r="A813" s="4" t="str">
        <f>HYPERLINK("http://techcrunch.com/2012/10/29/reports-claim-forstall-and-browett-were-asked-to-leave-apple-following-crucial-missteps/","Reports Claim Forstall And Browett Were Asked To Leave Apple Following Crucial Missteps")</f>
        <v>Reports Claim Forstall And Browett Were Asked To Leave Apple Following Crucial Missteps</v>
      </c>
      <c r="B813" s="4" t="str">
        <f>HYPERLINK("http://www.facebook.com/8062627951/posts/132298676919108","Both executives were in fact asked to leave by Apple, following “missteps and management tensions” in their roles.")</f>
        <v>Both executives were in fact asked to leave by Apple, following “missteps and management tensions” in their roles.</v>
      </c>
      <c r="C813" s="3">
        <v>41211.779386574075</v>
      </c>
      <c r="D813" s="2">
        <v>153</v>
      </c>
      <c r="E813" s="2">
        <v>34</v>
      </c>
      <c r="F813" s="2" t="s">
        <v>7</v>
      </c>
      <c r="G813" s="2" t="s">
        <v>7</v>
      </c>
    </row>
    <row r="814" spans="1:7" ht="30" x14ac:dyDescent="0.25">
      <c r="A814" s="4" t="str">
        <f>HYPERLINK("http://techcrunch.com/2012/10/29/hurricane-sandy-attacks-the-web-gawker-buzzfeed-and-huffington-post-are-down/","Hurricane Sandy Attacks The Web: Gawker, BuzzFeed and Huffington Post Are Down")</f>
        <v>Hurricane Sandy Attacks The Web: Gawker, BuzzFeed and Huffington Post Are Down</v>
      </c>
      <c r="B814" s="4" t="str">
        <f>HYPERLINK("http://www.facebook.com/8062627951/posts/431485333575789","Yikes.")</f>
        <v>Yikes.</v>
      </c>
      <c r="C814" s="3">
        <v>41211.676215277781</v>
      </c>
      <c r="D814" s="2">
        <v>80</v>
      </c>
      <c r="E814" s="2">
        <v>23</v>
      </c>
      <c r="F814" s="2" t="s">
        <v>7</v>
      </c>
      <c r="G814" s="2" t="s">
        <v>7</v>
      </c>
    </row>
    <row r="815" spans="1:7" ht="30" x14ac:dyDescent="0.25">
      <c r="A815" s="4" t="str">
        <f>HYPERLINK("http://www.facebook.com/photo.php?fbid=10151309404057952&amp;set=a.114456157951.118433.8062627951&amp;type=1&amp;relevant_count=1","[Photo]")</f>
        <v>[Photo]</v>
      </c>
      <c r="B815" s="4" t="str">
        <f>HYPERLINK("http://www.facebook.com/8062627951/posts/10151309404127952","Riots with iPads: When SF won the World Series - http://tcrn.ch/PDbDv0")</f>
        <v>Riots with iPads: When SF won the World Series - http://tcrn.ch/PDbDv0</v>
      </c>
      <c r="C815" s="3">
        <v>41211.608229166668</v>
      </c>
      <c r="D815" s="2">
        <v>173</v>
      </c>
      <c r="E815" s="2">
        <v>19</v>
      </c>
      <c r="F815" s="2" t="s">
        <v>7</v>
      </c>
      <c r="G815" s="2" t="s">
        <v>8</v>
      </c>
    </row>
    <row r="816" spans="1:7" ht="45" x14ac:dyDescent="0.25">
      <c r="A816" s="4" t="str">
        <f>HYPERLINK("http://techcrunch.com/2012/10/29/scott-forstall-to-leave-apple-as-ive-cue-mansfield-and-federighi-take-on-new-roles/","Scott Forstall, John Browett To Leave Apple As Ive, Cue, Mansfield And Federighi Take On New Roles |")</f>
        <v>Scott Forstall, John Browett To Leave Apple As Ive, Cue, Mansfield And Federighi Take On New Roles |</v>
      </c>
      <c r="B816" s="4" t="str">
        <f>HYPERLINK("http://www.facebook.com/8062627951/posts/429045120491339","iWow.")</f>
        <v>iWow.</v>
      </c>
      <c r="C816" s="3">
        <v>41211.559699074074</v>
      </c>
      <c r="D816" s="2">
        <v>108</v>
      </c>
      <c r="E816" s="2">
        <v>41</v>
      </c>
      <c r="F816" s="2" t="s">
        <v>7</v>
      </c>
      <c r="G816" s="2" t="s">
        <v>7</v>
      </c>
    </row>
    <row r="817" spans="1:7" ht="45" x14ac:dyDescent="0.25">
      <c r="A817" s="4" t="str">
        <f>HYPERLINK("http://techcrunch.com/2012/10/29/study-startups-led-by-stanford-harvard-grads-lead-the-way-in-scoring-venture-capital-funding/","Study: Startups Led By Stanford, Harvard Grads Lead The Way In Scoring Venture Capital Funding ")</f>
        <v xml:space="preserve">Study: Startups Led By Stanford, Harvard Grads Lead The Way In Scoring Venture Capital Funding </v>
      </c>
      <c r="B817" s="4" t="str">
        <f>HYPERLINK("http://www.facebook.com/8062627951/posts/260120834111094","Anyone surprised?")</f>
        <v>Anyone surprised?</v>
      </c>
      <c r="C817" s="3">
        <v>41211.548495370371</v>
      </c>
      <c r="D817" s="2">
        <v>75</v>
      </c>
      <c r="E817" s="2">
        <v>14</v>
      </c>
      <c r="F817" s="2" t="s">
        <v>8</v>
      </c>
      <c r="G817" s="2" t="s">
        <v>7</v>
      </c>
    </row>
    <row r="818" spans="1:7" ht="30" x14ac:dyDescent="0.25">
      <c r="A818" s="4" t="str">
        <f>HYPERLINK("http://techcrunch.com/2012/10/28/badabing-for-ios-helps-you-find-all-of-your-facebook-friends-bikini-pics/","Badabing! For iOS Helps You Find All Of Your Facebook Friends’ Bikini Pics")</f>
        <v>Badabing! For iOS Helps You Find All Of Your Facebook Friends’ Bikini Pics</v>
      </c>
      <c r="B818" s="4" t="str">
        <f>HYPERLINK("http://www.facebook.com/8062627951/posts/369289219826091","If you're into that kind of thing...")</f>
        <v>If you're into that kind of thing...</v>
      </c>
      <c r="C818" s="3">
        <v>41211.509363425925</v>
      </c>
      <c r="D818" s="2">
        <v>46</v>
      </c>
      <c r="E818" s="2">
        <v>7</v>
      </c>
      <c r="F818" s="2" t="s">
        <v>7</v>
      </c>
      <c r="G818" s="2" t="s">
        <v>7</v>
      </c>
    </row>
    <row r="819" spans="1:7" ht="30" x14ac:dyDescent="0.25">
      <c r="A819" s="4" t="str">
        <f>HYPERLINK("http://www.facebook.com/photo.php?fbid=10151309109297952&amp;set=a.114456157951.118433.8062627951&amp;type=1&amp;relevant_count=1","[Photo]")</f>
        <v>[Photo]</v>
      </c>
      <c r="B819" s="4" t="str">
        <f>HYPERLINK("http://www.facebook.com/8062627951/posts/10151309109347952","‘Instacane’ has stunning first-person Instagrams of Hurricane #Sandy’s impact - http://tcrn.ch/Tqpd3P")</f>
        <v>‘Instacane’ has stunning first-person Instagrams of Hurricane #Sandy’s impact - http://tcrn.ch/Tqpd3P</v>
      </c>
      <c r="C819" s="3">
        <v>41211.477719907409</v>
      </c>
      <c r="D819" s="2">
        <v>292</v>
      </c>
      <c r="E819" s="2">
        <v>14</v>
      </c>
      <c r="F819" s="2" t="s">
        <v>7</v>
      </c>
      <c r="G819" s="2" t="s">
        <v>8</v>
      </c>
    </row>
    <row r="820" spans="1:7" ht="45" x14ac:dyDescent="0.25">
      <c r="A820" s="4" t="str">
        <f>HYPERLINK("http://techcrunch.com/2012/10/29/google-defends-leaving-lte-out-of-the-nexus-4-none-of-its-excuses-are-good-enough/","Google Defends Leaving LTE Out Of The Nexus 4: None Of Its Excuses Are Good Enough")</f>
        <v>Google Defends Leaving LTE Out Of The Nexus 4: None Of Its Excuses Are Good Enough</v>
      </c>
      <c r="B820" s="4" t="str">
        <f>HYPERLINK("http://www.facebook.com/8062627951/posts/460726643978449","The Nexus 4, without LTE it's just a brand new old phone.")</f>
        <v>The Nexus 4, without LTE it's just a brand new old phone.</v>
      </c>
      <c r="C820" s="3">
        <v>41211.430636574078</v>
      </c>
      <c r="D820" s="2">
        <v>71</v>
      </c>
      <c r="E820" s="2">
        <v>28</v>
      </c>
      <c r="F820" s="2" t="s">
        <v>7</v>
      </c>
      <c r="G820" s="2" t="s">
        <v>7</v>
      </c>
    </row>
    <row r="821" spans="1:7" ht="30" x14ac:dyDescent="0.25">
      <c r="A821" s="4" t="str">
        <f>HYPERLINK("http://www.facebook.com/photo.php?fbid=10151309004102952&amp;set=a.114456157951.118433.8062627951&amp;type=1&amp;relevant_count=1","[Photo]")</f>
        <v>[Photo]</v>
      </c>
      <c r="B821" s="4" t="str">
        <f>HYPERLINK("http://www.facebook.com/8062627951/posts/10151309004132952","Here are the official specs for the Nexus 4 and Nexus 10 - http://tcrn.ch/SsDoF1    What do you think?")</f>
        <v>Here are the official specs for the Nexus 4 and Nexus 10 - http://tcrn.ch/SsDoF1    What do you think?</v>
      </c>
      <c r="C821" s="3">
        <v>41211.42633101852</v>
      </c>
      <c r="D821" s="2">
        <v>107</v>
      </c>
      <c r="E821" s="2">
        <v>26</v>
      </c>
      <c r="F821" s="2" t="s">
        <v>8</v>
      </c>
      <c r="G821" s="2" t="s">
        <v>8</v>
      </c>
    </row>
    <row r="822" spans="1:7" ht="30" x14ac:dyDescent="0.25">
      <c r="A822" s="4" t="str">
        <f>HYPERLINK("http://techcrunch.com/2012/10/29/live-from-microsofts-windows-phone-8-event-in-san-francisco/","Live From Microsoft’s Windows Phone 8 Event In San Francisco")</f>
        <v>Live From Microsoft’s Windows Phone 8 Event In San Francisco</v>
      </c>
      <c r="B822" s="4" t="str">
        <f>HYPERLINK("http://www.facebook.com/8062627951/posts/109654619195358","Follow our Windows Phone 8 liveblog right here!")</f>
        <v>Follow our Windows Phone 8 liveblog right here!</v>
      </c>
      <c r="C822" s="3">
        <v>41211.384664351855</v>
      </c>
      <c r="D822" s="2">
        <v>26</v>
      </c>
      <c r="E822" s="2">
        <v>1</v>
      </c>
      <c r="F822" s="2" t="s">
        <v>7</v>
      </c>
      <c r="G822" s="2" t="s">
        <v>7</v>
      </c>
    </row>
    <row r="823" spans="1:7" ht="30" x14ac:dyDescent="0.25">
      <c r="A823" s="4" t="str">
        <f>HYPERLINK("http://techcrunch.com/2012/10/29/32gb-nexus-7/","Google Refreshes The Nexus 7 With New Storage Options, Lower Prices, 3G Option")</f>
        <v>Google Refreshes The Nexus 7 With New Storage Options, Lower Prices, 3G Option</v>
      </c>
      <c r="B823" s="4" t="str">
        <f>HYPERLINK("http://www.facebook.com/8062627951/posts/119664351523735","4G iPad mini or 3G Nexus 7? There's a big difference in price...is the iPad mini worth it?")</f>
        <v>4G iPad mini or 3G Nexus 7? There's a big difference in price...is the iPad mini worth it?</v>
      </c>
      <c r="C823" s="3">
        <v>41211.377280092594</v>
      </c>
      <c r="D823" s="2">
        <v>64</v>
      </c>
      <c r="E823" s="2">
        <v>12</v>
      </c>
      <c r="F823" s="2" t="s">
        <v>8</v>
      </c>
      <c r="G823" s="2" t="s">
        <v>7</v>
      </c>
    </row>
    <row r="824" spans="1:7" ht="45" x14ac:dyDescent="0.25">
      <c r="A824" s="4" t="str">
        <f>HYPERLINK("http://techcrunch.com/2012/10/29/fema-avoid-wireless-calls-use-text-messages-and-social-networks-to-reduce-network-strain/","FEMA: Avoid Wireless Calls, Use Text Messages And Social Networks To Reduce Network Strain")</f>
        <v>FEMA: Avoid Wireless Calls, Use Text Messages And Social Networks To Reduce Network Strain</v>
      </c>
      <c r="B824" s="4" t="str">
        <f>HYPERLINK("http://www.facebook.com/8062627951/posts/186643428139273","Good advice from FEMA.")</f>
        <v>Good advice from FEMA.</v>
      </c>
      <c r="C824" s="3">
        <v>41211.297974537039</v>
      </c>
      <c r="D824" s="2">
        <v>99</v>
      </c>
      <c r="E824" s="2">
        <v>5</v>
      </c>
      <c r="F824" s="2" t="s">
        <v>7</v>
      </c>
      <c r="G824" s="2" t="s">
        <v>7</v>
      </c>
    </row>
    <row r="825" spans="1:7" ht="45" x14ac:dyDescent="0.25">
      <c r="A825" s="4" t="str">
        <f>HYPERLINK("http://techcrunch.com/2012/10/29/verizon-sprint-t-mobile-hunker-down-for-hurricane-sandy-att-is-like-whatevs/","Verizon, Sprint, T-Mobile Hunker Down For Hurricane Sandy, AT&amp;T Is Like “Whatevs”")</f>
        <v>Verizon, Sprint, T-Mobile Hunker Down For Hurricane Sandy, AT&amp;T Is Like “Whatevs”</v>
      </c>
      <c r="B825" s="4" t="str">
        <f>HYPERLINK("http://www.facebook.com/8062627951/posts/577044738991852","Be safe and communicate, everyone.")</f>
        <v>Be safe and communicate, everyone.</v>
      </c>
      <c r="C825" s="3">
        <v>41211.242627314816</v>
      </c>
      <c r="D825" s="2">
        <v>53</v>
      </c>
      <c r="E825" s="2">
        <v>8</v>
      </c>
      <c r="F825" s="2" t="s">
        <v>7</v>
      </c>
      <c r="G825" s="2" t="s">
        <v>7</v>
      </c>
    </row>
    <row r="826" spans="1:7" ht="30" x14ac:dyDescent="0.25">
      <c r="A826" s="4" t="str">
        <f>HYPERLINK("http://techcrunch.com/2012/10/29/new-nexus-7-pricing-confirmed-199-for-16gb-249-for-32gb/","New Nexus 7 Pricing Confirmed: $199 For 16GB, $249 For 32GB  | TechCrunch")</f>
        <v>New Nexus 7 Pricing Confirmed: $199 For 16GB, $249 For 32GB  | TechCrunch</v>
      </c>
      <c r="B826" s="4" t="str">
        <f>HYPERLINK("http://www.facebook.com/8062627951/posts/120239161464747","The 16GB Nexus 7 will soon be $199. Will you get one?")</f>
        <v>The 16GB Nexus 7 will soon be $199. Will you get one?</v>
      </c>
      <c r="C826" s="3">
        <v>41211.139120370368</v>
      </c>
      <c r="D826" s="2">
        <v>103</v>
      </c>
      <c r="E826" s="2">
        <v>21</v>
      </c>
      <c r="F826" s="2" t="s">
        <v>8</v>
      </c>
      <c r="G826" s="2" t="s">
        <v>7</v>
      </c>
    </row>
    <row r="827" spans="1:7" ht="30" x14ac:dyDescent="0.25">
      <c r="A827" s="4" t="str">
        <f>HYPERLINK("http://www.facebook.com/photo.php?fbid=10151308398757952&amp;set=a.114456157951.118433.8062627951&amp;type=1&amp;relevant_count=1","[Photo]")</f>
        <v>[Photo]</v>
      </c>
      <c r="B827" s="4" t="str">
        <f>HYPERLINK("http://www.facebook.com/8062627951/posts/10151308398777952","As Google and Amazon fight up, Apple refuses to fight down - http://tcrn.ch/S7vMFx")</f>
        <v>As Google and Amazon fight up, Apple refuses to fight down - http://tcrn.ch/S7vMFx</v>
      </c>
      <c r="C827" s="3">
        <v>41211.095393518517</v>
      </c>
      <c r="D827" s="2">
        <v>129</v>
      </c>
      <c r="E827" s="2">
        <v>11</v>
      </c>
      <c r="F827" s="2" t="s">
        <v>7</v>
      </c>
      <c r="G827" s="2" t="s">
        <v>8</v>
      </c>
    </row>
    <row r="828" spans="1:7" ht="30" x14ac:dyDescent="0.25">
      <c r="A828" s="4" t="str">
        <f>HYPERLINK("http://www.facebook.com/photo.php?fbid=10151307704717952&amp;set=a.114456157951.118433.8062627951&amp;type=1&amp;relevant_count=1","[Photo]")</f>
        <v>[Photo]</v>
      </c>
      <c r="B828" s="4" t="str">
        <f>HYPERLINK("http://www.facebook.com/8062627951/posts/10151307704772952","Why the World Series feels different this year: Everyone at once on the second screen  http://tcrn.ch/Rr5cYW")</f>
        <v>Why the World Series feels different this year: Everyone at once on the second screen  http://tcrn.ch/Rr5cYW</v>
      </c>
      <c r="C828" s="3">
        <v>41210.712488425925</v>
      </c>
      <c r="D828" s="2">
        <v>46</v>
      </c>
      <c r="E828" s="2">
        <v>5</v>
      </c>
      <c r="F828" s="2" t="s">
        <v>7</v>
      </c>
      <c r="G828" s="2" t="s">
        <v>8</v>
      </c>
    </row>
    <row r="829" spans="1:7" x14ac:dyDescent="0.25">
      <c r="A829" s="4" t="s">
        <v>9</v>
      </c>
      <c r="B829" s="4" t="str">
        <f>HYPERLINK("http://www.facebook.com/8062627951/posts/10151307654892952","Hey baseball watchers, __________ will win the World Series.")</f>
        <v>Hey baseball watchers, __________ will win the World Series.</v>
      </c>
      <c r="C829" s="3">
        <v>41210.688252314816</v>
      </c>
      <c r="D829" s="2">
        <v>30</v>
      </c>
      <c r="E829" s="2">
        <v>122</v>
      </c>
      <c r="F829" s="2" t="s">
        <v>7</v>
      </c>
      <c r="G829" s="2" t="s">
        <v>7</v>
      </c>
    </row>
    <row r="830" spans="1:7" ht="30" x14ac:dyDescent="0.25">
      <c r="A830" s="4" t="str">
        <f>HYPERLINK("http://www.facebook.com/photo.php?fbid=10151307355777952&amp;set=a.114456157951.118433.8062627951&amp;type=1&amp;relevant_count=1","[Photo]")</f>
        <v>[Photo]</v>
      </c>
      <c r="B830" s="4" t="str">
        <f>HYPERLINK("http://www.facebook.com/8062627951/posts/10151307355867952","Killing your startup on a Thursday night. - http://tcrn.ch/U7Tstc")</f>
        <v>Killing your startup on a Thursday night. - http://tcrn.ch/U7Tstc</v>
      </c>
      <c r="C830" s="3">
        <v>41210.54519675926</v>
      </c>
      <c r="D830" s="2">
        <v>208</v>
      </c>
      <c r="E830" s="2">
        <v>21</v>
      </c>
      <c r="F830" s="2" t="s">
        <v>7</v>
      </c>
      <c r="G830" s="2" t="s">
        <v>8</v>
      </c>
    </row>
    <row r="831" spans="1:7" ht="45" x14ac:dyDescent="0.25">
      <c r="A831" s="4" t="str">
        <f>HYPERLINK("http://techcrunch.com/2012/10/28/anonymous-is-going-after-zynga-for-mistreating-employees-and-is-prepared-to-leak-documents/","Anonymous Is Going After Zynga For Mistreating Employees, And Is Prepared To Leak Documents And Rele")</f>
        <v>Anonymous Is Going After Zynga For Mistreating Employees, And Is Prepared To Leak Documents And Rele</v>
      </c>
      <c r="B831" s="4" t="str">
        <f>HYPERLINK("http://www.facebook.com/8062627951/posts/414369445285145","Do you think Anonymous should?")</f>
        <v>Do you think Anonymous should?</v>
      </c>
      <c r="C831" s="3">
        <v>41210.44636574074</v>
      </c>
      <c r="D831" s="2">
        <v>353</v>
      </c>
      <c r="E831" s="2">
        <v>59</v>
      </c>
      <c r="F831" s="2" t="s">
        <v>8</v>
      </c>
      <c r="G831" s="2" t="s">
        <v>7</v>
      </c>
    </row>
    <row r="832" spans="1:7" ht="45" x14ac:dyDescent="0.25">
      <c r="A832" s="4" t="str">
        <f>HYPERLINK("http://www.facebook.com/photo.php?fbid=10151307103337952&amp;set=a.114456157951.118433.8062627951&amp;type=1&amp;relevant_count=1","[Photo]")</f>
        <v>[Photo]</v>
      </c>
      <c r="B832" s="4" t="str">
        <f>HYPERLINK("http://www.facebook.com/8062627951/posts/10151307103457952","Google has set up a “crisis map” for those preparing for Hurricane Sandy. How are you or loved ones getting ready? Stay safe.  - http://tcrn.ch/SqOjit")</f>
        <v>Google has set up a “crisis map” for those preparing for Hurricane Sandy. How are you or loved ones getting ready? Stay safe.  - http://tcrn.ch/SqOjit</v>
      </c>
      <c r="C832" s="3">
        <v>41210.439502314817</v>
      </c>
      <c r="D832" s="2">
        <v>554</v>
      </c>
      <c r="E832" s="2">
        <v>33</v>
      </c>
      <c r="F832" s="2" t="s">
        <v>8</v>
      </c>
      <c r="G832" s="2" t="s">
        <v>8</v>
      </c>
    </row>
    <row r="833" spans="1:7" ht="30" x14ac:dyDescent="0.25">
      <c r="A833" s="4" t="str">
        <f>HYPERLINK("http://www.facebook.com/photo.php?fbid=10151307084372952&amp;set=a.114456157951.118433.8062627951&amp;type=1&amp;relevant_count=1","[Photo]")</f>
        <v>[Photo]</v>
      </c>
      <c r="B833" s="4" t="str">
        <f>HYPERLINK("http://www.facebook.com/8062627951/posts/10151307084402952","This guy’s mom’s Square reader is cooler than your mom’s Square reader - http://tcrn.ch/Vx4ER7")</f>
        <v>This guy’s mom’s Square reader is cooler than your mom’s Square reader - http://tcrn.ch/Vx4ER7</v>
      </c>
      <c r="C833" s="3">
        <v>41210.430405092593</v>
      </c>
      <c r="D833" s="2">
        <v>81</v>
      </c>
      <c r="E833" s="2">
        <v>1</v>
      </c>
      <c r="F833" s="2" t="s">
        <v>7</v>
      </c>
      <c r="G833" s="2" t="s">
        <v>8</v>
      </c>
    </row>
    <row r="834" spans="1:7" ht="30" x14ac:dyDescent="0.25">
      <c r="A834" s="4" t="str">
        <f>HYPERLINK("http://techcrunch.com/2012/10/27/tablet-first-mobile-second/","Tablet First, Mobile Second. ")</f>
        <v xml:space="preserve">Tablet First, Mobile Second. </v>
      </c>
      <c r="B834" s="4" t="str">
        <f>HYPERLINK("http://www.facebook.com/8062627951/posts/427890580605204","Are you willing to go tablet-first and cut down for mobile later?")</f>
        <v>Are you willing to go tablet-first and cut down for mobile later?</v>
      </c>
      <c r="C834" s="3">
        <v>41209.619479166664</v>
      </c>
      <c r="D834" s="2">
        <v>93</v>
      </c>
      <c r="E834" s="2">
        <v>15</v>
      </c>
      <c r="F834" s="2" t="s">
        <v>8</v>
      </c>
      <c r="G834" s="2" t="s">
        <v>7</v>
      </c>
    </row>
    <row r="835" spans="1:7" ht="45" x14ac:dyDescent="0.25">
      <c r="A835" s="4" t="str">
        <f>HYPERLINK("http://techcrunch.com/2012/10/27/yammers-cindy-alvarez-five-types-of-people-i-should-have-fired-sooner/","Yammer’s Cindy Alvarez: Five Types of People I Should Have Fired Sooner")</f>
        <v>Yammer’s Cindy Alvarez: Five Types of People I Should Have Fired Sooner</v>
      </c>
      <c r="B835" s="4" t="str">
        <f>HYPERLINK("http://www.facebook.com/8062627951/posts/291535164279734","1) The Early Hire 2) The Artist 3) The Structured One 4) The Hand-Me-Down 5) The Failed Promotion  Do you agree, or disagree?")</f>
        <v>1) The Early Hire 2) The Artist 3) The Structured One 4) The Hand-Me-Down 5) The Failed Promotion  Do you agree, or disagree?</v>
      </c>
      <c r="C835" s="3">
        <v>41209.482037037036</v>
      </c>
      <c r="D835" s="2">
        <v>61</v>
      </c>
      <c r="E835" s="2">
        <v>26</v>
      </c>
      <c r="F835" s="2" t="s">
        <v>8</v>
      </c>
      <c r="G835" s="2" t="s">
        <v>7</v>
      </c>
    </row>
    <row r="836" spans="1:7" ht="45" x14ac:dyDescent="0.25">
      <c r="A836" s="4" t="str">
        <f>HYPERLINK("http://techcrunch.com/2012/10/27/raincheck-google-cancels-nyc-android-event-planned-for-monday-due-to-hurricane-sandy/","Raincheck: Google Cancels NYC Android Event Planned For Monday Due To Hurricane Sandy")</f>
        <v>Raincheck: Google Cancels NYC Android Event Planned For Monday Due To Hurricane Sandy</v>
      </c>
      <c r="B836" s="4" t="str">
        <f>HYPERLINK("http://www.facebook.com/8062627951/posts/185749928229212","There may be an app for almost everything, but there still isn’t one for controlling Mother Nature.  Google officially cancels NYC Android event.")</f>
        <v>There may be an app for almost everything, but there still isn’t one for controlling Mother Nature.  Google officially cancels NYC Android event.</v>
      </c>
      <c r="C836" s="3">
        <v>41209.43409722222</v>
      </c>
      <c r="D836" s="2">
        <v>57</v>
      </c>
      <c r="E836" s="2">
        <v>9</v>
      </c>
      <c r="F836" s="2" t="s">
        <v>7</v>
      </c>
      <c r="G836" s="2" t="s">
        <v>7</v>
      </c>
    </row>
    <row r="837" spans="1:7" ht="30" x14ac:dyDescent="0.25">
      <c r="A837" s="4" t="str">
        <f>HYPERLINK("http://www.facebook.com/photo.php?fbid=10151305508222952&amp;set=a.114456157951.118433.8062627951&amp;type=1&amp;relevant_count=1","[Photo]")</f>
        <v>[Photo]</v>
      </c>
      <c r="B837" s="4" t="str">
        <f>HYPERLINK("http://www.facebook.com/8062627951/posts/10151305508282952","How long will programmers be so well-paid? - http://tcrn.ch/S2LnFX")</f>
        <v>How long will programmers be so well-paid? - http://tcrn.ch/S2LnFX</v>
      </c>
      <c r="C837" s="3">
        <v>41209.414768518516</v>
      </c>
      <c r="D837" s="2">
        <v>368</v>
      </c>
      <c r="E837" s="2">
        <v>55</v>
      </c>
      <c r="F837" s="2" t="s">
        <v>8</v>
      </c>
      <c r="G837" s="2" t="s">
        <v>8</v>
      </c>
    </row>
    <row r="838" spans="1:7" ht="60" x14ac:dyDescent="0.25">
      <c r="A838" s="4" t="str">
        <f>HYPERLINK("http://youtu.be/F5qogMqHp_s","UC Berkeley's PLAY Conference Promo Video")</f>
        <v>UC Berkeley's PLAY Conference Promo Video</v>
      </c>
      <c r="B838" s="4" t="str">
        <f>HYPERLINK("http://www.facebook.com/8062627951/posts/498580126833068","Come see TechCrunch's Ryan Lawler speak on the future of video at Haas UC Berkeley's &gt;Play Conference or follow coverage of Box CEO Aaron Levie's talk http://playconference.net/")</f>
        <v>Come see TechCrunch's Ryan Lawler speak on the future of video at Haas UC Berkeley's &gt;Play Conference or follow coverage of Box CEO Aaron Levie's talk http://playconference.net/</v>
      </c>
      <c r="C838" s="3">
        <v>41209.399386574078</v>
      </c>
      <c r="D838" s="2">
        <v>45</v>
      </c>
      <c r="E838" s="2">
        <v>3</v>
      </c>
      <c r="F838" s="2" t="s">
        <v>7</v>
      </c>
      <c r="G838" s="2" t="s">
        <v>7</v>
      </c>
    </row>
    <row r="839" spans="1:7" ht="30" x14ac:dyDescent="0.25">
      <c r="A839" s="4" t="str">
        <f>HYPERLINK("http://www.facebook.com/photo.php?fbid=10151305379037952&amp;set=a.114456157951.118433.8062627951&amp;type=1&amp;relevant_count=1","[Photo]")</f>
        <v>[Photo]</v>
      </c>
      <c r="B839" s="4" t="str">
        <f>HYPERLINK("http://www.facebook.com/8062627951/posts/10151305379067952","Do you think arguments about politics are like arguments about phones? - http://tcrn.ch/TLUquo")</f>
        <v>Do you think arguments about politics are like arguments about phones? - http://tcrn.ch/TLUquo</v>
      </c>
      <c r="C839" s="3">
        <v>41209.346805555557</v>
      </c>
      <c r="D839" s="2">
        <v>185</v>
      </c>
      <c r="E839" s="2">
        <v>32</v>
      </c>
      <c r="F839" s="2" t="s">
        <v>8</v>
      </c>
      <c r="G839" s="2" t="s">
        <v>8</v>
      </c>
    </row>
    <row r="840" spans="1:7" ht="30" x14ac:dyDescent="0.25">
      <c r="A840" s="4" t="str">
        <f>HYPERLINK("http://techcrunch.com/2012/10/26/blackjet/","Uber Co-Founder Garrett Camp Launches BlackJet, The “Uber For Private Jets” ")</f>
        <v xml:space="preserve">Uber Co-Founder Garrett Camp Launches BlackJet, The “Uber For Private Jets” </v>
      </c>
      <c r="B840" s="4" t="str">
        <f>HYPERLINK("http://www.facebook.com/8062627951/posts/489581544408324","Fancy.")</f>
        <v>Fancy.</v>
      </c>
      <c r="C840" s="3">
        <v>41208.62537037037</v>
      </c>
      <c r="D840" s="2">
        <v>49</v>
      </c>
      <c r="E840" s="2">
        <v>12</v>
      </c>
      <c r="F840" s="2" t="s">
        <v>7</v>
      </c>
      <c r="G840" s="2" t="s">
        <v>7</v>
      </c>
    </row>
    <row r="841" spans="1:7" ht="30" x14ac:dyDescent="0.25">
      <c r="A841" s="4" t="str">
        <f>HYPERLINK("http://techcrunch.com/2012/10/23/fly-you-fools/","I Come Back To You Now At The Turn Of The Tide")</f>
        <v>I Come Back To You Now At The Turn Of The Tide</v>
      </c>
      <c r="B841" s="4" t="str">
        <f>HYPERLINK("http://www.facebook.com/8062627951/posts/481329431907526","Oh, hey, did you hear Michael Arrington and MG Siegler are coming back? Cause they are.")</f>
        <v>Oh, hey, did you hear Michael Arrington and MG Siegler are coming back? Cause they are.</v>
      </c>
      <c r="C841" s="3">
        <v>41208.62096064815</v>
      </c>
      <c r="D841" s="2">
        <v>25</v>
      </c>
      <c r="E841" s="2">
        <v>6</v>
      </c>
      <c r="F841" s="2" t="s">
        <v>8</v>
      </c>
      <c r="G841" s="2" t="s">
        <v>7</v>
      </c>
    </row>
    <row r="842" spans="1:7" ht="45" x14ac:dyDescent="0.25">
      <c r="A842" s="4" t="str">
        <f>HYPERLINK("http://www.facebook.com/photo.php?fbid=10151304231717952&amp;set=a.114456157951.118433.8062627951&amp;type=1&amp;relevant_count=1","[Photo]")</f>
        <v>[Photo]</v>
      </c>
      <c r="B842" s="4" t="str">
        <f>HYPERLINK("http://www.facebook.com/8062627951/posts/10151304231767952","Here’s the Beats By Dre “Executive” headphone review by someone who actually used them. Would you want a pair?  - http://tcrn.ch/Y4G6Ss")</f>
        <v>Here’s the Beats By Dre “Executive” headphone review by someone who actually used them. Would you want a pair?  - http://tcrn.ch/Y4G6Ss</v>
      </c>
      <c r="C842" s="3">
        <v>41208.569745370369</v>
      </c>
      <c r="D842" s="2">
        <v>152</v>
      </c>
      <c r="E842" s="2">
        <v>47</v>
      </c>
      <c r="F842" s="2" t="s">
        <v>8</v>
      </c>
      <c r="G842" s="2" t="s">
        <v>8</v>
      </c>
    </row>
    <row r="843" spans="1:7" ht="30" x14ac:dyDescent="0.25">
      <c r="A843" s="4" t="str">
        <f>HYPERLINK("http://techcrunch.com/2012/10/26/behold-the-best-samsung-galaxy-note-sales-pitch-youve-ever-seen/","Behold The Best Samsung Galaxy Note Sales Pitch You’ve Ever Seen")</f>
        <v>Behold The Best Samsung Galaxy Note Sales Pitch You’ve Ever Seen</v>
      </c>
      <c r="B843" s="4" t="str">
        <f>HYPERLINK("http://www.facebook.com/8062627951/posts/435760279818531","Behold!")</f>
        <v>Behold!</v>
      </c>
      <c r="C843" s="3">
        <v>41208.5078587963</v>
      </c>
      <c r="D843" s="2">
        <v>270</v>
      </c>
      <c r="E843" s="2">
        <v>37</v>
      </c>
      <c r="F843" s="2" t="s">
        <v>7</v>
      </c>
      <c r="G843" s="2" t="s">
        <v>7</v>
      </c>
    </row>
    <row r="844" spans="1:7" x14ac:dyDescent="0.25">
      <c r="A844" s="4" t="str">
        <f>HYPERLINK("http://techcrunch.com/2012/10/26/this-is-the-nexus-10/","This Is The Nexus 10 ")</f>
        <v xml:space="preserve">This Is The Nexus 10 </v>
      </c>
      <c r="B844" s="4" t="str">
        <f>HYPERLINK("http://www.facebook.com/8062627951/posts/361941440564090","What do you think? Impressed so far?")</f>
        <v>What do you think? Impressed so far?</v>
      </c>
      <c r="C844" s="3">
        <v>41208.49454861111</v>
      </c>
      <c r="D844" s="2">
        <v>69</v>
      </c>
      <c r="E844" s="2">
        <v>25</v>
      </c>
      <c r="F844" s="2" t="s">
        <v>8</v>
      </c>
      <c r="G844" s="2" t="s">
        <v>7</v>
      </c>
    </row>
    <row r="845" spans="1:7" ht="30" x14ac:dyDescent="0.25">
      <c r="A845" s="4" t="str">
        <f>HYPERLINK("http://www.facebook.com/photo.php?fbid=10151304046572952&amp;set=a.114456157951.118433.8062627951&amp;type=1&amp;relevant_count=1","[Photo]")</f>
        <v>[Photo]</v>
      </c>
      <c r="B845" s="4" t="str">
        <f>HYPERLINK("http://www.facebook.com/8062627951/posts/10151304046622952","Facebook is building a Pinterest-style Collections feature http://tcrn.ch/RmKOYK")</f>
        <v>Facebook is building a Pinterest-style Collections feature http://tcrn.ch/RmKOYK</v>
      </c>
      <c r="C845" s="3">
        <v>41208.468946759262</v>
      </c>
      <c r="D845" s="2">
        <v>164</v>
      </c>
      <c r="E845" s="2">
        <v>25</v>
      </c>
      <c r="F845" s="2" t="s">
        <v>7</v>
      </c>
      <c r="G845" s="2" t="s">
        <v>8</v>
      </c>
    </row>
    <row r="846" spans="1:7" ht="45" x14ac:dyDescent="0.25">
      <c r="A846" s="4" t="str">
        <f>HYPERLINK("http://techcrunch.com/2012/10/26/google-app-engine-down-with-major-service-disruption-as-dropbox-and-tumblr-also-suffer/","Google App Engine Has Major Service Disruption As Dropbox and Tumblr Also Suffer")</f>
        <v>Google App Engine Has Major Service Disruption As Dropbox and Tumblr Also Suffer</v>
      </c>
      <c r="B846" s="4" t="str">
        <f>HYPERLINK("http://www.facebook.com/8062627951/posts/478956472145257","Uh oh. Is it affecting you?")</f>
        <v>Uh oh. Is it affecting you?</v>
      </c>
      <c r="C846" s="3">
        <v>41208.441805555558</v>
      </c>
      <c r="D846" s="2">
        <v>38</v>
      </c>
      <c r="E846" s="2">
        <v>11</v>
      </c>
      <c r="F846" s="2" t="s">
        <v>8</v>
      </c>
      <c r="G846" s="2" t="s">
        <v>7</v>
      </c>
    </row>
    <row r="847" spans="1:7" ht="30" x14ac:dyDescent="0.25">
      <c r="A847" s="4" t="str">
        <f>HYPERLINK("http://www.facebook.com/photo.php?fbid=10151303917442952&amp;set=a.114456157951.118433.8062627951&amp;type=1&amp;relevant_count=1","[Photo]")</f>
        <v>[Photo]</v>
      </c>
      <c r="B847" s="4" t="str">
        <f>HYPERLINK("http://www.facebook.com/8062627951/posts/10151303917482952","Bald Beliebers remind us... just because you read it on Twitter, doesn't mean it's true - http://tcrn.ch/U26WXm")</f>
        <v>Bald Beliebers remind us... just because you read it on Twitter, doesn't mean it's true - http://tcrn.ch/U26WXm</v>
      </c>
      <c r="C847" s="3">
        <v>41208.400902777779</v>
      </c>
      <c r="D847" s="2">
        <v>818</v>
      </c>
      <c r="E847" s="2">
        <v>155</v>
      </c>
      <c r="F847" s="2" t="s">
        <v>7</v>
      </c>
      <c r="G847" s="2" t="s">
        <v>8</v>
      </c>
    </row>
    <row r="848" spans="1:7" ht="30" x14ac:dyDescent="0.25">
      <c r="A848" s="4" t="str">
        <f>HYPERLINK("http://www.facebook.com/photo.php?fbid=10151303812227952&amp;set=a.114456157951.118433.8062627951&amp;type=1&amp;relevant_count=1","[Photo]")</f>
        <v>[Photo]</v>
      </c>
      <c r="B848" s="4" t="str">
        <f>HYPERLINK("http://www.facebook.com/8062627951/posts/10151303812272952","Here comes the Nexus 4 smartphone, 3G Nexus 7 tablet, and the Nexus 10 iPad killer - http://tcrn.ch/PUKhAe")</f>
        <v>Here comes the Nexus 4 smartphone, 3G Nexus 7 tablet, and the Nexus 10 iPad killer - http://tcrn.ch/PUKhAe</v>
      </c>
      <c r="C848" s="3">
        <v>41208.345092592594</v>
      </c>
      <c r="D848" s="2">
        <v>450</v>
      </c>
      <c r="E848" s="2">
        <v>53</v>
      </c>
      <c r="F848" s="2" t="s">
        <v>7</v>
      </c>
      <c r="G848" s="2" t="s">
        <v>8</v>
      </c>
    </row>
    <row r="849" spans="1:7" ht="30" x14ac:dyDescent="0.25">
      <c r="A849" s="4" t="str">
        <f>HYPERLINK("http://www.facebook.com/photo.php?fbid=10151303750402952&amp;set=a.114456157951.118433.8062627951&amp;type=1&amp;relevant_count=1","[Photo]")</f>
        <v>[Photo]</v>
      </c>
      <c r="B849" s="4" t="str">
        <f>HYPERLINK("http://www.facebook.com/8062627951/posts/10151303750477952","Scenes from Microsoft’s packed Times Square Surface launch - http://tcrn.ch/TF5v6v")</f>
        <v>Scenes from Microsoft’s packed Times Square Surface launch - http://tcrn.ch/TF5v6v</v>
      </c>
      <c r="C849" s="3">
        <v>41208.310810185183</v>
      </c>
      <c r="D849" s="2">
        <v>276</v>
      </c>
      <c r="E849" s="2">
        <v>33</v>
      </c>
      <c r="F849" s="2" t="s">
        <v>7</v>
      </c>
      <c r="G849" s="2" t="s">
        <v>8</v>
      </c>
    </row>
    <row r="850" spans="1:7" ht="60" x14ac:dyDescent="0.25">
      <c r="A850" s="4" t="str">
        <f>HYPERLINK("http://techcrunch.com/2012/10/26/crunchgov-techcrunch-policy-platform/","Introducing CrunchGov, TechCrunch’s Policy Platform")</f>
        <v>Introducing CrunchGov, TechCrunch’s Policy Platform</v>
      </c>
      <c r="B850" s="4" t="str">
        <f>HYPERLINK("http://www.facebook.com/8062627951/posts/341177439312712","It's nice to see all the lip service that politicians are paying to startups these days. But established special interests on the left and right shape political decisions, and entrepreneurs get ignore...")</f>
        <v>It's nice to see all the lip service that politicians are paying to startups these days. But established special interests on the left and right shape political decisions, and entrepreneurs get ignore...</v>
      </c>
      <c r="C850" s="3">
        <v>41208.281412037039</v>
      </c>
      <c r="D850" s="2">
        <v>72</v>
      </c>
      <c r="E850" s="2">
        <v>1</v>
      </c>
      <c r="F850" s="2" t="s">
        <v>7</v>
      </c>
      <c r="G850" s="2" t="s">
        <v>7</v>
      </c>
    </row>
    <row r="851" spans="1:7" ht="45" x14ac:dyDescent="0.25">
      <c r="A851" s="4" t="str">
        <f>HYPERLINK("http://techcrunch.com/2012/10/26/video-game-journalist-out-of-a-job-for-calling-out-dead-eyed-dorito-hoarding-journalists/","Video Game Journalist Out Of A Job For Calling Out Dead-Eyed, Dorito-Hoarding Journalists")</f>
        <v>Video Game Journalist Out Of A Job For Calling Out Dead-Eyed, Dorito-Hoarding Journalists</v>
      </c>
      <c r="B851" s="4" t="str">
        <f>HYPERLINK("http://www.facebook.com/8062627951/posts/329129693852839","The ugly truth about video game journalism.")</f>
        <v>The ugly truth about video game journalism.</v>
      </c>
      <c r="C851" s="3">
        <v>41208.225902777776</v>
      </c>
      <c r="D851" s="2">
        <v>31</v>
      </c>
      <c r="E851" s="2">
        <v>9</v>
      </c>
      <c r="F851" s="2" t="s">
        <v>7</v>
      </c>
      <c r="G851" s="2" t="s">
        <v>7</v>
      </c>
    </row>
    <row r="852" spans="1:7" ht="30" x14ac:dyDescent="0.25">
      <c r="A852" s="4" t="str">
        <f>HYPERLINK("http://www.facebook.com/photo.php?fbid=10151303550332952&amp;set=a.114456157951.118433.8062627951&amp;type=1&amp;relevant_count=1","[Photo]")</f>
        <v>[Photo]</v>
      </c>
      <c r="B852" s="4" t="str">
        <f>HYPERLINK("http://www.facebook.com/8062627951/posts/10151303550357952","HTC Q3 sales down 48% to $2.4B, expects even weaker Q4 of $2B - http://tcrn.ch/VM7k30")</f>
        <v>HTC Q3 sales down 48% to $2.4B, expects even weaker Q4 of $2B - http://tcrn.ch/VM7k30</v>
      </c>
      <c r="C852" s="3">
        <v>41208.185416666667</v>
      </c>
      <c r="D852" s="2">
        <v>33</v>
      </c>
      <c r="E852" s="2">
        <v>8</v>
      </c>
      <c r="F852" s="2" t="s">
        <v>7</v>
      </c>
      <c r="G852" s="2" t="s">
        <v>8</v>
      </c>
    </row>
    <row r="853" spans="1:7" ht="45" x14ac:dyDescent="0.25">
      <c r="A853" s="4" t="str">
        <f>HYPERLINK("http://techcrunch.com/2012/10/26/apples-ipad-mini-4th-gen-ipad-now-available-for-pre-order-wi-fi-only-versions-deliver-november-2/","Apple’s iPad Mini, 4th Gen iPad Now Available For Pre-Order – Wi-Fi Only Versions Deliver November 2")</f>
        <v>Apple’s iPad Mini, 4th Gen iPad Now Available For Pre-Order – Wi-Fi Only Versions Deliver November 2</v>
      </c>
      <c r="B853" s="4" t="str">
        <f>HYPERLINK("http://www.facebook.com/8062627951/posts/376674985745888","Are you going to pre-order an iPad mini?")</f>
        <v>Are you going to pre-order an iPad mini?</v>
      </c>
      <c r="C853" s="3">
        <v>41208.176550925928</v>
      </c>
      <c r="D853" s="2">
        <v>78</v>
      </c>
      <c r="E853" s="2">
        <v>69</v>
      </c>
      <c r="F853" s="2" t="s">
        <v>8</v>
      </c>
      <c r="G853" s="2" t="s">
        <v>7</v>
      </c>
    </row>
    <row r="854" spans="1:7" ht="30" x14ac:dyDescent="0.25">
      <c r="A854" s="4" t="str">
        <f>HYPERLINK("http://www.facebook.com/photo.php?fbid=10151303503952952&amp;set=a.114456157951.118433.8062627951&amp;type=1&amp;relevant_count=1","[Photo]")</f>
        <v>[Photo]</v>
      </c>
      <c r="B854" s="4" t="str">
        <f>HYPERLINK("http://www.facebook.com/8062627951/posts/10151303503987952","Apple publishes non-apology to Samsung on its website to comply with U.K. court ruling - http://tcrn.ch/RO6tJ8")</f>
        <v>Apple publishes non-apology to Samsung on its website to comply with U.K. court ruling - http://tcrn.ch/RO6tJ8</v>
      </c>
      <c r="C854" s="3">
        <v>41208.150810185187</v>
      </c>
      <c r="D854" s="2">
        <v>307</v>
      </c>
      <c r="E854" s="2">
        <v>21</v>
      </c>
      <c r="F854" s="2" t="s">
        <v>7</v>
      </c>
      <c r="G854" s="2" t="s">
        <v>8</v>
      </c>
    </row>
    <row r="855" spans="1:7" ht="30" x14ac:dyDescent="0.25">
      <c r="A855" s="4" t="str">
        <f>HYPERLINK("http://www.facebook.com/photo.php?fbid=10151302868502952&amp;set=a.114456157951.118433.8062627951&amp;type=1&amp;relevant_count=1","[Photo]")</f>
        <v>[Photo]</v>
      </c>
      <c r="B855" s="4" t="str">
        <f>HYPERLINK("http://www.facebook.com/8062627951/posts/10151302868582952","Cars that fly *and* float: Explaining Apple’s Q4 and beyond - http://tcrn.ch/RLK92J")</f>
        <v>Cars that fly *and* float: Explaining Apple’s Q4 and beyond - http://tcrn.ch/RLK92J</v>
      </c>
      <c r="C855" s="3">
        <v>41207.670694444445</v>
      </c>
      <c r="D855" s="2">
        <v>144</v>
      </c>
      <c r="E855" s="2">
        <v>14</v>
      </c>
      <c r="F855" s="2" t="s">
        <v>7</v>
      </c>
      <c r="G855" s="2" t="s">
        <v>8</v>
      </c>
    </row>
    <row r="856" spans="1:7" ht="30" x14ac:dyDescent="0.25">
      <c r="A856" s="4" t="str">
        <f>HYPERLINK("http://techcrunch.com/2012/10/25/yahoo-is-testing-out-new-logo-ideas-still-isnt-dropping-the/","Yahoo! Is Testing Out New Logo Ideas, Still Isn’t Dropping The ! ")</f>
        <v xml:space="preserve">Yahoo! Is Testing Out New Logo Ideas, Still Isn’t Dropping The ! </v>
      </c>
      <c r="B856" s="4" t="str">
        <f>HYPERLINK("http://www.facebook.com/8062627951/posts/515057111857799","Think Yahoo should change its logo? What do you think of the new ideas?")</f>
        <v>Think Yahoo should change its logo? What do you think of the new ideas?</v>
      </c>
      <c r="C856" s="3">
        <v>41207.619201388887</v>
      </c>
      <c r="D856" s="2">
        <v>53</v>
      </c>
      <c r="E856" s="2">
        <v>59</v>
      </c>
      <c r="F856" s="2" t="s">
        <v>8</v>
      </c>
      <c r="G856" s="2" t="s">
        <v>7</v>
      </c>
    </row>
    <row r="857" spans="1:7" ht="45" x14ac:dyDescent="0.25">
      <c r="A857" s="4" t="str">
        <f>HYPERLINK("http://techcrunch.com/2012/10/25/apple-now-has-121-3-billion-in-cash-more-than-amazons-market-cap-or-a-space-station/","Apple Now Has $121.3 Billion In Cash: More Than Amazon’s Market Cap Or A Space Station")</f>
        <v>Apple Now Has $121.3 Billion In Cash: More Than Amazon’s Market Cap Or A Space Station</v>
      </c>
      <c r="B857" s="4" t="str">
        <f>HYPERLINK("http://www.facebook.com/8062627951/posts/377244142361308","That's a lot of cash. Let's dream for a second - what would you do with it?")</f>
        <v>That's a lot of cash. Let's dream for a second - what would you do with it?</v>
      </c>
      <c r="C857" s="3">
        <v>41207.580451388887</v>
      </c>
      <c r="D857" s="2">
        <v>325</v>
      </c>
      <c r="E857" s="2">
        <v>109</v>
      </c>
      <c r="F857" s="2" t="s">
        <v>8</v>
      </c>
      <c r="G857" s="2" t="s">
        <v>7</v>
      </c>
    </row>
    <row r="858" spans="1:7" ht="30" x14ac:dyDescent="0.25">
      <c r="A858" s="4" t="str">
        <f>HYPERLINK("http://www.facebook.com/photo.php?fbid=10151302673052952&amp;set=a.114456157951.118433.8062627951&amp;type=1&amp;relevant_count=1","[Photo]")</f>
        <v>[Photo]</v>
      </c>
      <c r="B858" s="4" t="str">
        <f>HYPERLINK("http://www.facebook.com/8062627951/posts/10151302673102952","1/4 of Facebook users play games. Do you love 'em or hate 'em?  http://tcrn.ch/PtQqUa")</f>
        <v>1/4 of Facebook users play games. Do you love 'em or hate 'em?  http://tcrn.ch/PtQqUa</v>
      </c>
      <c r="C858" s="3">
        <v>41207.565509259257</v>
      </c>
      <c r="D858" s="2">
        <v>34</v>
      </c>
      <c r="E858" s="2">
        <v>39</v>
      </c>
      <c r="F858" s="2" t="s">
        <v>8</v>
      </c>
      <c r="G858" s="2" t="s">
        <v>8</v>
      </c>
    </row>
    <row r="859" spans="1:7" ht="45" x14ac:dyDescent="0.25">
      <c r="A859" s="4" t="str">
        <f>HYPERLINK("http://www.facebook.com/photo.php?fbid=10151302620567952&amp;set=a.114456157951.118433.8062627951&amp;type=1&amp;relevant_count=1","[Photo]")</f>
        <v>[Photo]</v>
      </c>
      <c r="B859" s="4" t="str">
        <f>HYPERLINK("http://www.facebook.com/8062627951/posts/10151302620667952","iPad sales are still declining from Q3, down 17.6% to 14 million. Are you surprised, or no? More here: http://tcrn.ch/PSZHoR")</f>
        <v>iPad sales are still declining from Q3, down 17.6% to 14 million. Are you surprised, or no? More here: http://tcrn.ch/PSZHoR</v>
      </c>
      <c r="C859" s="3">
        <v>41207.538865740738</v>
      </c>
      <c r="D859" s="2">
        <v>114</v>
      </c>
      <c r="E859" s="2">
        <v>74</v>
      </c>
      <c r="F859" s="2" t="s">
        <v>8</v>
      </c>
      <c r="G859" s="2" t="s">
        <v>8</v>
      </c>
    </row>
    <row r="860" spans="1:7" ht="30" x14ac:dyDescent="0.25">
      <c r="A860" s="4" t="str">
        <f>HYPERLINK("http://www.facebook.com/photo.php?fbid=10151302602577952&amp;set=a.114456157951.118433.8062627951&amp;type=1&amp;relevant_count=1","[Photo]")</f>
        <v>[Photo]</v>
      </c>
      <c r="B860" s="4" t="str">
        <f>HYPERLINK("http://www.facebook.com/8062627951/posts/10151302602617952","Apple’s hardware Q4 2012: 26.9M iPhones, 14M iPads, 4.9M Macs and 5.3M iPods - http://tcrn.ch/TIFeOV")</f>
        <v>Apple’s hardware Q4 2012: 26.9M iPhones, 14M iPads, 4.9M Macs and 5.3M iPods - http://tcrn.ch/TIFeOV</v>
      </c>
      <c r="C860" s="3">
        <v>41207.528587962966</v>
      </c>
      <c r="D860" s="2">
        <v>117</v>
      </c>
      <c r="E860" s="2">
        <v>8</v>
      </c>
      <c r="F860" s="2" t="s">
        <v>7</v>
      </c>
      <c r="G860" s="2" t="s">
        <v>8</v>
      </c>
    </row>
    <row r="861" spans="1:7" ht="45" x14ac:dyDescent="0.25">
      <c r="A861" s="4" t="str">
        <f>HYPERLINK("http://www.facebook.com/photo.php?fbid=10151302598017952&amp;set=a.114456157951.118433.8062627951&amp;type=1&amp;relevant_count=1","[Photo]")</f>
        <v>[Photo]</v>
      </c>
      <c r="B861" s="4" t="str">
        <f>HYPERLINK("http://www.facebook.com/8062627951/posts/10151302598077952","Apple’s fiscal Q4 2012 results: $36 billion in revenue, net profit of $8.2 billion, earnings of $8.67 per share - http://tcrn.ch/SAr9Ej")</f>
        <v>Apple’s fiscal Q4 2012 results: $36 billion in revenue, net profit of $8.2 billion, earnings of $8.67 per share - http://tcrn.ch/SAr9Ej</v>
      </c>
      <c r="C861" s="3">
        <v>41207.525879629633</v>
      </c>
      <c r="D861" s="2">
        <v>144</v>
      </c>
      <c r="E861" s="2">
        <v>19</v>
      </c>
      <c r="F861" s="2" t="s">
        <v>7</v>
      </c>
      <c r="G861" s="2" t="s">
        <v>8</v>
      </c>
    </row>
    <row r="862" spans="1:7" ht="30" x14ac:dyDescent="0.25">
      <c r="A862" s="4" t="str">
        <f>HYPERLINK("http://techcrunch.com/2012/10/25/unpolitic-me-hides-political-posts-on-facebook-and-twitter/","Unpolitic.me Hides Political Posts On Facebook and Twitter")</f>
        <v>Unpolitic.me Hides Political Posts On Facebook and Twitter</v>
      </c>
      <c r="B862" s="4" t="str">
        <f>HYPERLINK("http://www.facebook.com/8062627951/posts/287525514698751","How many of you hate it when your friends post about politics?  If so, then you'll love this.")</f>
        <v>How many of you hate it when your friends post about politics?  If so, then you'll love this.</v>
      </c>
      <c r="C862" s="3">
        <v>41207.517523148148</v>
      </c>
      <c r="D862" s="2">
        <v>150</v>
      </c>
      <c r="E862" s="2">
        <v>24</v>
      </c>
      <c r="F862" s="2" t="s">
        <v>8</v>
      </c>
      <c r="G862" s="2" t="s">
        <v>7</v>
      </c>
    </row>
    <row r="863" spans="1:7" ht="45" x14ac:dyDescent="0.25">
      <c r="A863" s="4" t="str">
        <f>HYPERLINK("http://www.facebook.com/photo.php?fbid=10151302506492952&amp;set=a.114456157951.118433.8062627951&amp;type=1&amp;relevant_count=1","[Photo]")</f>
        <v>[Photo]</v>
      </c>
      <c r="B863" s="4" t="str">
        <f>HYPERLINK("http://www.facebook.com/8062627951/posts/10151302506552952","Any camera lovers?    Hands on with the Canon 6D, an affordable full-frame with Wi-Fi on board - http://tcrn.ch/Pt5EbY")</f>
        <v>Any camera lovers?    Hands on with the Canon 6D, an affordable full-frame with Wi-Fi on board - http://tcrn.ch/Pt5EbY</v>
      </c>
      <c r="C863" s="3">
        <v>41207.483263888891</v>
      </c>
      <c r="D863" s="2">
        <v>724</v>
      </c>
      <c r="E863" s="2">
        <v>53</v>
      </c>
      <c r="F863" s="2" t="s">
        <v>8</v>
      </c>
      <c r="G863" s="2" t="s">
        <v>8</v>
      </c>
    </row>
    <row r="864" spans="1:7" ht="30" x14ac:dyDescent="0.25">
      <c r="A864" s="4" t="str">
        <f>HYPERLINK("http://www.facebook.com/photo.php?fbid=10151302469907952&amp;set=a.114456157951.118433.8062627951&amp;type=1&amp;relevant_count=1","[Photo]")</f>
        <v>[Photo]</v>
      </c>
      <c r="B864" s="4" t="str">
        <f>HYPERLINK("http://www.facebook.com/8062627951/posts/10151302469967952","Steven Sinofsky on Surface: “Everything Microsoft has done is coming together” - http://tcrn.ch/XZEj12    Do you agree?")</f>
        <v>Steven Sinofsky on Surface: “Everything Microsoft has done is coming together” - http://tcrn.ch/XZEj12    Do you agree?</v>
      </c>
      <c r="C864" s="3">
        <v>41207.462592592594</v>
      </c>
      <c r="D864" s="2">
        <v>179</v>
      </c>
      <c r="E864" s="2">
        <v>31</v>
      </c>
      <c r="F864" s="2" t="s">
        <v>8</v>
      </c>
      <c r="G864" s="2" t="s">
        <v>8</v>
      </c>
    </row>
    <row r="865" spans="1:7" ht="45" x14ac:dyDescent="0.25">
      <c r="A865" s="4" t="str">
        <f>HYPERLINK("http://www.facebook.com/photo.php?fbid=10151302418162952&amp;set=a.114456157951.118433.8062627951&amp;type=1&amp;relevant_count=1","[Photo]")</f>
        <v>[Photo]</v>
      </c>
      <c r="B865" s="4" t="str">
        <f>HYPERLINK("http://www.facebook.com/8062627951/posts/10151302418222952","Marissa Mayer’s first M&amp;A deal: Yahoo acquires Stamped as part of a major mobile push. Think this is a smart acquisition? - http://tcrn.ch/QIoj0q")</f>
        <v>Marissa Mayer’s first M&amp;A deal: Yahoo acquires Stamped as part of a major mobile push. Think this is a smart acquisition? - http://tcrn.ch/QIoj0q</v>
      </c>
      <c r="C865" s="3">
        <v>41207.432430555556</v>
      </c>
      <c r="D865" s="2">
        <v>516</v>
      </c>
      <c r="E865" s="2">
        <v>40</v>
      </c>
      <c r="F865" s="2" t="s">
        <v>8</v>
      </c>
      <c r="G865" s="2" t="s">
        <v>8</v>
      </c>
    </row>
    <row r="866" spans="1:7" ht="45" x14ac:dyDescent="0.25">
      <c r="A866" s="4" t="str">
        <f>HYPERLINK("http://www.facebook.com/photo.php?fbid=10151302367602952&amp;set=a.114456157951.118433.8062627951&amp;type=1&amp;relevant_count=1","[Photo]")</f>
        <v>[Photo]</v>
      </c>
      <c r="B866" s="4" t="str">
        <f>HYPERLINK("http://www.facebook.com/8062627951/posts/10151302367687952","CAPTION CONTEST: What do you think Microsoft co-founder &amp; CEO Steve Ballmer is thinking right now?    More here: http://tcrn.ch/P5ukWz")</f>
        <v>CAPTION CONTEST: What do you think Microsoft co-founder &amp; CEO Steve Ballmer is thinking right now?    More here: http://tcrn.ch/P5ukWz</v>
      </c>
      <c r="C866" s="3">
        <v>41207.404895833337</v>
      </c>
      <c r="D866" s="2">
        <v>122</v>
      </c>
      <c r="E866" s="2">
        <v>531</v>
      </c>
      <c r="F866" s="2" t="s">
        <v>8</v>
      </c>
      <c r="G866" s="2" t="s">
        <v>8</v>
      </c>
    </row>
    <row r="867" spans="1:7" ht="45" x14ac:dyDescent="0.25">
      <c r="A867" s="4" t="str">
        <f>HYPERLINK("http://www.facebook.com/photo.php?fbid=10151302333032952&amp;set=a.114456157951.118433.8062627951&amp;type=1&amp;relevant_count=1","[Photo]")</f>
        <v>[Photo]</v>
      </c>
      <c r="B867" s="4" t="str">
        <f>HYPERLINK("http://www.facebook.com/8062627951/posts/10151302333107952","Microsoft officially launches Windows 8 after 1.24B hours of public testing, available on over 1,000 certified devices. Who's getting it? - http://tcrn.ch/RY45P4")</f>
        <v>Microsoft officially launches Windows 8 after 1.24B hours of public testing, available on over 1,000 certified devices. Who's getting it? - http://tcrn.ch/RY45P4</v>
      </c>
      <c r="C867" s="3">
        <v>41207.389861111114</v>
      </c>
      <c r="D867" s="2">
        <v>521</v>
      </c>
      <c r="E867" s="2">
        <v>113</v>
      </c>
      <c r="F867" s="2" t="s">
        <v>8</v>
      </c>
      <c r="G867" s="2" t="s">
        <v>8</v>
      </c>
    </row>
    <row r="868" spans="1:7" ht="30" x14ac:dyDescent="0.25">
      <c r="A868" s="4" t="str">
        <f>HYPERLINK("http://www.facebook.com/photo.php?fbid=10151301556737952&amp;set=a.114456157951.118433.8062627951&amp;type=1&amp;relevant_count=1","[Photo]")</f>
        <v>[Photo]</v>
      </c>
      <c r="B868" s="4" t="str">
        <f>HYPERLINK("http://www.facebook.com/8062627951/posts/10151301556807952","Google has given us the gift of one click access to docs, sheets and slides…oh my! http://tcrn.ch/PsxFAH")</f>
        <v>Google has given us the gift of one click access to docs, sheets and slides…oh my! http://tcrn.ch/PsxFAH</v>
      </c>
      <c r="C868" s="3">
        <v>41207.019189814811</v>
      </c>
      <c r="D868" s="2">
        <v>757</v>
      </c>
      <c r="E868" s="2">
        <v>33</v>
      </c>
      <c r="F868" s="2" t="s">
        <v>7</v>
      </c>
      <c r="G868" s="2" t="s">
        <v>8</v>
      </c>
    </row>
    <row r="869" spans="1:7" ht="30" x14ac:dyDescent="0.25">
      <c r="A869" s="4" t="str">
        <f>HYPERLINK("http://techcrunch.com/2012/10/24/clearing-up-the-confusion-its-the-new-windows-8-ui-not-metro-ui/","Clearing Up The Confusion: It’s “The New Windows 8 UI” – Not “Metro UI” ")</f>
        <v xml:space="preserve">Clearing Up The Confusion: It’s “The New Windows 8 UI” – Not “Metro UI” </v>
      </c>
      <c r="B869" s="4" t="str">
        <f>HYPERLINK("http://www.facebook.com/8062627951/posts/131314603683973","Were you confused?")</f>
        <v>Were you confused?</v>
      </c>
      <c r="C869" s="3">
        <v>41206.682824074072</v>
      </c>
      <c r="D869" s="2">
        <v>21</v>
      </c>
      <c r="E869" s="2">
        <v>11</v>
      </c>
      <c r="F869" s="2" t="s">
        <v>8</v>
      </c>
      <c r="G869" s="2" t="s">
        <v>7</v>
      </c>
    </row>
    <row r="870" spans="1:7" ht="30" x14ac:dyDescent="0.25">
      <c r="A870" s="4" t="str">
        <f>HYPERLINK("http://www.facebook.com/photo.php?fbid=10151300973137952&amp;set=a.114456157951.118433.8062627951&amp;type=1&amp;relevant_count=1","[Photo]")</f>
        <v>[Photo]</v>
      </c>
      <c r="B870" s="4" t="str">
        <f>HYPERLINK("http://www.facebook.com/8062627951/posts/10151300973227952","Republican voter suppression app designed by The Onion - http://tcrn.ch/RheR5N")</f>
        <v>Republican voter suppression app designed by The Onion - http://tcrn.ch/RheR5N</v>
      </c>
      <c r="C870" s="3">
        <v>41206.61273148148</v>
      </c>
      <c r="D870" s="2">
        <v>107</v>
      </c>
      <c r="E870" s="2">
        <v>37</v>
      </c>
      <c r="F870" s="2" t="s">
        <v>7</v>
      </c>
      <c r="G870" s="2" t="s">
        <v>8</v>
      </c>
    </row>
    <row r="871" spans="1:7" ht="45" x14ac:dyDescent="0.25">
      <c r="A871" s="4" t="str">
        <f>HYPERLINK("http://www.facebook.com/photo.php?fbid=10151300870007952&amp;set=a.114456157951.118433.8062627951&amp;type=1&amp;relevant_count=1","[Photo]")</f>
        <v>[Photo]</v>
      </c>
      <c r="B871" s="4" t="str">
        <f>HYPERLINK("http://www.facebook.com/8062627951/posts/10151300870077952","A swarm of robots team up with flying drones to solve real-world problems. How awesome is this? - http://tcrn.ch/S5zWAS")</f>
        <v>A swarm of robots team up with flying drones to solve real-world problems. How awesome is this? - http://tcrn.ch/S5zWAS</v>
      </c>
      <c r="C871" s="3">
        <v>41206.556701388887</v>
      </c>
      <c r="D871" s="2">
        <v>197</v>
      </c>
      <c r="E871" s="2">
        <v>22</v>
      </c>
      <c r="F871" s="2" t="s">
        <v>8</v>
      </c>
      <c r="G871" s="2" t="s">
        <v>8</v>
      </c>
    </row>
    <row r="872" spans="1:7" ht="30" x14ac:dyDescent="0.25">
      <c r="A872" s="4" t="s">
        <v>9</v>
      </c>
      <c r="B872" s="4" t="str">
        <f>HYPERLINK("http://www.facebook.com/8062627951/posts/10151300788407952","Will you be getting any new Apple products? If so, which ones? If not, why?")</f>
        <v>Will you be getting any new Apple products? If so, which ones? If not, why?</v>
      </c>
      <c r="C872" s="3">
        <v>41206.514074074075</v>
      </c>
      <c r="D872" s="2">
        <v>135</v>
      </c>
      <c r="E872" s="2">
        <v>319</v>
      </c>
      <c r="F872" s="2" t="s">
        <v>8</v>
      </c>
      <c r="G872" s="2" t="s">
        <v>7</v>
      </c>
    </row>
    <row r="873" spans="1:7" ht="30" x14ac:dyDescent="0.25">
      <c r="A873" s="4" t="str">
        <f>HYPERLINK("http://www.facebook.com/photo.php?fbid=10151300733007952&amp;set=a.114456157951.118433.8062627951&amp;type=1&amp;relevant_count=1","[Photo]")</f>
        <v>[Photo]</v>
      </c>
      <c r="B873" s="4" t="str">
        <f>HYPERLINK("http://www.facebook.com/8062627951/posts/10151300733052952","Gorilla Glass gets around - it is now featured on 1 billion devices worldwide. Surprised? - http://tcrn.ch/RViziP")</f>
        <v>Gorilla Glass gets around - it is now featured on 1 billion devices worldwide. Surprised? - http://tcrn.ch/RViziP</v>
      </c>
      <c r="C873" s="3">
        <v>41206.488402777781</v>
      </c>
      <c r="D873" s="2">
        <v>75</v>
      </c>
      <c r="E873" s="2">
        <v>13</v>
      </c>
      <c r="F873" s="2" t="s">
        <v>8</v>
      </c>
      <c r="G873" s="2" t="s">
        <v>8</v>
      </c>
    </row>
    <row r="874" spans="1:7" ht="45" x14ac:dyDescent="0.25">
      <c r="A874" s="4" t="str">
        <f>HYPERLINK("http://techcrunch.com/2012/10/24/apples-4th-gen-ipad-and-the-pain-and-power-of-the-unpredictable-upgrade-cycle/","Apple’s 4th Gen iPad And The Pain And Power Of The Unpredictable Upgrade Cycle ")</f>
        <v xml:space="preserve">Apple’s 4th Gen iPad And The Pain And Power Of The Unpredictable Upgrade Cycle </v>
      </c>
      <c r="B874" s="4" t="str">
        <f>HYPERLINK("http://www.facebook.com/8062627951/posts/160647940746060","Why the change, why now, and what does it mean for Apple’s iPad upgrade cycle going forward?")</f>
        <v>Why the change, why now, and what does it mean for Apple’s iPad upgrade cycle going forward?</v>
      </c>
      <c r="C874" s="3">
        <v>41206.451805555553</v>
      </c>
      <c r="D874" s="2">
        <v>56</v>
      </c>
      <c r="E874" s="2">
        <v>14</v>
      </c>
      <c r="F874" s="2" t="s">
        <v>8</v>
      </c>
      <c r="G874" s="2" t="s">
        <v>7</v>
      </c>
    </row>
    <row r="875" spans="1:7" ht="30" x14ac:dyDescent="0.25">
      <c r="A875" s="4" t="str">
        <f>HYPERLINK("http://www.facebook.com/photo.php?fbid=10151300555642952&amp;set=a.114456157951.118433.8062627951&amp;type=1&amp;relevant_count=1","[Photo]")</f>
        <v>[Photo]</v>
      </c>
      <c r="B875" s="4" t="str">
        <f>HYPERLINK("http://www.facebook.com/8062627951/posts/10151300555682952","Google takes its backpack-sized Trekker Street View cameras to the Grand Canyon - http://tcrn.ch/TfTbYo")</f>
        <v>Google takes its backpack-sized Trekker Street View cameras to the Grand Canyon - http://tcrn.ch/TfTbYo</v>
      </c>
      <c r="C875" s="3">
        <v>41206.394097222219</v>
      </c>
      <c r="D875" s="2">
        <v>1170</v>
      </c>
      <c r="E875" s="2">
        <v>57</v>
      </c>
      <c r="F875" s="2" t="s">
        <v>7</v>
      </c>
      <c r="G875" s="2" t="s">
        <v>8</v>
      </c>
    </row>
    <row r="876" spans="1:7" ht="45" x14ac:dyDescent="0.25">
      <c r="A876" s="4" t="str">
        <f>HYPERLINK("http://www.5min.com/Video/517516073","Apple's Incredible Great Best Gorgeous Product Launch")</f>
        <v>Apple's Incredible Great Best Gorgeous Product Launch</v>
      </c>
      <c r="B876" s="4" t="str">
        <f>HYPERLINK("http://www.facebook.com/8062627951/posts/476262949085798","Apple’s incredible great best gorgeous product launch in under 3 minutes. More on the video below here: http://tcrn.ch/PqYtBa ")</f>
        <v xml:space="preserve">Apple’s incredible great best gorgeous product launch in under 3 minutes. More on the video below here: http://tcrn.ch/PqYtBa </v>
      </c>
      <c r="C876" s="3">
        <v>41206.380949074075</v>
      </c>
      <c r="D876" s="2">
        <v>75</v>
      </c>
      <c r="E876" s="2">
        <v>16</v>
      </c>
      <c r="F876" s="2" t="s">
        <v>7</v>
      </c>
      <c r="G876" s="2" t="s">
        <v>7</v>
      </c>
    </row>
    <row r="877" spans="1:7" ht="30" x14ac:dyDescent="0.25">
      <c r="A877" s="4" t="str">
        <f>HYPERLINK("http://www.facebook.com/photo.php?fbid=10151300400412952&amp;set=a.114456157951.118433.8062627951&amp;type=1&amp;relevant_count=1","[Photo]")</f>
        <v>[Photo]</v>
      </c>
      <c r="B877" s="4" t="str">
        <f>HYPERLINK("http://www.facebook.com/8062627951/posts/10151300400462952","The iPad mini is not overpriced, and sales numbers will prove it - http://tcrn.ch/TFU6xq")</f>
        <v>The iPad mini is not overpriced, and sales numbers will prove it - http://tcrn.ch/TFU6xq</v>
      </c>
      <c r="C877" s="3">
        <v>41206.316736111112</v>
      </c>
      <c r="D877" s="2">
        <v>353</v>
      </c>
      <c r="E877" s="2">
        <v>127</v>
      </c>
      <c r="F877" s="2" t="s">
        <v>7</v>
      </c>
      <c r="G877" s="2" t="s">
        <v>8</v>
      </c>
    </row>
    <row r="878" spans="1:7" ht="30" x14ac:dyDescent="0.25">
      <c r="A878" s="4" t="str">
        <f>HYPERLINK("http://techcrunch.com/2012/10/23/ipad-mini-jony-ive-video/","And Here’s The Apple Video Where Jony Ive Shows Off The iPad Mini ")</f>
        <v xml:space="preserve">And Here’s The Apple Video Where Jony Ive Shows Off The iPad Mini </v>
      </c>
      <c r="B878" s="4" t="str">
        <f>HYPERLINK("http://www.facebook.com/8062627951/posts/449224678452394","Have you seen this yet? What did you think? If not, watch it here: http://tcrn.ch/VBP4Jq")</f>
        <v>Have you seen this yet? What did you think? If not, watch it here: http://tcrn.ch/VBP4Jq</v>
      </c>
      <c r="C878" s="3">
        <v>41205.872349537036</v>
      </c>
      <c r="D878" s="2">
        <v>114</v>
      </c>
      <c r="E878" s="2">
        <v>25</v>
      </c>
      <c r="F878" s="2" t="s">
        <v>8</v>
      </c>
      <c r="G878" s="2" t="s">
        <v>7</v>
      </c>
    </row>
    <row r="879" spans="1:7" ht="30" x14ac:dyDescent="0.25">
      <c r="A879" s="4" t="str">
        <f>HYPERLINK("http://www.facebook.com/photo.php?fbid=10151299622577952&amp;set=a.114456157951.118433.8062627951&amp;type=1&amp;relevant_count=1","[Photo]")</f>
        <v>[Photo]</v>
      </c>
      <c r="B879" s="4" t="str">
        <f>HYPERLINK("http://www.facebook.com/8062627951/posts/10151299622642952","The new Microsoft Surface RT review: Don't call it a tablet, this is a PC - http://tcrn.ch/XRltcs")</f>
        <v>The new Microsoft Surface RT review: Don't call it a tablet, this is a PC - http://tcrn.ch/XRltcs</v>
      </c>
      <c r="C879" s="3">
        <v>41205.716921296298</v>
      </c>
      <c r="D879" s="2">
        <v>732</v>
      </c>
      <c r="E879" s="2">
        <v>84</v>
      </c>
      <c r="F879" s="2" t="s">
        <v>7</v>
      </c>
      <c r="G879" s="2" t="s">
        <v>8</v>
      </c>
    </row>
    <row r="880" spans="1:7" ht="45" x14ac:dyDescent="0.25">
      <c r="A880" s="4" t="str">
        <f>HYPERLINK("http://www.facebook.com/photo.php?fbid=10151299553812952&amp;set=a.114456157951.118433.8062627951&amp;type=1&amp;relevant_count=1","[Photo]")</f>
        <v>[Photo]</v>
      </c>
      <c r="B880" s="4" t="str">
        <f>HYPERLINK("http://www.facebook.com/8062627951/posts/10151299553857952","Zynga CEO Mark Pincus confirms layoffs: 5% of workforce, potential closures for U.K., Japan Offices - http://tcrn.ch/Xbz92F")</f>
        <v>Zynga CEO Mark Pincus confirms layoffs: 5% of workforce, potential closures for U.K., Japan Offices - http://tcrn.ch/Xbz92F</v>
      </c>
      <c r="C880" s="3">
        <v>41205.668298611112</v>
      </c>
      <c r="D880" s="2">
        <v>68</v>
      </c>
      <c r="E880" s="2">
        <v>46</v>
      </c>
      <c r="F880" s="2" t="s">
        <v>7</v>
      </c>
      <c r="G880" s="2" t="s">
        <v>8</v>
      </c>
    </row>
    <row r="881" spans="1:7" ht="30" x14ac:dyDescent="0.25">
      <c r="A881" s="4" t="str">
        <f>HYPERLINK("http://techcrunch.com/2012/10/23/zuckerberg-gaming-on-facebook-isnt-doing-as-well-as-id-like/","Zuckerberg: “Gaming On Facebook Isn’t Doing As Well As I’d Like”")</f>
        <v>Zuckerberg: “Gaming On Facebook Isn’t Doing As Well As I’d Like”</v>
      </c>
      <c r="B881" s="4" t="str">
        <f>HYPERLINK("http://www.facebook.com/8062627951/posts/455331554513555","How many of you play games on Facebook?")</f>
        <v>How many of you play games on Facebook?</v>
      </c>
      <c r="C881" s="3">
        <v>41205.589131944442</v>
      </c>
      <c r="D881" s="2">
        <v>35</v>
      </c>
      <c r="E881" s="2">
        <v>46</v>
      </c>
      <c r="F881" s="2" t="s">
        <v>8</v>
      </c>
      <c r="G881" s="2" t="s">
        <v>7</v>
      </c>
    </row>
    <row r="882" spans="1:7" ht="45" x14ac:dyDescent="0.25">
      <c r="A882" s="4" t="str">
        <f>HYPERLINK("http://techcrunch.com/2012/10/23/zynga-layoffs-boston-austin/","Zynga’s Boston, Austin Layoffs Today: “Almost Everyone Was In The Dark” ")</f>
        <v xml:space="preserve">Zynga’s Boston, Austin Layoffs Today: “Almost Everyone Was In The Dark” </v>
      </c>
      <c r="B882" s="4" t="str">
        <f>HYPERLINK("http://www.facebook.com/8062627951/posts/290470597735821","“Almost everyone was in the dark,” says a source close to the Austin office. More details on Zynga's layoffs today here: http://tcrn.ch/VAFHKf")</f>
        <v>“Almost everyone was in the dark,” says a source close to the Austin office. More details on Zynga's layoffs today here: http://tcrn.ch/VAFHKf</v>
      </c>
      <c r="C882" s="3">
        <v>41205.561064814814</v>
      </c>
      <c r="D882" s="2">
        <v>34</v>
      </c>
      <c r="E882" s="2">
        <v>10</v>
      </c>
      <c r="F882" s="2" t="s">
        <v>7</v>
      </c>
      <c r="G882" s="2" t="s">
        <v>7</v>
      </c>
    </row>
    <row r="883" spans="1:7" ht="30" x14ac:dyDescent="0.25">
      <c r="A883" s="4" t="str">
        <f>HYPERLINK("http://www.facebook.com/photo.php?fbid=10151299302222952&amp;set=a.114456157951.118433.8062627951&amp;type=1&amp;relevant_count=1","[Photo]")</f>
        <v>[Photo]</v>
      </c>
      <c r="B883" s="4" t="str">
        <f>HYPERLINK("http://www.facebook.com/8062627951/posts/10151299302287952","Hands on with the new iMac: Apple’s all-in-one sheds the pounds and packs in the features - http://tcrn.ch/TRgvbA")</f>
        <v>Hands on with the new iMac: Apple’s all-in-one sheds the pounds and packs in the features - http://tcrn.ch/TRgvbA</v>
      </c>
      <c r="C883" s="3">
        <v>41205.519768518519</v>
      </c>
      <c r="D883" s="2">
        <v>247</v>
      </c>
      <c r="E883" s="2">
        <v>17</v>
      </c>
      <c r="F883" s="2" t="s">
        <v>7</v>
      </c>
      <c r="G883" s="2" t="s">
        <v>8</v>
      </c>
    </row>
    <row r="884" spans="1:7" x14ac:dyDescent="0.25">
      <c r="A884" s="4" t="str">
        <f>HYPERLINK("http://www.facebook.com/photo.php?fbid=10151299219902952&amp;set=a.114456157951.118433.8062627951&amp;type=1&amp;relevant_count=1","[Photo]")</f>
        <v>[Photo]</v>
      </c>
      <c r="B884" s="4" t="str">
        <f>HYPERLINK("http://www.facebook.com/8062627951/posts/10151299219942952","Paid blogger - http://tcrn.ch/WGNfdD")</f>
        <v>Paid blogger - http://tcrn.ch/WGNfdD</v>
      </c>
      <c r="C884" s="3">
        <v>41205.478750000002</v>
      </c>
      <c r="D884" s="2">
        <v>111</v>
      </c>
      <c r="E884" s="2">
        <v>12</v>
      </c>
      <c r="F884" s="2" t="s">
        <v>7</v>
      </c>
      <c r="G884" s="2" t="s">
        <v>8</v>
      </c>
    </row>
    <row r="885" spans="1:7" ht="30" x14ac:dyDescent="0.25">
      <c r="A885" s="4" t="str">
        <f>HYPERLINK("http://www.facebook.com/photo.php?fbid=10151299194852952&amp;set=a.114456157951.118433.8062627951&amp;type=1&amp;relevant_count=1","[Photo]")</f>
        <v>[Photo]</v>
      </c>
      <c r="B885" s="4" t="str">
        <f>HYPERLINK("http://www.facebook.com/8062627951/posts/10151299194952952","Hands on with Apple’s new iPad mini: Good things do come in small packages - http://tcrn.ch/S1a4WQ")</f>
        <v>Hands on with Apple’s new iPad mini: Good things do come in small packages - http://tcrn.ch/S1a4WQ</v>
      </c>
      <c r="C885" s="3">
        <v>41205.465231481481</v>
      </c>
      <c r="D885" s="2">
        <v>451</v>
      </c>
      <c r="E885" s="2">
        <v>55</v>
      </c>
      <c r="F885" s="2" t="s">
        <v>7</v>
      </c>
      <c r="G885" s="2" t="s">
        <v>8</v>
      </c>
    </row>
    <row r="886" spans="1:7" ht="30" x14ac:dyDescent="0.25">
      <c r="A886" s="4" t="str">
        <f>HYPERLINK("http://www.facebook.com/photo.php?fbid=10151299140407952&amp;set=a.114456157951.118433.8062627951&amp;type=1&amp;relevant_count=1","[Photo]")</f>
        <v>[Photo]</v>
      </c>
      <c r="B886" s="4" t="str">
        <f>HYPERLINK("http://www.facebook.com/8062627951/posts/10151299140477952","Zynga may have just laid off 100+ employees from TheVille and Bingo teams in its Austin office... - http://tcrn.ch/S10xyV")</f>
        <v>Zynga may have just laid off 100+ employees from TheVille and Bingo teams in its Austin office... - http://tcrn.ch/S10xyV</v>
      </c>
      <c r="C886" s="3">
        <v>41205.433587962965</v>
      </c>
      <c r="D886" s="2">
        <v>52</v>
      </c>
      <c r="E886" s="2">
        <v>21</v>
      </c>
      <c r="F886" s="2" t="s">
        <v>7</v>
      </c>
      <c r="G886" s="2" t="s">
        <v>8</v>
      </c>
    </row>
    <row r="887" spans="1:7" ht="30" x14ac:dyDescent="0.25">
      <c r="A887" s="4" t="s">
        <v>9</v>
      </c>
      <c r="B887" s="4" t="str">
        <f>HYPERLINK("http://www.facebook.com/8062627951/posts/10151299114192952","With the iPad mini starting at $329, are you going to get one? Yes or no?")</f>
        <v>With the iPad mini starting at $329, are you going to get one? Yes or no?</v>
      </c>
      <c r="C887" s="3">
        <v>41205.42324074074</v>
      </c>
      <c r="D887" s="2">
        <v>473</v>
      </c>
      <c r="E887" s="2">
        <v>705</v>
      </c>
      <c r="F887" s="2" t="s">
        <v>8</v>
      </c>
      <c r="G887" s="2" t="s">
        <v>7</v>
      </c>
    </row>
    <row r="888" spans="1:7" ht="30" x14ac:dyDescent="0.25">
      <c r="A888" s="4" t="str">
        <f>HYPERLINK("http://www.facebook.com/photo.php?fbid=10151299102927952&amp;set=a.114456157951.118433.8062627951&amp;type=1&amp;relevant_count=1","[Photo]")</f>
        <v>[Photo]</v>
      </c>
      <c r="B888" s="4" t="str">
        <f>HYPERLINK("http://www.facebook.com/8062627951/posts/10151299103002952","Here it is. Apple officially unveils the iPad mini - http://tcrn.ch/RTOsYL")</f>
        <v>Here it is. Apple officially unveils the iPad mini - http://tcrn.ch/RTOsYL</v>
      </c>
      <c r="C888" s="3">
        <v>41205.416412037041</v>
      </c>
      <c r="D888" s="2">
        <v>1132</v>
      </c>
      <c r="E888" s="2">
        <v>124</v>
      </c>
      <c r="F888" s="2" t="s">
        <v>7</v>
      </c>
      <c r="G888" s="2" t="s">
        <v>8</v>
      </c>
    </row>
    <row r="889" spans="1:7" ht="30" x14ac:dyDescent="0.25">
      <c r="A889" s="4" t="str">
        <f>HYPERLINK("http://www.facebook.com/photo.php?fbid=10151299096292952&amp;set=a.114456157951.118433.8062627951&amp;type=1&amp;relevant_count=1","[Photo]")</f>
        <v>[Photo]</v>
      </c>
      <c r="B889" s="4" t="str">
        <f>HYPERLINK("http://www.facebook.com/8062627951/posts/10151299096337952","Apple unveils the fourth generation iPad with A6X, Lightning and expanded LTE - http://tcrn.ch/TEnV1q")</f>
        <v>Apple unveils the fourth generation iPad with A6X, Lightning and expanded LTE - http://tcrn.ch/TEnV1q</v>
      </c>
      <c r="C889" s="3">
        <v>41205.412118055552</v>
      </c>
      <c r="D889" s="2">
        <v>275</v>
      </c>
      <c r="E889" s="2">
        <v>26</v>
      </c>
      <c r="F889" s="2" t="s">
        <v>7</v>
      </c>
      <c r="G889" s="2" t="s">
        <v>8</v>
      </c>
    </row>
    <row r="890" spans="1:7" ht="30" x14ac:dyDescent="0.25">
      <c r="A890" s="4" t="str">
        <f>HYPERLINK("http://www.facebook.com/photo.php?fbid=10151299064307952&amp;set=a.114456157951.118433.8062627951&amp;type=1&amp;relevant_count=1","[Photo]")</f>
        <v>[Photo]</v>
      </c>
      <c r="B890" s="4" t="str">
        <f>HYPERLINK("http://www.facebook.com/8062627951/posts/10151299064342952","Apple adds a retina screen to the 13-inch MacBook Pro - it will cost $1699 - http://tcrn.ch/TwkmQz")</f>
        <v>Apple adds a retina screen to the 13-inch MacBook Pro - it will cost $1699 - http://tcrn.ch/TwkmQz</v>
      </c>
      <c r="C890" s="3">
        <v>41205.393368055556</v>
      </c>
      <c r="D890" s="2">
        <v>228</v>
      </c>
      <c r="E890" s="2">
        <v>30</v>
      </c>
      <c r="F890" s="2" t="s">
        <v>7</v>
      </c>
      <c r="G890" s="2" t="s">
        <v>8</v>
      </c>
    </row>
    <row r="891" spans="1:7" ht="30" x14ac:dyDescent="0.25">
      <c r="A891" s="4" t="str">
        <f>HYPERLINK("http://www.facebook.com/photo.php?fbid=10151299040887952&amp;set=a.114456157951.118433.8062627951&amp;type=1&amp;relevant_count=1","[Photo]")</f>
        <v>[Photo]</v>
      </c>
      <c r="B891" s="4" t="str">
        <f>HYPERLINK("http://www.facebook.com/8062627951/posts/10151299040937952","LIVE from Apple’s San Jose iPad mini event At 10AM Pacific/1PM Eastern - http://tcrn.ch/POEdJx")</f>
        <v>LIVE from Apple’s San Jose iPad mini event At 10AM Pacific/1PM Eastern - http://tcrn.ch/POEdJx</v>
      </c>
      <c r="C891" s="3">
        <v>41205.379050925927</v>
      </c>
      <c r="D891" s="2">
        <v>81</v>
      </c>
      <c r="E891" s="2">
        <v>3</v>
      </c>
      <c r="F891" s="2" t="s">
        <v>7</v>
      </c>
      <c r="G891" s="2" t="s">
        <v>8</v>
      </c>
    </row>
    <row r="892" spans="1:7" ht="30" x14ac:dyDescent="0.25">
      <c r="A892" s="4" t="str">
        <f>HYPERLINK("http://www.facebook.com/photo.php?fbid=10151299002132952&amp;set=a.114456157951.118433.8062627951&amp;type=1&amp;relevant_count=1","[Photo]")</f>
        <v>[Photo]</v>
      </c>
      <c r="B892" s="4" t="str">
        <f>HYPERLINK("http://www.facebook.com/8062627951/posts/10151299002167952","Please welcome our newest columnists, MG Siegler and Michael Arrington - http://tcrn.ch/TEgaIT")</f>
        <v>Please welcome our newest columnists, MG Siegler and Michael Arrington - http://tcrn.ch/TEgaIT</v>
      </c>
      <c r="C892" s="3">
        <v>41205.359398148146</v>
      </c>
      <c r="D892" s="2">
        <v>109</v>
      </c>
      <c r="E892" s="2">
        <v>23</v>
      </c>
      <c r="F892" s="2" t="s">
        <v>7</v>
      </c>
      <c r="G892" s="2" t="s">
        <v>8</v>
      </c>
    </row>
    <row r="893" spans="1:7" ht="45" x14ac:dyDescent="0.25">
      <c r="A893" s="4" t="str">
        <f>HYPERLINK("http://techcrunch.com/2012/10/23/samsung-galaxy-note-ii-will-hit-att-stores-november-9-pre-orders-begin-october-25/","Samsung Galaxy Note II Will Hit AT&amp;T Stores November 9 For $299, Pre-Orders Begin October 25")</f>
        <v>Samsung Galaxy Note II Will Hit AT&amp;T Stores November 9 For $299, Pre-Orders Begin October 25</v>
      </c>
      <c r="B893" s="4" t="str">
        <f>HYPERLINK("http://www.facebook.com/8062627951/posts/430993476963963","Are you getting a Note II?")</f>
        <v>Are you getting a Note II?</v>
      </c>
      <c r="C893" s="3">
        <v>41205.291631944441</v>
      </c>
      <c r="D893" s="2">
        <v>32</v>
      </c>
      <c r="E893" s="2">
        <v>0</v>
      </c>
      <c r="F893" s="2" t="s">
        <v>8</v>
      </c>
      <c r="G893" s="2" t="s">
        <v>7</v>
      </c>
    </row>
    <row r="894" spans="1:7" ht="30" x14ac:dyDescent="0.25">
      <c r="A894" s="4" t="str">
        <f>HYPERLINK("http://www.facebook.com/photo.php?fbid=10151298664387952&amp;set=a.114456157951.118433.8062627951&amp;type=1&amp;relevant_count=1","[Photo]")</f>
        <v>[Photo]</v>
      </c>
      <c r="B894" s="4" t="str">
        <f>HYPERLINK("http://www.facebook.com/8062627951/posts/10151298664407952","The 5 big new ways Facebook laid the groundwork for making money during Q3 2012 http://tcrn.ch/PnFo2N")</f>
        <v>The 5 big new ways Facebook laid the groundwork for making money during Q3 2012 http://tcrn.ch/PnFo2N</v>
      </c>
      <c r="C894" s="3">
        <v>41205.169560185182</v>
      </c>
      <c r="D894" s="2">
        <v>55</v>
      </c>
      <c r="E894" s="2">
        <v>4</v>
      </c>
      <c r="F894" s="2" t="s">
        <v>7</v>
      </c>
      <c r="G894" s="2" t="s">
        <v>8</v>
      </c>
    </row>
    <row r="895" spans="1:7" ht="30" x14ac:dyDescent="0.25">
      <c r="A895" s="4" t="str">
        <f>HYPERLINK("http://www.facebook.com/photo.php?fbid=10151298325037952&amp;set=a.114456157951.118433.8062627951&amp;type=1&amp;relevant_count=1","[Photo]")</f>
        <v>[Photo]</v>
      </c>
      <c r="B895" s="4" t="str">
        <f>HYPERLINK("http://www.facebook.com/8062627951/posts/10151298325057952","Which one of these do I have to spill water on to make people irrationally start buying $FB - http://tcrn.ch/XN08AU")</f>
        <v>Which one of these do I have to spill water on to make people irrationally start buying $FB - http://tcrn.ch/XN08AU</v>
      </c>
      <c r="C895" s="3">
        <v>41204.856192129628</v>
      </c>
      <c r="D895" s="2">
        <v>120</v>
      </c>
      <c r="E895" s="2">
        <v>10</v>
      </c>
      <c r="F895" s="2" t="s">
        <v>7</v>
      </c>
      <c r="G895" s="2" t="s">
        <v>8</v>
      </c>
    </row>
    <row r="896" spans="1:7" ht="45" x14ac:dyDescent="0.25">
      <c r="A896" s="4" t="str">
        <f>HYPERLINK("http://techcrunch.com/2012/10/22/snapchat-cinemagram/","The Photo-Sharing Wars Aren’t Over Yet. Snapchat And Cinemagram Are Quietly Blowing Up.")</f>
        <v>The Photo-Sharing Wars Aren’t Over Yet. Snapchat And Cinemagram Are Quietly Blowing Up.</v>
      </c>
      <c r="B896" s="4" t="str">
        <f>HYPERLINK("http://www.facebook.com/8062627951/posts/410801195653912","Do you use Snapchat or Cinemagram?")</f>
        <v>Do you use Snapchat or Cinemagram?</v>
      </c>
      <c r="C896" s="3">
        <v>41204.685659722221</v>
      </c>
      <c r="D896" s="2">
        <v>39</v>
      </c>
      <c r="E896" s="2">
        <v>7</v>
      </c>
      <c r="F896" s="2" t="s">
        <v>8</v>
      </c>
      <c r="G896" s="2" t="s">
        <v>7</v>
      </c>
    </row>
    <row r="897" spans="1:7" ht="30" x14ac:dyDescent="0.25">
      <c r="A897" s="4" t="str">
        <f>HYPERLINK("http://www.facebook.com/photo.php?fbid=10151297967282952&amp;set=a.114456157951.118433.8062627951&amp;type=1&amp;relevant_count=1","[Photo]")</f>
        <v>[Photo]</v>
      </c>
      <c r="B897" s="4" t="str">
        <f>HYPERLINK("http://www.facebook.com/8062627951/posts/10151297967332952","Marijuana Majority site highlights tech leaders who support pot legalization. See who's on the list: http://tcrn.ch/Vw437G")</f>
        <v>Marijuana Majority site highlights tech leaders who support pot legalization. See who's on the list: http://tcrn.ch/Vw437G</v>
      </c>
      <c r="C897" s="3">
        <v>41204.638981481483</v>
      </c>
      <c r="D897" s="2">
        <v>317</v>
      </c>
      <c r="E897" s="2">
        <v>32</v>
      </c>
      <c r="F897" s="2" t="s">
        <v>7</v>
      </c>
      <c r="G897" s="2" t="s">
        <v>8</v>
      </c>
    </row>
    <row r="898" spans="1:7" ht="30" x14ac:dyDescent="0.25">
      <c r="A898" s="4" t="str">
        <f>HYPERLINK("http://www.facebook.com/photo.php?fbid=10151297933607952&amp;set=a.114456157951.118433.8062627951&amp;type=1&amp;relevant_count=1","[Photo]")</f>
        <v>[Photo]</v>
      </c>
      <c r="B898" s="4" t="str">
        <f>HYPERLINK("http://www.facebook.com/8062627951/posts/10151297933662952","Welcome to the beta: Windows 8 will succeed, despite all the FUD - http://tcrn.ch/QCmKRK")</f>
        <v>Welcome to the beta: Windows 8 will succeed, despite all the FUD - http://tcrn.ch/QCmKRK</v>
      </c>
      <c r="C898" s="3">
        <v>41204.617673611108</v>
      </c>
      <c r="D898" s="2">
        <v>34</v>
      </c>
      <c r="E898" s="2">
        <v>11</v>
      </c>
      <c r="F898" s="2" t="s">
        <v>7</v>
      </c>
      <c r="G898" s="2" t="s">
        <v>8</v>
      </c>
    </row>
    <row r="899" spans="1:7" ht="45" x14ac:dyDescent="0.25">
      <c r="A899" s="4" t="str">
        <f>HYPERLINK("http://www.facebook.com/photo.php?fbid=10151297818747952&amp;set=a.114456157951.118433.8062627951&amp;type=1&amp;relevant_count=1","[Photo]")</f>
        <v>[Photo]</v>
      </c>
      <c r="B899" s="4" t="str">
        <f>HYPERLINK("http://www.facebook.com/8062627951/posts/10151297818782952","Google's research shows tablets are for games and email, mostly used on couch &amp; in bed. Do you agree? Where do you use yours? - http://tcrn.ch/X317xo")</f>
        <v>Google's research shows tablets are for games and email, mostly used on couch &amp; in bed. Do you agree? Where do you use yours? - http://tcrn.ch/X317xo</v>
      </c>
      <c r="C899" s="3">
        <v>41204.556770833333</v>
      </c>
      <c r="D899" s="2">
        <v>142</v>
      </c>
      <c r="E899" s="2">
        <v>65</v>
      </c>
      <c r="F899" s="2" t="s">
        <v>8</v>
      </c>
      <c r="G899" s="2" t="s">
        <v>8</v>
      </c>
    </row>
    <row r="900" spans="1:7" ht="30" x14ac:dyDescent="0.25">
      <c r="A900" s="4" t="str">
        <f>HYPERLINK("http://www.facebook.com/photo.php?fbid=10151297669212952&amp;set=a.114456157951.118433.8062627951&amp;type=1&amp;relevant_count=1","[Photo]")</f>
        <v>[Photo]</v>
      </c>
      <c r="B900" s="4" t="str">
        <f>HYPERLINK("http://www.facebook.com/8062627951/posts/10151297669292952","Weather Puppy: Cloudy with a chance of “awww” - http://tcrn.ch/T7aUg7")</f>
        <v>Weather Puppy: Cloudy with a chance of “awww” - http://tcrn.ch/T7aUg7</v>
      </c>
      <c r="C900" s="3">
        <v>41204.51635416667</v>
      </c>
      <c r="D900" s="2">
        <v>124</v>
      </c>
      <c r="E900" s="2">
        <v>7</v>
      </c>
      <c r="F900" s="2" t="s">
        <v>7</v>
      </c>
      <c r="G900" s="2" t="s">
        <v>8</v>
      </c>
    </row>
    <row r="901" spans="1:7" ht="30" x14ac:dyDescent="0.25">
      <c r="A901" s="4" t="str">
        <f>HYPERLINK("http://www.facebook.com/photo.php?fbid=10151297646702952&amp;set=a.114456157951.118433.8062627951&amp;type=1&amp;relevant_count=1","[Photo]")</f>
        <v>[Photo]</v>
      </c>
      <c r="B901" s="4" t="str">
        <f>HYPERLINK("http://www.facebook.com/8062627951/posts/10151297646757952","Apple event preview: iPad minis and Retina MacBook Pros and iMacs and Mac minis, oh my! - http://tcrn.ch/X1H5mQ")</f>
        <v>Apple event preview: iPad minis and Retina MacBook Pros and iMacs and Mac minis, oh my! - http://tcrn.ch/X1H5mQ</v>
      </c>
      <c r="C901" s="3">
        <v>41204.505347222221</v>
      </c>
      <c r="D901" s="2">
        <v>207</v>
      </c>
      <c r="E901" s="2">
        <v>23</v>
      </c>
      <c r="F901" s="2" t="s">
        <v>7</v>
      </c>
      <c r="G901" s="2" t="s">
        <v>8</v>
      </c>
    </row>
    <row r="902" spans="1:7" ht="45" x14ac:dyDescent="0.25">
      <c r="A902" s="4" t="str">
        <f>HYPERLINK("http://techcrunch.com/2012/10/22/aws-ec2-issues-in-north-virginia-affect-heroku-reddit-and-others-heroku-still-down/","AWS EC2 Issues In North Virginia Affect Heroku, Reddit, Foursquare, Minecraft And Others — Heroku St")</f>
        <v>AWS EC2 Issues In North Virginia Affect Heroku, Reddit, Foursquare, Minecraft And Others — Heroku St</v>
      </c>
      <c r="B902" s="4" t="str">
        <f>HYPERLINK("http://www.facebook.com/8062627951/posts/219685518162704","Uh oh.")</f>
        <v>Uh oh.</v>
      </c>
      <c r="C902" s="3">
        <v>41204.462511574071</v>
      </c>
      <c r="D902" s="2">
        <v>44</v>
      </c>
      <c r="E902" s="2">
        <v>13</v>
      </c>
      <c r="F902" s="2" t="s">
        <v>7</v>
      </c>
      <c r="G902" s="2" t="s">
        <v>7</v>
      </c>
    </row>
    <row r="903" spans="1:7" ht="45" x14ac:dyDescent="0.25">
      <c r="A903" s="4" t="str">
        <f>HYPERLINK("http://www.facebook.com/photo.php?fbid=10151297491287952&amp;set=a.114456157951.118433.8062627951&amp;type=1&amp;relevant_count=1","[Photo]")</f>
        <v>[Photo]</v>
      </c>
      <c r="B903" s="4" t="str">
        <f>HYPERLINK("http://www.facebook.com/8062627951/posts/10151297491342952","SAY Media rebrands ReadWriteWeb as “ReadWrite”, redesigns, hires Dan “Fake Steve Jobs” Lyons as Editor In Chief - http://tcrn.ch/PlZYR2")</f>
        <v>SAY Media rebrands ReadWriteWeb as “ReadWrite”, redesigns, hires Dan “Fake Steve Jobs” Lyons as Editor In Chief - http://tcrn.ch/PlZYR2</v>
      </c>
      <c r="C903" s="3">
        <v>41204.426979166667</v>
      </c>
      <c r="D903" s="2">
        <v>33</v>
      </c>
      <c r="E903" s="2">
        <v>3</v>
      </c>
      <c r="F903" s="2" t="s">
        <v>7</v>
      </c>
      <c r="G903" s="2" t="s">
        <v>8</v>
      </c>
    </row>
    <row r="904" spans="1:7" ht="45" x14ac:dyDescent="0.25">
      <c r="A904" s="4" t="str">
        <f>HYPERLINK("http://techcrunch.com/2012/10/22/clever-seed/","Twilio For Education Data, Clever, Lands $3M From Kevin Rose, Mike Maples &amp; Ashton Kutcher, Now In 2")</f>
        <v>Twilio For Education Data, Clever, Lands $3M From Kevin Rose, Mike Maples &amp; Ashton Kutcher, Now In 2</v>
      </c>
      <c r="B904" s="4" t="str">
        <f>HYPERLINK("http://www.facebook.com/8062627951/posts/292662604167845","What do you think of Clever?")</f>
        <v>What do you think of Clever?</v>
      </c>
      <c r="C904" s="3">
        <v>41204.423194444447</v>
      </c>
      <c r="D904" s="2">
        <v>24</v>
      </c>
      <c r="E904" s="2">
        <v>0</v>
      </c>
      <c r="F904" s="2" t="s">
        <v>8</v>
      </c>
      <c r="G904" s="2" t="s">
        <v>7</v>
      </c>
    </row>
    <row r="905" spans="1:7" ht="30" x14ac:dyDescent="0.25">
      <c r="A905" s="4" t="str">
        <f>HYPERLINK("http://techcrunch.com/2012/10/22/88-of-teens-sexual-pics-reposted-by-parasite-websites/","88% Of Teens’ Sexual Pics Reposted By ‘Parasite Websites’ ")</f>
        <v xml:space="preserve">88% Of Teens’ Sexual Pics Reposted By ‘Parasite Websites’ </v>
      </c>
      <c r="B905" s="4" t="str">
        <f>HYPERLINK("http://www.facebook.com/8062627951/posts/425309190849742","Scary stats.")</f>
        <v>Scary stats.</v>
      </c>
      <c r="C905" s="3">
        <v>41204.379733796297</v>
      </c>
      <c r="D905" s="2">
        <v>58</v>
      </c>
      <c r="E905" s="2">
        <v>20</v>
      </c>
      <c r="F905" s="2" t="s">
        <v>7</v>
      </c>
      <c r="G905" s="2" t="s">
        <v>7</v>
      </c>
    </row>
    <row r="906" spans="1:7" ht="30" x14ac:dyDescent="0.25">
      <c r="A906" s="4" t="str">
        <f>HYPERLINK("http://www.facebook.com/photo.php?fbid=10151297038042952&amp;set=a.114456157951.118433.8062627951&amp;type=1&amp;relevant_count=1","[Photo]")</f>
        <v>[Photo]</v>
      </c>
      <c r="B906" s="4" t="str">
        <f>HYPERLINK("http://www.facebook.com/8062627951/posts/10151297038057952","Report: Apple to highlight iPad’s educational value at Tuesday’s iPad mini event - http://tcrn.ch/VjoTBB")</f>
        <v>Report: Apple to highlight iPad’s educational value at Tuesday’s iPad mini event - http://tcrn.ch/VjoTBB</v>
      </c>
      <c r="C906" s="3">
        <v>41204.166307870371</v>
      </c>
      <c r="D906" s="2">
        <v>111</v>
      </c>
      <c r="E906" s="2">
        <v>5</v>
      </c>
      <c r="F906" s="2" t="s">
        <v>7</v>
      </c>
      <c r="G906" s="2" t="s">
        <v>8</v>
      </c>
    </row>
    <row r="907" spans="1:7" ht="45" x14ac:dyDescent="0.25">
      <c r="A907" s="4" t="str">
        <f>HYPERLINK("http://techcrunch.com/2012/10/22/ancestry-com-agrees-to-1-6-billion-buyout-led-by-european-private-equity-firm-permira-says-wsj/","Ancestry.com Agrees To $1.6 Billion Buyout Led By European Private Equity Firm Permira, Says WSJ")</f>
        <v>Ancestry.com Agrees To $1.6 Billion Buyout Led By European Private Equity Firm Permira, Says WSJ</v>
      </c>
      <c r="B907" s="4" t="str">
        <f>HYPERLINK("http://www.facebook.com/8062627951/posts/117294945093925","Money does grow on trees.")</f>
        <v>Money does grow on trees.</v>
      </c>
      <c r="C907" s="3">
        <v>41204.102488425924</v>
      </c>
      <c r="D907" s="2">
        <v>31</v>
      </c>
      <c r="E907" s="2">
        <v>7</v>
      </c>
      <c r="F907" s="2" t="s">
        <v>7</v>
      </c>
      <c r="G907" s="2" t="s">
        <v>7</v>
      </c>
    </row>
    <row r="908" spans="1:7" ht="30" x14ac:dyDescent="0.25">
      <c r="A908" s="4" t="str">
        <f>HYPERLINK("http://www.facebook.com/photo.php?fbid=10151295741032952&amp;set=a.114456157951.118433.8062627951&amp;type=1&amp;relevant_count=1","[Photo]")</f>
        <v>[Photo]</v>
      </c>
      <c r="B908" s="4" t="str">
        <f>HYPERLINK("http://www.facebook.com/8062627951/posts/10151295741057952","Not everyone's excited for their next adventure. Sometimes people get fired http://tcrn.ch/V8C7kD")</f>
        <v>Not everyone's excited for their next adventure. Sometimes people get fired http://tcrn.ch/V8C7kD</v>
      </c>
      <c r="C908" s="3">
        <v>41203.37091435185</v>
      </c>
      <c r="D908" s="2">
        <v>81</v>
      </c>
      <c r="E908" s="2">
        <v>10</v>
      </c>
      <c r="F908" s="2" t="s">
        <v>7</v>
      </c>
      <c r="G908" s="2" t="s">
        <v>8</v>
      </c>
    </row>
    <row r="909" spans="1:7" ht="60" x14ac:dyDescent="0.25">
      <c r="A909" s="4" t="str">
        <f>HYPERLINK("http://techcrunch.com/2012/10/20/zuckerberg-facebook-started-out-as-a-hobby-and-a-project-not-a-company/","Zuckerberg: Facebook Started Out As A ‘Hobby’ And A ‘Project,’ Not A Company ")</f>
        <v xml:space="preserve">Zuckerberg: Facebook Started Out As A ‘Hobby’ And A ‘Project,’ Not A Company </v>
      </c>
      <c r="B909" s="4" t="str">
        <f>HYPERLINK("http://www.facebook.com/8062627951/posts/103522796476641","“I started building Facebook because I wanted to use it in college… we weren’t looking to start a company.   I had this one friend who I went to have pizza with almost every night, we did all our comp...")</f>
        <v>“I started building Facebook because I wanted to use it in college… we weren’t looking to start a company.   I had this one friend who I went to have pizza with almost every night, we did all our comp...</v>
      </c>
      <c r="C909" s="3">
        <v>41202.72078703704</v>
      </c>
      <c r="D909" s="2">
        <v>233</v>
      </c>
      <c r="E909" s="2">
        <v>18</v>
      </c>
      <c r="F909" s="2" t="s">
        <v>7</v>
      </c>
      <c r="G909" s="2" t="s">
        <v>7</v>
      </c>
    </row>
    <row r="910" spans="1:7" ht="30" x14ac:dyDescent="0.25">
      <c r="A910" s="4" t="str">
        <f>HYPERLINK("http://www.facebook.com/photo.php?fbid=10151294478022952&amp;set=a.114456157951.118433.8062627951&amp;type=1&amp;relevant_count=1","[Photo]")</f>
        <v>[Photo]</v>
      </c>
      <c r="B910" s="4" t="str">
        <f>HYPERLINK("http://www.facebook.com/8062627951/posts/10151294478072952","Here's Zuckerberg's big advice for startups http://tcrn.ch/PIQsHE")</f>
        <v>Here's Zuckerberg's big advice for startups http://tcrn.ch/PIQsHE</v>
      </c>
      <c r="C910" s="3">
        <v>41202.509652777779</v>
      </c>
      <c r="D910" s="2">
        <v>555</v>
      </c>
      <c r="E910" s="2">
        <v>24</v>
      </c>
      <c r="F910" s="2" t="s">
        <v>7</v>
      </c>
      <c r="G910" s="2" t="s">
        <v>8</v>
      </c>
    </row>
    <row r="911" spans="1:7" ht="30" x14ac:dyDescent="0.25">
      <c r="A911" s="4" t="s">
        <v>9</v>
      </c>
      <c r="B911" s="4" t="str">
        <f>HYPERLINK("http://www.facebook.com/8062627951/posts/10151294177577952","What are the big differences between Google+ users and Facebook users?")</f>
        <v>What are the big differences between Google+ users and Facebook users?</v>
      </c>
      <c r="C911" s="3">
        <v>41202.350092592591</v>
      </c>
      <c r="D911" s="2">
        <v>203</v>
      </c>
      <c r="E911" s="2">
        <v>384</v>
      </c>
      <c r="F911" s="2" t="s">
        <v>8</v>
      </c>
      <c r="G911" s="2" t="s">
        <v>7</v>
      </c>
    </row>
    <row r="912" spans="1:7" ht="30" x14ac:dyDescent="0.25">
      <c r="A912" s="4" t="str">
        <f>HYPERLINK("http://techcrunch.com/2012/10/20/10-reasons-why-windows-8-will-do-just-fine-in-the-work-world/","10 Reasons Why Windows 8 Will Do Just Fine In The Work World")</f>
        <v>10 Reasons Why Windows 8 Will Do Just Fine In The Work World</v>
      </c>
      <c r="B912" s="4" t="str">
        <f>HYPERLINK("http://www.facebook.com/8062627951/posts/353449501416037","Will you use it?")</f>
        <v>Will you use it?</v>
      </c>
      <c r="C912" s="3">
        <v>41202.343240740738</v>
      </c>
      <c r="D912" s="2">
        <v>174</v>
      </c>
      <c r="E912" s="2">
        <v>70</v>
      </c>
      <c r="F912" s="2" t="s">
        <v>8</v>
      </c>
      <c r="G912" s="2" t="s">
        <v>7</v>
      </c>
    </row>
    <row r="913" spans="1:7" x14ac:dyDescent="0.25">
      <c r="A913" s="4" t="str">
        <f>HYPERLINK("http://techcrunch.com/2012/10/19/how-to-choose-your-startup-idea/","How To Choose Your Startup Idea ")</f>
        <v xml:space="preserve">How To Choose Your Startup Idea </v>
      </c>
      <c r="B913" s="4" t="str">
        <f>HYPERLINK("http://www.facebook.com/8062627951/posts/236125679849955","Startups, how did you choose yours?")</f>
        <v>Startups, how did you choose yours?</v>
      </c>
      <c r="C913" s="3">
        <v>41201.571851851855</v>
      </c>
      <c r="D913" s="2">
        <v>85</v>
      </c>
      <c r="E913" s="2">
        <v>15</v>
      </c>
      <c r="F913" s="2" t="s">
        <v>8</v>
      </c>
      <c r="G913" s="2" t="s">
        <v>7</v>
      </c>
    </row>
    <row r="914" spans="1:7" ht="45" x14ac:dyDescent="0.25">
      <c r="A914" s="4" t="str">
        <f>HYPERLINK("http://www.facebook.com/photo.php?fbid=10151293008097952&amp;set=a.114456157951.118433.8062627951&amp;type=1&amp;relevant_count=1","[Photo]")</f>
        <v>[Photo]</v>
      </c>
      <c r="B914" s="4" t="s">
        <v>54</v>
      </c>
      <c r="C914" s="3">
        <v>41201.503310185188</v>
      </c>
      <c r="D914" s="2">
        <v>661</v>
      </c>
      <c r="E914" s="2">
        <v>83</v>
      </c>
      <c r="F914" s="2" t="s">
        <v>7</v>
      </c>
      <c r="G914" s="2" t="s">
        <v>8</v>
      </c>
    </row>
    <row r="915" spans="1:7" ht="30" x14ac:dyDescent="0.25">
      <c r="A915" s="4" t="str">
        <f>HYPERLINK("http://techcrunch.com/2012/10/19/jeff-bezos-the-smart-people-change-their-minds/","Jeff Bezos: The Smart People Change Their Minds ")</f>
        <v xml:space="preserve">Jeff Bezos: The Smart People Change Their Minds </v>
      </c>
      <c r="B915" s="4" t="str">
        <f>HYPERLINK("http://www.facebook.com/8062627951/posts/536487859699328","Do you find yourself changing your mind a lot?")</f>
        <v>Do you find yourself changing your mind a lot?</v>
      </c>
      <c r="C915" s="3">
        <v>41201.461192129631</v>
      </c>
      <c r="D915" s="2">
        <v>288</v>
      </c>
      <c r="E915" s="2">
        <v>24</v>
      </c>
      <c r="F915" s="2" t="s">
        <v>8</v>
      </c>
      <c r="G915" s="2" t="s">
        <v>7</v>
      </c>
    </row>
    <row r="916" spans="1:7" ht="45" x14ac:dyDescent="0.25">
      <c r="A916" s="4" t="str">
        <f>HYPERLINK("http://techcrunch.com/2012/10/19/not-from-the-onion-minnesota-bans-stanfords-unauthorized-free-online-education/","Not From The Onion: Minnesota Bans Stanford’s Unauthorized Free Online Education")</f>
        <v>Not From The Onion: Minnesota Bans Stanford’s Unauthorized Free Online Education</v>
      </c>
      <c r="B916" s="4" t="str">
        <f>HYPERLINK("http://www.facebook.com/8062627951/posts/277486155705249","This story of government overreach is so outrageous that we have to re-iterate that it is, in fact, real.")</f>
        <v>This story of government overreach is so outrageous that we have to re-iterate that it is, in fact, real.</v>
      </c>
      <c r="C916" s="3">
        <v>41201.412488425929</v>
      </c>
      <c r="D916" s="2">
        <v>99</v>
      </c>
      <c r="E916" s="2">
        <v>24</v>
      </c>
      <c r="F916" s="2" t="s">
        <v>7</v>
      </c>
      <c r="G916" s="2" t="s">
        <v>7</v>
      </c>
    </row>
    <row r="917" spans="1:7" ht="30" x14ac:dyDescent="0.25">
      <c r="A917" s="4" t="str">
        <f>HYPERLINK("http://www.facebook.com/photo.php?fbid=10151292762892952&amp;set=a.114456157951.118433.8062627951&amp;type=1&amp;relevant_count=1","[Photo]")</f>
        <v>[Photo]</v>
      </c>
      <c r="B917" s="4" t="str">
        <f>HYPERLINK("http://www.facebook.com/8062627951/posts/10151292762932952","TechCrunch Giveaway: A new Samsung Chromebook. Make sure to enter - http://tcrn.ch/RL7IHO")</f>
        <v>TechCrunch Giveaway: A new Samsung Chromebook. Make sure to enter - http://tcrn.ch/RL7IHO</v>
      </c>
      <c r="C917" s="3">
        <v>41201.372766203705</v>
      </c>
      <c r="D917" s="2">
        <v>244</v>
      </c>
      <c r="E917" s="2">
        <v>73</v>
      </c>
      <c r="F917" s="2" t="s">
        <v>7</v>
      </c>
      <c r="G917" s="2" t="s">
        <v>8</v>
      </c>
    </row>
    <row r="918" spans="1:7" ht="30" x14ac:dyDescent="0.25">
      <c r="A918" s="4" t="str">
        <f>HYPERLINK("http://techcrunch.com/2012/10/19/source-ipad-mini-will-hit-stores-and-ship-to-early-buyers-november-2/","Source: iPad Mini Will Hit Stores And Ship To Early Buyers November 2")</f>
        <v>Source: iPad Mini Will Hit Stores And Ship To Early Buyers November 2</v>
      </c>
      <c r="B918" s="4" t="str">
        <f>HYPERLINK("http://www.facebook.com/8062627951/posts/448252238554415","The iPad mini is almost here. Are you going to get it?")</f>
        <v>The iPad mini is almost here. Are you going to get it?</v>
      </c>
      <c r="C918" s="3">
        <v>41201.307268518518</v>
      </c>
      <c r="D918" s="2">
        <v>79</v>
      </c>
      <c r="E918" s="2">
        <v>45</v>
      </c>
      <c r="F918" s="2" t="s">
        <v>8</v>
      </c>
      <c r="G918" s="2" t="s">
        <v>7</v>
      </c>
    </row>
    <row r="919" spans="1:7" ht="45" x14ac:dyDescent="0.25">
      <c r="A919" s="4" t="str">
        <f>HYPERLINK("http://techcrunch.com/2012/10/18/with-both-co-founders-now-gone-its-the-end-of-an-era-for-education-software-giant-blackboard/","Blackboard: With Both Co-founders Now Gone, It’s The End Of An Era For The Education Software Giant.")</f>
        <v>Blackboard: With Both Co-founders Now Gone, It’s The End Of An Era For The Education Software Giant.</v>
      </c>
      <c r="B919" s="4" t="str">
        <f>HYPERLINK("http://www.facebook.com/8062627951/posts/352991258126385","No matter if you hate or really, really hate Blackboard, this is a good read.")</f>
        <v>No matter if you hate or really, really hate Blackboard, this is a good read.</v>
      </c>
      <c r="C919" s="3">
        <v>41201.152175925927</v>
      </c>
      <c r="D919" s="2">
        <v>57</v>
      </c>
      <c r="E919" s="2">
        <v>4</v>
      </c>
      <c r="F919" s="2" t="s">
        <v>7</v>
      </c>
      <c r="G919" s="2" t="s">
        <v>7</v>
      </c>
    </row>
    <row r="920" spans="1:7" ht="60" x14ac:dyDescent="0.25">
      <c r="A920" s="4" t="str">
        <f>HYPERLINK("http://techcrunch.com/2012/10/19/interview-with-reddit-troll-violentacrez-on-anderson-cooper-video/","Interview With Reddit Troll, ‘Violentacrez’, On Anderson Cooper [Video] | TechCrunch")</f>
        <v>Interview With Reddit Troll, ‘Violentacrez’, On Anderson Cooper [Video] | TechCrunch</v>
      </c>
      <c r="B920" s="4" t="s">
        <v>55</v>
      </c>
      <c r="C920" s="3">
        <v>41201.120798611111</v>
      </c>
      <c r="D920" s="2">
        <v>11</v>
      </c>
      <c r="E920" s="2">
        <v>1</v>
      </c>
      <c r="F920" s="2" t="s">
        <v>7</v>
      </c>
      <c r="G920" s="2" t="s">
        <v>7</v>
      </c>
    </row>
    <row r="921" spans="1:7" ht="45" x14ac:dyDescent="0.25">
      <c r="A921" s="4" t="str">
        <f>HYPERLINK("http://www.facebook.com/photo.php?fbid=10151291791452952&amp;set=a.114456157951.118433.8062627951&amp;type=1&amp;relevant_count=1","[Photo]")</f>
        <v>[Photo]</v>
      </c>
      <c r="B921" s="4" t="str">
        <f>HYPERLINK("http://www.facebook.com/8062627951/posts/10151291791492952","Google just announced that it has added 25 million new building footprints to Google Maps on desktop and mobile - http://tcrn.ch/Tx0pDe")</f>
        <v>Google just announced that it has added 25 million new building footprints to Google Maps on desktop and mobile - http://tcrn.ch/Tx0pDe</v>
      </c>
      <c r="C921" s="3">
        <v>41200.655891203707</v>
      </c>
      <c r="D921" s="2">
        <v>282</v>
      </c>
      <c r="E921" s="2">
        <v>15</v>
      </c>
      <c r="F921" s="2" t="s">
        <v>7</v>
      </c>
      <c r="G921" s="2" t="s">
        <v>8</v>
      </c>
    </row>
    <row r="922" spans="1:7" ht="45" x14ac:dyDescent="0.25">
      <c r="A922" s="4" t="str">
        <f>HYPERLINK("http://techcrunch.com/2012/10/18/goalbook-funding/","Goalbook Nabs $915K From NewSchools &amp; More To Help Teachers Transform Special Education ")</f>
        <v xml:space="preserve">Goalbook Nabs $915K From NewSchools &amp; More To Help Teachers Transform Special Education </v>
      </c>
      <c r="B922" s="4" t="str">
        <f>HYPERLINK("http://www.facebook.com/8062627951/posts/270320186422213","Goalbook, an Imagine K12 grad, is announcing it has raised $915,000 in seed funding to help create the first social and mobile platform for special education teachers.")</f>
        <v>Goalbook, an Imagine K12 grad, is announcing it has raised $915,000 in seed funding to help create the first social and mobile platform for special education teachers.</v>
      </c>
      <c r="C922" s="3">
        <v>41200.646793981483</v>
      </c>
      <c r="D922" s="2">
        <v>46</v>
      </c>
      <c r="E922" s="2">
        <v>1</v>
      </c>
      <c r="F922" s="2" t="s">
        <v>7</v>
      </c>
      <c r="G922" s="2" t="s">
        <v>7</v>
      </c>
    </row>
    <row r="923" spans="1:7" ht="30" x14ac:dyDescent="0.25">
      <c r="A923" s="4" t="str">
        <f>HYPERLINK("http://www.facebook.com/photo.php?fbid=10151291646887952&amp;set=a.114456157951.118433.8062627951&amp;type=1&amp;relevant_count=1","[Photo]")</f>
        <v>[Photo]</v>
      </c>
      <c r="B923" s="4" t="str">
        <f>HYPERLINK("http://www.facebook.com/8062627951/posts/10151291646902952","Larry Page to Google’s investors: “You should all run out and buy the Nexus 7 for $199&lt;U+2033&gt; - http://tcrn.ch/S6txUV")</f>
        <v>Larry Page to Google’s investors: “You should all run out and buy the Nexus 7 for $199&lt;U+2033&gt; - http://tcrn.ch/S6txUV</v>
      </c>
      <c r="C923" s="3">
        <v>41200.563506944447</v>
      </c>
      <c r="D923" s="2">
        <v>191</v>
      </c>
      <c r="E923" s="2">
        <v>33</v>
      </c>
      <c r="F923" s="2" t="s">
        <v>7</v>
      </c>
      <c r="G923" s="2" t="s">
        <v>8</v>
      </c>
    </row>
    <row r="924" spans="1:7" ht="30" x14ac:dyDescent="0.25">
      <c r="A924" s="4" t="str">
        <f>HYPERLINK("http://techcrunch.com/2012/10/18/youtube-goes-down-adding-to-googles-no-good-rotten-very-bad-day/","YouTube Goes Down, Adding To Google’s No-Good, Rotten, Very Bad Day ")</f>
        <v xml:space="preserve">YouTube Goes Down, Adding To Google’s No-Good, Rotten, Very Bad Day </v>
      </c>
      <c r="B924" s="4" t="str">
        <f>HYPERLINK("http://www.facebook.com/8062627951/posts/294952150611034","Yikes. Is it down for you too?")</f>
        <v>Yikes. Is it down for you too?</v>
      </c>
      <c r="C924" s="3">
        <v>41200.518194444441</v>
      </c>
      <c r="D924" s="2">
        <v>160</v>
      </c>
      <c r="E924" s="2">
        <v>93</v>
      </c>
      <c r="F924" s="2" t="s">
        <v>8</v>
      </c>
      <c r="G924" s="2" t="s">
        <v>7</v>
      </c>
    </row>
    <row r="925" spans="1:7" ht="30" x14ac:dyDescent="0.25">
      <c r="A925" s="4" t="str">
        <f>HYPERLINK("http://www.facebook.com/photo.php?fbid=10151291447542952&amp;set=a.114456157951.118433.8062627951&amp;type=1&amp;relevant_count=1","[Photo]")</f>
        <v>[Photo]</v>
      </c>
      <c r="B925" s="4" t="str">
        <f>HYPERLINK("http://www.facebook.com/8062627951/posts/10151291447562952","Facebook reaffirms its commitment to stop cyber bullying with new activist page - http://tcrn.ch/PcVYCj")</f>
        <v>Facebook reaffirms its commitment to stop cyber bullying with new activist page - http://tcrn.ch/PcVYCj</v>
      </c>
      <c r="C925" s="3">
        <v>41200.448935185188</v>
      </c>
      <c r="D925" s="2">
        <v>106</v>
      </c>
      <c r="E925" s="2">
        <v>5</v>
      </c>
      <c r="F925" s="2" t="s">
        <v>7</v>
      </c>
      <c r="G925" s="2" t="s">
        <v>8</v>
      </c>
    </row>
    <row r="926" spans="1:7" ht="30" x14ac:dyDescent="0.25">
      <c r="A926" s="4" t="str">
        <f>HYPERLINK("http://techcrunch.com/2012/10/18/california-food-fight-pits-corporate-ads-against-status-updates/","California Food Fight Pits Corporate Ads Against “Status Updates”")</f>
        <v>California Food Fight Pits Corporate Ads Against “Status Updates”</v>
      </c>
      <c r="B926" s="4" t="str">
        <f>HYPERLINK("http://www.facebook.com/8062627951/posts/538946032788696","Do you feed your family organic food?")</f>
        <v>Do you feed your family organic food?</v>
      </c>
      <c r="C926" s="3">
        <v>41200.43167824074</v>
      </c>
      <c r="D926" s="2">
        <v>15</v>
      </c>
      <c r="E926" s="2">
        <v>9</v>
      </c>
      <c r="F926" s="2" t="s">
        <v>8</v>
      </c>
      <c r="G926" s="2" t="s">
        <v>7</v>
      </c>
    </row>
    <row r="927" spans="1:7" ht="45" x14ac:dyDescent="0.25">
      <c r="A927" s="4" t="str">
        <f>HYPERLINK("http://techcrunch.com/2012/10/18/google-misses-q3-2012-revenue-up-45-percent-to-14-10b-net-income-down-20-percent-to-2-18b/","Google Misses, Q3 2012 Revenue Up 45 Percent To $14.10B, Net Income Down 20 Percent To $2.18B ")</f>
        <v xml:space="preserve">Google Misses, Q3 2012 Revenue Up 45 Percent To $14.10B, Net Income Down 20 Percent To $2.18B </v>
      </c>
      <c r="B927" s="4" t="str">
        <f>HYPERLINK("http://www.facebook.com/8062627951/posts/289961201106026","Google has fallen short on expectations.  More here: http://tcrn.ch/VamxoF  More on stock taking a dive here: http://tcrn.ch/S61k0x")</f>
        <v>Google has fallen short on expectations.  More here: http://tcrn.ch/VamxoF  More on stock taking a dive here: http://tcrn.ch/S61k0x</v>
      </c>
      <c r="C927" s="3">
        <v>41200.390196759261</v>
      </c>
      <c r="D927" s="2">
        <v>28</v>
      </c>
      <c r="E927" s="2">
        <v>12</v>
      </c>
      <c r="F927" s="2" t="s">
        <v>7</v>
      </c>
      <c r="G927" s="2" t="s">
        <v>7</v>
      </c>
    </row>
    <row r="928" spans="1:7" ht="30" x14ac:dyDescent="0.25">
      <c r="A928" s="4" t="str">
        <f>HYPERLINK("http://www.facebook.com/photo.php?fbid=10151291312247952&amp;set=a.114456157951.118433.8062627951&amp;type=1&amp;relevant_count=1","[Photo]")</f>
        <v>[Photo]</v>
      </c>
      <c r="B928" s="4" t="str">
        <f>HYPERLINK("http://www.facebook.com/8062627951/posts/10151291312292952","Google announces a thinner, lighter Samsung Chromebook for $249. Who's going to get one? - http://tcrn.ch/T1GuvG")</f>
        <v>Google announces a thinner, lighter Samsung Chromebook for $249. Who's going to get one? - http://tcrn.ch/T1GuvG</v>
      </c>
      <c r="C928" s="3">
        <v>41200.373287037037</v>
      </c>
      <c r="D928" s="2">
        <v>670</v>
      </c>
      <c r="E928" s="2">
        <v>92</v>
      </c>
      <c r="F928" s="2" t="s">
        <v>8</v>
      </c>
      <c r="G928" s="2" t="s">
        <v>8</v>
      </c>
    </row>
    <row r="929" spans="1:7" ht="30" x14ac:dyDescent="0.25">
      <c r="A929" s="4" t="str">
        <f>HYPERLINK("http://www.facebook.com/photo.php?fbid=10151291268807952&amp;set=a.114456157951.118433.8062627951&amp;type=1&amp;relevant_count=1","[Photo]")</f>
        <v>[Photo]</v>
      </c>
      <c r="B929" s="4" t="str">
        <f>HYPERLINK("http://www.facebook.com/8062627951/posts/10151291268832952","Meet Autom, the quantified self robot that is your next diet coach - http://tcrn.ch/PDHz1S")</f>
        <v>Meet Autom, the quantified self robot that is your next diet coach - http://tcrn.ch/PDHz1S</v>
      </c>
      <c r="C929" s="3">
        <v>41200.347268518519</v>
      </c>
      <c r="D929" s="2">
        <v>102</v>
      </c>
      <c r="E929" s="2">
        <v>8</v>
      </c>
      <c r="F929" s="2" t="s">
        <v>7</v>
      </c>
      <c r="G929" s="2" t="s">
        <v>8</v>
      </c>
    </row>
    <row r="930" spans="1:7" ht="30" x14ac:dyDescent="0.25">
      <c r="A930" s="4" t="str">
        <f>HYPERLINK("http://www.facebook.com/photo.php?fbid=10151291231427952&amp;set=a.114456157951.118433.8062627951&amp;type=1&amp;relevant_count=1","[Photo]")</f>
        <v>[Photo]</v>
      </c>
      <c r="B930" s="4" t="str">
        <f>HYPERLINK("http://www.facebook.com/8062627951/posts/10151291231447952","Got (too much) mail? With Alto, AOL tries a fresh approach to combat email overload - http://tcrn.ch/PDws9r")</f>
        <v>Got (too much) mail? With Alto, AOL tries a fresh approach to combat email overload - http://tcrn.ch/PDws9r</v>
      </c>
      <c r="C930" s="3">
        <v>41200.326828703706</v>
      </c>
      <c r="D930" s="2">
        <v>135</v>
      </c>
      <c r="E930" s="2">
        <v>13</v>
      </c>
      <c r="F930" s="2" t="s">
        <v>8</v>
      </c>
      <c r="G930" s="2" t="s">
        <v>8</v>
      </c>
    </row>
    <row r="931" spans="1:7" ht="30" x14ac:dyDescent="0.25">
      <c r="A931" s="4" t="str">
        <f>HYPERLINK("http://www.facebook.com/photo.php?fbid=10151291216317952&amp;set=a.114456157951.118433.8062627951&amp;type=1&amp;relevant_count=1","[Photo]")</f>
        <v>[Photo]</v>
      </c>
      <c r="B931" s="4" t="str">
        <f>HYPERLINK("http://www.facebook.com/8062627951/posts/10151291216342952","Verizon activated 3.1 million iPhones In Q3 2012, but only 651K were iPhone 5s. Surprised? - http://tcrn.ch/PchqYi")</f>
        <v>Verizon activated 3.1 million iPhones In Q3 2012, but only 651K were iPhone 5s. Surprised? - http://tcrn.ch/PchqYi</v>
      </c>
      <c r="C931" s="3">
        <v>41200.316504629627</v>
      </c>
      <c r="D931" s="2">
        <v>58</v>
      </c>
      <c r="E931" s="2">
        <v>27</v>
      </c>
      <c r="F931" s="2" t="s">
        <v>8</v>
      </c>
      <c r="G931" s="2" t="s">
        <v>8</v>
      </c>
    </row>
    <row r="932" spans="1:7" ht="30" x14ac:dyDescent="0.25">
      <c r="A932" s="4" t="str">
        <f>HYPERLINK("http://www.facebook.com/photo.php?fbid=10151291026407952&amp;set=a.114456157951.118433.8062627951&amp;type=1&amp;relevant_count=1","[Photo]")</f>
        <v>[Photo]</v>
      </c>
      <c r="B932" s="4" t="str">
        <f>HYPERLINK("http://www.facebook.com/8062627951/posts/10151291026432952","The Nintendo Wii U: Made for kids, by kids - http://tcrn.ch/RIXifv")</f>
        <v>The Nintendo Wii U: Made for kids, by kids - http://tcrn.ch/RIXifv</v>
      </c>
      <c r="C932" s="3">
        <v>41200.202164351853</v>
      </c>
      <c r="D932" s="2">
        <v>107</v>
      </c>
      <c r="E932" s="2">
        <v>25</v>
      </c>
      <c r="F932" s="2" t="s">
        <v>7</v>
      </c>
      <c r="G932" s="2" t="s">
        <v>8</v>
      </c>
    </row>
    <row r="933" spans="1:7" ht="45" x14ac:dyDescent="0.25">
      <c r="A933" s="4" t="str">
        <f>HYPERLINK("http://techcrunch.com/2012/10/18/another-big-loss-for-nokia-in-q3-754m-operating-loss-only-2-9m-lumias-sold-as-it-waits-on-wp8-launch/","Another Big Loss For Nokia In Q3: $754M Operating Loss, Only 2.9M Lumias Sold As It Waits On WP8 Lau")</f>
        <v>Another Big Loss For Nokia In Q3: $754M Operating Loss, Only 2.9M Lumias Sold As It Waits On WP8 Lau</v>
      </c>
      <c r="B933" s="4" t="str">
        <f>HYPERLINK("http://www.facebook.com/8062627951/posts/293932660713243","Nokia is in trouble.")</f>
        <v>Nokia is in trouble.</v>
      </c>
      <c r="C933" s="3">
        <v>41200.144548611112</v>
      </c>
      <c r="D933" s="2">
        <v>35</v>
      </c>
      <c r="E933" s="2">
        <v>22</v>
      </c>
      <c r="F933" s="2" t="s">
        <v>7</v>
      </c>
      <c r="G933" s="2" t="s">
        <v>7</v>
      </c>
    </row>
    <row r="934" spans="1:7" ht="45" x14ac:dyDescent="0.25">
      <c r="A934" s="4" t="str">
        <f>HYPERLINK("http://techcrunch.com/2012/10/18/apple-vs-samsung-u-k-appeal-court-upholds-galaxy-tab-not-cool-enough-to-copy-ipad-ruling/","Apple Vs Samsung: U.K. Appeal Court Upholds ‘Galaxy Tab Not Cool Enough To Copy iPad’ Ruling")</f>
        <v>Apple Vs Samsung: U.K. Appeal Court Upholds ‘Galaxy Tab Not Cool Enough To Copy iPad’ Ruling</v>
      </c>
      <c r="B934" s="4" t="str">
        <f>HYPERLINK("http://www.facebook.com/8062627951/posts/106677612826008","Apple loses a big court appeal; UK court finds the Galaxy Tab does not infringe on the iPad's design.")</f>
        <v>Apple loses a big court appeal; UK court finds the Galaxy Tab does not infringe on the iPad's design.</v>
      </c>
      <c r="C934" s="3">
        <v>41200.138194444444</v>
      </c>
      <c r="D934" s="2">
        <v>120</v>
      </c>
      <c r="E934" s="2">
        <v>13</v>
      </c>
      <c r="F934" s="2" t="s">
        <v>7</v>
      </c>
      <c r="G934" s="2" t="s">
        <v>7</v>
      </c>
    </row>
    <row r="935" spans="1:7" ht="45" x14ac:dyDescent="0.25">
      <c r="A935" s="4" t="str">
        <f>HYPERLINK("http://techcrunch.com/2012/10/17/color-patents-damn-patents-and-trademarks/","Why Color Both Failed And Could Still Come Out Millions Of Dollars Ahead: Patents And Trademarks")</f>
        <v>Why Color Both Failed And Could Still Come Out Millions Of Dollars Ahead: Patents And Trademarks</v>
      </c>
      <c r="B935" s="4" t="str">
        <f>HYPERLINK("http://www.facebook.com/8062627951/posts/444645062240072","It’s been a crazy day for Color. Actually, it’s been a crazy few months...  More here: http://tcrn.ch/R5zIst")</f>
        <v>It’s been a crazy day for Color. Actually, it’s been a crazy few months...  More here: http://tcrn.ch/R5zIst</v>
      </c>
      <c r="C935" s="3">
        <v>41199.918773148151</v>
      </c>
      <c r="D935" s="2">
        <v>26</v>
      </c>
      <c r="E935" s="2">
        <v>5</v>
      </c>
      <c r="F935" s="2" t="s">
        <v>7</v>
      </c>
      <c r="G935" s="2" t="s">
        <v>7</v>
      </c>
    </row>
    <row r="936" spans="1:7" ht="30" x14ac:dyDescent="0.25">
      <c r="A936" s="4" t="str">
        <f>HYPERLINK("http://www.facebook.com/photo.php?fbid=10151290476087952&amp;set=a.114456157951.118433.8062627951&amp;type=1&amp;relevant_count=1","[Photo]")</f>
        <v>[Photo]</v>
      </c>
      <c r="B936" s="4" t="str">
        <f>HYPERLINK("http://www.facebook.com/8062627951/posts/10151290476117952","Not everyone’s excited for their next adventure. Sometimes people get fired - http://tcrn.ch/V8C7kE")</f>
        <v>Not everyone’s excited for their next adventure. Sometimes people get fired - http://tcrn.ch/V8C7kE</v>
      </c>
      <c r="C936" s="3">
        <v>41199.748263888891</v>
      </c>
      <c r="D936" s="2">
        <v>70</v>
      </c>
      <c r="E936" s="2">
        <v>6</v>
      </c>
      <c r="F936" s="2" t="s">
        <v>7</v>
      </c>
      <c r="G936" s="2" t="s">
        <v>8</v>
      </c>
    </row>
    <row r="937" spans="1:7" ht="30" x14ac:dyDescent="0.25">
      <c r="A937" s="4" t="str">
        <f>HYPERLINK("http://techcrunch.com/2012/10/17/despite-nyc-delay-uber-launches-taxi-option-in-sf/","Despite NYC Delay, Uber Launches Taxi Option In SF")</f>
        <v>Despite NYC Delay, Uber Launches Taxi Option In SF</v>
      </c>
      <c r="B937" s="4" t="str">
        <f>HYPERLINK("http://www.facebook.com/8062627951/posts/395110670560613","Uber launches the lower-priced “Taxi” version of its car service in San Francisco:")</f>
        <v>Uber launches the lower-priced “Taxi” version of its car service in San Francisco:</v>
      </c>
      <c r="C937" s="3">
        <v>41199.737662037034</v>
      </c>
      <c r="D937" s="2">
        <v>38</v>
      </c>
      <c r="E937" s="2">
        <v>4</v>
      </c>
      <c r="F937" s="2" t="s">
        <v>7</v>
      </c>
      <c r="G937" s="2" t="s">
        <v>7</v>
      </c>
    </row>
    <row r="938" spans="1:7" ht="45" x14ac:dyDescent="0.25">
      <c r="A938" s="4" t="str">
        <f>HYPERLINK("http://www.facebook.com/photo.php?fbid=10151290396687952&amp;set=a.114456157951.118433.8062627951&amp;type=1&amp;relevant_count=1","[Photo]")</f>
        <v>[Photo]</v>
      </c>
      <c r="B938" s="4" t="str">
        <f>HYPERLINK("http://www.facebook.com/8062627951/posts/10151290396747952","Google issues invites to October 29th NYC Android event, says “The Playground Is Open”. Hmm. - http://tcrn.ch/PaWKQh")</f>
        <v>Google issues invites to October 29th NYC Android event, says “The Playground Is Open”. Hmm. - http://tcrn.ch/PaWKQh</v>
      </c>
      <c r="C938" s="3">
        <v>41199.701967592591</v>
      </c>
      <c r="D938" s="2">
        <v>213</v>
      </c>
      <c r="E938" s="2">
        <v>20</v>
      </c>
      <c r="F938" s="2" t="s">
        <v>7</v>
      </c>
      <c r="G938" s="2" t="s">
        <v>8</v>
      </c>
    </row>
    <row r="939" spans="1:7" ht="45" x14ac:dyDescent="0.25">
      <c r="A939" s="4" t="str">
        <f>HYPERLINK("http://techcrunch.com/2012/10/17/twilio-is-crushing-it-150k-developers-1-5m-api-calls-a-day-1b-total-phone-calls-expanding-to-20-more-countries/","Twilio Is Crushing It: 150K Devs, 1.5M Phone Calls/Day, 500M Total Phone Calls, 20 New Countries")</f>
        <v>Twilio Is Crushing It: 150K Devs, 1.5M Phone Calls/Day, 500M Total Phone Calls, 20 New Countries</v>
      </c>
      <c r="B939" s="4" t="str">
        <f>HYPERLINK("http://www.facebook.com/8062627951/posts/391214867617196","Twilio is killing it.  “Communications is now in the domain of software. We focus on the user, and we will win.” - CEO Jeff Lawson")</f>
        <v>Twilio is killing it.  “Communications is now in the domain of software. We focus on the user, and we will win.” - CEO Jeff Lawson</v>
      </c>
      <c r="C939" s="3">
        <v>41199.630740740744</v>
      </c>
      <c r="D939" s="2">
        <v>102</v>
      </c>
      <c r="E939" s="2">
        <v>7</v>
      </c>
      <c r="F939" s="2" t="s">
        <v>7</v>
      </c>
      <c r="G939" s="2" t="s">
        <v>7</v>
      </c>
    </row>
    <row r="940" spans="1:7" ht="30" x14ac:dyDescent="0.25">
      <c r="A940" s="4" t="str">
        <f>HYPERLINK("http://techcrunch.com/2012/10/17/app-net-launches-a-directory-for-app-net-apps-apps/","App.net Launches A Directory For App.net Apps. Apps!")</f>
        <v>App.net Launches A Directory For App.net Apps. Apps!</v>
      </c>
      <c r="B940" s="4" t="str">
        <f>HYPERLINK("http://www.facebook.com/8062627951/posts/431709573543061","Apps, apps, and more apps!")</f>
        <v>Apps, apps, and more apps!</v>
      </c>
      <c r="C940" s="3">
        <v>41199.575185185182</v>
      </c>
      <c r="D940" s="2">
        <v>24</v>
      </c>
      <c r="E940" s="2">
        <v>2</v>
      </c>
      <c r="F940" s="2" t="s">
        <v>7</v>
      </c>
      <c r="G940" s="2" t="s">
        <v>7</v>
      </c>
    </row>
    <row r="941" spans="1:7" ht="45" x14ac:dyDescent="0.25">
      <c r="A941" s="4" t="str">
        <f>HYPERLINK("http://www.facebook.com/photo.php?fbid=10151290159417952&amp;set=a.114456157951.118433.8062627951&amp;type=1&amp;relevant_count=1","[Photo]")</f>
        <v>[Photo]</v>
      </c>
      <c r="B941" s="4" t="str">
        <f>HYPERLINK("http://www.facebook.com/8062627951/posts/10151290159487952","Facebook wants to dominate paid discovery by now letting any developer buy mobile app install ads - http://tcrn.ch/T0wQJH")</f>
        <v>Facebook wants to dominate paid discovery by now letting any developer buy mobile app install ads - http://tcrn.ch/T0wQJH</v>
      </c>
      <c r="C941" s="3">
        <v>41199.548159722224</v>
      </c>
      <c r="D941" s="2">
        <v>78</v>
      </c>
      <c r="E941" s="2">
        <v>14</v>
      </c>
      <c r="F941" s="2" t="s">
        <v>7</v>
      </c>
      <c r="G941" s="2" t="s">
        <v>8</v>
      </c>
    </row>
    <row r="942" spans="1:7" ht="30" x14ac:dyDescent="0.25">
      <c r="A942" s="4" t="str">
        <f>HYPERLINK("http://www.facebook.com/photo.php?fbid=10151290134347952&amp;set=a.10151134316772952.498619.8062627951&amp;type=1&amp;relevant_count=1","[Photo]")</f>
        <v>[Photo]</v>
      </c>
      <c r="B942" s="4" t="str">
        <f>HYPERLINK("http://www.facebook.com/8062627951/posts/10151290134412952","Beautiful day today in San Francisco. How are you spending it? ")</f>
        <v xml:space="preserve">Beautiful day today in San Francisco. How are you spending it? </v>
      </c>
      <c r="C942" s="3">
        <v>41199.533796296295</v>
      </c>
      <c r="D942" s="2">
        <v>291</v>
      </c>
      <c r="E942" s="2">
        <v>33</v>
      </c>
      <c r="F942" s="2" t="s">
        <v>8</v>
      </c>
      <c r="G942" s="2" t="s">
        <v>8</v>
      </c>
    </row>
    <row r="943" spans="1:7" ht="30" x14ac:dyDescent="0.25">
      <c r="A943" s="4" t="str">
        <f>HYPERLINK("http://www.facebook.com/photo.php?fbid=10151290099102952&amp;set=a.114456157951.118433.8062627951&amp;type=1&amp;relevant_count=1","[Photo]")</f>
        <v>[Photo]</v>
      </c>
      <c r="B943" s="4" t="str">
        <f>HYPERLINK("http://www.facebook.com/8062627951/posts/10151290099157952","Apple’s total smartphone web traffic share climbs to 46% with iPhone 5. Samsung trails At 17% - http://tcrn.ch/TcsVjx")</f>
        <v>Apple’s total smartphone web traffic share climbs to 46% with iPhone 5. Samsung trails At 17% - http://tcrn.ch/TcsVjx</v>
      </c>
      <c r="C943" s="3">
        <v>41199.514918981484</v>
      </c>
      <c r="D943" s="2">
        <v>621</v>
      </c>
      <c r="E943" s="2">
        <v>75</v>
      </c>
      <c r="F943" s="2" t="s">
        <v>7</v>
      </c>
      <c r="G943" s="2" t="s">
        <v>8</v>
      </c>
    </row>
    <row r="944" spans="1:7" ht="45" x14ac:dyDescent="0.25">
      <c r="A944" s="4" t="str">
        <f>HYPERLINK("http://www.facebook.com/photo.php?fbid=10151290092597952&amp;set=a.114456157951.118433.8062627951&amp;type=1&amp;relevant_count=1","[Photo]")</f>
        <v>[Photo]</v>
      </c>
      <c r="B944" s="4" t="str">
        <f>HYPERLINK("http://www.facebook.com/8062627951/posts/10151290092612952","Amiigo is a fitness bracelet (plus app) that knows what type of exercise you’re doing — and what it’s doing to you - http://tcrn.ch/RGwGvr")</f>
        <v>Amiigo is a fitness bracelet (plus app) that knows what type of exercise you’re doing — and what it’s doing to you - http://tcrn.ch/RGwGvr</v>
      </c>
      <c r="C944" s="3">
        <v>41199.511134259257</v>
      </c>
      <c r="D944" s="2">
        <v>263</v>
      </c>
      <c r="E944" s="2">
        <v>17</v>
      </c>
      <c r="F944" s="2" t="s">
        <v>7</v>
      </c>
      <c r="G944" s="2" t="s">
        <v>8</v>
      </c>
    </row>
    <row r="945" spans="1:7" x14ac:dyDescent="0.25">
      <c r="A945" s="4" t="str">
        <f>HYPERLINK("http://techcrunch.com/2012/10/17/color-says-not-shutting-down/","Color: We Are Not Shutting Down")</f>
        <v>Color: We Are Not Shutting Down</v>
      </c>
      <c r="B945" s="4" t="str">
        <f>HYPERLINK("http://www.facebook.com/8062627951/posts/184942048297279","Remember Color... ?")</f>
        <v>Remember Color... ?</v>
      </c>
      <c r="C945" s="3">
        <v>41199.481180555558</v>
      </c>
      <c r="D945" s="2">
        <v>20</v>
      </c>
      <c r="E945" s="2">
        <v>10</v>
      </c>
      <c r="F945" s="2" t="s">
        <v>8</v>
      </c>
      <c r="G945" s="2" t="s">
        <v>7</v>
      </c>
    </row>
    <row r="946" spans="1:7" ht="30" x14ac:dyDescent="0.25">
      <c r="A946" s="4" t="str">
        <f>HYPERLINK("http://www.facebook.com/photo.php?fbid=10151289996307952&amp;set=a.114456157951.118433.8062627951&amp;type=1&amp;relevant_count=1","[Photo]")</f>
        <v>[Photo]</v>
      </c>
      <c r="B946" s="4" t="str">
        <f>HYPERLINK("http://www.facebook.com/8062627951/posts/10151289996337952","Um, what?! The Quadski is a cross between jet ski and four-wheeler -  http://tcrn.ch/Tv2Ki7")</f>
        <v>Um, what?! The Quadski is a cross between jet ski and four-wheeler -  http://tcrn.ch/Tv2Ki7</v>
      </c>
      <c r="C946" s="3">
        <v>41199.457754629628</v>
      </c>
      <c r="D946" s="2">
        <v>570</v>
      </c>
      <c r="E946" s="2">
        <v>67</v>
      </c>
      <c r="F946" s="2" t="s">
        <v>8</v>
      </c>
      <c r="G946" s="2" t="s">
        <v>8</v>
      </c>
    </row>
    <row r="947" spans="1:7" ht="45" x14ac:dyDescent="0.25">
      <c r="A947" s="4" t="str">
        <f>HYPERLINK("http://techcrunch.com/2012/10/17/klout-updates-iphone-app-with-passbook-integration-wants-you-to-show-off-with-klout-card/","Klout Updates iPhone App With Passbook Integration, Wants You To “Show Off” With Klout Card")</f>
        <v>Klout Updates iPhone App With Passbook Integration, Wants You To “Show Off” With Klout Card</v>
      </c>
      <c r="B947" s="4" t="s">
        <v>56</v>
      </c>
      <c r="C947" s="3">
        <v>41199.435347222221</v>
      </c>
      <c r="D947" s="2">
        <v>26</v>
      </c>
      <c r="E947" s="2">
        <v>8</v>
      </c>
      <c r="F947" s="2" t="s">
        <v>8</v>
      </c>
      <c r="G947" s="2" t="s">
        <v>7</v>
      </c>
    </row>
    <row r="948" spans="1:7" ht="30" x14ac:dyDescent="0.25">
      <c r="A948" s="4" t="str">
        <f>HYPERLINK("http://www.facebook.com/photo.php?fbid=10151289908102952&amp;set=a.114456157951.118433.8062627951&amp;type=1&amp;relevant_count=1","[Photo]")</f>
        <v>[Photo]</v>
      </c>
      <c r="B948" s="4" t="str">
        <f>HYPERLINK("http://www.facebook.com/8062627951/posts/10151289908127952","Google launches new Maps APIs for location tracking and GPS-free geolocation - http://tcrn.ch/R9LtN4")</f>
        <v>Google launches new Maps APIs for location tracking and GPS-free geolocation - http://tcrn.ch/R9LtN4</v>
      </c>
      <c r="C948" s="3">
        <v>41199.405405092592</v>
      </c>
      <c r="D948" s="2">
        <v>369</v>
      </c>
      <c r="E948" s="2">
        <v>10</v>
      </c>
      <c r="F948" s="2" t="s">
        <v>7</v>
      </c>
      <c r="G948" s="2" t="s">
        <v>8</v>
      </c>
    </row>
    <row r="949" spans="1:7" ht="30" x14ac:dyDescent="0.25">
      <c r="A949" s="4" t="str">
        <f>HYPERLINK("http://www.facebook.com/photo.php?fbid=10151289670962952&amp;set=a.114456157951.118433.8062627951&amp;type=1&amp;relevant_count=1","[Photo]")</f>
        <v>[Photo]</v>
      </c>
      <c r="B949" s="4" t="str">
        <f>HYPERLINK("http://www.facebook.com/8062627951/posts/10151289671007952","Last call Detroit and Chicago meetup tickets. Just a few left. Toronto is sold out. - http://tcrn.ch/U3TneP")</f>
        <v>Last call Detroit and Chicago meetup tickets. Just a few left. Toronto is sold out. - http://tcrn.ch/U3TneP</v>
      </c>
      <c r="C949" s="3">
        <v>41199.269803240742</v>
      </c>
      <c r="D949" s="2">
        <v>27</v>
      </c>
      <c r="E949" s="2">
        <v>0</v>
      </c>
      <c r="F949" s="2" t="s">
        <v>7</v>
      </c>
      <c r="G949" s="2" t="s">
        <v>8</v>
      </c>
    </row>
    <row r="950" spans="1:7" ht="30" x14ac:dyDescent="0.25">
      <c r="A950" s="4" t="str">
        <f>HYPERLINK("http://www.facebook.com/photo.php?fbid=10151289616962952&amp;set=a.114456157951.118433.8062627951&amp;type=1&amp;relevant_count=1","[Photo]")</f>
        <v>[Photo]</v>
      </c>
      <c r="B950" s="4" t="str">
        <f>HYPERLINK("http://www.facebook.com/8062627951/posts/10151289617002952","GoPro, the little action camera company that could, unveils its latest line-up - http://tcrn.ch/XmxOVL")</f>
        <v>GoPro, the little action camera company that could, unveils its latest line-up - http://tcrn.ch/XmxOVL</v>
      </c>
      <c r="C950" s="3">
        <v>41199.238958333335</v>
      </c>
      <c r="D950" s="2">
        <v>215</v>
      </c>
      <c r="E950" s="2">
        <v>10</v>
      </c>
      <c r="F950" s="2" t="s">
        <v>7</v>
      </c>
      <c r="G950" s="2" t="s">
        <v>8</v>
      </c>
    </row>
    <row r="951" spans="1:7" ht="30" x14ac:dyDescent="0.25">
      <c r="A951" s="4" t="str">
        <f>HYPERLINK("http://www.facebook.com/photo.php?fbid=10151289580247952&amp;set=a.114456157951.118433.8062627951&amp;type=1&amp;relevant_count=1","[Photo]")</f>
        <v>[Photo]</v>
      </c>
      <c r="B951" s="4" t="str">
        <f>HYPERLINK("http://www.facebook.com/8062627951/posts/10151289580287952","‘Binders Full Of Women’, Romney gaffe, gets Tumblr and 200k likes on Facebook - http://tcrn.ch/U3h473")</f>
        <v>‘Binders Full Of Women’, Romney gaffe, gets Tumblr and 200k likes on Facebook - http://tcrn.ch/U3h473</v>
      </c>
      <c r="C951" s="3">
        <v>41199.214687500003</v>
      </c>
      <c r="D951" s="2">
        <v>258</v>
      </c>
      <c r="E951" s="2">
        <v>39</v>
      </c>
      <c r="F951" s="2" t="s">
        <v>7</v>
      </c>
      <c r="G951" s="2" t="s">
        <v>8</v>
      </c>
    </row>
    <row r="952" spans="1:7" ht="30" x14ac:dyDescent="0.25">
      <c r="A952" s="4" t="str">
        <f>HYPERLINK("http://www.facebook.com/photo.php?fbid=10151289191187952&amp;set=a.114456157951.118433.8062627951&amp;type=1&amp;relevant_count=1","[Photo]")</f>
        <v>[Photo]</v>
      </c>
      <c r="B952" s="4" t="str">
        <f>HYPERLINK("http://www.facebook.com/8062627951/posts/10151289191242952","The new Internet Explorer for Xbox may be clumsy, but wait til it gets Kinected - http://tcrn.ch/WkAPrM")</f>
        <v>The new Internet Explorer for Xbox may be clumsy, but wait til it gets Kinected - http://tcrn.ch/WkAPrM</v>
      </c>
      <c r="C952" s="3">
        <v>41198.850254629629</v>
      </c>
      <c r="D952" s="2">
        <v>342</v>
      </c>
      <c r="E952" s="2">
        <v>26</v>
      </c>
      <c r="F952" s="2" t="s">
        <v>7</v>
      </c>
      <c r="G952" s="2" t="s">
        <v>8</v>
      </c>
    </row>
    <row r="953" spans="1:7" ht="30" x14ac:dyDescent="0.25">
      <c r="A953" s="4" t="str">
        <f>HYPERLINK("http://www.facebook.com/photo.php?fbid=10151288764572952&amp;set=a.114456157951.118433.8062627951&amp;type=1&amp;relevant_count=1","[Photo]")</f>
        <v>[Photo]</v>
      </c>
      <c r="B953" s="4" t="str">
        <f>HYPERLINK("http://www.facebook.com/8062627951/posts/10151288764612952","Here’s what accessory manufacturers expect the iPad mini to look like - http://tcrn.ch/ROPdD1")</f>
        <v>Here’s what accessory manufacturers expect the iPad mini to look like - http://tcrn.ch/ROPdD1</v>
      </c>
      <c r="C953" s="3">
        <v>41198.649016203701</v>
      </c>
      <c r="D953" s="2">
        <v>191</v>
      </c>
      <c r="E953" s="2">
        <v>35</v>
      </c>
      <c r="F953" s="2" t="s">
        <v>7</v>
      </c>
      <c r="G953" s="2" t="s">
        <v>8</v>
      </c>
    </row>
    <row r="954" spans="1:7" ht="45" x14ac:dyDescent="0.25">
      <c r="A954" s="4" t="str">
        <f>HYPERLINK("http://techcrunch.com/2012/10/16/mobile-app-ad-exchange-network-tap-for-tap-pivots-to-engagement-swapping-model/","Mobile App Ad Exchange Network Tap For Tap Pivots To Engagement Swapping Model")</f>
        <v>Mobile App Ad Exchange Network Tap For Tap Pivots To Engagement Swapping Model</v>
      </c>
      <c r="B954" s="4" t="str">
        <f>HYPERLINK("http://www.facebook.com/8062627951/posts/164459793693117","Think Tap for Tap made the right decision?")</f>
        <v>Think Tap for Tap made the right decision?</v>
      </c>
      <c r="C954" s="3">
        <v>41198.643935185188</v>
      </c>
      <c r="D954" s="2">
        <v>15</v>
      </c>
      <c r="E954" s="2">
        <v>0</v>
      </c>
      <c r="F954" s="2" t="s">
        <v>8</v>
      </c>
      <c r="G954" s="2" t="s">
        <v>7</v>
      </c>
    </row>
    <row r="955" spans="1:7" ht="30" x14ac:dyDescent="0.25">
      <c r="A955" s="4" t="str">
        <f>HYPERLINK("http://techcrunch.com/2012/10/16/microsofts-surface-team-takes-questions-talks-up-new-tablet-on-reddit/","Microsoft’s Surface Team Takes Questions, Talks Up New Tablet On Reddit")</f>
        <v>Microsoft’s Surface Team Takes Questions, Talks Up New Tablet On Reddit</v>
      </c>
      <c r="B955" s="4" t="str">
        <f>HYPERLINK("http://www.facebook.com/8062627951/posts/289680857810089","What would you ask them?")</f>
        <v>What would you ask them?</v>
      </c>
      <c r="C955" s="3">
        <v>41198.551064814812</v>
      </c>
      <c r="D955" s="2">
        <v>35</v>
      </c>
      <c r="E955" s="2">
        <v>8</v>
      </c>
      <c r="F955" s="2" t="s">
        <v>8</v>
      </c>
      <c r="G955" s="2" t="s">
        <v>7</v>
      </c>
    </row>
    <row r="956" spans="1:7" ht="30" x14ac:dyDescent="0.25">
      <c r="A956" s="4" t="str">
        <f>HYPERLINK("http://www.facebook.com/photo.php?fbid=10151288494947952&amp;set=a.114456157951.118433.8062627951&amp;type=1&amp;relevant_count=1","[Photo]")</f>
        <v>[Photo]</v>
      </c>
      <c r="B956" s="4" t="str">
        <f>HYPERLINK("http://www.facebook.com/8062627951/posts/10151288495032952","_______ Are Like Facebook: the simple, effective parody site for Facebook’s glitzy ad campaign - http://tcrn.ch/OFzwAt")</f>
        <v>_______ Are Like Facebook: the simple, effective parody site for Facebook’s glitzy ad campaign - http://tcrn.ch/OFzwAt</v>
      </c>
      <c r="C956" s="3">
        <v>41198.496967592589</v>
      </c>
      <c r="D956" s="2">
        <v>127</v>
      </c>
      <c r="E956" s="2">
        <v>13</v>
      </c>
      <c r="F956" s="2" t="s">
        <v>7</v>
      </c>
      <c r="G956" s="2" t="s">
        <v>8</v>
      </c>
    </row>
    <row r="957" spans="1:7" ht="45" x14ac:dyDescent="0.25">
      <c r="A957" s="4" t="str">
        <f>HYPERLINK("http://www.facebook.com/photo.php?fbid=10151288459867952&amp;set=a.114456157951.118433.8062627951&amp;type=1&amp;relevant_count=1","[Photo]")</f>
        <v>[Photo]</v>
      </c>
      <c r="B957" s="4" t="str">
        <f>HYPERLINK("http://www.facebook.com/8062627951/posts/10151288459942952","Beats By Dre debuts ‘The Pill’ wireless speaker, aiming to take on Jawbone’s Jambox. Think it will succeed? - http://tcrn.ch/QPplqF")</f>
        <v>Beats By Dre debuts ‘The Pill’ wireless speaker, aiming to take on Jawbone’s Jambox. Think it will succeed? - http://tcrn.ch/QPplqF</v>
      </c>
      <c r="C957" s="3">
        <v>41198.481145833335</v>
      </c>
      <c r="D957" s="2">
        <v>250</v>
      </c>
      <c r="E957" s="2">
        <v>55</v>
      </c>
      <c r="F957" s="2" t="s">
        <v>8</v>
      </c>
      <c r="G957" s="2" t="s">
        <v>8</v>
      </c>
    </row>
    <row r="958" spans="1:7" ht="45" x14ac:dyDescent="0.25">
      <c r="A958" s="4" t="str">
        <f>HYPERLINK("http://techcrunch.com/2012/10/16/pathjoy-launch/","Maid Service For The Masses? YC-Backed Pathjoy Offers Affordable Housecleaning With Easy Web Booking")</f>
        <v>Maid Service For The Masses? YC-Backed Pathjoy Offers Affordable Housecleaning With Easy Web Booking</v>
      </c>
      <c r="B958" s="4" t="str">
        <f>HYPERLINK("http://www.facebook.com/8062627951/posts/210307185767828","May your house never be dirty again...")</f>
        <v>May your house never be dirty again...</v>
      </c>
      <c r="C958" s="3">
        <v>41198.443854166668</v>
      </c>
      <c r="D958" s="2">
        <v>46</v>
      </c>
      <c r="E958" s="2">
        <v>4</v>
      </c>
      <c r="F958" s="2" t="s">
        <v>7</v>
      </c>
      <c r="G958" s="2" t="s">
        <v>7</v>
      </c>
    </row>
    <row r="959" spans="1:7" ht="30" x14ac:dyDescent="0.25">
      <c r="A959" s="4" t="str">
        <f>HYPERLINK("http://www.facebook.com/photo.php?fbid=10151288313112952&amp;set=a.114456157951.118433.8062627951&amp;type=1&amp;relevant_count=1","[Photo]")</f>
        <v>[Photo]</v>
      </c>
      <c r="B959" s="4" t="str">
        <f>HYPERLINK("http://www.facebook.com/8062627951/posts/10151288313147952","Get ready. The iPad mini is coming October 23rd at 10am PT - http://tcrn.ch/T8B5tc")</f>
        <v>Get ready. The iPad mini is coming October 23rd at 10am PT - http://tcrn.ch/T8B5tc</v>
      </c>
      <c r="C959" s="3">
        <v>41198.40421296296</v>
      </c>
      <c r="D959" s="2">
        <v>377</v>
      </c>
      <c r="E959" s="2">
        <v>45</v>
      </c>
      <c r="F959" s="2" t="s">
        <v>7</v>
      </c>
      <c r="G959" s="2" t="s">
        <v>8</v>
      </c>
    </row>
    <row r="960" spans="1:7" ht="45" x14ac:dyDescent="0.25">
      <c r="A960" s="4" t="str">
        <f>HYPERLINK("http://techcrunch.com/2012/10/16/boxee-tv/","The Boxee TV Offers Unlimited DVR Storage, Dual Tuners, And Netflix For $99 (And $15 A Month)")</f>
        <v>The Boxee TV Offers Unlimited DVR Storage, Dual Tuners, And Netflix For $99 (And $15 A Month)</v>
      </c>
      <c r="B960" s="4" t="str">
        <f>HYPERLINK("http://www.facebook.com/8062627951/posts/357318341028270","Cord cutters, here's the device you've been waiting for.")</f>
        <v>Cord cutters, here's the device you've been waiting for.</v>
      </c>
      <c r="C960" s="3">
        <v>41198.26054398148</v>
      </c>
      <c r="D960" s="2">
        <v>42</v>
      </c>
      <c r="E960" s="2">
        <v>4</v>
      </c>
      <c r="F960" s="2" t="s">
        <v>7</v>
      </c>
      <c r="G960" s="2" t="s">
        <v>7</v>
      </c>
    </row>
    <row r="961" spans="1:7" ht="45" x14ac:dyDescent="0.25">
      <c r="A961" s="4" t="str">
        <f>HYPERLINK("http://www.facebook.com/photo.php?fbid=10151288015387952&amp;set=a.114456157951.118433.8062627951&amp;type=1&amp;relevant_count=1","[Photo]")</f>
        <v>[Photo]</v>
      </c>
      <c r="B961" s="4" t="str">
        <f>HYPERLINK("http://www.facebook.com/8062627951/posts/10151288015462952","Announcing Office Hours for the TC Northern Meetups: Toronto, Chicago, Detroit, and yes, Ann Arbor, MI - http://tcrn.ch/QpzOtn")</f>
        <v>Announcing Office Hours for the TC Northern Meetups: Toronto, Chicago, Detroit, and yes, Ann Arbor, MI - http://tcrn.ch/QpzOtn</v>
      </c>
      <c r="C961" s="3">
        <v>41198.239108796297</v>
      </c>
      <c r="D961" s="2">
        <v>14</v>
      </c>
      <c r="E961" s="2">
        <v>0</v>
      </c>
      <c r="F961" s="2" t="s">
        <v>7</v>
      </c>
      <c r="G961" s="2" t="s">
        <v>8</v>
      </c>
    </row>
    <row r="962" spans="1:7" ht="30" x14ac:dyDescent="0.25">
      <c r="A962" s="4" t="str">
        <f>HYPERLINK("http://techcrunch.com/2012/10/16/pokki-attempts-to-fix-windows-8-by-adding-a-start-menu-web-app-store/","Pokki Attempts To Fix Windows 8 By Adding A Start Menu, Web App Store")</f>
        <v>Pokki Attempts To Fix Windows 8 By Adding A Start Menu, Web App Store</v>
      </c>
      <c r="B962" s="4" t="str">
        <f>HYPERLINK("http://www.facebook.com/8062627951/posts/455936484458003","Missing the Start Menu in Windows 8? Pokki can help.")</f>
        <v>Missing the Start Menu in Windows 8? Pokki can help.</v>
      </c>
      <c r="C962" s="3">
        <v>41198.223923611113</v>
      </c>
      <c r="D962" s="2">
        <v>29</v>
      </c>
      <c r="E962" s="2">
        <v>6</v>
      </c>
      <c r="F962" s="2" t="s">
        <v>8</v>
      </c>
      <c r="G962" s="2" t="s">
        <v>7</v>
      </c>
    </row>
    <row r="963" spans="1:7" ht="45" x14ac:dyDescent="0.25">
      <c r="A963" s="4" t="str">
        <f>HYPERLINK("http://www.facebook.com/photo.php?fbid=10151287930837952&amp;set=a.114456157951.118433.8062627951&amp;type=1&amp;relevant_count=1","[Photo]")</f>
        <v>[Photo]</v>
      </c>
      <c r="B963" s="4" t="str">
        <f>HYPERLINK("http://www.facebook.com/8062627951/posts/10151287930872952","Who is getting one? Microsoft Surface RT priced: 32GB For $499 without Touch Cover, $599 with; 64GB For $699 - http://tcrn.ch/R7XIK3")</f>
        <v>Who is getting one? Microsoft Surface RT priced: 32GB For $499 without Touch Cover, $599 with; 64GB For $699 - http://tcrn.ch/R7XIK3</v>
      </c>
      <c r="C963" s="3">
        <v>41198.179386574076</v>
      </c>
      <c r="D963" s="2">
        <v>420</v>
      </c>
      <c r="E963" s="2">
        <v>128</v>
      </c>
      <c r="F963" s="2" t="s">
        <v>8</v>
      </c>
      <c r="G963" s="2" t="s">
        <v>8</v>
      </c>
    </row>
    <row r="964" spans="1:7" ht="45" x14ac:dyDescent="0.25">
      <c r="A964" s="4" t="str">
        <f>HYPERLINK("http://techcrunch.com/2012/10/15/path-might-get-a-bit-noisier-it-now-lets-you-import-things-from-facebook-foursquare-and-instagram/","Path Might Get A Bit Noisier, It Now Lets You Import Things From Facebook, Foursquare And Instagram.")</f>
        <v>Path Might Get A Bit Noisier, It Now Lets You Import Things From Facebook, Foursquare And Instagram.</v>
      </c>
      <c r="B964" s="4" t="str">
        <f>HYPERLINK("http://www.facebook.com/8062627951/posts/359689697453748","Path users, watch out. Is this something you want, or don't want?")</f>
        <v>Path users, watch out. Is this something you want, or don't want?</v>
      </c>
      <c r="C964" s="3">
        <v>41197.975011574075</v>
      </c>
      <c r="D964" s="2">
        <v>17</v>
      </c>
      <c r="E964" s="2">
        <v>2</v>
      </c>
      <c r="F964" s="2" t="s">
        <v>8</v>
      </c>
      <c r="G964" s="2" t="s">
        <v>7</v>
      </c>
    </row>
    <row r="965" spans="1:7" ht="45" x14ac:dyDescent="0.25">
      <c r="A965" s="4" t="str">
        <f>HYPERLINK("http://techcrunch.com/2012/10/15/what-would-paul-graham-do/","What Would Paul Graham Do? — A Search Engine That Teaches You The Ways Of Y Combinator’s Boss ")</f>
        <v xml:space="preserve">What Would Paul Graham Do? — A Search Engine That Teaches You The Ways Of Y Combinator’s Boss </v>
      </c>
      <c r="B965" s="4" t="str">
        <f>HYPERLINK("http://www.facebook.com/8062627951/posts/164058623733414","WWPGD?")</f>
        <v>WWPGD?</v>
      </c>
      <c r="C965" s="3">
        <v>41197.840266203704</v>
      </c>
      <c r="D965" s="2">
        <v>24</v>
      </c>
      <c r="E965" s="2">
        <v>2</v>
      </c>
      <c r="F965" s="2" t="s">
        <v>8</v>
      </c>
      <c r="G965" s="2" t="s">
        <v>7</v>
      </c>
    </row>
    <row r="966" spans="1:7" ht="45" x14ac:dyDescent="0.25">
      <c r="A966" s="4" t="str">
        <f>HYPERLINK("http://www.facebook.com/photo.php?fbid=10151287194257952&amp;set=a.114456157951.118433.8062627951&amp;type=1&amp;relevant_count=1","[Photo]")</f>
        <v>[Photo]</v>
      </c>
      <c r="B966" s="4" t="str">
        <f>HYPERLINK("http://www.facebook.com/8062627951/posts/10151287194312952","Teen's iPod exposes violence and racial profiling in NYPD's Stop &amp; Frisk interrogations. Watch the video:  http://tcrn.ch/V2XkSv")</f>
        <v>Teen's iPod exposes violence and racial profiling in NYPD's Stop &amp; Frisk interrogations. Watch the video:  http://tcrn.ch/V2XkSv</v>
      </c>
      <c r="C966" s="3">
        <v>41197.645416666666</v>
      </c>
      <c r="D966" s="2">
        <v>74</v>
      </c>
      <c r="E966" s="2">
        <v>13</v>
      </c>
      <c r="F966" s="2" t="s">
        <v>7</v>
      </c>
      <c r="G966" s="2" t="s">
        <v>8</v>
      </c>
    </row>
    <row r="967" spans="1:7" ht="60" x14ac:dyDescent="0.25">
      <c r="A967" s="4" t="str">
        <f>HYPERLINK("http://techcrunch.com/2012/10/15/google-opens-the-doors-a-bit-wider-for-gmail-results-within-its-main-search-experience/","Google Opens The Doors A Bit Wider For Gmail Results Within Its Main Search Experience, Adds Google.")</f>
        <v>Google Opens The Doors A Bit Wider For Gmail Results Within Its Main Search Experience, Adds Google.</v>
      </c>
      <c r="B967" s="4" t="s">
        <v>57</v>
      </c>
      <c r="C967" s="3">
        <v>41197.615104166667</v>
      </c>
      <c r="D967" s="2">
        <v>70</v>
      </c>
      <c r="E967" s="2">
        <v>2</v>
      </c>
      <c r="F967" s="2" t="s">
        <v>8</v>
      </c>
      <c r="G967" s="2" t="s">
        <v>7</v>
      </c>
    </row>
    <row r="968" spans="1:7" ht="30" x14ac:dyDescent="0.25">
      <c r="A968" s="4" t="str">
        <f>HYPERLINK("http://www.facebook.com/photo.php?fbid=10151287034167952&amp;set=a.114456157951.118433.8062627951&amp;type=1&amp;relevant_count=1","[Photo]")</f>
        <v>[Photo]</v>
      </c>
      <c r="B968" s="4" t="str">
        <f>HYPERLINK("http://www.facebook.com/8062627951/posts/10151287034232952","What do you think: are Google’s personalized results making us politically partisan? - http://tcrn.ch/T5sKGy")</f>
        <v>What do you think: are Google’s personalized results making us politically partisan? - http://tcrn.ch/T5sKGy</v>
      </c>
      <c r="C968" s="3">
        <v>41197.560497685183</v>
      </c>
      <c r="D968" s="2">
        <v>44</v>
      </c>
      <c r="E968" s="2">
        <v>8</v>
      </c>
      <c r="F968" s="2" t="s">
        <v>8</v>
      </c>
      <c r="G968" s="2" t="s">
        <v>8</v>
      </c>
    </row>
    <row r="969" spans="1:7" ht="30" x14ac:dyDescent="0.25">
      <c r="A969" s="4" t="str">
        <f>HYPERLINK("http://techcrunch.com/2012/10/15/hipster-coffee-lovers-rejoice-blue-bottle-coffee-raises-20m/","Hipster Coffee Lovers Rejoice, Blue Bottle Coffee Raises $20M ")</f>
        <v xml:space="preserve">Hipster Coffee Lovers Rejoice, Blue Bottle Coffee Raises $20M </v>
      </c>
      <c r="B969" s="4" t="str">
        <f>HYPERLINK("http://www.facebook.com/8062627951/posts/269157879871260","COFFEEEE. Blue Bottle Coffee raises $20M.")</f>
        <v>COFFEEEE. Blue Bottle Coffee raises $20M.</v>
      </c>
      <c r="C969" s="3">
        <v>41197.532731481479</v>
      </c>
      <c r="D969" s="2">
        <v>191</v>
      </c>
      <c r="E969" s="2">
        <v>9</v>
      </c>
      <c r="F969" s="2" t="s">
        <v>7</v>
      </c>
      <c r="G969" s="2" t="s">
        <v>7</v>
      </c>
    </row>
    <row r="970" spans="1:7" ht="30" x14ac:dyDescent="0.25">
      <c r="A970" s="4" t="str">
        <f>HYPERLINK("http://techcrunch.com/2012/10/15/i-love-lamp-so-do-my-friends-and-who-cares/","I Love Lamp, So Do My Friends, And Who Cares?")</f>
        <v>I Love Lamp, So Do My Friends, And Who Cares?</v>
      </c>
      <c r="B970" s="4" t="str">
        <f>HYPERLINK("http://www.facebook.com/8062627951/posts/1208865775919299","Does it make you feel weird when friends tweet, check-in and post from your house?")</f>
        <v>Does it make you feel weird when friends tweet, check-in and post from your house?</v>
      </c>
      <c r="C970" s="3">
        <v>41197.512650462966</v>
      </c>
      <c r="D970" s="2">
        <v>19</v>
      </c>
      <c r="E970" s="2">
        <v>4</v>
      </c>
      <c r="F970" s="2" t="s">
        <v>8</v>
      </c>
      <c r="G970" s="2" t="s">
        <v>7</v>
      </c>
    </row>
    <row r="971" spans="1:7" ht="30" x14ac:dyDescent="0.25">
      <c r="A971" s="4" t="str">
        <f>HYPERLINK("http://techcrunch.com/2012/10/15/head-cam-footage-from-felix-baumgartners-edge-of-space-skydive/","Footage From Felix Baumgartner’s Edge-Of-Space Skydive")</f>
        <v>Footage From Felix Baumgartner’s Edge-Of-Space Skydive</v>
      </c>
      <c r="B971" s="4" t="str">
        <f>HYPERLINK("http://www.facebook.com/8062627951/posts/105628789596804","Damn.")</f>
        <v>Damn.</v>
      </c>
      <c r="C971" s="3">
        <v>41197.464305555557</v>
      </c>
      <c r="D971" s="2">
        <v>290</v>
      </c>
      <c r="E971" s="2">
        <v>14</v>
      </c>
      <c r="F971" s="2" t="s">
        <v>7</v>
      </c>
      <c r="G971" s="2" t="s">
        <v>7</v>
      </c>
    </row>
    <row r="972" spans="1:7" ht="30" x14ac:dyDescent="0.25">
      <c r="A972" s="4" t="str">
        <f>HYPERLINK("http://techcrunch.com/2012/10/15/circas-new-ios-app-will-change-the-way-you-consume-news/","Circa’s New iOS App Will Change The Way You Consume News ")</f>
        <v xml:space="preserve">Circa’s New iOS App Will Change The Way You Consume News </v>
      </c>
      <c r="B972" s="4" t="str">
        <f>HYPERLINK("http://www.facebook.com/8062627951/posts/209606312504744","What do you think of Circa's new iOS app? Think it will change the way we consume and retain information?")</f>
        <v>What do you think of Circa's new iOS app? Think it will change the way we consume and retain information?</v>
      </c>
      <c r="C972" s="3">
        <v>41197.407627314817</v>
      </c>
      <c r="D972" s="2">
        <v>40</v>
      </c>
      <c r="E972" s="2">
        <v>10</v>
      </c>
      <c r="F972" s="2" t="s">
        <v>8</v>
      </c>
      <c r="G972" s="2" t="s">
        <v>7</v>
      </c>
    </row>
    <row r="973" spans="1:7" ht="30" x14ac:dyDescent="0.25">
      <c r="A973" s="4" t="str">
        <f>HYPERLINK("http://www.facebook.com/photo.php?fbid=10151286654632952&amp;set=a.114456157951.118433.8062627951&amp;type=1&amp;relevant_count=1","[Photo]")</f>
        <v>[Photo]</v>
      </c>
      <c r="B973" s="4" t="str">
        <f>HYPERLINK("http://www.facebook.com/8062627951/posts/10151286654682952","Move over, LG: Sony’s new “Nexus X” smartphone reportedly caught on film! - http://tcrn.ch/WdoxRW")</f>
        <v>Move over, LG: Sony’s new “Nexus X” smartphone reportedly caught on film! - http://tcrn.ch/WdoxRW</v>
      </c>
      <c r="C973" s="3">
        <v>41197.37636574074</v>
      </c>
      <c r="D973" s="2">
        <v>204</v>
      </c>
      <c r="E973" s="2">
        <v>37</v>
      </c>
      <c r="F973" s="2" t="s">
        <v>7</v>
      </c>
      <c r="G973" s="2" t="s">
        <v>8</v>
      </c>
    </row>
    <row r="974" spans="1:7" ht="30" x14ac:dyDescent="0.25">
      <c r="A974" s="4" t="str">
        <f>HYPERLINK("http://techcrunch.com/2012/10/15/ipad-mini-pricing-framed-in-light-of-apples-dedication-to-margins/","iPad Mini Pricing Framed In Light Of Apple’s Dedication To Margins")</f>
        <v>iPad Mini Pricing Framed In Light Of Apple’s Dedication To Margins</v>
      </c>
      <c r="B974" s="4" t="str">
        <f>HYPERLINK("http://www.facebook.com/8062627951/posts/426864697378074","Here are the iPad mini prices.")</f>
        <v>Here are the iPad mini prices.</v>
      </c>
      <c r="C974" s="3">
        <v>41197.270208333335</v>
      </c>
      <c r="D974" s="2">
        <v>64</v>
      </c>
      <c r="E974" s="2">
        <v>12</v>
      </c>
      <c r="F974" s="2" t="s">
        <v>7</v>
      </c>
      <c r="G974" s="2" t="s">
        <v>7</v>
      </c>
    </row>
    <row r="975" spans="1:7" ht="45" x14ac:dyDescent="0.25">
      <c r="A975" s="4" t="str">
        <f>HYPERLINK("http://techcrunch.com/2012/10/14/microsoft-xbox-music/","Microsoft To Compete Against Spotify With Xbox Music, Available Soon On Xbox, Windows 8, And Windows")</f>
        <v>Microsoft To Compete Against Spotify With Xbox Music, Available Soon On Xbox, Windows 8, And Windows</v>
      </c>
      <c r="B975" s="4" t="str">
        <f>HYPERLINK("http://www.facebook.com/8062627951/posts/539877556038561","Microsoft is getting into the music streaming biz. Are you going to give it a try?")</f>
        <v>Microsoft is getting into the music streaming biz. Are you going to give it a try?</v>
      </c>
      <c r="C975" s="3">
        <v>41197.1565625</v>
      </c>
      <c r="D975" s="2">
        <v>81</v>
      </c>
      <c r="E975" s="2">
        <v>47</v>
      </c>
      <c r="F975" s="2" t="s">
        <v>8</v>
      </c>
      <c r="G975" s="2" t="s">
        <v>7</v>
      </c>
    </row>
    <row r="976" spans="1:7" ht="30" x14ac:dyDescent="0.25">
      <c r="A976" s="4" t="str">
        <f>HYPERLINK("http://www.facebook.com/photo.php?fbid=10151285918447952&amp;set=a.114456157951.118433.8062627951&amp;type=1&amp;relevant_count=1","[Photo]")</f>
        <v>[Photo]</v>
      </c>
      <c r="B976" s="4" t="str">
        <f>HYPERLINK("http://www.facebook.com/8062627951/posts/10151285918487952","Don’t believe the FUD: Windows 8 is much better than you think - http://tcrn.ch/TQU1ME")</f>
        <v>Don’t believe the FUD: Windows 8 is much better than you think - http://tcrn.ch/TQU1ME</v>
      </c>
      <c r="C976" s="3">
        <v>41196.864629629628</v>
      </c>
      <c r="D976" s="2">
        <v>424</v>
      </c>
      <c r="E976" s="2">
        <v>76</v>
      </c>
      <c r="F976" s="2" t="s">
        <v>7</v>
      </c>
      <c r="G976" s="2" t="s">
        <v>8</v>
      </c>
    </row>
    <row r="977" spans="1:7" ht="45" x14ac:dyDescent="0.25">
      <c r="A977" s="4" t="str">
        <f>HYPERLINK("http://tcrn.ch/UYN1yY","90% Of Incubators And Accelerators Will Fail And That’s Just Fine For America And The World | TechCr")</f>
        <v>90% Of Incubators And Accelerators Will Fail And That’s Just Fine For America And The World | TechCr</v>
      </c>
      <c r="B977" s="4" t="str">
        <f>HYPERLINK("http://www.facebook.com/8062627951/posts/268416156613237","90% of incubators and accelerators will fail and that’s just fine for America and the world - http://tcrn.ch/UYN1yY")</f>
        <v>90% of incubators and accelerators will fail and that’s just fine for America and the world - http://tcrn.ch/UYN1yY</v>
      </c>
      <c r="C977" s="3">
        <v>41196.663321759261</v>
      </c>
      <c r="D977" s="2">
        <v>81</v>
      </c>
      <c r="E977" s="2">
        <v>8</v>
      </c>
      <c r="F977" s="2" t="s">
        <v>7</v>
      </c>
      <c r="G977" s="2" t="s">
        <v>7</v>
      </c>
    </row>
    <row r="978" spans="1:7" ht="30" x14ac:dyDescent="0.25">
      <c r="A978" s="4" t="str">
        <f>HYPERLINK("http://www.facebook.com/photo.php?fbid=10151285552042952&amp;set=a.114456157951.118433.8062627951&amp;type=1&amp;relevant_count=1","[Photo]")</f>
        <v>[Photo]</v>
      </c>
      <c r="B978" s="4" t="str">
        <f>HYPERLINK("http://www.facebook.com/8062627951/posts/10151285552067952","Raspberry Pi: The small computer with the big ambition (to get kids coding again) - http://tcrn.ch/QeIL6z")</f>
        <v>Raspberry Pi: The small computer with the big ambition (to get kids coding again) - http://tcrn.ch/QeIL6z</v>
      </c>
      <c r="C978" s="3">
        <v>41196.621446759258</v>
      </c>
      <c r="D978" s="2">
        <v>663</v>
      </c>
      <c r="E978" s="2">
        <v>21</v>
      </c>
      <c r="F978" s="2" t="s">
        <v>7</v>
      </c>
      <c r="G978" s="2" t="s">
        <v>8</v>
      </c>
    </row>
    <row r="979" spans="1:7" ht="30" x14ac:dyDescent="0.25">
      <c r="A979" s="4" t="str">
        <f>HYPERLINK("http://techcrunch.com/2012/10/14/one-founders-perspective-on-how-to-raise-a-seed-round/","6 Tips To Get Your Startup Off The Ground And Score A Seed Round")</f>
        <v>6 Tips To Get Your Startup Off The Ground And Score A Seed Round</v>
      </c>
      <c r="B979" s="4" t="str">
        <f>HYPERLINK("http://www.facebook.com/8062627951/posts/432323453482532","Need some help getting seed money? Here are six great tips.")</f>
        <v>Need some help getting seed money? Here are six great tips.</v>
      </c>
      <c r="C979" s="3">
        <v>41196.533645833333</v>
      </c>
      <c r="D979" s="2">
        <v>73</v>
      </c>
      <c r="E979" s="2">
        <v>3</v>
      </c>
      <c r="F979" s="2" t="s">
        <v>8</v>
      </c>
      <c r="G979" s="2" t="s">
        <v>7</v>
      </c>
    </row>
    <row r="980" spans="1:7" ht="45" x14ac:dyDescent="0.25">
      <c r="A980" s="4" t="str">
        <f>HYPERLINK("http://www.facebook.com/photo.php?fbid=10151285192177952&amp;set=a.114456157951.118433.8062627951&amp;type=1&amp;relevant_count=1","[Photo]")</f>
        <v>[Photo]</v>
      </c>
      <c r="B980" s="4" t="str">
        <f>HYPERLINK("http://www.facebook.com/8062627951/posts/10151285192252952","Felix did it! But Google actually considered sending Felix Baumgartner to space with Google Glass - http://tcrn.ch/T2EIRm")</f>
        <v>Felix did it! But Google actually considered sending Felix Baumgartner to space with Google Glass - http://tcrn.ch/T2EIRm</v>
      </c>
      <c r="C980" s="3">
        <v>41196.463831018518</v>
      </c>
      <c r="D980" s="2">
        <v>2024</v>
      </c>
      <c r="E980" s="2">
        <v>57</v>
      </c>
      <c r="F980" s="2" t="s">
        <v>7</v>
      </c>
      <c r="G980" s="2" t="s">
        <v>8</v>
      </c>
    </row>
    <row r="981" spans="1:7" ht="30" x14ac:dyDescent="0.25">
      <c r="A981" s="4" t="str">
        <f>HYPERLINK("http://www.facebook.com/photo.php?fbid=10151285100957952&amp;set=a.114456157951.118433.8062627951&amp;type=1&amp;relevant_count=1","[Photo]")</f>
        <v>[Photo]</v>
      </c>
      <c r="B981" s="4" t="str">
        <f>HYPERLINK("http://www.facebook.com/8062627951/posts/10151285101007952","Watch Felix Baumgartner jump from the edge of space LIVE! - http://tcrn.ch/RufcSR")</f>
        <v>Watch Felix Baumgartner jump from the edge of space LIVE! - http://tcrn.ch/RufcSR</v>
      </c>
      <c r="C981" s="3">
        <v>41196.415891203702</v>
      </c>
      <c r="D981" s="2">
        <v>2135</v>
      </c>
      <c r="E981" s="2">
        <v>86</v>
      </c>
      <c r="F981" s="2" t="s">
        <v>7</v>
      </c>
      <c r="G981" s="2" t="s">
        <v>8</v>
      </c>
    </row>
    <row r="982" spans="1:7" ht="30" x14ac:dyDescent="0.25">
      <c r="A982" s="4" t="str">
        <f>HYPERLINK("http://www.facebook.com/photo.php?fbid=10151284759647952&amp;set=a.114456157951.118433.8062627951&amp;type=1&amp;relevant_count=1","[Photo]")</f>
        <v>[Photo]</v>
      </c>
      <c r="B982" s="4" t="str">
        <f>HYPERLINK("http://www.facebook.com/8062627951/posts/10151284759672952","“Toilets Are Like Facebook”, A NSFW video parody of Facebook’s chair ad - http://tcrn.ch/RXv5R5")</f>
        <v>“Toilets Are Like Facebook”, A NSFW video parody of Facebook’s chair ad - http://tcrn.ch/RXv5R5</v>
      </c>
      <c r="C982" s="3">
        <v>41196.223425925928</v>
      </c>
      <c r="D982" s="2">
        <v>233</v>
      </c>
      <c r="E982" s="2">
        <v>12</v>
      </c>
      <c r="F982" s="2" t="s">
        <v>7</v>
      </c>
      <c r="G982" s="2" t="s">
        <v>8</v>
      </c>
    </row>
    <row r="983" spans="1:7" ht="30" x14ac:dyDescent="0.25">
      <c r="A983" s="4" t="str">
        <f>HYPERLINK("http://techcrunch.com/2012/10/14/snls-sketch-pits-iphone-5-factory-workers-problems-against-the-tech-critics/","SNL’s Sketch Pits iPhone 5 Factory Workers Problems Against The Tech Critics")</f>
        <v>SNL’s Sketch Pits iPhone 5 Factory Workers Problems Against The Tech Critics</v>
      </c>
      <c r="B983" s="4" t="str">
        <f>HYPERLINK("http://www.facebook.com/8062627951/posts/209682122498070","SNL address, as only they can, the conditions of the workers building iPhones.")</f>
        <v>SNL address, as only they can, the conditions of the workers building iPhones.</v>
      </c>
      <c r="C983" s="3">
        <v>41196.202581018515</v>
      </c>
      <c r="D983" s="2">
        <v>53</v>
      </c>
      <c r="E983" s="2">
        <v>8</v>
      </c>
      <c r="F983" s="2" t="s">
        <v>7</v>
      </c>
      <c r="G983" s="2" t="s">
        <v>7</v>
      </c>
    </row>
    <row r="984" spans="1:7" x14ac:dyDescent="0.25">
      <c r="A984" s="4" t="str">
        <f>HYPERLINK("http://www.facebook.com/photo.php?fbid=10151283934157952&amp;set=a.114456157951.118433.8062627951&amp;type=1&amp;relevant_count=1","[Photo]")</f>
        <v>[Photo]</v>
      </c>
      <c r="B984" s="4" t="str">
        <f>HYPERLINK("http://www.facebook.com/8062627951/posts/10151283934212952","Prepare to pay for your privacy - http://tcrn.ch/TfG85n")</f>
        <v>Prepare to pay for your privacy - http://tcrn.ch/TfG85n</v>
      </c>
      <c r="C984" s="3">
        <v>41195.566932870373</v>
      </c>
      <c r="D984" s="2">
        <v>101</v>
      </c>
      <c r="E984" s="2">
        <v>6</v>
      </c>
      <c r="F984" s="2" t="s">
        <v>7</v>
      </c>
      <c r="G984" s="2" t="s">
        <v>8</v>
      </c>
    </row>
    <row r="985" spans="1:7" ht="30" x14ac:dyDescent="0.25">
      <c r="A985" s="4" t="str">
        <f>HYPERLINK("http://techcrunch.com/2012/10/13/romney-obama-release-statements-on-how-to-grow-tech-startups/","Romney, Obama Release Statements On How To Grow Tech Startups")</f>
        <v>Romney, Obama Release Statements On How To Grow Tech Startups</v>
      </c>
      <c r="B985" s="4" t="str">
        <f>HYPERLINK("http://www.facebook.com/8062627951/posts/153911191420106","Everyone is an expert.")</f>
        <v>Everyone is an expert.</v>
      </c>
      <c r="C985" s="3">
        <v>41195.481111111112</v>
      </c>
      <c r="D985" s="2">
        <v>92</v>
      </c>
      <c r="E985" s="2">
        <v>14</v>
      </c>
      <c r="F985" s="2" t="s">
        <v>7</v>
      </c>
      <c r="G985" s="2" t="s">
        <v>7</v>
      </c>
    </row>
    <row r="986" spans="1:7" ht="30" x14ac:dyDescent="0.25">
      <c r="A986" s="4" t="str">
        <f>HYPERLINK("http://techcrunch.com/2012/10/13/kleiner-perkins-on-the-past-present-and-future/","Kleiner Perkins On The Past, Present And Future")</f>
        <v>Kleiner Perkins On The Past, Present And Future</v>
      </c>
      <c r="B986" s="4" t="str">
        <f>HYPERLINK("http://www.facebook.com/8062627951/posts/234951069966218","Must read interview: Kleiner Perkins On The Past, Present And Future")</f>
        <v>Must read interview: Kleiner Perkins On The Past, Present And Future</v>
      </c>
      <c r="C986" s="3">
        <v>41195.405694444446</v>
      </c>
      <c r="D986" s="2">
        <v>55</v>
      </c>
      <c r="E986" s="2">
        <v>2</v>
      </c>
      <c r="F986" s="2" t="s">
        <v>7</v>
      </c>
      <c r="G986" s="2" t="s">
        <v>7</v>
      </c>
    </row>
    <row r="987" spans="1:7" ht="30" x14ac:dyDescent="0.25">
      <c r="A987" s="4" t="str">
        <f>HYPERLINK("http://techcrunch.com/2012/10/13/amazon-acknowledges-uneven-lighting-on-the-kindle-paperwhite/","Amazon Acknowledges Uneven Lighting On The Kindle Paperwhite")</f>
        <v>Amazon Acknowledges Uneven Lighting On The Kindle Paperwhite</v>
      </c>
      <c r="B987" s="4" t="str">
        <f>HYPERLINK("http://www.facebook.com/8062627951/posts/289593324480014","Does your Kindle Paperwhite have lighting issues?")</f>
        <v>Does your Kindle Paperwhite have lighting issues?</v>
      </c>
      <c r="C987" s="3">
        <v>41195.303587962961</v>
      </c>
      <c r="D987" s="2">
        <v>17</v>
      </c>
      <c r="E987" s="2">
        <v>0</v>
      </c>
      <c r="F987" s="2" t="s">
        <v>8</v>
      </c>
      <c r="G987" s="2" t="s">
        <v>7</v>
      </c>
    </row>
    <row r="988" spans="1:7" ht="30" x14ac:dyDescent="0.25">
      <c r="A988" s="4" t="str">
        <f>HYPERLINK("http://www.facebook.com/photo.php?fbid=10151283322537952&amp;set=a.114456157951.118433.8062627951&amp;type=1&amp;relevant_count=1","[Photo]")</f>
        <v>[Photo]</v>
      </c>
      <c r="B988" s="4" t="str">
        <f>HYPERLINK("http://www.facebook.com/8062627951/posts/10151283322557952","An interview with Josh Bechtel, the inventor of the bicymple - http://tcrn.ch/SZlVX2")</f>
        <v>An interview with Josh Bechtel, the inventor of the bicymple - http://tcrn.ch/SZlVX2</v>
      </c>
      <c r="C988" s="3">
        <v>41195.210416666669</v>
      </c>
      <c r="D988" s="2">
        <v>185</v>
      </c>
      <c r="E988" s="2">
        <v>14</v>
      </c>
      <c r="F988" s="2" t="s">
        <v>7</v>
      </c>
      <c r="G988" s="2" t="s">
        <v>8</v>
      </c>
    </row>
    <row r="989" spans="1:7" ht="60" x14ac:dyDescent="0.25">
      <c r="A989" s="4" t="s">
        <v>58</v>
      </c>
      <c r="B989" s="4" t="s">
        <v>59</v>
      </c>
      <c r="C989" s="3">
        <v>41194.683078703703</v>
      </c>
      <c r="D989" s="2">
        <v>49</v>
      </c>
      <c r="E989" s="2">
        <v>8</v>
      </c>
      <c r="F989" s="2" t="s">
        <v>8</v>
      </c>
      <c r="G989" s="2" t="s">
        <v>7</v>
      </c>
    </row>
    <row r="990" spans="1:7" ht="30" x14ac:dyDescent="0.25">
      <c r="A990" s="4" t="str">
        <f>HYPERLINK("http://www.facebook.com/photo.php?fbid=10151282675617952&amp;set=a.114456157951.118433.8062627951&amp;type=1&amp;relevant_count=1","[Photo]")</f>
        <v>[Photo]</v>
      </c>
      <c r="B990" s="4" t="str">
        <f>HYPERLINK("http://www.facebook.com/8062627951/posts/10151282675667952","If Instagram were more about words than things, you’d have Whims for iOS - http://tcrn.ch/RDrmpP")</f>
        <v>If Instagram were more about words than things, you’d have Whims for iOS - http://tcrn.ch/RDrmpP</v>
      </c>
      <c r="C990" s="3">
        <v>41194.64634259259</v>
      </c>
      <c r="D990" s="2">
        <v>46</v>
      </c>
      <c r="E990" s="2">
        <v>4</v>
      </c>
      <c r="F990" s="2" t="s">
        <v>7</v>
      </c>
      <c r="G990" s="2" t="s">
        <v>8</v>
      </c>
    </row>
    <row r="991" spans="1:7" ht="30" x14ac:dyDescent="0.25">
      <c r="A991" s="4" t="str">
        <f>HYPERLINK("http://www.facebook.com/photo.php?fbid=10151282570922952&amp;set=a.114456157951.118433.8062627951&amp;type=1&amp;relevant_count=1","[Photo]")</f>
        <v>[Photo]</v>
      </c>
      <c r="B991" s="4" t="str">
        <f>HYPERLINK("http://www.facebook.com/8062627951/posts/10151282570962952","Facebook's having some issues with Twitter cross-posting, but nobody cares. For reasons. - http://tcrn.ch/QWkEgX")</f>
        <v>Facebook's having some issues with Twitter cross-posting, but nobody cares. For reasons. - http://tcrn.ch/QWkEgX</v>
      </c>
      <c r="C991" s="3">
        <v>41194.587337962963</v>
      </c>
      <c r="D991" s="2">
        <v>191</v>
      </c>
      <c r="E991" s="2">
        <v>12</v>
      </c>
      <c r="F991" s="2" t="s">
        <v>7</v>
      </c>
      <c r="G991" s="2" t="s">
        <v>8</v>
      </c>
    </row>
    <row r="992" spans="1:7" ht="30" x14ac:dyDescent="0.25">
      <c r="A992" s="4" t="str">
        <f>HYPERLINK("http://www.facebook.com/photo.php?fbid=10151282402582952&amp;set=a.114456157951.118433.8062627951&amp;type=1&amp;relevant_count=1","[Photo]")</f>
        <v>[Photo]</v>
      </c>
      <c r="B992" s="4" t="str">
        <f>HYPERLINK("http://www.facebook.com/8062627951/posts/10151282402612952","The new iPod touch will further obliterate the point-and-shoot market. - http://tcrn.ch/QhZZST")</f>
        <v>The new iPod touch will further obliterate the point-and-shoot market. - http://tcrn.ch/QhZZST</v>
      </c>
      <c r="C992" s="3">
        <v>41194.496678240743</v>
      </c>
      <c r="D992" s="2">
        <v>243</v>
      </c>
      <c r="E992" s="2">
        <v>28</v>
      </c>
      <c r="F992" s="2" t="s">
        <v>7</v>
      </c>
      <c r="G992" s="2" t="s">
        <v>8</v>
      </c>
    </row>
    <row r="993" spans="1:7" ht="45" x14ac:dyDescent="0.25">
      <c r="A993" s="4" t="str">
        <f>HYPERLINK("http://techcrunch.com/2012/10/12/changewave-forget-maps-iphone-5-is-still-a-major-attraction-with-demand-at-record-rates-wp-8-and-nokia-still-challenged/","ChangeWave: Forget Maps, iPhone 5 Is Still A Major Attraction With Demand At ‘Record Rates’; WP 8 An")</f>
        <v>ChangeWave: Forget Maps, iPhone 5 Is Still A Major Attraction With Demand At ‘Record Rates’; WP 8 An</v>
      </c>
      <c r="B993" s="4" t="str">
        <f>HYPERLINK("http://www.facebook.com/8062627951/posts/497660526925371","So much for all the Maps thunder and Lightning port issues.")</f>
        <v>So much for all the Maps thunder and Lightning port issues.</v>
      </c>
      <c r="C993" s="3">
        <v>41194.450682870367</v>
      </c>
      <c r="D993" s="2">
        <v>44</v>
      </c>
      <c r="E993" s="2">
        <v>13</v>
      </c>
      <c r="F993" s="2" t="s">
        <v>7</v>
      </c>
      <c r="G993" s="2" t="s">
        <v>7</v>
      </c>
    </row>
    <row r="994" spans="1:7" ht="45" x14ac:dyDescent="0.25">
      <c r="A994" s="4" t="str">
        <f>HYPERLINK("http://techcrunch.com/2012/10/12/according-to-path-its-users-really-cant-get-enough-of-the-hunger-games-heres-their-top-10-watched-films/","According To Path, Its Users Really Can’t Get Enough Of “The Hunger Games”, Here’s Their Top 10 Watc")</f>
        <v>According To Path, Its Users Really Can’t Get Enough Of “The Hunger Games”, Here’s Their Top 10 Watc</v>
      </c>
      <c r="B994" s="4" t="str">
        <f>HYPERLINK("http://www.facebook.com/8062627951/posts/313747682065414","Can anyone guess what the #2 movie is?")</f>
        <v>Can anyone guess what the #2 movie is?</v>
      </c>
      <c r="C994" s="3">
        <v>41194.429166666669</v>
      </c>
      <c r="D994" s="2">
        <v>16</v>
      </c>
      <c r="E994" s="2">
        <v>0</v>
      </c>
      <c r="F994" s="2" t="s">
        <v>8</v>
      </c>
      <c r="G994" s="2" t="s">
        <v>7</v>
      </c>
    </row>
    <row r="995" spans="1:7" ht="30" x14ac:dyDescent="0.25">
      <c r="A995" s="4" t="str">
        <f>HYPERLINK("http://www.facebook.com/photo.php?fbid=10151282197502952&amp;set=a.114456157951.118433.8062627951&amp;type=1&amp;relevant_count=1","[Photo]")</f>
        <v>[Photo]</v>
      </c>
      <c r="B995" s="4" t="str">
        <f>HYPERLINK("http://www.facebook.com/8062627951/posts/10151282197537952","Wikileaks, desperate for money, erects paywall and angers hacker group, Anonymous - http://tcrn.ch/RmLrmY")</f>
        <v>Wikileaks, desperate for money, erects paywall and angers hacker group, Anonymous - http://tcrn.ch/RmLrmY</v>
      </c>
      <c r="C995" s="3">
        <v>41194.380925925929</v>
      </c>
      <c r="D995" s="2">
        <v>50</v>
      </c>
      <c r="E995" s="2">
        <v>14</v>
      </c>
      <c r="F995" s="2" t="s">
        <v>7</v>
      </c>
      <c r="G995" s="2" t="s">
        <v>8</v>
      </c>
    </row>
    <row r="996" spans="1:7" ht="30" x14ac:dyDescent="0.25">
      <c r="A996" s="4" t="str">
        <f>HYPERLINK("http://techcrunch.com/2012/10/12/apples-ipad-mini-event-likely-happening-october-23/","Apple’s iPad Mini Event Likely Happening October 23")</f>
        <v>Apple’s iPad Mini Event Likely Happening October 23</v>
      </c>
      <c r="B996" s="4" t="str">
        <f>HYPERLINK("http://www.facebook.com/8062627951/posts/161444843995287","Here comes the iPad mini!")</f>
        <v>Here comes the iPad mini!</v>
      </c>
      <c r="C996" s="3">
        <v>41194.269791666666</v>
      </c>
      <c r="D996" s="2">
        <v>131</v>
      </c>
      <c r="E996" s="2">
        <v>24</v>
      </c>
      <c r="F996" s="2" t="s">
        <v>7</v>
      </c>
      <c r="G996" s="2" t="s">
        <v>7</v>
      </c>
    </row>
    <row r="997" spans="1:7" ht="45" x14ac:dyDescent="0.25">
      <c r="A997" s="4" t="str">
        <f>HYPERLINK("http://techcrunch.com/2012/10/12/angry-birds-the-particle-physics-board-game-rovio-and-cern-collaborate-on-making-learning-quantum-physics-fun/","Angry Birds The Particle Physics Board Game: Rovio And CERN Collaborate On Making Learning Quantum P")</f>
        <v>Angry Birds The Particle Physics Board Game: Rovio And CERN Collaborate On Making Learning Quantum P</v>
      </c>
      <c r="B997" s="4" t="str">
        <f>HYPERLINK("http://www.facebook.com/8062627951/posts/236521346474150","Learning is fun when upset fowl and nefarious swine are involved.")</f>
        <v>Learning is fun when upset fowl and nefarious swine are involved.</v>
      </c>
      <c r="C997" s="3">
        <v>41194.239756944444</v>
      </c>
      <c r="D997" s="2">
        <v>31</v>
      </c>
      <c r="E997" s="2">
        <v>0</v>
      </c>
      <c r="F997" s="2" t="s">
        <v>7</v>
      </c>
      <c r="G997" s="2" t="s">
        <v>7</v>
      </c>
    </row>
    <row r="998" spans="1:7" ht="30" x14ac:dyDescent="0.25">
      <c r="A998" s="4" t="str">
        <f>HYPERLINK("http://techcrunch.com/2012/10/12/microsoft-to-go-all-in-with-1-5b-windows-8-marketing-blitz/","Microsoft To Go All-In With $1.5B Windows 8 Marketing Blitz")</f>
        <v>Microsoft To Go All-In With $1.5B Windows 8 Marketing Blitz</v>
      </c>
      <c r="B998" s="4" t="str">
        <f>HYPERLINK("http://www.facebook.com/8062627951/posts/502970419713383","Microsoft is betting big on Windows 8, but will it work?")</f>
        <v>Microsoft is betting big on Windows 8, but will it work?</v>
      </c>
      <c r="C998" s="3">
        <v>41194.206932870373</v>
      </c>
      <c r="D998" s="2">
        <v>58</v>
      </c>
      <c r="E998" s="2">
        <v>28</v>
      </c>
      <c r="F998" s="2" t="s">
        <v>8</v>
      </c>
      <c r="G998" s="2" t="s">
        <v>7</v>
      </c>
    </row>
    <row r="999" spans="1:7" ht="30" x14ac:dyDescent="0.25">
      <c r="A999" s="4" t="str">
        <f>HYPERLINK("http://www.facebook.com/photo.php?fbid=10151281778587952&amp;set=a.114456157951.118433.8062627951&amp;type=1&amp;relevant_count=1","[Photo]")</f>
        <v>[Photo]</v>
      </c>
      <c r="B999" s="4" t="str">
        <f>HYPERLINK("http://www.facebook.com/8062627951/posts/10151281778617952","Co-working space Espacio launches to turn Medellin into a startup hub - http://tcrn.ch/PqW4WZ")</f>
        <v>Co-working space Espacio launches to turn Medellin into a startup hub - http://tcrn.ch/PqW4WZ</v>
      </c>
      <c r="C999" s="3">
        <v>41194.102314814816</v>
      </c>
      <c r="D999" s="2">
        <v>74</v>
      </c>
      <c r="E999" s="2">
        <v>4</v>
      </c>
      <c r="F999" s="2" t="s">
        <v>7</v>
      </c>
      <c r="G999" s="2" t="s">
        <v>8</v>
      </c>
    </row>
    <row r="1000" spans="1:7" ht="60" x14ac:dyDescent="0.25">
      <c r="A1000" s="4" t="str">
        <f>HYPERLINK("http://techcrunch.com/2012/10/11/paul-ryan-so-much-more-popular-than-biden-ryans-the-top-reason-users-even-search-for-the-veep/","Paul Ryan So Much More Popular Than Biden, Ryan’s The Top Reason Users Even Search For The Veep")</f>
        <v>Paul Ryan So Much More Popular Than Biden, Ryan’s The Top Reason Users Even Search For The Veep</v>
      </c>
      <c r="B1000" s="4" t="s">
        <v>60</v>
      </c>
      <c r="C1000" s="3">
        <v>41193.679907407408</v>
      </c>
      <c r="D1000" s="2">
        <v>102</v>
      </c>
      <c r="E1000" s="2">
        <v>19</v>
      </c>
      <c r="F1000" s="2" t="s">
        <v>7</v>
      </c>
      <c r="G1000" s="2" t="s">
        <v>7</v>
      </c>
    </row>
    <row r="1001" spans="1:7" ht="30" x14ac:dyDescent="0.25">
      <c r="A1001" s="4" t="str">
        <f>HYPERLINK("http://www.facebook.com/photo.php?fbid=10151281138207952&amp;set=a.114456157951.118433.8062627951&amp;type=1&amp;relevant_count=1","[Photo]")</f>
        <v>[Photo]</v>
      </c>
      <c r="B1001" s="4" t="str">
        <f>HYPERLINK("http://www.facebook.com/8062627951/posts/10151281138247952","Breast cancer-sensing bra detects tumors years before some mammograms - http://tcrn.ch/TjXRIO")</f>
        <v>Breast cancer-sensing bra detects tumors years before some mammograms - http://tcrn.ch/TjXRIO</v>
      </c>
      <c r="C1001" s="3">
        <v>41193.59915509259</v>
      </c>
      <c r="D1001" s="2">
        <v>466</v>
      </c>
      <c r="E1001" s="2">
        <v>24</v>
      </c>
      <c r="F1001" s="2" t="s">
        <v>7</v>
      </c>
      <c r="G1001" s="2" t="s">
        <v>8</v>
      </c>
    </row>
    <row r="1002" spans="1:7" x14ac:dyDescent="0.25">
      <c r="A1002" s="4" t="s">
        <v>9</v>
      </c>
      <c r="B1002" s="4" t="str">
        <f>HYPERLINK("http://www.facebook.com/8062627951/posts/10151281061312952","GIANTS WIN!! Now back to work.")</f>
        <v>GIANTS WIN!! Now back to work.</v>
      </c>
      <c r="C1002" s="3">
        <v>41193.552060185182</v>
      </c>
      <c r="D1002" s="2">
        <v>387</v>
      </c>
      <c r="E1002" s="2">
        <v>18</v>
      </c>
      <c r="F1002" s="2" t="s">
        <v>7</v>
      </c>
      <c r="G1002" s="2" t="s">
        <v>7</v>
      </c>
    </row>
    <row r="1003" spans="1:7" ht="30" x14ac:dyDescent="0.25">
      <c r="A1003" s="4" t="str">
        <f>HYPERLINK("http://www.facebook.com/photo.php?fbid=10151281059817952&amp;set=a.114456157951.118433.8062627951&amp;type=1&amp;relevant_count=1","[Photo]")</f>
        <v>[Photo]</v>
      </c>
      <c r="B1003" s="4" t="str">
        <f>HYPERLINK("http://www.facebook.com/8062627951/posts/10151281059867952","Which trendy new 4-inch phone is for you? - http://tcrn.ch/RjCGKl")</f>
        <v>Which trendy new 4-inch phone is for you? - http://tcrn.ch/RjCGKl</v>
      </c>
      <c r="C1003" s="3">
        <v>41193.551192129627</v>
      </c>
      <c r="D1003" s="2">
        <v>405</v>
      </c>
      <c r="E1003" s="2">
        <v>150</v>
      </c>
      <c r="F1003" s="2" t="s">
        <v>8</v>
      </c>
      <c r="G1003" s="2" t="s">
        <v>8</v>
      </c>
    </row>
    <row r="1004" spans="1:7" ht="30" x14ac:dyDescent="0.25">
      <c r="A1004" s="4" t="str">
        <f>HYPERLINK("http://techcrunch.com/2012/10/11/this-is-every-experience-ive-ever-had-with-apples-ios-6-maps/","This Is Every Experience I’ve Ever Had With Apple’s iOS 6 Maps")</f>
        <v>This Is Every Experience I’ve Ever Had With Apple’s iOS 6 Maps</v>
      </c>
      <c r="B1004" s="4" t="str">
        <f>HYPERLINK("http://www.facebook.com/8062627951/posts/422427211156496","[Video] This video basically sums it all up.")</f>
        <v>[Video] This video basically sums it all up.</v>
      </c>
      <c r="C1004" s="3">
        <v>41193.547326388885</v>
      </c>
      <c r="D1004" s="2">
        <v>40</v>
      </c>
      <c r="E1004" s="2">
        <v>9</v>
      </c>
      <c r="F1004" s="2" t="s">
        <v>7</v>
      </c>
      <c r="G1004" s="2" t="s">
        <v>7</v>
      </c>
    </row>
    <row r="1005" spans="1:7" ht="30" x14ac:dyDescent="0.25">
      <c r="A1005" s="4" t="str">
        <f>HYPERLINK("http://techcrunch.com/2012/10/11/facebook-mobile-ads-intern/","Facebook’s First Mobile Advertising Interface Was Built By An Intern")</f>
        <v>Facebook’s First Mobile Advertising Interface Was Built By An Intern</v>
      </c>
      <c r="B1005" s="4" t="str">
        <f>HYPERLINK("http://www.facebook.com/8062627951/posts/481773498534704","Did you know...")</f>
        <v>Did you know...</v>
      </c>
      <c r="C1005" s="3">
        <v>41193.503993055558</v>
      </c>
      <c r="D1005" s="2">
        <v>158</v>
      </c>
      <c r="E1005" s="2">
        <v>12</v>
      </c>
      <c r="F1005" s="2" t="s">
        <v>7</v>
      </c>
      <c r="G1005" s="2" t="s">
        <v>7</v>
      </c>
    </row>
    <row r="1006" spans="1:7" ht="45" x14ac:dyDescent="0.25">
      <c r="A1006" s="4" t="str">
        <f>HYPERLINK("http://www.facebook.com/photo.php?fbid=10151280884552952&amp;set=a.114456157951.118433.8062627951&amp;type=1&amp;relevant_count=1","[Photo]")</f>
        <v>[Photo]</v>
      </c>
      <c r="B1006" s="4" t="str">
        <f>HYPERLINK("http://www.facebook.com/8062627951/posts/10151280884602952","Who likes to travel? Peek launches to become the go-to site for travelers, starts with California and Hawaii - http://tcrn.ch/Q1TFMZ")</f>
        <v>Who likes to travel? Peek launches to become the go-to site for travelers, starts with California and Hawaii - http://tcrn.ch/Q1TFMZ</v>
      </c>
      <c r="C1006" s="3">
        <v>41193.45689814815</v>
      </c>
      <c r="D1006" s="2">
        <v>37</v>
      </c>
      <c r="E1006" s="2">
        <v>1</v>
      </c>
      <c r="F1006" s="2" t="s">
        <v>8</v>
      </c>
      <c r="G1006" s="2" t="s">
        <v>8</v>
      </c>
    </row>
    <row r="1007" spans="1:7" x14ac:dyDescent="0.25">
      <c r="A1007" s="4" t="str">
        <f>HYPERLINK("http://www.facebook.com/photo.php?fbid=10151280849817952&amp;set=a.10151134316772952.498619.8062627951&amp;type=1&amp;relevant_count=1","[Photo]")</f>
        <v>[Photo]</v>
      </c>
      <c r="B1007" s="4" t="str">
        <f>HYPERLINK("http://www.facebook.com/8062627951/posts/10151280849862952","Watching the Giants game live in our office while we work. ")</f>
        <v xml:space="preserve">Watching the Giants game live in our office while we work. </v>
      </c>
      <c r="C1007" s="3">
        <v>41193.436990740738</v>
      </c>
      <c r="D1007" s="2">
        <v>108</v>
      </c>
      <c r="E1007" s="2">
        <v>17</v>
      </c>
      <c r="F1007" s="2" t="s">
        <v>7</v>
      </c>
      <c r="G1007" s="2" t="s">
        <v>8</v>
      </c>
    </row>
    <row r="1008" spans="1:7" ht="30" x14ac:dyDescent="0.25">
      <c r="A1008" s="4" t="str">
        <f>HYPERLINK("http://www.facebook.com/photo.php?fbid=10151280836727952&amp;set=a.114456157951.118433.8062627951&amp;type=1&amp;relevant_count=1","[Photo]")</f>
        <v>[Photo]</v>
      </c>
      <c r="B1008" s="4" t="str">
        <f>HYPERLINK("http://www.facebook.com/8062627951/posts/10151280836752952","Tumblr is putting more focus on photos with Photoset, its new standalone iOS app. - http://tcrn.ch/PpUDYB")</f>
        <v>Tumblr is putting more focus on photos with Photoset, its new standalone iOS app. - http://tcrn.ch/PpUDYB</v>
      </c>
      <c r="C1008" s="3">
        <v>41193.428148148145</v>
      </c>
      <c r="D1008" s="2">
        <v>41</v>
      </c>
      <c r="E1008" s="2">
        <v>4</v>
      </c>
      <c r="F1008" s="2" t="s">
        <v>7</v>
      </c>
      <c r="G1008" s="2" t="s">
        <v>8</v>
      </c>
    </row>
    <row r="1009" spans="1:7" ht="45" x14ac:dyDescent="0.25">
      <c r="A1009" s="4" t="str">
        <f>HYPERLINK("http://www.facebook.com/photo.php?fbid=10151280776992952&amp;set=a.114456157951.118433.8062627951&amp;type=1&amp;relevant_count=1","[Photo]")</f>
        <v>[Photo]</v>
      </c>
      <c r="B1009" s="4" t="str">
        <f>HYPERLINK("http://www.facebook.com/8062627951/posts/10151280777007952","Samsung officially debuts the Galaxy S III Mini: 4&lt;U+2033&gt; mid-range Jelly Bean in a smaller package. - http://tcrn.ch/WWjkf2")</f>
        <v>Samsung officially debuts the Galaxy S III Mini: 4&lt;U+2033&gt; mid-range Jelly Bean in a smaller package. - http://tcrn.ch/WWjkf2</v>
      </c>
      <c r="C1009" s="3">
        <v>41193.394490740742</v>
      </c>
      <c r="D1009" s="2">
        <v>174</v>
      </c>
      <c r="E1009" s="2">
        <v>29</v>
      </c>
      <c r="F1009" s="2" t="s">
        <v>7</v>
      </c>
      <c r="G1009" s="2" t="s">
        <v>8</v>
      </c>
    </row>
    <row r="1010" spans="1:7" ht="30" x14ac:dyDescent="0.25">
      <c r="A1010" s="4" t="str">
        <f>HYPERLINK("http://techcrunch.com/2012/10/11/bicymple/","The Bicymple Disrupts The Traditional Bike Design And I Like It ")</f>
        <v xml:space="preserve">The Bicymple Disrupts The Traditional Bike Design And I Like It </v>
      </c>
      <c r="B1010" s="4" t="str">
        <f>HYPERLINK("http://www.facebook.com/8062627951/posts/418293424899809","Do you?")</f>
        <v>Do you?</v>
      </c>
      <c r="C1010" s="3">
        <v>41193.373668981483</v>
      </c>
      <c r="D1010" s="2">
        <v>160</v>
      </c>
      <c r="E1010" s="2">
        <v>13</v>
      </c>
      <c r="F1010" s="2" t="s">
        <v>8</v>
      </c>
      <c r="G1010" s="2" t="s">
        <v>7</v>
      </c>
    </row>
    <row r="1011" spans="1:7" ht="30" x14ac:dyDescent="0.25">
      <c r="A1011" s="4" t="str">
        <f>HYPERLINK("http://techcrunch.com/2012/10/11/ifixit-new-ipod-touch-is-way-harder-to-repair-than-iphone-5/","iFixit: New iPod Touch Is Way Harder To Repair Than iPhone 5")</f>
        <v>iFixit: New iPod Touch Is Way Harder To Repair Than iPhone 5</v>
      </c>
      <c r="B1011" s="4" t="str">
        <f>HYPERLINK("http://www.facebook.com/8062627951/posts/118949028257654","Hopefully you weren't planning on fixing your new iPod touch.")</f>
        <v>Hopefully you weren't planning on fixing your new iPod touch.</v>
      </c>
      <c r="C1011" s="3">
        <v>41193.270092592589</v>
      </c>
      <c r="D1011" s="2">
        <v>27</v>
      </c>
      <c r="E1011" s="2">
        <v>3</v>
      </c>
      <c r="F1011" s="2" t="s">
        <v>7</v>
      </c>
      <c r="G1011" s="2" t="s">
        <v>7</v>
      </c>
    </row>
    <row r="1012" spans="1:7" ht="30" x14ac:dyDescent="0.25">
      <c r="A1012" s="4" t="str">
        <f>HYPERLINK("http://techcrunch.com/2012/10/11/rim-bb10-video-hands-on/","RIM’s Big Bet: BlackBerry 10 Extended Demo Video And Hands-On Impressions")</f>
        <v>RIM’s Big Bet: BlackBerry 10 Extended Demo Video And Hands-On Impressions</v>
      </c>
      <c r="B1012" s="4" t="str">
        <f>HYPERLINK("http://www.facebook.com/8062627951/posts/503295496349716","Hands-on with BlackBerry 10: It's actually pretty impressive and different.")</f>
        <v>Hands-on with BlackBerry 10: It's actually pretty impressive and different.</v>
      </c>
      <c r="C1012" s="3">
        <v>41193.242025462961</v>
      </c>
      <c r="D1012" s="2">
        <v>108</v>
      </c>
      <c r="E1012" s="2">
        <v>19</v>
      </c>
      <c r="F1012" s="2" t="s">
        <v>7</v>
      </c>
      <c r="G1012" s="2" t="s">
        <v>7</v>
      </c>
    </row>
    <row r="1013" spans="1:7" ht="45" x14ac:dyDescent="0.25">
      <c r="A1013" s="4" t="str">
        <f>HYPERLINK("http://techcrunch.com/2012/10/11/hp-may-still-be-the-king-of-pcs-but-lenovo-will-usurp-the-throne-next-quarter/","HP May Still Be The King Of PCs, But Lenovo Will Usurp The Throne Next Quarter")</f>
        <v>HP May Still Be The King Of PCs, But Lenovo Will Usurp The Throne Next Quarter</v>
      </c>
      <c r="B1013" s="4" t="str">
        <f>HYPERLINK("http://www.facebook.com/8062627951/posts/273426199427117","HP and Lenovo are essentially tied for the top PC maker in the world. Who will win?")</f>
        <v>HP and Lenovo are essentially tied for the top PC maker in the world. Who will win?</v>
      </c>
      <c r="C1013" s="3">
        <v>41193.22960648148</v>
      </c>
      <c r="D1013" s="2">
        <v>26</v>
      </c>
      <c r="E1013" s="2">
        <v>12</v>
      </c>
      <c r="F1013" s="2" t="s">
        <v>8</v>
      </c>
      <c r="G1013" s="2" t="s">
        <v>7</v>
      </c>
    </row>
    <row r="1014" spans="1:7" ht="45" x14ac:dyDescent="0.25">
      <c r="A1014" s="4" t="str">
        <f>HYPERLINK("http://www.facebook.com/photo.php?fbid=10151280073792952&amp;set=a.114456157951.118433.8062627951&amp;type=1&amp;relevant_count=1","[Photo]")</f>
        <v>[Photo]</v>
      </c>
      <c r="B1014" s="4" t="str">
        <f>HYPERLINK("http://www.facebook.com/8062627951/posts/10151280073822952","RockMelt For iPad: A browser built for touch that turns the web into a feed so content comes to you http://tcrn.ch/WTX99d")</f>
        <v>RockMelt For iPad: A browser built for touch that turns the web into a feed so content comes to you http://tcrn.ch/WTX99d</v>
      </c>
      <c r="C1014" s="3">
        <v>41192.857986111114</v>
      </c>
      <c r="D1014" s="2">
        <v>91</v>
      </c>
      <c r="E1014" s="2">
        <v>12</v>
      </c>
      <c r="F1014" s="2" t="s">
        <v>7</v>
      </c>
      <c r="G1014" s="2" t="s">
        <v>8</v>
      </c>
    </row>
    <row r="1015" spans="1:7" ht="45" x14ac:dyDescent="0.25">
      <c r="A1015" s="4" t="str">
        <f>HYPERLINK("http://techcrunch.com/2012/10/10/bounce-along-to-apples-latest-ipod-tv-ad/","“Bounce” Along To Apple’s Latest iPod TV Ad")</f>
        <v>“Bounce” Along To Apple’s Latest iPod TV Ad</v>
      </c>
      <c r="B1015" s="4" t="s">
        <v>61</v>
      </c>
      <c r="C1015" s="3">
        <v>41192.810381944444</v>
      </c>
      <c r="D1015" s="2">
        <v>84</v>
      </c>
      <c r="E1015" s="2">
        <v>24</v>
      </c>
      <c r="F1015" s="2" t="s">
        <v>8</v>
      </c>
      <c r="G1015" s="2" t="s">
        <v>7</v>
      </c>
    </row>
    <row r="1016" spans="1:7" ht="45" x14ac:dyDescent="0.25">
      <c r="A1016" s="4" t="str">
        <f>HYPERLINK("http://tcrn.ch/RxGc0Z","Grantoo Nabs $1.7M, Steals EA Canada CTO To Help Students Pay Tuition By Playing Social Games")</f>
        <v>Grantoo Nabs $1.7M, Steals EA Canada CTO To Help Students Pay Tuition By Playing Social Games</v>
      </c>
      <c r="B1016" s="4" t="str">
        <f>HYPERLINK("http://www.facebook.com/8062627951/posts/337902162972903","Want to pay for your tuition by playing social games? Check this out: http://tcrn.ch/RxGc0Z")</f>
        <v>Want to pay for your tuition by playing social games? Check this out: http://tcrn.ch/RxGc0Z</v>
      </c>
      <c r="C1016" s="3">
        <v>41192.728495370371</v>
      </c>
      <c r="D1016" s="2">
        <v>31</v>
      </c>
      <c r="E1016" s="2">
        <v>1</v>
      </c>
      <c r="F1016" s="2" t="s">
        <v>8</v>
      </c>
      <c r="G1016" s="2" t="s">
        <v>7</v>
      </c>
    </row>
    <row r="1017" spans="1:7" ht="45" x14ac:dyDescent="0.25">
      <c r="A1017" s="4" t="str">
        <f>HYPERLINK("http://www.facebook.com/photo.php?fbid=10151279662227952&amp;set=a.114456157951.118433.8062627951&amp;type=1&amp;relevant_count=1","[Photo]")</f>
        <v>[Photo]</v>
      </c>
      <c r="B1017" s="4" t="str">
        <f>HYPERLINK("http://www.facebook.com/8062627951/posts/10151279662252952","Swarm, a mobile tool for retailers, raises $1M from Nas, ShoeDazzle founder Brian Lee, and VICE Co-founder Gavin McInnes. What do you think of Swarm? http://tcrn.ch/RfES5J")</f>
        <v>Swarm, a mobile tool for retailers, raises $1M from Nas, ShoeDazzle founder Brian Lee, and VICE Co-founder Gavin McInnes. What do you think of Swarm? http://tcrn.ch/RfES5J</v>
      </c>
      <c r="C1017" s="3">
        <v>41192.629259259258</v>
      </c>
      <c r="D1017" s="2">
        <v>58</v>
      </c>
      <c r="E1017" s="2">
        <v>5</v>
      </c>
      <c r="F1017" s="2" t="s">
        <v>8</v>
      </c>
      <c r="G1017" s="2" t="s">
        <v>8</v>
      </c>
    </row>
    <row r="1018" spans="1:7" ht="45" x14ac:dyDescent="0.25">
      <c r="A1018" s="4" t="str">
        <f>HYPERLINK("http://techcrunch.com/2012/10/10/teenage-hacker-scores-60000-from-google-for-discovering-security-issue-in-chrome-again/","Teenage Hacker Scores $60,000 From Google For Discovering Security Issue In Chrome (Again)")</f>
        <v>Teenage Hacker Scores $60,000 From Google For Discovering Security Issue In Chrome (Again)</v>
      </c>
      <c r="B1018" s="4" t="str">
        <f>HYPERLINK("http://www.facebook.com/8062627951/posts/351436254949614","A teenage hacker who goes by the name of “Pinkie Pie” has won again. Awesome.")</f>
        <v>A teenage hacker who goes by the name of “Pinkie Pie” has won again. Awesome.</v>
      </c>
      <c r="C1018" s="3">
        <v>41192.554745370369</v>
      </c>
      <c r="D1018" s="2">
        <v>418</v>
      </c>
      <c r="E1018" s="2">
        <v>17</v>
      </c>
      <c r="F1018" s="2" t="s">
        <v>7</v>
      </c>
      <c r="G1018" s="2" t="s">
        <v>7</v>
      </c>
    </row>
    <row r="1019" spans="1:7" ht="30" x14ac:dyDescent="0.25">
      <c r="A1019" s="4" t="str">
        <f>HYPERLINK("http://techcrunch.com/2012/10/10/facebook-cuts-back-on-open-graph-actions-automated-wall-spam/","Facebook Cuts Back On Open Graph Actions, Automated Wall Spam")</f>
        <v>Facebook Cuts Back On Open Graph Actions, Automated Wall Spam</v>
      </c>
      <c r="B1019" s="4" t="str">
        <f>HYPERLINK("http://www.facebook.com/8062627951/posts/355188687907930","Facebook giveth and Facebook taketh.")</f>
        <v>Facebook giveth and Facebook taketh.</v>
      </c>
      <c r="C1019" s="3">
        <v>41192.547337962962</v>
      </c>
      <c r="D1019" s="2">
        <v>47</v>
      </c>
      <c r="E1019" s="2">
        <v>5</v>
      </c>
      <c r="F1019" s="2" t="s">
        <v>7</v>
      </c>
      <c r="G1019" s="2" t="s">
        <v>7</v>
      </c>
    </row>
    <row r="1020" spans="1:7" ht="30" x14ac:dyDescent="0.25">
      <c r="A1020" s="4" t="str">
        <f>HYPERLINK("http://www.facebook.com/photo.php?fbid=10151279360597952&amp;set=a.114456157951.118433.8062627951&amp;type=1&amp;relevant_count=1","[Photo]")</f>
        <v>[Photo]</v>
      </c>
      <c r="B1020" s="4" t="str">
        <f>HYPERLINK("http://www.facebook.com/8062627951/posts/10151279360622952","Facebook starts showing birthdays and selling gifts at the top of the mobile news feed - http://tcrn.ch/R9f3Rq")</f>
        <v>Facebook starts showing birthdays and selling gifts at the top of the mobile news feed - http://tcrn.ch/R9f3Rq</v>
      </c>
      <c r="C1020" s="3">
        <v>41192.484710648147</v>
      </c>
      <c r="D1020" s="2">
        <v>134</v>
      </c>
      <c r="E1020" s="2">
        <v>22</v>
      </c>
      <c r="F1020" s="2" t="s">
        <v>7</v>
      </c>
      <c r="G1020" s="2" t="s">
        <v>8</v>
      </c>
    </row>
    <row r="1021" spans="1:7" ht="30" x14ac:dyDescent="0.25">
      <c r="A1021" s="4" t="str">
        <f>HYPERLINK("http://techcrunch.com/2012/10/10/googles-mod_pagespeed-is-now-out-of-beta-and-ready-to-make-your-sites-faster/","Google’s Mod_Pagespeed Is Now Out Of Beta And Ready To Make Your Sites Faster")</f>
        <v>Google’s Mod_Pagespeed Is Now Out Of Beta And Ready To Make Your Sites Faster</v>
      </c>
      <c r="B1021" s="4" t="str">
        <f>HYPERLINK("http://www.facebook.com/8062627951/posts/541541572529893","Mod_Pagespeed is now out of beta. What do you think of it?")</f>
        <v>Mod_Pagespeed is now out of beta. What do you think of it?</v>
      </c>
      <c r="C1021" s="3">
        <v>41192.463217592594</v>
      </c>
      <c r="D1021" s="2">
        <v>80</v>
      </c>
      <c r="E1021" s="2">
        <v>4</v>
      </c>
      <c r="F1021" s="2" t="s">
        <v>8</v>
      </c>
      <c r="G1021" s="2" t="s">
        <v>7</v>
      </c>
    </row>
    <row r="1022" spans="1:7" ht="30" x14ac:dyDescent="0.25">
      <c r="A1022" s="4" t="str">
        <f>HYPERLINK("http://www.facebook.com/photo.php?fbid=10151279290267952&amp;set=a.114456157951.118433.8062627951&amp;type=1&amp;relevant_count=1","[Photo]")</f>
        <v>[Photo]</v>
      </c>
      <c r="B1022" s="4" t="str">
        <f>HYPERLINK("http://www.facebook.com/8062627951/posts/10151279290297952","Software is eating the fashion world and the VCs are going shopping... - http://tcrn.ch/RwMFt9")</f>
        <v>Software is eating the fashion world and the VCs are going shopping... - http://tcrn.ch/RwMFt9</v>
      </c>
      <c r="C1022" s="3">
        <v>41192.441053240742</v>
      </c>
      <c r="D1022" s="2">
        <v>81</v>
      </c>
      <c r="E1022" s="2">
        <v>6</v>
      </c>
      <c r="F1022" s="2" t="s">
        <v>7</v>
      </c>
      <c r="G1022" s="2" t="s">
        <v>8</v>
      </c>
    </row>
    <row r="1023" spans="1:7" ht="30" x14ac:dyDescent="0.25">
      <c r="A1023" s="4" t="str">
        <f>HYPERLINK("http://www.facebook.com/photo.php?fbid=10151279244292952&amp;set=a.114456157951.118433.8062627951&amp;type=1&amp;relevant_count=1","[Photo]")</f>
        <v>[Photo]</v>
      </c>
      <c r="B1023" s="4" t="str">
        <f>HYPERLINK("http://www.facebook.com/8062627951/posts/10151279244322952","BlackBerry 10: RIM demos key features of next-gen mobile OS ahead of Q1 2013 release - http://tcrn.ch/RPxj51")</f>
        <v>BlackBerry 10: RIM demos key features of next-gen mobile OS ahead of Q1 2013 release - http://tcrn.ch/RPxj51</v>
      </c>
      <c r="C1023" s="3">
        <v>41192.413761574076</v>
      </c>
      <c r="D1023" s="2">
        <v>113</v>
      </c>
      <c r="E1023" s="2">
        <v>25</v>
      </c>
      <c r="F1023" s="2" t="s">
        <v>7</v>
      </c>
      <c r="G1023" s="2" t="s">
        <v>8</v>
      </c>
    </row>
    <row r="1024" spans="1:7" x14ac:dyDescent="0.25">
      <c r="A1024" s="4" t="str">
        <f>HYPERLINK("http://www.facebook.com/photo.php?fbid=10151279059172952&amp;set=a.114456157951.118433.8062627951&amp;type=1&amp;relevant_count=1","[Photo]")</f>
        <v>[Photo]</v>
      </c>
      <c r="B1024" s="4" t="str">
        <f>HYPERLINK("http://www.facebook.com/8062627951/posts/10151279059207952","What do you think of the new ebay? - http://tcrn.ch/SLPbOU")</f>
        <v>What do you think of the new ebay? - http://tcrn.ch/SLPbOU</v>
      </c>
      <c r="C1024" s="3">
        <v>41192.307708333334</v>
      </c>
      <c r="D1024" s="2">
        <v>117</v>
      </c>
      <c r="E1024" s="2">
        <v>50</v>
      </c>
      <c r="F1024" s="2" t="s">
        <v>8</v>
      </c>
      <c r="G1024" s="2" t="s">
        <v>8</v>
      </c>
    </row>
    <row r="1025" spans="1:7" ht="30" x14ac:dyDescent="0.25">
      <c r="A1025" s="4" t="str">
        <f>HYPERLINK("http://www.facebook.com/photo.php?fbid=10151279030412952&amp;set=a.114456157951.118433.8062627951&amp;type=1&amp;relevant_count=1","[Photo]")</f>
        <v>[Photo]</v>
      </c>
      <c r="B1025" s="4" t="str">
        <f>HYPERLINK("http://www.facebook.com/8062627951/posts/10151279030442952","TechCrunch is headed to Chicago! RSVP for the free meetup now. - http://tcrn.ch/UHKgBU")</f>
        <v>TechCrunch is headed to Chicago! RSVP for the free meetup now. - http://tcrn.ch/UHKgBU</v>
      </c>
      <c r="C1025" s="3">
        <v>41192.288564814815</v>
      </c>
      <c r="D1025" s="2">
        <v>42</v>
      </c>
      <c r="E1025" s="2">
        <v>8</v>
      </c>
      <c r="F1025" s="2" t="s">
        <v>7</v>
      </c>
      <c r="G1025" s="2" t="s">
        <v>8</v>
      </c>
    </row>
    <row r="1026" spans="1:7" ht="30" x14ac:dyDescent="0.25">
      <c r="A1026" s="4" t="str">
        <f>HYPERLINK("http://techcrunch.com/2012/10/10/forrester-66-of-employees-use-2-or-more-devices-at-work-12-use-tablets/","Forrester: 66% Of Employees Use 2 Or More Devices At Work, 12% Use Tablets")</f>
        <v>Forrester: 66% Of Employees Use 2 Or More Devices At Work, 12% Use Tablets</v>
      </c>
      <c r="B1026" s="4" t="str">
        <f>HYPERLINK("http://www.facebook.com/8062627951/posts/415656571823529","Who has a pocket full of devices?")</f>
        <v>Who has a pocket full of devices?</v>
      </c>
      <c r="C1026" s="3">
        <v>41192.273518518516</v>
      </c>
      <c r="D1026" s="2">
        <v>30</v>
      </c>
      <c r="E1026" s="2">
        <v>3</v>
      </c>
      <c r="F1026" s="2" t="s">
        <v>8</v>
      </c>
      <c r="G1026" s="2" t="s">
        <v>7</v>
      </c>
    </row>
    <row r="1027" spans="1:7" ht="45" x14ac:dyDescent="0.25">
      <c r="A1027" s="4" t="str">
        <f>HYPERLINK("http://techcrunch.com/2012/10/10/leaked-windows-8-ads-confirm-once-again-microsoft-has-given-up-on-the-desktop/","Leaked Windows 8 Ads Confirm Once Again Microsoft Has Given Up On The Desktop")</f>
        <v>Leaked Windows 8 Ads Confirm Once Again Microsoft Has Given Up On The Desktop</v>
      </c>
      <c r="B1027" s="4" t="str">
        <f>HYPERLINK("http://www.facebook.com/8062627951/posts/452497564801424","Desktop users: Are you going to use Windows 8? [Videos]")</f>
        <v>Desktop users: Are you going to use Windows 8? [Videos]</v>
      </c>
      <c r="C1027" s="3">
        <v>41192.251793981479</v>
      </c>
      <c r="D1027" s="2">
        <v>82</v>
      </c>
      <c r="E1027" s="2">
        <v>87</v>
      </c>
      <c r="F1027" s="2" t="s">
        <v>8</v>
      </c>
      <c r="G1027" s="2" t="s">
        <v>7</v>
      </c>
    </row>
    <row r="1028" spans="1:7" ht="45" x14ac:dyDescent="0.25">
      <c r="A1028" s="4" t="str">
        <f>HYPERLINK("http://techcrunch.com/2012/10/10/samsung-targets-europe-with-smaller-flagship-phone-galaxy-s-iii-mini-to-pack-iphone-5-sized-screen/","Samsung Targets Europe With Smaller Flagship Phone: Galaxy S III Mini To Pack iPhone 5-Sized Screen.")</f>
        <v>Samsung Targets Europe With Smaller Flagship Phone: Galaxy S III Mini To Pack iPhone 5-Sized Screen.</v>
      </c>
      <c r="B1028" s="4" t="str">
        <f>HYPERLINK("http://www.facebook.com/8062627951/posts/441253692577195","Here comes a Galaxy S III for normal hands.")</f>
        <v>Here comes a Galaxy S III for normal hands.</v>
      </c>
      <c r="C1028" s="3">
        <v>41192.168969907405</v>
      </c>
      <c r="D1028" s="2">
        <v>69</v>
      </c>
      <c r="E1028" s="2">
        <v>28</v>
      </c>
      <c r="F1028" s="2" t="s">
        <v>7</v>
      </c>
      <c r="G1028" s="2" t="s">
        <v>7</v>
      </c>
    </row>
    <row r="1029" spans="1:7" ht="30" x14ac:dyDescent="0.25">
      <c r="A1029" s="4" t="str">
        <f>HYPERLINK("http://www.facebook.com/photo.php?fbid=10151278144092952&amp;set=a.114456157951.118433.8062627951&amp;type=1&amp;relevant_count=1","[Photo]")</f>
        <v>[Photo]</v>
      </c>
      <c r="B1029" s="4" t="str">
        <f>HYPERLINK("http://www.facebook.com/8062627951/posts/10151278144167952","Facebook may ditch its boring logged out homepage for this epic 3D polygon art - http://tcrn.ch/VXZAs1")</f>
        <v>Facebook may ditch its boring logged out homepage for this epic 3D polygon art - http://tcrn.ch/VXZAs1</v>
      </c>
      <c r="C1029" s="3">
        <v>41191.642650462964</v>
      </c>
      <c r="D1029" s="2">
        <v>991</v>
      </c>
      <c r="E1029" s="2">
        <v>102</v>
      </c>
      <c r="F1029" s="2" t="s">
        <v>7</v>
      </c>
      <c r="G1029" s="2" t="s">
        <v>8</v>
      </c>
    </row>
    <row r="1030" spans="1:7" ht="30" x14ac:dyDescent="0.25">
      <c r="A1030" s="4" t="str">
        <f>HYPERLINK("http://www.facebook.com/photo.php?fbid=10151278121062952&amp;set=a.114456157951.118433.8062627951&amp;type=1&amp;relevant_count=1","[Photo]")</f>
        <v>[Photo]</v>
      </c>
      <c r="B1030" s="4" t="str">
        <f>HYPERLINK("http://www.facebook.com/8062627951/posts/10151278121082952","Sprint’s LG Optimus G has a better camera than AT&amp;T’s – here’s how it performs hands-on - http://tcrn.ch/Om9nX6")</f>
        <v>Sprint’s LG Optimus G has a better camera than AT&amp;T’s – here’s how it performs hands-on - http://tcrn.ch/Om9nX6</v>
      </c>
      <c r="C1030" s="3">
        <v>41191.625567129631</v>
      </c>
      <c r="D1030" s="2">
        <v>33</v>
      </c>
      <c r="E1030" s="2">
        <v>2</v>
      </c>
      <c r="F1030" s="2" t="s">
        <v>7</v>
      </c>
      <c r="G1030" s="2" t="s">
        <v>8</v>
      </c>
    </row>
    <row r="1031" spans="1:7" ht="30" x14ac:dyDescent="0.25">
      <c r="A1031" s="4" t="str">
        <f>HYPERLINK("http://techcrunch.com/2012/10/09/reed-hastings-wont-be-returning-to-microsofts-board-will-skip-re-election/","Reed Hastings Won’t Be Returning To Microsoft’s Board, Will Skip Re-Election")</f>
        <v>Reed Hastings Won’t Be Returning To Microsoft’s Board, Will Skip Re-Election</v>
      </c>
      <c r="B1031" s="4" t="str">
        <f>HYPERLINK("http://www.facebook.com/8062627951/posts/531639603519484","Looks like Reed Hastings isn't returning to Microsoft's board. Does this surprise you?")</f>
        <v>Looks like Reed Hastings isn't returning to Microsoft's board. Does this surprise you?</v>
      </c>
      <c r="C1031" s="3">
        <v>41191.568460648145</v>
      </c>
      <c r="D1031" s="2">
        <v>17</v>
      </c>
      <c r="E1031" s="2">
        <v>3</v>
      </c>
      <c r="F1031" s="2" t="s">
        <v>8</v>
      </c>
      <c r="G1031" s="2" t="s">
        <v>7</v>
      </c>
    </row>
    <row r="1032" spans="1:7" ht="30" x14ac:dyDescent="0.25">
      <c r="A1032" s="4" t="s">
        <v>9</v>
      </c>
      <c r="B1032" s="4" t="str">
        <f>HYPERLINK("http://www.facebook.com/8062627951/posts/10151277954207952","The app that helps me stay productive throughout the day is ____________.")</f>
        <v>The app that helps me stay productive throughout the day is ____________.</v>
      </c>
      <c r="C1032" s="3">
        <v>41191.52925925926</v>
      </c>
      <c r="D1032" s="2">
        <v>111</v>
      </c>
      <c r="E1032" s="2">
        <v>544</v>
      </c>
      <c r="F1032" s="2" t="s">
        <v>7</v>
      </c>
      <c r="G1032" s="2" t="s">
        <v>7</v>
      </c>
    </row>
    <row r="1033" spans="1:7" ht="45" x14ac:dyDescent="0.25">
      <c r="A1033" s="4" t="str">
        <f>HYPERLINK("http://www.facebook.com/photo.php?fbid=10151277914617952&amp;set=a.114456157951.118433.8062627951&amp;type=1&amp;relevant_count=1","[Photo]")</f>
        <v>[Photo]</v>
      </c>
      <c r="B1033" s="4" t="str">
        <f>HYPERLINK("http://www.facebook.com/8062627951/posts/10151277914637952","Any gamers out there? Microsoft helps to bring the popular mobile game Contre Jour to the web. - http://tcrn.ch/PSHGBp")</f>
        <v>Any gamers out there? Microsoft helps to bring the popular mobile game Contre Jour to the web. - http://tcrn.ch/PSHGBp</v>
      </c>
      <c r="C1033" s="3">
        <v>41191.512361111112</v>
      </c>
      <c r="D1033" s="2">
        <v>38</v>
      </c>
      <c r="E1033" s="2">
        <v>5</v>
      </c>
      <c r="F1033" s="2" t="s">
        <v>8</v>
      </c>
      <c r="G1033" s="2" t="s">
        <v>8</v>
      </c>
    </row>
    <row r="1034" spans="1:7" ht="60" x14ac:dyDescent="0.25">
      <c r="A1034" s="4" t="str">
        <f>HYPERLINK("http://techcrunch.com/2012/10/09/box-stats/","Aaron Levie: Box Now Has 140K Active Businesses, 14M Users, 92% Of Fortune 500")</f>
        <v>Aaron Levie: Box Now Has 140K Active Businesses, 14M Users, 92% Of Fortune 500</v>
      </c>
      <c r="B1034" s="4" t="s">
        <v>62</v>
      </c>
      <c r="C1034" s="3">
        <v>41191.46675925926</v>
      </c>
      <c r="D1034" s="2">
        <v>51</v>
      </c>
      <c r="E1034" s="2">
        <v>1</v>
      </c>
      <c r="F1034" s="2" t="s">
        <v>7</v>
      </c>
      <c r="G1034" s="2" t="s">
        <v>7</v>
      </c>
    </row>
    <row r="1035" spans="1:7" ht="30" x14ac:dyDescent="0.25">
      <c r="A1035" s="4" t="str">
        <f>HYPERLINK("http://www.facebook.com/photo.php?fbid=10151277770842952&amp;set=a.114456157951.118433.8062627951&amp;type=1&amp;relevant_count=1","[Photo]")</f>
        <v>[Photo]</v>
      </c>
      <c r="B1035" s="4" t="str">
        <f>HYPERLINK("http://www.facebook.com/8062627951/posts/10151277770877952","First Round Capital launches a platform for startups to hack PR - http://tcrn.ch/RbjZbR")</f>
        <v>First Round Capital launches a platform for startups to hack PR - http://tcrn.ch/RbjZbR</v>
      </c>
      <c r="C1035" s="3">
        <v>41191.431747685187</v>
      </c>
      <c r="D1035" s="2">
        <v>242</v>
      </c>
      <c r="E1035" s="2">
        <v>30</v>
      </c>
      <c r="F1035" s="2" t="s">
        <v>7</v>
      </c>
      <c r="G1035" s="2" t="s">
        <v>8</v>
      </c>
    </row>
    <row r="1036" spans="1:7" ht="45" x14ac:dyDescent="0.25">
      <c r="A1036" s="4" t="str">
        <f>HYPERLINK("http://techcrunch.com/2012/10/09/google-brings-more-than-100-virtual-keyboards-transliterations-and-imes-to-gmail/","Google Brings More Than 100 Virtual Keyboards, Transliterations And IMEs To Gmail")</f>
        <v>Google Brings More Than 100 Virtual Keyboards, Transliterations And IMEs To Gmail</v>
      </c>
      <c r="B1036" s="4" t="str">
        <f>HYPERLINK("http://www.facebook.com/8062627951/posts/188620134607779","Do you often have to write emails in different languages? Then you'll love this.")</f>
        <v>Do you often have to write emails in different languages? Then you'll love this.</v>
      </c>
      <c r="C1036" s="3">
        <v>41191.409560185188</v>
      </c>
      <c r="D1036" s="2">
        <v>98</v>
      </c>
      <c r="E1036" s="2">
        <v>7</v>
      </c>
      <c r="F1036" s="2" t="s">
        <v>8</v>
      </c>
      <c r="G1036" s="2" t="s">
        <v>7</v>
      </c>
    </row>
    <row r="1037" spans="1:7" ht="30" x14ac:dyDescent="0.25">
      <c r="A1037" s="4" t="str">
        <f>HYPERLINK("http://www.facebook.com/photo.php?fbid=10151277705567952&amp;set=a.114456157951.118433.8062627951&amp;type=1&amp;relevant_count=1","[Photo]")</f>
        <v>[Photo]</v>
      </c>
      <c r="B1037" s="4" t="str">
        <f>HYPERLINK("http://www.facebook.com/8062627951/posts/10151277705587952","Here’s the upcoming Nexus superphone made by LG. - http://tcrn.ch/PlKcWc    What do you think?")</f>
        <v>Here’s the upcoming Nexus superphone made by LG. - http://tcrn.ch/PlKcWc    What do you think?</v>
      </c>
      <c r="C1037" s="3">
        <v>41191.395405092589</v>
      </c>
      <c r="D1037" s="2">
        <v>159</v>
      </c>
      <c r="E1037" s="2">
        <v>43</v>
      </c>
      <c r="F1037" s="2" t="s">
        <v>8</v>
      </c>
      <c r="G1037" s="2" t="s">
        <v>8</v>
      </c>
    </row>
    <row r="1038" spans="1:7" ht="30" x14ac:dyDescent="0.25">
      <c r="A1038" s="4" t="str">
        <f>HYPERLINK("http://www.facebook.com/photo.php?fbid=10151277677037952&amp;set=a.114456157951.118433.8062627951&amp;type=1&amp;relevant_count=1","[Photo]")</f>
        <v>[Photo]</v>
      </c>
      <c r="B1038" s="4" t="str">
        <f>HYPERLINK("http://www.facebook.com/8062627951/posts/10151277677067952","Lookout’s Signal Flare helps you find lost Android phones that have dying batteries. Nifty. - http://tcrn.ch/OkJE1h")</f>
        <v>Lookout’s Signal Flare helps you find lost Android phones that have dying batteries. Nifty. - http://tcrn.ch/OkJE1h</v>
      </c>
      <c r="C1038" s="3">
        <v>41191.377604166664</v>
      </c>
      <c r="D1038" s="2">
        <v>63</v>
      </c>
      <c r="E1038" s="2">
        <v>6</v>
      </c>
      <c r="F1038" s="2" t="s">
        <v>7</v>
      </c>
      <c r="G1038" s="2" t="s">
        <v>8</v>
      </c>
    </row>
    <row r="1039" spans="1:7" ht="45" x14ac:dyDescent="0.25">
      <c r="A1039" s="4" t="str">
        <f>HYPERLINK("http://www.facebook.com/photo.php?fbid=10151277646862952&amp;set=a.114456157951.118433.8062627951&amp;type=1&amp;relevant_count=1","[Photo]")</f>
        <v>[Photo]</v>
      </c>
      <c r="B1039" s="4" t="str">
        <f>HYPERLINK("http://www.facebook.com/8062627951/posts/10151277646887952","RSVP now for the TC Toronto meetup on November 5th! Get them quickly though because they are selling out fast. - http://tcrn.ch/T1m9Y7")</f>
        <v>RSVP now for the TC Toronto meetup on November 5th! Get them quickly though because they are selling out fast. - http://tcrn.ch/T1m9Y7</v>
      </c>
      <c r="C1039" s="3">
        <v>41191.361909722225</v>
      </c>
      <c r="D1039" s="2">
        <v>36</v>
      </c>
      <c r="E1039" s="2">
        <v>5</v>
      </c>
      <c r="F1039" s="2" t="s">
        <v>7</v>
      </c>
      <c r="G1039" s="2" t="s">
        <v>8</v>
      </c>
    </row>
    <row r="1040" spans="1:7" ht="45" x14ac:dyDescent="0.25">
      <c r="A1040" s="4" t="str">
        <f>HYPERLINK("http://techcrunch.com/2012/10/09/jack-dorsey-im-at-twitter-on-tuesday-afternoons-and-all-my-reports-moved-back-to-costolo-in-january/","Jack Dorsey Is At Twitter Officially On Tuesday Afternoons; All His Direct Reports Moved Back To Cos")</f>
        <v>Jack Dorsey Is At Twitter Officially On Tuesday Afternoons; All His Direct Reports Moved Back To Cos</v>
      </c>
      <c r="B1040" s="4" t="str">
        <f>HYPERLINK("http://www.facebook.com/8062627951/posts/291200360993572","Jack Dorsey sets the record straight.")</f>
        <v>Jack Dorsey sets the record straight.</v>
      </c>
      <c r="C1040" s="3">
        <v>41191.336504629631</v>
      </c>
      <c r="D1040" s="2">
        <v>37</v>
      </c>
      <c r="E1040" s="2">
        <v>2</v>
      </c>
      <c r="F1040" s="2" t="s">
        <v>7</v>
      </c>
      <c r="G1040" s="2" t="s">
        <v>7</v>
      </c>
    </row>
    <row r="1041" spans="1:7" ht="30" x14ac:dyDescent="0.25">
      <c r="A1041" s="4" t="str">
        <f>HYPERLINK("http://www.facebook.com/photo.php?fbid=10151276625622952&amp;set=a.114456157951.118433.8062627951&amp;type=1&amp;relevant_count=1","[Photo]")</f>
        <v>[Photo]</v>
      </c>
      <c r="B1041" s="4" t="str">
        <f>HYPERLINK("http://www.facebook.com/8062627951/posts/10151276625672952","A French romantic take on HeTexted, because crowdsourcing relationship anxiety feels wrong. - http://tcrn.ch/UOaMnG")</f>
        <v>A French romantic take on HeTexted, because crowdsourcing relationship anxiety feels wrong. - http://tcrn.ch/UOaMnG</v>
      </c>
      <c r="C1041" s="3">
        <v>41190.662326388891</v>
      </c>
      <c r="D1041" s="2">
        <v>56</v>
      </c>
      <c r="E1041" s="2">
        <v>8</v>
      </c>
      <c r="F1041" s="2" t="s">
        <v>7</v>
      </c>
      <c r="G1041" s="2" t="s">
        <v>8</v>
      </c>
    </row>
    <row r="1042" spans="1:7" ht="30" x14ac:dyDescent="0.25">
      <c r="A1042" s="4" t="str">
        <f>HYPERLINK("http://www.facebook.com/photo.php?fbid=10151276537017952&amp;set=a.114456157951.118433.8062627951&amp;type=1&amp;relevant_count=1","[Photo]")</f>
        <v>[Photo]</v>
      </c>
      <c r="B1042" s="4" t="str">
        <f>HYPERLINK("http://www.facebook.com/8062627951/posts/10151276537047952","To infinity and beyond: Buzz Lightyear, T-Pain, hot chocolate, technology and... - http://tcrn.ch/WJlbUk")</f>
        <v>To infinity and beyond: Buzz Lightyear, T-Pain, hot chocolate, technology and... - http://tcrn.ch/WJlbUk</v>
      </c>
      <c r="C1042" s="3">
        <v>41190.620983796296</v>
      </c>
      <c r="D1042" s="2">
        <v>83</v>
      </c>
      <c r="E1042" s="2">
        <v>21</v>
      </c>
      <c r="F1042" s="2" t="s">
        <v>7</v>
      </c>
      <c r="G1042" s="2" t="s">
        <v>8</v>
      </c>
    </row>
    <row r="1043" spans="1:7" ht="60" x14ac:dyDescent="0.25">
      <c r="A1043" s="4" t="str">
        <f>HYPERLINK("http://www.facebook.com/photo.php?fbid=10151276423417952&amp;set=a.114456157951.118433.8062627951&amp;type=1&amp;relevant_count=1","[Photo]")</f>
        <v>[Photo]</v>
      </c>
      <c r="B1043" s="4" t="s">
        <v>63</v>
      </c>
      <c r="C1043" s="3">
        <v>41190.558495370373</v>
      </c>
      <c r="D1043" s="2">
        <v>41</v>
      </c>
      <c r="E1043" s="2">
        <v>21</v>
      </c>
      <c r="F1043" s="2" t="s">
        <v>8</v>
      </c>
      <c r="G1043" s="2" t="s">
        <v>8</v>
      </c>
    </row>
    <row r="1044" spans="1:7" ht="45" x14ac:dyDescent="0.25">
      <c r="A1044" s="4" t="str">
        <f>HYPERLINK("http://www.facebook.com/photo.php?fbid=10151276352972952&amp;set=a.114456157951.118433.8062627951&amp;type=1&amp;relevant_count=1","[Photo]")</f>
        <v>[Photo]</v>
      </c>
      <c r="B1044" s="4" t="str">
        <f>HYPERLINK("http://www.facebook.com/8062627951/posts/10151276353002952","Zynga previews its next ‘Ville sequel, CityVille 2, in closed beta in the Philippines. What do you think of it? Will you play it? - http://tcrn.ch/Rr6oun")</f>
        <v>Zynga previews its next ‘Ville sequel, CityVille 2, in closed beta in the Philippines. What do you think of it? Will you play it? - http://tcrn.ch/Rr6oun</v>
      </c>
      <c r="C1044" s="3">
        <v>41190.529050925928</v>
      </c>
      <c r="D1044" s="2">
        <v>54</v>
      </c>
      <c r="E1044" s="2">
        <v>29</v>
      </c>
      <c r="F1044" s="2" t="s">
        <v>8</v>
      </c>
      <c r="G1044" s="2" t="s">
        <v>8</v>
      </c>
    </row>
    <row r="1045" spans="1:7" ht="30" x14ac:dyDescent="0.25">
      <c r="A1045" s="4" t="str">
        <f>HYPERLINK("http://www.facebook.com/photo.php?fbid=10151276229817952&amp;set=a.114456157951.118433.8062627951&amp;type=1&amp;relevant_count=1","[Photo]")</f>
        <v>[Photo]</v>
      </c>
      <c r="B1045" s="4" t="str">
        <f>HYPERLINK("http://www.facebook.com/8062627951/posts/10151276229832952","The story of Lockitron: Crowdfunding without Kickstarter - http://tcrn.ch/QOigc3")</f>
        <v>The story of Lockitron: Crowdfunding without Kickstarter - http://tcrn.ch/QOigc3</v>
      </c>
      <c r="C1045" s="3">
        <v>41190.46738425926</v>
      </c>
      <c r="D1045" s="2">
        <v>186</v>
      </c>
      <c r="E1045" s="2">
        <v>7</v>
      </c>
      <c r="F1045" s="2" t="s">
        <v>7</v>
      </c>
      <c r="G1045" s="2" t="s">
        <v>8</v>
      </c>
    </row>
    <row r="1046" spans="1:7" ht="45" x14ac:dyDescent="0.25">
      <c r="A1046" s="4" t="str">
        <f>HYPERLINK("http://techcrunch.com/2012/10/08/sprint-voice-data-down-in-minnesota-washington-oregon-alaska-airlines-flights-delayed/","Sprint Voice &amp; Data Down In Minnesota, Washington, Oregon. Alaska Airlines Flights Delayed. ")</f>
        <v xml:space="preserve">Sprint Voice &amp; Data Down In Minnesota, Washington, Oregon. Alaska Airlines Flights Delayed. </v>
      </c>
      <c r="B1046" s="4" t="str">
        <f>HYPERLINK("http://www.facebook.com/8062627951/posts/336201706476608","Uh oh.")</f>
        <v>Uh oh.</v>
      </c>
      <c r="C1046" s="3">
        <v>41190.4455787037</v>
      </c>
      <c r="D1046" s="2">
        <v>11</v>
      </c>
      <c r="E1046" s="2">
        <v>6</v>
      </c>
      <c r="F1046" s="2" t="s">
        <v>7</v>
      </c>
      <c r="G1046" s="2" t="s">
        <v>7</v>
      </c>
    </row>
    <row r="1047" spans="1:7" ht="45" x14ac:dyDescent="0.25">
      <c r="A1047" s="4" t="str">
        <f>HYPERLINK("http://www.facebook.com/photo.php?fbid=10151276096487952&amp;set=a.114456157951.118433.8062627951&amp;type=1&amp;relevant_count=1","[Photo]")</f>
        <v>[Photo]</v>
      </c>
      <c r="B1047" s="4" t="s">
        <v>64</v>
      </c>
      <c r="C1047" s="3">
        <v>41190.405868055554</v>
      </c>
      <c r="D1047" s="2">
        <v>94</v>
      </c>
      <c r="E1047" s="2">
        <v>15</v>
      </c>
      <c r="F1047" s="2" t="s">
        <v>7</v>
      </c>
      <c r="G1047" s="2" t="s">
        <v>8</v>
      </c>
    </row>
    <row r="1048" spans="1:7" ht="60" x14ac:dyDescent="0.25">
      <c r="A1048" s="4" t="str">
        <f>HYPERLINK("http://techcrunch.com/2012/10/08/google-microsoft-facebook-and-others-launch-web-platform-docs-a-web-standards-documentation-site/","Google, Microsoft, Facebook and Others Launch Web Platform Docs, A Web Standards Documentation Site.")</f>
        <v>Google, Microsoft, Facebook and Others Launch Web Platform Docs, A Web Standards Documentation Site.</v>
      </c>
      <c r="B1048" s="4" t="str">
        <f>HYPERLINK("http://www.facebook.com/8062627951/posts/117876811698480","A number of leading browser vendors and other tech companies, including Microsoft, Google, Apple, Adobe, Facebook, HP, Nokia, Mozilla, Opera and the W3C, just announced the launch of the Web Platform ...")</f>
        <v>A number of leading browser vendors and other tech companies, including Microsoft, Google, Apple, Adobe, Facebook, HP, Nokia, Mozilla, Opera and the W3C, just announced the launch of the Web Platform ...</v>
      </c>
      <c r="C1048" s="3">
        <v>41190.382152777776</v>
      </c>
      <c r="D1048" s="2">
        <v>359</v>
      </c>
      <c r="E1048" s="2">
        <v>21</v>
      </c>
      <c r="F1048" s="2" t="s">
        <v>7</v>
      </c>
      <c r="G1048" s="2" t="s">
        <v>7</v>
      </c>
    </row>
    <row r="1049" spans="1:7" ht="30" x14ac:dyDescent="0.25">
      <c r="A1049" s="4" t="str">
        <f>HYPERLINK("http://techcrunch.com/2012/10/08/ransomware-worm-now-spreading-on-skype/","“Ransomware” Worm Now Spreading On Skype")</f>
        <v>“Ransomware” Worm Now Spreading On Skype</v>
      </c>
      <c r="B1049" s="4" t="str">
        <f>HYPERLINK("http://www.facebook.com/8062627951/posts/286586401452057","Skype, the popular communications service, is the latest target of a malicious online worm.")</f>
        <v>Skype, the popular communications service, is the latest target of a malicious online worm.</v>
      </c>
      <c r="C1049" s="3">
        <v>41190.365520833337</v>
      </c>
      <c r="D1049" s="2">
        <v>67</v>
      </c>
      <c r="E1049" s="2">
        <v>1</v>
      </c>
      <c r="F1049" s="2" t="s">
        <v>7</v>
      </c>
      <c r="G1049" s="2" t="s">
        <v>7</v>
      </c>
    </row>
    <row r="1050" spans="1:7" ht="30" x14ac:dyDescent="0.25">
      <c r="A1050" s="4" t="str">
        <f>HYPERLINK("http://www.facebook.com/photo.php?fbid=10151275850897952&amp;set=a.114456157951.118433.8062627951&amp;type=1&amp;relevant_count=1","[Photo]")</f>
        <v>[Photo]</v>
      </c>
      <c r="B1050" s="4" t="str">
        <f>HYPERLINK("http://www.facebook.com/8062627951/posts/10151275850932952","Detroit! Are you ready to party? For free! - http://tcrn.ch/R9KefF")</f>
        <v>Detroit! Are you ready to party? For free! - http://tcrn.ch/R9KefF</v>
      </c>
      <c r="C1050" s="3">
        <v>41190.280532407407</v>
      </c>
      <c r="D1050" s="2">
        <v>27</v>
      </c>
      <c r="E1050" s="2">
        <v>5</v>
      </c>
      <c r="F1050" s="2" t="s">
        <v>8</v>
      </c>
      <c r="G1050" s="2" t="s">
        <v>8</v>
      </c>
    </row>
    <row r="1051" spans="1:7" ht="30" x14ac:dyDescent="0.25">
      <c r="A1051" s="4" t="str">
        <f>HYPERLINK("http://techcrunch.com/2012/10/08/sprint-launches-starstar-me-to-replace-your-phone-number-with-your-name/","Sprint Launches StarStar Me To Replace Your Phone Number With Your Name")</f>
        <v>Sprint Launches StarStar Me To Replace Your Phone Number With Your Name</v>
      </c>
      <c r="B1051" s="4" t="str">
        <f>HYPERLINK("http://www.facebook.com/8062627951/posts/435461999822999","Sprint kills the phone number -- for $2.99 a month.")</f>
        <v>Sprint kills the phone number -- for $2.99 a month.</v>
      </c>
      <c r="C1051" s="3">
        <v>41190.243761574071</v>
      </c>
      <c r="D1051" s="2">
        <v>123</v>
      </c>
      <c r="E1051" s="2">
        <v>17</v>
      </c>
      <c r="F1051" s="2" t="s">
        <v>7</v>
      </c>
      <c r="G1051" s="2" t="s">
        <v>7</v>
      </c>
    </row>
    <row r="1052" spans="1:7" ht="30" x14ac:dyDescent="0.25">
      <c r="A1052" s="4" t="str">
        <f>HYPERLINK("http://techcrunch.com/2012/10/08/linkedin-10-office-tools-and-workplace-norms-that-are-going-extinct/","LinkedIn: 10 Office Tools And Workplace Norms That Are Going Extinct")</f>
        <v>LinkedIn: 10 Office Tools And Workplace Norms That Are Going Extinct</v>
      </c>
      <c r="B1052" s="4" t="str">
        <f>HYPERLINK("http://www.facebook.com/8062627951/posts/473993309300087","Bye bye, tape recorders and standard working hours.")</f>
        <v>Bye bye, tape recorders and standard working hours.</v>
      </c>
      <c r="C1052" s="3">
        <v>41190.220902777779</v>
      </c>
      <c r="D1052" s="2">
        <v>78</v>
      </c>
      <c r="E1052" s="2">
        <v>12</v>
      </c>
      <c r="F1052" s="2" t="s">
        <v>7</v>
      </c>
      <c r="G1052" s="2" t="s">
        <v>7</v>
      </c>
    </row>
    <row r="1053" spans="1:7" ht="30" x14ac:dyDescent="0.25">
      <c r="A1053" s="4" t="str">
        <f>HYPERLINK("http://www.facebook.com/photo.php?fbid=10151275680952952&amp;set=a.114456157951.118433.8062627951&amp;type=1&amp;relevant_count=1","[Photo]")</f>
        <v>[Photo]</v>
      </c>
      <c r="B1053" s="4" t="str">
        <f>HYPERLINK("http://www.facebook.com/8062627951/posts/10151275680967952","Angry Birds Star Wars hits iOS, Android and Toys-R-Us on November 8th - http://tcrn.ch/SXzZdZ")</f>
        <v>Angry Birds Star Wars hits iOS, Android and Toys-R-Us on November 8th - http://tcrn.ch/SXzZdZ</v>
      </c>
      <c r="C1053" s="3">
        <v>41190.173055555555</v>
      </c>
      <c r="D1053" s="2">
        <v>565</v>
      </c>
      <c r="E1053" s="2">
        <v>21</v>
      </c>
      <c r="F1053" s="2" t="s">
        <v>7</v>
      </c>
      <c r="G1053" s="2" t="s">
        <v>8</v>
      </c>
    </row>
    <row r="1054" spans="1:7" ht="30" x14ac:dyDescent="0.25">
      <c r="A1054" s="4" t="str">
        <f>HYPERLINK("http://techcrunch.com/2012/10/07/i-love-chair/","Tech Companies Try, And Fail, To Inspire With Recent Commercials")</f>
        <v>Tech Companies Try, And Fail, To Inspire With Recent Commercials</v>
      </c>
      <c r="B1054" s="4" t="str">
        <f>HYPERLINK("http://www.facebook.com/8062627951/posts/336093746486815","Do recent tech commercials inspire you?")</f>
        <v>Do recent tech commercials inspire you?</v>
      </c>
      <c r="C1054" s="3">
        <v>41190.157233796293</v>
      </c>
      <c r="D1054" s="2">
        <v>9</v>
      </c>
      <c r="E1054" s="2">
        <v>3</v>
      </c>
      <c r="F1054" s="2" t="s">
        <v>8</v>
      </c>
      <c r="G1054" s="2" t="s">
        <v>7</v>
      </c>
    </row>
    <row r="1055" spans="1:7" ht="30" x14ac:dyDescent="0.25">
      <c r="A1055" s="4" t="str">
        <f>HYPERLINK("http://www.facebook.com/photo.php?fbid=10151275049812952&amp;set=a.114456157951.118433.8062627951&amp;type=1&amp;relevant_count=1","[Photo]")</f>
        <v>[Photo]</v>
      </c>
      <c r="B1055" s="4" t="str">
        <f>HYPERLINK("http://www.facebook.com/8062627951/posts/10151275049857952","5 ways to manage app development on the Android platform without going nuts. - http://tcrn.ch/R8527i")</f>
        <v>5 ways to manage app development on the Android platform without going nuts. - http://tcrn.ch/R8527i</v>
      </c>
      <c r="C1055" s="3">
        <v>41189.690185185187</v>
      </c>
      <c r="D1055" s="2">
        <v>78</v>
      </c>
      <c r="E1055" s="2">
        <v>2</v>
      </c>
      <c r="F1055" s="2" t="s">
        <v>7</v>
      </c>
      <c r="G1055" s="2" t="s">
        <v>8</v>
      </c>
    </row>
    <row r="1056" spans="1:7" ht="30" x14ac:dyDescent="0.25">
      <c r="A1056" s="4" t="str">
        <f>HYPERLINK("http://tcrn.ch/QOigc2","The Story Of Lockitron: Crowdfunding Without Kickstarter")</f>
        <v>The Story Of Lockitron: Crowdfunding Without Kickstarter</v>
      </c>
      <c r="B1056" s="4" t="str">
        <f>HYPERLINK("http://www.facebook.com/8062627951/posts/293558940749336","The story of Lockitron: From Kickstarter reject to $1.5M in pre-orders in just 5 days -- http://tcrn.ch/QOigc2")</f>
        <v>The story of Lockitron: From Kickstarter reject to $1.5M in pre-orders in just 5 days -- http://tcrn.ch/QOigc2</v>
      </c>
      <c r="C1056" s="3">
        <v>41189.689988425926</v>
      </c>
      <c r="D1056" s="2">
        <v>160</v>
      </c>
      <c r="E1056" s="2">
        <v>3</v>
      </c>
      <c r="F1056" s="2" t="s">
        <v>7</v>
      </c>
      <c r="G1056" s="2" t="s">
        <v>7</v>
      </c>
    </row>
    <row r="1057" spans="1:7" ht="30" x14ac:dyDescent="0.25">
      <c r="A1057" s="4" t="str">
        <f>HYPERLINK("http://www.facebook.com/photo.php?fbid=10151274859217952&amp;set=a.114456157951.118433.8062627951&amp;type=1&amp;relevant_count=1","[Photo]")</f>
        <v>[Photo]</v>
      </c>
      <c r="B1057" s="4" t="str">
        <f>HYPERLINK("http://www.facebook.com/8062627951/posts/10151274859247952","Remembering your first computer is for old people - http://tcrn.ch/Pi1Mu9")</f>
        <v>Remembering your first computer is for old people - http://tcrn.ch/Pi1Mu9</v>
      </c>
      <c r="C1057" s="3">
        <v>41189.588194444441</v>
      </c>
      <c r="D1057" s="2">
        <v>519</v>
      </c>
      <c r="E1057" s="2">
        <v>66</v>
      </c>
      <c r="F1057" s="2" t="s">
        <v>7</v>
      </c>
      <c r="G1057" s="2" t="s">
        <v>8</v>
      </c>
    </row>
    <row r="1058" spans="1:7" ht="30" x14ac:dyDescent="0.25">
      <c r="A1058" s="4" t="str">
        <f>HYPERLINK("http://www.facebook.com/photo.php?fbid=10151274859042952&amp;set=a.114456157951.118433.8062627951&amp;type=1&amp;relevant_count=1","[Photo]")</f>
        <v>[Photo]</v>
      </c>
      <c r="B1058" s="4" t="str">
        <f>HYPERLINK("http://www.facebook.com/8062627951/posts/10151274859077952","Come on, Comcast... You've gotta be better than this - http://tcrn.ch/QO4g1S")</f>
        <v>Come on, Comcast... You've gotta be better than this - http://tcrn.ch/QO4g1S</v>
      </c>
      <c r="C1058" s="3">
        <v>41189.588101851848</v>
      </c>
      <c r="D1058" s="2">
        <v>114</v>
      </c>
      <c r="E1058" s="2">
        <v>23</v>
      </c>
      <c r="F1058" s="2" t="s">
        <v>7</v>
      </c>
      <c r="G1058" s="2" t="s">
        <v>8</v>
      </c>
    </row>
    <row r="1059" spans="1:7" ht="45" x14ac:dyDescent="0.25">
      <c r="A1059" s="4" t="str">
        <f>HYPERLINK("http://techcrunch.com/2012/10/07/apple-offers-up-an-official-explanation-for-the-iphone-5-cameras-purple-flaring-problem/","Apple Offers Up An Official Explanation For The iPhone 5 Camera’s Purple Flaring Problem")</f>
        <v>Apple Offers Up An Official Explanation For The iPhone 5 Camera’s Purple Flaring Problem</v>
      </c>
      <c r="B1059" s="4" t="s">
        <v>65</v>
      </c>
      <c r="C1059" s="3">
        <v>41189.413668981484</v>
      </c>
      <c r="D1059" s="2">
        <v>94</v>
      </c>
      <c r="E1059" s="2">
        <v>31</v>
      </c>
      <c r="F1059" s="2" t="s">
        <v>7</v>
      </c>
      <c r="G1059" s="2" t="s">
        <v>7</v>
      </c>
    </row>
    <row r="1060" spans="1:7" x14ac:dyDescent="0.25">
      <c r="A1060" s="4" t="str">
        <f>HYPERLINK("http://www.facebook.com/photo.php?fbid=10151274311187952&amp;set=a.114456157951.118433.8062627951&amp;type=1&amp;relevant_count=1","[Photo]")</f>
        <v>[Photo]</v>
      </c>
      <c r="B1060" s="4" t="str">
        <f>HYPERLINK("http://www.facebook.com/8062627951/posts/10151274311217952","Flawless - http://tcrn.ch/Od7ko8")</f>
        <v>Flawless - http://tcrn.ch/Od7ko8</v>
      </c>
      <c r="C1060" s="3">
        <v>41189.313819444447</v>
      </c>
      <c r="D1060" s="2">
        <v>78</v>
      </c>
      <c r="E1060" s="2">
        <v>3</v>
      </c>
      <c r="F1060" s="2" t="s">
        <v>7</v>
      </c>
      <c r="G1060" s="2" t="s">
        <v>8</v>
      </c>
    </row>
    <row r="1061" spans="1:7" ht="30" x14ac:dyDescent="0.25">
      <c r="A1061" s="4" t="str">
        <f>HYPERLINK("http://techcrunch.com/2012/10/05/techcrunch-giveaway-one-vip-ticket-to-boxs-boxworks-event/","TechCrunch Giveaway: One VIP Ticket To Box’s #BoxWorks Event ")</f>
        <v xml:space="preserve">TechCrunch Giveaway: One VIP Ticket To Box’s #BoxWorks Event </v>
      </c>
      <c r="B1061" s="4" t="str">
        <f>HYPERLINK("http://www.facebook.com/8062627951/posts/445992498784746","Anyone a big Weezer fan? Here's a chance to meet them.")</f>
        <v>Anyone a big Weezer fan? Here's a chance to meet them.</v>
      </c>
      <c r="C1061" s="3">
        <v>41187.682511574072</v>
      </c>
      <c r="D1061" s="2">
        <v>32</v>
      </c>
      <c r="E1061" s="2">
        <v>9</v>
      </c>
      <c r="F1061" s="2" t="s">
        <v>8</v>
      </c>
      <c r="G1061" s="2" t="s">
        <v>7</v>
      </c>
    </row>
    <row r="1062" spans="1:7" x14ac:dyDescent="0.25">
      <c r="A1062" s="4" t="str">
        <f>HYPERLINK("http://www.facebook.com/photo.php?fbid=10151272127017952&amp;set=a.114456157951.118433.8062627951&amp;type=1&amp;relevant_count=1","[Photo]")</f>
        <v>[Photo]</v>
      </c>
      <c r="B1062" s="4" t="str">
        <f>HYPERLINK("http://www.facebook.com/8062627951/posts/10151272127037952","Why Zynga Failed http://tcrn.ch/TbcG5B")</f>
        <v>Why Zynga Failed http://tcrn.ch/TbcG5B</v>
      </c>
      <c r="C1062" s="3">
        <v>41187.638391203705</v>
      </c>
      <c r="D1062" s="2">
        <v>314</v>
      </c>
      <c r="E1062" s="2">
        <v>63</v>
      </c>
      <c r="F1062" s="2" t="s">
        <v>7</v>
      </c>
      <c r="G1062" s="2" t="s">
        <v>8</v>
      </c>
    </row>
    <row r="1063" spans="1:7" ht="45" x14ac:dyDescent="0.25">
      <c r="A1063" s="4" t="s">
        <v>9</v>
      </c>
      <c r="B1063" s="4" t="s">
        <v>66</v>
      </c>
      <c r="C1063" s="3">
        <v>41187.588391203702</v>
      </c>
      <c r="D1063" s="2">
        <v>2932</v>
      </c>
      <c r="E1063" s="2">
        <v>75</v>
      </c>
      <c r="F1063" s="2" t="s">
        <v>7</v>
      </c>
      <c r="G1063" s="2" t="s">
        <v>7</v>
      </c>
    </row>
    <row r="1064" spans="1:7" ht="30" x14ac:dyDescent="0.25">
      <c r="A1064" s="4" t="str">
        <f>HYPERLINK("http://techcrunch.com/2012/10/05/noppl-lets-you-hide-your-friends-political-posts-on-facebook/","Noppl Lets You Hide Your Friends’ Political Posts On Facebook ")</f>
        <v xml:space="preserve">Noppl Lets You Hide Your Friends’ Political Posts On Facebook </v>
      </c>
      <c r="B1064" s="4" t="str">
        <f>HYPERLINK("http://www.facebook.com/8062627951/posts/289035751211922","Do your friends' political posts on Facebook bother you?")</f>
        <v>Do your friends' political posts on Facebook bother you?</v>
      </c>
      <c r="C1064" s="3">
        <v>41187.570462962962</v>
      </c>
      <c r="D1064" s="2">
        <v>139</v>
      </c>
      <c r="E1064" s="2">
        <v>28</v>
      </c>
      <c r="F1064" s="2" t="s">
        <v>8</v>
      </c>
      <c r="G1064" s="2" t="s">
        <v>7</v>
      </c>
    </row>
    <row r="1065" spans="1:7" ht="30" x14ac:dyDescent="0.25">
      <c r="A1065" s="4" t="str">
        <f>HYPERLINK("http://www.facebook.com/photo.php?fbid=10151271892317952&amp;set=a.114456157951.118433.8062627951&amp;type=1&amp;relevant_count=1","[Photo]")</f>
        <v>[Photo]</v>
      </c>
      <c r="B1065" s="4" t="str">
        <f>HYPERLINK("http://www.facebook.com/8062627951/posts/10151271892362952","The 14 most interesting startups to emerge from DEMO. Which stand out in your mind? - http://tcrn.ch/T8nrFG")</f>
        <v>The 14 most interesting startups to emerge from DEMO. Which stand out in your mind? - http://tcrn.ch/T8nrFG</v>
      </c>
      <c r="C1065" s="3">
        <v>41187.495856481481</v>
      </c>
      <c r="D1065" s="2">
        <v>61</v>
      </c>
      <c r="E1065" s="2">
        <v>11</v>
      </c>
      <c r="F1065" s="2" t="s">
        <v>8</v>
      </c>
      <c r="G1065" s="2" t="s">
        <v>8</v>
      </c>
    </row>
    <row r="1066" spans="1:7" ht="45" x14ac:dyDescent="0.25">
      <c r="A1066" s="4" t="str">
        <f>HYPERLINK("http://techcrunch.com/2012/10/05/extreme-startups-second-cohort/","Meet The Next Five Companies To Join Toronto-Based Accelerator Extreme Startups")</f>
        <v>Meet The Next Five Companies To Join Toronto-Based Accelerator Extreme Startups</v>
      </c>
      <c r="B1066" s="4" t="str">
        <f>HYPERLINK("http://www.facebook.com/8062627951/posts/248588378596993","Here they are:")</f>
        <v>Here they are:</v>
      </c>
      <c r="C1066" s="3">
        <v>41187.490601851852</v>
      </c>
      <c r="D1066" s="2">
        <v>25</v>
      </c>
      <c r="E1066" s="2">
        <v>2</v>
      </c>
      <c r="F1066" s="2" t="s">
        <v>7</v>
      </c>
      <c r="G1066" s="2" t="s">
        <v>7</v>
      </c>
    </row>
    <row r="1067" spans="1:7" ht="30" x14ac:dyDescent="0.25">
      <c r="A1067" s="4" t="str">
        <f>HYPERLINK("http://techcrunch.com/2012/10/05/the-end-of-glasses-eye-shaping-contacts-might-cure-nearsightedness/","The End Of Glasses? Eye-Shaping Contacts Might Prevent Nearsightedness")</f>
        <v>The End Of Glasses? Eye-Shaping Contacts Might Prevent Nearsightedness</v>
      </c>
      <c r="B1067" s="4" t="str">
        <f>HYPERLINK("http://www.facebook.com/8062627951/posts/474384552601381","Who hates wearing glasses?")</f>
        <v>Who hates wearing glasses?</v>
      </c>
      <c r="C1067" s="3">
        <v>41187.464189814818</v>
      </c>
      <c r="D1067" s="2">
        <v>87</v>
      </c>
      <c r="E1067" s="2">
        <v>15</v>
      </c>
      <c r="F1067" s="2" t="s">
        <v>8</v>
      </c>
      <c r="G1067" s="2" t="s">
        <v>7</v>
      </c>
    </row>
    <row r="1068" spans="1:7" x14ac:dyDescent="0.25">
      <c r="A1068" s="4" t="str">
        <f>HYPERLINK("http://www.facebook.com/photo.php?fbid=10151271373792952&amp;set=a.114456157951.118433.8062627951&amp;type=1&amp;relevant_count=1","[Photo]")</f>
        <v>[Photo]</v>
      </c>
      <c r="B1068" s="4" t="str">
        <f>HYPERLINK("http://www.facebook.com/8062627951/posts/10151271373817952","Steve Jobs, A Year Later - http://tcrn.ch/SHzAf7")</f>
        <v>Steve Jobs, A Year Later - http://tcrn.ch/SHzAf7</v>
      </c>
      <c r="C1068" s="3">
        <v>41187.247025462966</v>
      </c>
      <c r="D1068" s="2">
        <v>669</v>
      </c>
      <c r="E1068" s="2">
        <v>52</v>
      </c>
      <c r="F1068" s="2" t="s">
        <v>7</v>
      </c>
      <c r="G1068" s="2" t="s">
        <v>8</v>
      </c>
    </row>
    <row r="1069" spans="1:7" ht="30" x14ac:dyDescent="0.25">
      <c r="A1069" s="4" t="str">
        <f>HYPERLINK("http://techcrunch.com/2012/10/05/google-warns-thousands-of-users-about-potential-state-sponsored-cyber-attacks/","Google Warns Thousands Of Users About Potential State-Sponsored Cyber Attacks")</f>
        <v>Google Warns Thousands Of Users About Potential State-Sponsored Cyber Attacks</v>
      </c>
      <c r="B1069" s="4" t="str">
        <f>HYPERLINK("http://www.facebook.com/8062627951/posts/477066408991746","Google is starting to issue cyber attack warnings.")</f>
        <v>Google is starting to issue cyber attack warnings.</v>
      </c>
      <c r="C1069" s="3">
        <v>41187.23814814815</v>
      </c>
      <c r="D1069" s="2">
        <v>67</v>
      </c>
      <c r="E1069" s="2">
        <v>6</v>
      </c>
      <c r="F1069" s="2" t="s">
        <v>7</v>
      </c>
      <c r="G1069" s="2" t="s">
        <v>7</v>
      </c>
    </row>
    <row r="1070" spans="1:7" ht="30" x14ac:dyDescent="0.25">
      <c r="A1070" s="4" t="str">
        <f>HYPERLINK("http://www.facebook.com/photo.php?fbid=10151271318732952&amp;set=a.114456157951.118433.8062627951&amp;type=1&amp;relevant_count=1","[Photo]")</f>
        <v>[Photo]</v>
      </c>
      <c r="B1070" s="4" t="str">
        <f>HYPERLINK("http://www.facebook.com/8062627951/posts/10151271318752952","Fun video: If the Internet Explorer 9 commercial was honest -http://tcrn.ch/SHoKWs")</f>
        <v>Fun video: If the Internet Explorer 9 commercial was honest -http://tcrn.ch/SHoKWs</v>
      </c>
      <c r="C1070" s="3">
        <v>41187.214386574073</v>
      </c>
      <c r="D1070" s="2">
        <v>269</v>
      </c>
      <c r="E1070" s="2">
        <v>26</v>
      </c>
      <c r="F1070" s="2" t="s">
        <v>7</v>
      </c>
      <c r="G1070" s="2" t="s">
        <v>8</v>
      </c>
    </row>
    <row r="1071" spans="1:7" ht="45" x14ac:dyDescent="0.25">
      <c r="A1071" s="4" t="str">
        <f>HYPERLINK("http://www.facebook.com/photo.php?fbid=10151271224072952&amp;set=a.114456157951.118433.8062627951&amp;type=1&amp;relevant_count=1","[Photo]")</f>
        <v>[Photo]</v>
      </c>
      <c r="B1071" s="4" t="str">
        <f>HYPERLINK("http://www.facebook.com/8062627951/posts/10151271224092952","Apple posts a video remembering Steve Jobs and highlighting his greatest achievements - http://tcrn.ch/VpLwJ8")</f>
        <v>Apple posts a video remembering Steve Jobs and highlighting his greatest achievements - http://tcrn.ch/VpLwJ8</v>
      </c>
      <c r="C1071" s="3">
        <v>41187.144965277781</v>
      </c>
      <c r="D1071" s="2">
        <v>1015</v>
      </c>
      <c r="E1071" s="2">
        <v>38</v>
      </c>
      <c r="F1071" s="2" t="s">
        <v>7</v>
      </c>
      <c r="G1071" s="2" t="s">
        <v>8</v>
      </c>
    </row>
    <row r="1072" spans="1:7" ht="60" x14ac:dyDescent="0.25">
      <c r="A1072" s="4" t="str">
        <f>HYPERLINK("http://techcrunch.com/2012/10/04/facebook-launches-brand-advertising-campaign-aimed-at-users-in-13-countries/","Facebook Launches Brand Advertising Campaign Aimed At Users In 13 Countries")</f>
        <v>Facebook Launches Brand Advertising Campaign Aimed At Users In 13 Countries</v>
      </c>
      <c r="B1072" s="4" t="str">
        <f>HYPERLINK("http://www.facebook.com/8062627951/posts/338767139552249","Facebook announced today that it will be kicking off an advertising campaign to promote its brand, specifically targeting 13 countries. What do you think of it? Some interesting discussions here - htt...")</f>
        <v>Facebook announced today that it will be kicking off an advertising campaign to promote its brand, specifically targeting 13 countries. What do you think of it? Some interesting discussions here - htt...</v>
      </c>
      <c r="C1072" s="3">
        <v>41186.820648148147</v>
      </c>
      <c r="D1072" s="2">
        <v>33</v>
      </c>
      <c r="E1072" s="2">
        <v>13</v>
      </c>
      <c r="F1072" s="2" t="s">
        <v>8</v>
      </c>
      <c r="G1072" s="2" t="s">
        <v>7</v>
      </c>
    </row>
    <row r="1073" spans="1:7" ht="30" x14ac:dyDescent="0.25">
      <c r="A1073" s="4" t="str">
        <f>HYPERLINK("http://techcrunch.com/2012/10/04/zynga-after-hours/","Zynga Shares Decline About 20% To All-Time Low In After-Hours Trading ")</f>
        <v xml:space="preserve">Zynga Shares Decline About 20% To All-Time Low In After-Hours Trading </v>
      </c>
      <c r="B1073" s="4" t="str">
        <f>HYPERLINK("http://www.facebook.com/8062627951/posts/500122990000902","Yikes.")</f>
        <v>Yikes.</v>
      </c>
      <c r="C1073" s="3">
        <v>41186.714895833335</v>
      </c>
      <c r="D1073" s="2">
        <v>60</v>
      </c>
      <c r="E1073" s="2">
        <v>24</v>
      </c>
      <c r="F1073" s="2" t="s">
        <v>7</v>
      </c>
      <c r="G1073" s="2" t="s">
        <v>7</v>
      </c>
    </row>
    <row r="1074" spans="1:7" x14ac:dyDescent="0.25">
      <c r="A1074" s="4" t="str">
        <f>HYPERLINK("http://www.facebook.com/photo.php?fbid=10151270580642952&amp;set=a.114456157951.118433.8062627951&amp;type=1&amp;relevant_count=1","[Photo]")</f>
        <v>[Photo]</v>
      </c>
      <c r="B1074" s="4" t="str">
        <f>HYPERLINK("http://www.facebook.com/8062627951/posts/10151270580657952","Haters gonna hate this. - http://tcrn.ch/R1m3zU")</f>
        <v>Haters gonna hate this. - http://tcrn.ch/R1m3zU</v>
      </c>
      <c r="C1074" s="3">
        <v>41186.655162037037</v>
      </c>
      <c r="D1074" s="2">
        <v>62</v>
      </c>
      <c r="E1074" s="2">
        <v>24</v>
      </c>
      <c r="F1074" s="2" t="s">
        <v>7</v>
      </c>
      <c r="G1074" s="2" t="s">
        <v>8</v>
      </c>
    </row>
    <row r="1075" spans="1:7" ht="30" x14ac:dyDescent="0.25">
      <c r="A1075" s="4" t="str">
        <f>HYPERLINK("http://www.facebook.com/photo.php?fbid=10151270481997952&amp;set=a.114456157951.118433.8062627951&amp;type=1&amp;relevant_count=1","[Photo]")</f>
        <v>[Photo]</v>
      </c>
      <c r="B1075" s="4" t="str">
        <f>HYPERLINK("http://www.facebook.com/8062627951/posts/10151270482032952","Facebook's 1 billion human shield against disruption. - http://tcrn.ch/QwPdI6")</f>
        <v>Facebook's 1 billion human shield against disruption. - http://tcrn.ch/QwPdI6</v>
      </c>
      <c r="C1075" s="3">
        <v>41186.598368055558</v>
      </c>
      <c r="D1075" s="2">
        <v>110</v>
      </c>
      <c r="E1075" s="2">
        <v>9</v>
      </c>
      <c r="F1075" s="2" t="s">
        <v>7</v>
      </c>
      <c r="G1075" s="2" t="s">
        <v>8</v>
      </c>
    </row>
    <row r="1076" spans="1:7" ht="30" x14ac:dyDescent="0.25">
      <c r="A1076" s="4" t="str">
        <f>HYPERLINK("http://techcrunch.com/2012/10/04/firefox-metro-preview-launch/","Mozilla’s First Preview Release Of Firefox Metro Arrives On Windows 8 ")</f>
        <v xml:space="preserve">Mozilla’s First Preview Release Of Firefox Metro Arrives On Windows 8 </v>
      </c>
      <c r="B1076" s="4" t="str">
        <f>HYPERLINK("http://www.facebook.com/8062627951/posts/151970118279000","What do you think of it?")</f>
        <v>What do you think of it?</v>
      </c>
      <c r="C1076" s="3">
        <v>41186.580381944441</v>
      </c>
      <c r="D1076" s="2">
        <v>44</v>
      </c>
      <c r="E1076" s="2">
        <v>8</v>
      </c>
      <c r="F1076" s="2" t="s">
        <v>8</v>
      </c>
      <c r="G1076" s="2" t="s">
        <v>7</v>
      </c>
    </row>
    <row r="1077" spans="1:7" ht="30" x14ac:dyDescent="0.25">
      <c r="A1077" s="4" t="str">
        <f>HYPERLINK("http://www.facebook.com/photo.php?fbid=10151270344892952&amp;set=a.114456157951.118433.8062627951&amp;type=1&amp;relevant_count=1","[Photo]")</f>
        <v>[Photo]</v>
      </c>
      <c r="B1077" s="4" t="str">
        <f>HYPERLINK("http://www.facebook.com/8062627951/posts/10151270344917952","Everpurse is a purse that charges your smartphone, wire-free. Pretty awesome. - http://tcrn.ch/O8ipH7")</f>
        <v>Everpurse is a purse that charges your smartphone, wire-free. Pretty awesome. - http://tcrn.ch/O8ipH7</v>
      </c>
      <c r="C1077" s="3">
        <v>41186.516250000001</v>
      </c>
      <c r="D1077" s="2">
        <v>885</v>
      </c>
      <c r="E1077" s="2">
        <v>57</v>
      </c>
      <c r="F1077" s="2" t="s">
        <v>7</v>
      </c>
      <c r="G1077" s="2" t="s">
        <v>8</v>
      </c>
    </row>
    <row r="1078" spans="1:7" ht="30" x14ac:dyDescent="0.25">
      <c r="A1078" s="4" t="str">
        <f>HYPERLINK("http://www.facebook.com/photo.php?fbid=10151270303497952&amp;set=a.114456157951.118433.8062627951&amp;type=1&amp;relevant_count=1","[Photo]")</f>
        <v>[Photo]</v>
      </c>
      <c r="B1078" s="4" t="str">
        <f>HYPERLINK("http://www.facebook.com/8062627951/posts/10151270303537952","Hey Facebook, could you fit any more fucking branding on your “Gifts”? - http://tcrn.ch/PdeGcR")</f>
        <v>Hey Facebook, could you fit any more fucking branding on your “Gifts”? - http://tcrn.ch/PdeGcR</v>
      </c>
      <c r="C1078" s="3">
        <v>41186.493333333332</v>
      </c>
      <c r="D1078" s="2">
        <v>313</v>
      </c>
      <c r="E1078" s="2">
        <v>184</v>
      </c>
      <c r="F1078" s="2" t="s">
        <v>8</v>
      </c>
      <c r="G1078" s="2" t="s">
        <v>8</v>
      </c>
    </row>
    <row r="1079" spans="1:7" ht="30" x14ac:dyDescent="0.25">
      <c r="A1079" s="4" t="str">
        <f>HYPERLINK("http://techcrunch.com/2012/10/04/1-billion-users-facebook-stock-zilc/","1 Billion Users Have Done Zilch For Facebook’s Stock Price Today ")</f>
        <v xml:space="preserve">1 Billion Users Have Done Zilch For Facebook’s Stock Price Today </v>
      </c>
      <c r="B1079" s="4" t="str">
        <f>HYPERLINK("http://www.facebook.com/8062627951/posts/435493906497356","Hmmm. Surprised?")</f>
        <v>Hmmm. Surprised?</v>
      </c>
      <c r="C1079" s="3">
        <v>41186.471134259256</v>
      </c>
      <c r="D1079" s="2">
        <v>65</v>
      </c>
      <c r="E1079" s="2">
        <v>22</v>
      </c>
      <c r="F1079" s="2" t="s">
        <v>8</v>
      </c>
      <c r="G1079" s="2" t="s">
        <v>7</v>
      </c>
    </row>
    <row r="1080" spans="1:7" ht="30" x14ac:dyDescent="0.25">
      <c r="A1080" s="4" t="str">
        <f>HYPERLINK("http://www.facebook.com/photo.php?fbid=10151270223307952&amp;set=a.114456157951.118433.8062627951&amp;type=1&amp;relevant_count=1","[Photo]")</f>
        <v>[Photo]</v>
      </c>
      <c r="B1080" s="4" t="str">
        <f>HYPERLINK("http://www.facebook.com/8062627951/posts/10151270223332952","Goodbye, Lumia 920: The AT&amp;T exclusive superphone will probably flop - http://tcrn.ch/PZmX0R")</f>
        <v>Goodbye, Lumia 920: The AT&amp;T exclusive superphone will probably flop - http://tcrn.ch/PZmX0R</v>
      </c>
      <c r="C1080" s="3">
        <v>41186.445960648147</v>
      </c>
      <c r="D1080" s="2">
        <v>76</v>
      </c>
      <c r="E1080" s="2">
        <v>42</v>
      </c>
      <c r="F1080" s="2" t="s">
        <v>7</v>
      </c>
      <c r="G1080" s="2" t="s">
        <v>8</v>
      </c>
    </row>
    <row r="1081" spans="1:7" ht="30" x14ac:dyDescent="0.25">
      <c r="A1081" s="4" t="str">
        <f>HYPERLINK("http://techcrunch.com/2012/10/04/romney-won-the-debate-uscs-social-media-crystal-ball-knows-it/","Romney Won The Debate: USC’s Social Media Crystal Ball Knows It ")</f>
        <v xml:space="preserve">Romney Won The Debate: USC’s Social Media Crystal Ball Knows It </v>
      </c>
      <c r="B1081" s="4" t="str">
        <f>HYPERLINK("http://www.facebook.com/8062627951/posts/420144244699887","Who won the debate in your mind?")</f>
        <v>Who won the debate in your mind?</v>
      </c>
      <c r="C1081" s="3">
        <v>41186.433055555557</v>
      </c>
      <c r="D1081" s="2">
        <v>39</v>
      </c>
      <c r="E1081" s="2">
        <v>42</v>
      </c>
      <c r="F1081" s="2" t="s">
        <v>8</v>
      </c>
      <c r="G1081" s="2" t="s">
        <v>7</v>
      </c>
    </row>
    <row r="1082" spans="1:7" ht="45" x14ac:dyDescent="0.25">
      <c r="A1082" s="4" t="str">
        <f>HYPERLINK("http://www.facebook.com/photo.php?fbid=10151269999552952&amp;set=a.114456157951.118433.8062627951&amp;type=1&amp;relevant_count=1","[Photo]")</f>
        <v>[Photo]</v>
      </c>
      <c r="B1082" s="4" t="str">
        <f>HYPERLINK("http://www.facebook.com/8062627951/posts/10151269999572952","TechCrunch is hitting the road in November and headed to Toronto, Detroit and Chicago. RSVP for the free meetups now! - http://t.co/DY0xjKzs")</f>
        <v>TechCrunch is hitting the road in November and headed to Toronto, Detroit and Chicago. RSVP for the free meetups now! - http://t.co/DY0xjKzs</v>
      </c>
      <c r="C1082" s="3">
        <v>41186.333043981482</v>
      </c>
      <c r="D1082" s="2">
        <v>25</v>
      </c>
      <c r="E1082" s="2">
        <v>2</v>
      </c>
      <c r="F1082" s="2" t="s">
        <v>7</v>
      </c>
      <c r="G1082" s="2" t="s">
        <v>8</v>
      </c>
    </row>
    <row r="1083" spans="1:7" ht="30" x14ac:dyDescent="0.25">
      <c r="A1083" s="4" t="str">
        <f>HYPERLINK("http://techcrunch.com/2012/10/04/facebook-launches-brand-advertising-campaign-aimed-at-users-in-13-countries/","Facebook Launches Brand Advertising Campaign Aimed At Users In 13 Countries")</f>
        <v>Facebook Launches Brand Advertising Campaign Aimed At Users In 13 Countries</v>
      </c>
      <c r="B1083" s="4" t="str">
        <f>HYPERLINK("http://www.facebook.com/8062627951/posts/275701992547097","Here's Facebook's first video ad. It's about chairs or people or doorbells or something. Maybe.")</f>
        <v>Here's Facebook's first video ad. It's about chairs or people or doorbells or something. Maybe.</v>
      </c>
      <c r="C1083" s="3">
        <v>41186.2344212963</v>
      </c>
      <c r="D1083" s="2">
        <v>92</v>
      </c>
      <c r="E1083" s="2">
        <v>17</v>
      </c>
      <c r="F1083" s="2" t="s">
        <v>7</v>
      </c>
      <c r="G1083" s="2" t="s">
        <v>7</v>
      </c>
    </row>
    <row r="1084" spans="1:7" ht="45" x14ac:dyDescent="0.25">
      <c r="A1084" s="4" t="str">
        <f>HYPERLINK("http://techcrunch.com/2012/10/04/with-over-7m-users-on-the-iphone-camera-awesome-goes-big-screen-with-an-ipad-app/","With Over 7M Users On The iPhone, Camera Awesome Goes Big Screen With An iPad App")</f>
        <v>With Over 7M Users On The iPhone, Camera Awesome Goes Big Screen With An iPad App</v>
      </c>
      <c r="B1084" s="4" t="str">
        <f>HYPERLINK("http://www.facebook.com/8062627951/posts/355509297866353","Have you tried Camera Awesome yet?")</f>
        <v>Have you tried Camera Awesome yet?</v>
      </c>
      <c r="C1084" s="3">
        <v>41186.225358796299</v>
      </c>
      <c r="D1084" s="2">
        <v>26</v>
      </c>
      <c r="E1084" s="2">
        <v>0</v>
      </c>
      <c r="F1084" s="2" t="s">
        <v>8</v>
      </c>
      <c r="G1084" s="2" t="s">
        <v>7</v>
      </c>
    </row>
    <row r="1085" spans="1:7" ht="30" x14ac:dyDescent="0.25">
      <c r="A1085" s="4" t="str">
        <f>HYPERLINK("http://www.facebook.com/photo.php?fbid=10151269735962952&amp;set=a.114456157951.118433.8062627951&amp;type=1&amp;relevant_count=1","[Photo]")</f>
        <v>[Photo]</v>
      </c>
      <c r="B1085" s="4" t="str">
        <f>HYPERLINK("http://www.facebook.com/8062627951/posts/10151269735992952","Facebook tops 1 billion monthly users, CEO Mark Zuckerberg shares a personal note - http://tcrn.ch/Pckymz")</f>
        <v>Facebook tops 1 billion monthly users, CEO Mark Zuckerberg shares a personal note - http://tcrn.ch/Pckymz</v>
      </c>
      <c r="C1085" s="3">
        <v>41186.155925925923</v>
      </c>
      <c r="D1085" s="2">
        <v>264</v>
      </c>
      <c r="E1085" s="2">
        <v>21</v>
      </c>
      <c r="F1085" s="2" t="s">
        <v>7</v>
      </c>
      <c r="G1085" s="2" t="s">
        <v>8</v>
      </c>
    </row>
    <row r="1086" spans="1:7" x14ac:dyDescent="0.25">
      <c r="A1086" s="4" t="s">
        <v>9</v>
      </c>
      <c r="B1086" s="4" t="str">
        <f>HYPERLINK("http://www.facebook.com/8062627951/posts/10151269164672952","In one word, to me, Apple Maps is ___________.")</f>
        <v>In one word, to me, Apple Maps is ___________.</v>
      </c>
      <c r="C1086" s="3">
        <v>41185.687060185184</v>
      </c>
      <c r="D1086" s="2">
        <v>238</v>
      </c>
      <c r="E1086" s="2">
        <v>1145</v>
      </c>
      <c r="F1086" s="2" t="s">
        <v>7</v>
      </c>
      <c r="G1086" s="2" t="s">
        <v>7</v>
      </c>
    </row>
    <row r="1087" spans="1:7" ht="45" x14ac:dyDescent="0.25">
      <c r="A1087" s="4" t="str">
        <f>HYPERLINK("http://www.5min.com/Video/517496364","Rap Genius Raises $15 Million")</f>
        <v>Rap Genius Raises $15 Million</v>
      </c>
      <c r="B1087" s="4" t="str">
        <f>HYPERLINK("http://www.facebook.com/8062627951/posts/477438212289202","Ben Horowitz tells TechCrunch why his firm invested $15M in a rap lyrics website http://tcrn.ch/O67gql Plus, check out our hilarious interview with the Rap Genius founders")</f>
        <v>Ben Horowitz tells TechCrunch why his firm invested $15M in a rap lyrics website http://tcrn.ch/O67gql Plus, check out our hilarious interview with the Rap Genius founders</v>
      </c>
      <c r="C1087" s="3">
        <v>41185.657349537039</v>
      </c>
      <c r="D1087" s="2">
        <v>26</v>
      </c>
      <c r="E1087" s="2">
        <v>10</v>
      </c>
      <c r="F1087" s="2" t="s">
        <v>7</v>
      </c>
      <c r="G1087" s="2" t="s">
        <v>7</v>
      </c>
    </row>
    <row r="1088" spans="1:7" ht="30" x14ac:dyDescent="0.25">
      <c r="A1088" s="4" t="str">
        <f>HYPERLINK("http://www.facebook.com/photo.php?fbid=10151269052492952&amp;set=a.114456157951.118433.8062627951&amp;type=1&amp;relevant_count=1","[Photo]")</f>
        <v>[Photo]</v>
      </c>
      <c r="B1088" s="4" t="str">
        <f>HYPERLINK("http://www.facebook.com/8062627951/posts/10151269052522952","What do watchmakers really think about the iPhone 5? - http://tcrn.ch/T15Dan")</f>
        <v>What do watchmakers really think about the iPhone 5? - http://tcrn.ch/T15Dan</v>
      </c>
      <c r="C1088" s="3">
        <v>41185.603993055556</v>
      </c>
      <c r="D1088" s="2">
        <v>40</v>
      </c>
      <c r="E1088" s="2">
        <v>30</v>
      </c>
      <c r="F1088" s="2" t="s">
        <v>8</v>
      </c>
      <c r="G1088" s="2" t="s">
        <v>8</v>
      </c>
    </row>
    <row r="1089" spans="1:7" ht="30" x14ac:dyDescent="0.25">
      <c r="A1089" s="4" t="str">
        <f>HYPERLINK("http://www.facebook.com/photo.php?fbid=10151268957232952&amp;set=a.114456157951.118433.8062627951&amp;type=1&amp;relevant_count=1","[Photo]")</f>
        <v>[Photo]</v>
      </c>
      <c r="B1089" s="4" t="str">
        <f>HYPERLINK("http://www.facebook.com/8062627951/posts/10151268957267952","Apple job posting hints at major new system-on-a-chip design effort - http://tcrn.ch/RB6nG2")</f>
        <v>Apple job posting hints at major new system-on-a-chip design effort - http://tcrn.ch/RB6nG2</v>
      </c>
      <c r="C1089" s="3">
        <v>41185.553020833337</v>
      </c>
      <c r="D1089" s="2">
        <v>84</v>
      </c>
      <c r="E1089" s="2">
        <v>14</v>
      </c>
      <c r="F1089" s="2" t="s">
        <v>7</v>
      </c>
      <c r="G1089" s="2" t="s">
        <v>8</v>
      </c>
    </row>
    <row r="1090" spans="1:7" ht="30" x14ac:dyDescent="0.25">
      <c r="A1090" s="4" t="str">
        <f>HYPERLINK("http://www.facebook.com/photo.php?fbid=10151268802972952&amp;set=a.114456157951.118433.8062627951&amp;type=1&amp;relevant_count=1","[Photo]")</f>
        <v>[Photo]</v>
      </c>
      <c r="B1090" s="4" t="str">
        <f>HYPERLINK("http://www.facebook.com/8062627951/posts/10151268802997952","That's a first: NASA’s Curiosity Rover successfully checks into Foursquare from Mars - http://tcrn.ch/ODArCF")</f>
        <v>That's a first: NASA’s Curiosity Rover successfully checks into Foursquare from Mars - http://tcrn.ch/ODArCF</v>
      </c>
      <c r="C1090" s="3">
        <v>41185.477442129632</v>
      </c>
      <c r="D1090" s="2">
        <v>1058</v>
      </c>
      <c r="E1090" s="2">
        <v>38</v>
      </c>
      <c r="F1090" s="2" t="s">
        <v>7</v>
      </c>
      <c r="G1090" s="2" t="s">
        <v>8</v>
      </c>
    </row>
    <row r="1091" spans="1:7" ht="30" x14ac:dyDescent="0.25">
      <c r="A1091" s="4" t="str">
        <f>HYPERLINK("http://www.facebook.com/photo.php?fbid=10151268753692952&amp;set=a.114456157951.118433.8062627951&amp;type=1&amp;relevant_count=1","[Photo]")</f>
        <v>[Photo]</v>
      </c>
      <c r="B1091" s="4" t="str">
        <f>HYPERLINK("http://www.facebook.com/8062627951/posts/10151268753717952","Report: Street View is coming to the Google Maps web app tomorrow. Are you ready? - http://tcrn.ch/Sy7Hdu")</f>
        <v>Report: Street View is coming to the Google Maps web app tomorrow. Are you ready? - http://tcrn.ch/Sy7Hdu</v>
      </c>
      <c r="C1091" s="3">
        <v>41185.448391203703</v>
      </c>
      <c r="D1091" s="2">
        <v>211</v>
      </c>
      <c r="E1091" s="2">
        <v>3</v>
      </c>
      <c r="F1091" s="2" t="s">
        <v>8</v>
      </c>
      <c r="G1091" s="2" t="s">
        <v>8</v>
      </c>
    </row>
    <row r="1092" spans="1:7" ht="45" x14ac:dyDescent="0.25">
      <c r="A1092" s="4" t="str">
        <f>HYPERLINK("http://www.facebook.com/photo.php?fbid=10151268680387952&amp;set=a.114456157951.118433.8062627951&amp;type=1&amp;relevant_count=1","[Photo]")</f>
        <v>[Photo]</v>
      </c>
      <c r="B1092" s="4" t="str">
        <f>HYPERLINK("http://www.facebook.com/8062627951/posts/10151268680412952","Facebook now lets US users pay $7 to promote posts to the news feeds of more friends. Would you pay? - http://tcrn.ch/Wk84ZI")</f>
        <v>Facebook now lets US users pay $7 to promote posts to the news feeds of more friends. Would you pay? - http://tcrn.ch/Wk84ZI</v>
      </c>
      <c r="C1092" s="3">
        <v>41185.405104166668</v>
      </c>
      <c r="D1092" s="2">
        <v>307</v>
      </c>
      <c r="E1092" s="2">
        <v>343</v>
      </c>
      <c r="F1092" s="2" t="s">
        <v>8</v>
      </c>
      <c r="G1092" s="2" t="s">
        <v>8</v>
      </c>
    </row>
    <row r="1093" spans="1:7" ht="30" x14ac:dyDescent="0.25">
      <c r="A1093" s="4" t="str">
        <f>HYPERLINK("http://www.facebook.com/photo.php?fbid=10151268662502952&amp;set=a.114456157951.118433.8062627951&amp;type=1&amp;relevant_count=1","[Photo]")</f>
        <v>[Photo]</v>
      </c>
      <c r="B1093" s="4" t="str">
        <f>HYPERLINK("http://www.facebook.com/8062627951/posts/10151268662517952","How technology destroyed the once substantive presidential debate - http://tcrn.ch/ODtXUb    Do you agree, or disagree?")</f>
        <v>How technology destroyed the once substantive presidential debate - http://tcrn.ch/ODtXUb    Do you agree, or disagree?</v>
      </c>
      <c r="C1093" s="3">
        <v>41185.394618055558</v>
      </c>
      <c r="D1093" s="2">
        <v>20</v>
      </c>
      <c r="E1093" s="2">
        <v>3</v>
      </c>
      <c r="F1093" s="2" t="s">
        <v>8</v>
      </c>
      <c r="G1093" s="2" t="s">
        <v>8</v>
      </c>
    </row>
    <row r="1094" spans="1:7" ht="45" x14ac:dyDescent="0.25">
      <c r="A1094" s="4" t="str">
        <f>HYPERLINK("http://techcrunch.com/2012/10/03/report-steve-jobs-came-to-loathe-google-for-withholding-turn-by-turn-from-google-maps/","Report: Steve Jobs Came to “Loathe” Google For Withholding Turn-By-Turn From Google Maps On iOS")</f>
        <v>Report: Steve Jobs Came to “Loathe” Google For Withholding Turn-By-Turn From Google Maps On iOS</v>
      </c>
      <c r="B1094" s="4" t="str">
        <f>HYPERLINK("http://www.facebook.com/8062627951/posts/495206227169883","Loathe is a strong word. So is thermonuclear.")</f>
        <v>Loathe is a strong word. So is thermonuclear.</v>
      </c>
      <c r="C1094" s="3">
        <v>41185.355081018519</v>
      </c>
      <c r="D1094" s="2">
        <v>65</v>
      </c>
      <c r="E1094" s="2">
        <v>60</v>
      </c>
      <c r="F1094" s="2" t="s">
        <v>7</v>
      </c>
      <c r="G1094" s="2" t="s">
        <v>7</v>
      </c>
    </row>
    <row r="1095" spans="1:7" ht="45" x14ac:dyDescent="0.25">
      <c r="A1095" s="4" t="str">
        <f>HYPERLINK("http://techcrunch.com/2012/10/03/microsoft-prepares-for-holiday-push-with-30-new-pop-up-stores-just-in-time-for-windows-8/","Microsoft Prepares For Holiday Push With 32 New Pop-Up Stores Just In Time For Windows 8")</f>
        <v>Microsoft Prepares For Holiday Push With 32 New Pop-Up Stores Just In Time For Windows 8</v>
      </c>
      <c r="B1095" s="4" t="str">
        <f>HYPERLINK("http://www.facebook.com/8062627951/posts/158820827590974","Microsoft is gearing up for a big holiday push.")</f>
        <v>Microsoft is gearing up for a big holiday push.</v>
      </c>
      <c r="C1095" s="3">
        <v>41185.243807870371</v>
      </c>
      <c r="D1095" s="2">
        <v>27</v>
      </c>
      <c r="E1095" s="2">
        <v>4</v>
      </c>
      <c r="F1095" s="2" t="s">
        <v>7</v>
      </c>
      <c r="G1095" s="2" t="s">
        <v>7</v>
      </c>
    </row>
    <row r="1096" spans="1:7" ht="45" x14ac:dyDescent="0.25">
      <c r="A1096" s="4" t="str">
        <f>HYPERLINK("http://techcrunch.com/2012/10/03/ipad-mini-production-has-kicked-off-says-wsj-7-85-inch-lcd-screen-no-retina-display/","iPad Mini Production Has Kicked Off, Says WSJ: 7.85-Inch LCD Screen, No Retina Display")</f>
        <v>iPad Mini Production Has Kicked Off, Says WSJ: 7.85-Inch LCD Screen, No Retina Display</v>
      </c>
      <c r="B1096" s="4" t="str">
        <f>HYPERLINK("http://www.facebook.com/8062627951/posts/473621395991748","Here comes the iPad mini!")</f>
        <v>Here comes the iPad mini!</v>
      </c>
      <c r="C1096" s="3">
        <v>41185.165046296293</v>
      </c>
      <c r="D1096" s="2">
        <v>98</v>
      </c>
      <c r="E1096" s="2">
        <v>14</v>
      </c>
      <c r="F1096" s="2" t="s">
        <v>7</v>
      </c>
      <c r="G1096" s="2" t="s">
        <v>7</v>
      </c>
    </row>
    <row r="1097" spans="1:7" ht="60" x14ac:dyDescent="0.25">
      <c r="A1097" s="4" t="str">
        <f>HYPERLINK("http://www.facebook.com/photo.php?fbid=10151267773582952&amp;set=a.114456157951.118433.8062627951&amp;type=1&amp;relevant_count=1","[Photo]")</f>
        <v>[Photo]</v>
      </c>
      <c r="B1097" s="4" t="str">
        <f>HYPERLINK("http://www.facebook.com/8062627951/posts/10151267773597952","Changemakrs looks to reinvent inspirational quotes for a more social web - http://tcrn.ch/RaS6Og    “Sometimes when you innovate, you make mistakes. It is best to admit them quickly, and get on with i...")</f>
        <v>Changemakrs looks to reinvent inspirational quotes for a more social web - http://tcrn.ch/RaS6Og    “Sometimes when you innovate, you make mistakes. It is best to admit them quickly, and get on with i...</v>
      </c>
      <c r="C1097" s="3">
        <v>41184.812326388892</v>
      </c>
      <c r="D1097" s="2">
        <v>661</v>
      </c>
      <c r="E1097" s="2">
        <v>43</v>
      </c>
      <c r="F1097" s="2" t="s">
        <v>7</v>
      </c>
      <c r="G1097" s="2" t="s">
        <v>8</v>
      </c>
    </row>
    <row r="1098" spans="1:7" ht="30" x14ac:dyDescent="0.25">
      <c r="A1098" s="4" t="str">
        <f>HYPERLINK("http://www.facebook.com/photo.php?fbid=10151267580392952&amp;set=a.114456157951.118433.8062627951&amp;type=1&amp;relevant_count=1","[Photo]")</f>
        <v>[Photo]</v>
      </c>
      <c r="B1098" s="4" t="str">
        <f>HYPERLINK("http://www.facebook.com/8062627951/posts/10151267580437952","Taploid turns your Facebook feed into a personal gossip magazine - http://tcrn.ch/O3zXEj")</f>
        <v>Taploid turns your Facebook feed into a personal gossip magazine - http://tcrn.ch/O3zXEj</v>
      </c>
      <c r="C1098" s="3">
        <v>41184.68246527778</v>
      </c>
      <c r="D1098" s="2">
        <v>42</v>
      </c>
      <c r="E1098" s="2">
        <v>3</v>
      </c>
      <c r="F1098" s="2" t="s">
        <v>7</v>
      </c>
      <c r="G1098" s="2" t="s">
        <v>8</v>
      </c>
    </row>
    <row r="1099" spans="1:7" ht="30" x14ac:dyDescent="0.25">
      <c r="A1099" s="4" t="str">
        <f>HYPERLINK("http://techcrunch.com/2012/10/02/home-3d-printing-is-killing-the-manufacturing-industry/","Home 3D Printing Is Killing The Manufacturing Industry")</f>
        <v>Home 3D Printing Is Killing The Manufacturing Industry</v>
      </c>
      <c r="B1099" s="4" t="str">
        <f>HYPERLINK("http://www.facebook.com/8062627951/posts/367577889991119","What are your thoughts on 3D printing?")</f>
        <v>What are your thoughts on 3D printing?</v>
      </c>
      <c r="C1099" s="3">
        <v>41184.658703703702</v>
      </c>
      <c r="D1099" s="2">
        <v>99</v>
      </c>
      <c r="E1099" s="2">
        <v>37</v>
      </c>
      <c r="F1099" s="2" t="s">
        <v>8</v>
      </c>
      <c r="G1099" s="2" t="s">
        <v>7</v>
      </c>
    </row>
    <row r="1100" spans="1:7" ht="30" x14ac:dyDescent="0.25">
      <c r="A1100" s="4" t="str">
        <f>HYPERLINK("http://www.facebook.com/photo.php?fbid=10151267431317952&amp;set=a.114456157951.118433.8062627951&amp;type=1&amp;relevant_count=1","[Photo]")</f>
        <v>[Photo]</v>
      </c>
      <c r="B1100" s="4" t="str">
        <f>HYPERLINK("http://www.facebook.com/8062627951/posts/10151267431367952","Nokia joins the iPhone 5 bashing with this clever Lumia 920 video ad. What do you think? - http://tcrn.ch/SmobHG")</f>
        <v>Nokia joins the iPhone 5 bashing with this clever Lumia 920 video ad. What do you think? - http://tcrn.ch/SmobHG</v>
      </c>
      <c r="C1100" s="3">
        <v>41184.584270833337</v>
      </c>
      <c r="D1100" s="2">
        <v>155</v>
      </c>
      <c r="E1100" s="2">
        <v>51</v>
      </c>
      <c r="F1100" s="2" t="s">
        <v>8</v>
      </c>
      <c r="G1100" s="2" t="s">
        <v>8</v>
      </c>
    </row>
    <row r="1101" spans="1:7" ht="30" x14ac:dyDescent="0.25">
      <c r="A1101" s="4" t="str">
        <f>HYPERLINK("http://www.facebook.com/photo.php?fbid=10151267375732952&amp;set=a.114456157951.118433.8062627951&amp;type=1&amp;relevant_count=1","[Photo]")</f>
        <v>[Photo]</v>
      </c>
      <c r="B1101" s="4" t="str">
        <f>HYPERLINK("http://www.facebook.com/8062627951/posts/10151267375757952","Finally! A dock that doesn’t blink when Apple changes iPhone connectors or device design - http://tcrn.ch/SB5kTv")</f>
        <v>Finally! A dock that doesn’t blink when Apple changes iPhone connectors or device design - http://tcrn.ch/SB5kTv</v>
      </c>
      <c r="C1101" s="3">
        <v>41184.559062499997</v>
      </c>
      <c r="D1101" s="2">
        <v>105</v>
      </c>
      <c r="E1101" s="2">
        <v>13</v>
      </c>
      <c r="F1101" s="2" t="s">
        <v>7</v>
      </c>
      <c r="G1101" s="2" t="s">
        <v>8</v>
      </c>
    </row>
    <row r="1102" spans="1:7" ht="30" x14ac:dyDescent="0.25">
      <c r="A1102" s="4" t="str">
        <f>HYPERLINK("http://www.facebook.com/photo.php?fbid=10151267271132952&amp;set=a.114456157951.118433.8062627951&amp;type=1&amp;relevant_count=1","[Photo]")</f>
        <v>[Photo]</v>
      </c>
      <c r="B1102" s="4" t="str">
        <f>HYPERLINK("http://www.facebook.com/8062627951/posts/10151267271157952","Forget saying happy birthday to your friends on Facebook, it’s all about gifts now - http://tcrn.ch/QBTR64")</f>
        <v>Forget saying happy birthday to your friends on Facebook, it’s all about gifts now - http://tcrn.ch/QBTR64</v>
      </c>
      <c r="C1102" s="3">
        <v>41184.51116898148</v>
      </c>
      <c r="D1102" s="2">
        <v>59</v>
      </c>
      <c r="E1102" s="2">
        <v>6</v>
      </c>
      <c r="F1102" s="2" t="s">
        <v>7</v>
      </c>
      <c r="G1102" s="2" t="s">
        <v>8</v>
      </c>
    </row>
    <row r="1103" spans="1:7" ht="30" x14ac:dyDescent="0.25">
      <c r="A1103" s="4" t="str">
        <f>HYPERLINK("http://www.facebook.com/photo.php?fbid=10151267206532952&amp;set=a.114456157951.118433.8062627951&amp;type=1&amp;relevant_count=1","[Photo]")</f>
        <v>[Photo]</v>
      </c>
      <c r="B1103" s="4" t="str">
        <f>HYPERLINK("http://www.facebook.com/8062627951/posts/10151267206557952","Behold! The first fancily-printed panoramic photo from the iPhone 5 - http://tcrn.ch/UEdewY")</f>
        <v>Behold! The first fancily-printed panoramic photo from the iPhone 5 - http://tcrn.ch/UEdewY</v>
      </c>
      <c r="C1103" s="3">
        <v>41184.470960648148</v>
      </c>
      <c r="D1103" s="2">
        <v>318</v>
      </c>
      <c r="E1103" s="2">
        <v>67</v>
      </c>
      <c r="F1103" s="2" t="s">
        <v>7</v>
      </c>
      <c r="G1103" s="2" t="s">
        <v>8</v>
      </c>
    </row>
    <row r="1104" spans="1:7" ht="30" x14ac:dyDescent="0.25">
      <c r="A1104" s="4" t="str">
        <f>HYPERLINK("http://www.facebook.com/photo.php?fbid=10151267153737952&amp;set=a.114456157951.118433.8062627951&amp;type=1&amp;relevant_count=1","[Photo]")</f>
        <v>[Photo]</v>
      </c>
      <c r="B1104" s="4" t="str">
        <f>HYPERLINK("http://www.facebook.com/8062627951/posts/10151267153777952","Lenovo computers, soon to be made in America - http://tcrn.ch/QBoVTC")</f>
        <v>Lenovo computers, soon to be made in America - http://tcrn.ch/QBoVTC</v>
      </c>
      <c r="C1104" s="3">
        <v>41184.442523148151</v>
      </c>
      <c r="D1104" s="2">
        <v>375</v>
      </c>
      <c r="E1104" s="2">
        <v>40</v>
      </c>
      <c r="F1104" s="2" t="s">
        <v>7</v>
      </c>
      <c r="G1104" s="2" t="s">
        <v>8</v>
      </c>
    </row>
    <row r="1105" spans="1:7" ht="30" x14ac:dyDescent="0.25">
      <c r="A1105" s="4" t="str">
        <f>HYPERLINK("http://tcrn.ch/RoXQG1","TechCrunch Giveaway: Free Tickets To Box’s 2012 #BoxWorks Event")</f>
        <v>TechCrunch Giveaway: Free Tickets To Box’s 2012 #BoxWorks Event</v>
      </c>
      <c r="B1105" s="4" t="str">
        <f>HYPERLINK("http://www.facebook.com/8062627951/posts/293392860769572","Have you entered yet?")</f>
        <v>Have you entered yet?</v>
      </c>
      <c r="C1105" s="3">
        <v>41184.440312500003</v>
      </c>
      <c r="D1105" s="2">
        <v>10</v>
      </c>
      <c r="E1105" s="2">
        <v>1</v>
      </c>
      <c r="F1105" s="2" t="s">
        <v>8</v>
      </c>
      <c r="G1105" s="2" t="s">
        <v>7</v>
      </c>
    </row>
    <row r="1106" spans="1:7" ht="45" x14ac:dyDescent="0.25">
      <c r="A1106" s="4" t="str">
        <f>HYPERLINK("http://techcrunch.com/2012/10/02/foundation-video-matt-rogers-co-founder-of-nest-demos-new-learning-thermostat/","Foundation Video: Matt Rogers, Co-Founder Of Nest, Demos New Learning Thermostat")</f>
        <v>Foundation Video: Matt Rogers, Co-Founder Of Nest, Demos New Learning Thermostat</v>
      </c>
      <c r="B1106" s="4" t="str">
        <f>HYPERLINK("http://www.facebook.com/8062627951/posts/451161788269064","We are very pleased to welcome a new show to the lineup, Kevin Rose’s Foundation series!   The first episode features Nest co-founder Matt Rogers.")</f>
        <v>We are very pleased to welcome a new show to the lineup, Kevin Rose’s Foundation series!   The first episode features Nest co-founder Matt Rogers.</v>
      </c>
      <c r="C1106" s="3">
        <v>41184.414386574077</v>
      </c>
      <c r="D1106" s="2">
        <v>17</v>
      </c>
      <c r="E1106" s="2">
        <v>4</v>
      </c>
      <c r="F1106" s="2" t="s">
        <v>7</v>
      </c>
      <c r="G1106" s="2" t="s">
        <v>7</v>
      </c>
    </row>
    <row r="1107" spans="1:7" ht="30" x14ac:dyDescent="0.25">
      <c r="A1107" s="4" t="str">
        <f>HYPERLINK("http://www.facebook.com/photo.php?fbid=10151267051907952&amp;set=a.114456157951.118433.8062627951&amp;type=1&amp;relevant_count=1","[Photo]")</f>
        <v>[Photo]</v>
      </c>
      <c r="B1107" s="4" t="str">
        <f>HYPERLINK("http://www.facebook.com/8062627951/posts/10151267051922952","Sorry, Leno: Zuckerberg makes first late-night talk show appearance -- on Russian TV - http://tcrn.ch/SXIPgS")</f>
        <v>Sorry, Leno: Zuckerberg makes first late-night talk show appearance -- on Russian TV - http://tcrn.ch/SXIPgS</v>
      </c>
      <c r="C1107" s="3">
        <v>41184.384606481479</v>
      </c>
      <c r="D1107" s="2">
        <v>524</v>
      </c>
      <c r="E1107" s="2">
        <v>39</v>
      </c>
      <c r="F1107" s="2" t="s">
        <v>7</v>
      </c>
      <c r="G1107" s="2" t="s">
        <v>8</v>
      </c>
    </row>
    <row r="1108" spans="1:7" ht="45" x14ac:dyDescent="0.25">
      <c r="A1108" s="4" t="str">
        <f>HYPERLINK("http://techcrunch.com/2012/10/02/microsoft-co-founder-paul-allen-reviews-windows-8-elegant-innovative-and-puzzling/","Microsoft Co-Founder Paul Allen Reviews Windows 8: Elegant, Innovative And Puzzling")</f>
        <v>Microsoft Co-Founder Paul Allen Reviews Windows 8: Elegant, Innovative And Puzzling</v>
      </c>
      <c r="B1108" s="4" t="str">
        <f>HYPERLINK("http://www.facebook.com/8062627951/posts/152012154941051","It can't be a good sign that Paul Allen, Microsoft co-founder, called Windows 8 puzzling.")</f>
        <v>It can't be a good sign that Paul Allen, Microsoft co-founder, called Windows 8 puzzling.</v>
      </c>
      <c r="C1108" s="3">
        <v>41184.344942129632</v>
      </c>
      <c r="D1108" s="2">
        <v>78</v>
      </c>
      <c r="E1108" s="2">
        <v>21</v>
      </c>
      <c r="F1108" s="2" t="s">
        <v>7</v>
      </c>
      <c r="G1108" s="2" t="s">
        <v>7</v>
      </c>
    </row>
    <row r="1109" spans="1:7" ht="30" x14ac:dyDescent="0.25">
      <c r="A1109" s="4" t="str">
        <f>HYPERLINK("http://www.facebook.com/photo.php?fbid=10151266885272952&amp;set=a.114456157951.118433.8062627951&amp;type=1&amp;relevant_count=1","[Photo]")</f>
        <v>[Photo]</v>
      </c>
      <c r="B1109" s="4" t="str">
        <f>HYPERLINK("http://www.facebook.com/8062627951/posts/10151266885312952","Atooma is like an IFTTT for mobile and it's insanely clever  -http://tcrn.ch/QUSY9i")</f>
        <v>Atooma is like an IFTTT for mobile and it's insanely clever  -http://tcrn.ch/QUSY9i</v>
      </c>
      <c r="C1109" s="3">
        <v>41184.286180555559</v>
      </c>
      <c r="D1109" s="2">
        <v>70</v>
      </c>
      <c r="E1109" s="2">
        <v>8</v>
      </c>
      <c r="F1109" s="2" t="s">
        <v>7</v>
      </c>
      <c r="G1109" s="2" t="s">
        <v>8</v>
      </c>
    </row>
    <row r="1110" spans="1:7" ht="45" x14ac:dyDescent="0.25">
      <c r="A1110" s="4" t="str">
        <f>HYPERLINK("http://www.facebook.com/photo.php?fbid=10151266846992952&amp;set=a.114456157951.118433.8062627951&amp;type=1&amp;relevant_count=1","[Photo]")</f>
        <v>[Photo]</v>
      </c>
      <c r="B1110" s="4" t="str">
        <f>HYPERLINK("http://www.facebook.com/8062627951/posts/10151266847027952","YC-Alum Lockitron is back with a new kit that allows smartphones to control dumb deadbolts -http://tcrn.ch/QGarVA")</f>
        <v>YC-Alum Lockitron is back with a new kit that allows smartphones to control dumb deadbolts -http://tcrn.ch/QGarVA</v>
      </c>
      <c r="C1110" s="3">
        <v>41184.26295138889</v>
      </c>
      <c r="D1110" s="2">
        <v>214</v>
      </c>
      <c r="E1110" s="2">
        <v>20</v>
      </c>
      <c r="F1110" s="2" t="s">
        <v>7</v>
      </c>
      <c r="G1110" s="2" t="s">
        <v>8</v>
      </c>
    </row>
    <row r="1111" spans="1:7" ht="45" x14ac:dyDescent="0.25">
      <c r="A1111" s="4" t="str">
        <f>HYPERLINK("http://techcrunch.com/2012/10/02/nest-labs-announces-20-slimmer-more-compatible-nest-learning-thermostat-ships-this-month/","Nest Labs Announces 20% Slimmer, More Compatible Nest Learning Thermostat; Ships This Month")</f>
        <v>Nest Labs Announces 20% Slimmer, More Compatible Nest Learning Thermostat; Ships This Month</v>
      </c>
      <c r="B1111" s="4" t="str">
        <f>HYPERLINK("http://www.facebook.com/8062627951/posts/351270611629313","Nest 2.0: Thinner, smarter &amp; the same price.")</f>
        <v>Nest 2.0: Thinner, smarter &amp; the same price.</v>
      </c>
      <c r="C1111" s="3">
        <v>41184.218310185184</v>
      </c>
      <c r="D1111" s="2">
        <v>34</v>
      </c>
      <c r="E1111" s="2">
        <v>5</v>
      </c>
      <c r="F1111" s="2" t="s">
        <v>7</v>
      </c>
      <c r="G1111" s="2" t="s">
        <v>7</v>
      </c>
    </row>
    <row r="1112" spans="1:7" ht="45" x14ac:dyDescent="0.25">
      <c r="A1112" s="4" t="str">
        <f>HYPERLINK("http://techcrunch.com/2012/10/01/pay-tv-train-wreck/","Duh: Analyst Says TV Programming Price Increases Are Unsustainable And “A Train Wreck In The Making”")</f>
        <v>Duh: Analyst Says TV Programming Price Increases Are Unsustainable And “A Train Wreck In The Making”</v>
      </c>
      <c r="B1112" s="4" t="str">
        <f>HYPERLINK("http://www.facebook.com/8062627951/posts/389807891092916","Duh.")</f>
        <v>Duh.</v>
      </c>
      <c r="C1112" s="3">
        <v>41183.848726851851</v>
      </c>
      <c r="D1112" s="2">
        <v>30</v>
      </c>
      <c r="E1112" s="2">
        <v>8</v>
      </c>
      <c r="F1112" s="2" t="s">
        <v>7</v>
      </c>
      <c r="G1112" s="2" t="s">
        <v>7</v>
      </c>
    </row>
    <row r="1113" spans="1:7" x14ac:dyDescent="0.25">
      <c r="A1113" s="4" t="str">
        <f>HYPERLINK("http://www.facebook.com/photo.php?fbid=10151266197252952&amp;set=a.114456157951.118433.8062627951&amp;type=1&amp;relevant_count=1","[Photo]")</f>
        <v>[Photo]</v>
      </c>
      <c r="B1113" s="4" t="str">
        <f>HYPERLINK("http://www.facebook.com/8062627951/posts/10151266197277952","(R)evolution - http://tcrn.ch/SsBv7F")</f>
        <v>(R)evolution - http://tcrn.ch/SsBv7F</v>
      </c>
      <c r="C1113" s="3">
        <v>41183.730613425927</v>
      </c>
      <c r="D1113" s="2">
        <v>74</v>
      </c>
      <c r="E1113" s="2">
        <v>11</v>
      </c>
      <c r="F1113" s="2" t="s">
        <v>7</v>
      </c>
      <c r="G1113" s="2" t="s">
        <v>8</v>
      </c>
    </row>
    <row r="1114" spans="1:7" ht="45" x14ac:dyDescent="0.25">
      <c r="A1114" s="4" t="str">
        <f>HYPERLINK("http://www.facebook.com/photo.php?fbid=10151266083122952&amp;set=a.114456157951.118433.8062627951&amp;type=1&amp;relevant_count=1","[Photo]")</f>
        <v>[Photo]</v>
      </c>
      <c r="B1114" s="4" t="str">
        <f>HYPERLINK("http://www.facebook.com/8062627951/posts/10151266083142952","Rumor roundup: Google’s new Nexus phone is said to launch this month, but which one is it? Any guesses? - http://tcrn.ch/QkgLQV")</f>
        <v>Rumor roundup: Google’s new Nexus phone is said to launch this month, but which one is it? Any guesses? - http://tcrn.ch/QkgLQV</v>
      </c>
      <c r="C1114" s="3">
        <v>41183.657384259262</v>
      </c>
      <c r="D1114" s="2">
        <v>122</v>
      </c>
      <c r="E1114" s="2">
        <v>23</v>
      </c>
      <c r="F1114" s="2" t="s">
        <v>8</v>
      </c>
      <c r="G1114" s="2" t="s">
        <v>8</v>
      </c>
    </row>
    <row r="1115" spans="1:7" ht="30" x14ac:dyDescent="0.25">
      <c r="A1115" s="4" t="str">
        <f>HYPERLINK("http://www.facebook.com/photo.php?fbid=10151265998462952&amp;set=a.114456157951.118433.8062627951&amp;type=1&amp;relevant_count=1","[Photo]")</f>
        <v>[Photo]</v>
      </c>
      <c r="B1115" s="4" t="str">
        <f>HYPERLINK("http://www.facebook.com/8062627951/posts/10151265998502952","The bike singularity is nigh: the Velo bike has an open source brain - http://tcrn.ch/QHMbmm")</f>
        <v>The bike singularity is nigh: the Velo bike has an open source brain - http://tcrn.ch/QHMbmm</v>
      </c>
      <c r="C1115" s="3">
        <v>41183.604664351849</v>
      </c>
      <c r="D1115" s="2">
        <v>255</v>
      </c>
      <c r="E1115" s="2">
        <v>18</v>
      </c>
      <c r="F1115" s="2" t="s">
        <v>7</v>
      </c>
      <c r="G1115" s="2" t="s">
        <v>8</v>
      </c>
    </row>
    <row r="1116" spans="1:7" ht="30" x14ac:dyDescent="0.25">
      <c r="A1116" s="4" t="str">
        <f>HYPERLINK("http://www.facebook.com/photo.php?fbid=10151265882742952&amp;set=a.114456157951.118433.8062627951&amp;type=1&amp;relevant_count=1","[Photo]")</f>
        <v>[Photo]</v>
      </c>
      <c r="B1116" s="4" t="str">
        <f>HYPERLINK("http://www.facebook.com/8062627951/posts/10151265882772952","Apple support: purple flaring is “normal behavior” for the iPhone 5 camera - http://tcrn.ch/PHCdyp")</f>
        <v>Apple support: purple flaring is “normal behavior” for the iPhone 5 camera - http://tcrn.ch/PHCdyp</v>
      </c>
      <c r="C1116" s="3">
        <v>41183.553379629629</v>
      </c>
      <c r="D1116" s="2">
        <v>102</v>
      </c>
      <c r="E1116" s="2">
        <v>68</v>
      </c>
      <c r="F1116" s="2" t="s">
        <v>7</v>
      </c>
      <c r="G1116" s="2" t="s">
        <v>8</v>
      </c>
    </row>
    <row r="1117" spans="1:7" ht="45" x14ac:dyDescent="0.25">
      <c r="A1117" s="4" t="str">
        <f>HYPERLINK("http://www.facebook.com/photo.php?fbid=10151265832387952&amp;set=a.114456157951.118433.8062627951&amp;type=1&amp;relevant_count=1","[Photo]")</f>
        <v>[Photo]</v>
      </c>
      <c r="B1117" s="4" t="str">
        <f>HYPERLINK("http://www.facebook.com/8062627951/posts/10151265832402952","Facebook acqhires Carsabi founders, but thankfully they're not shutting down their awesome car price comparison site - http://tcrn.ch/PHrIuZ")</f>
        <v>Facebook acqhires Carsabi founders, but thankfully they're not shutting down their awesome car price comparison site - http://tcrn.ch/PHrIuZ</v>
      </c>
      <c r="C1117" s="3">
        <v>41183.529236111113</v>
      </c>
      <c r="D1117" s="2">
        <v>65</v>
      </c>
      <c r="E1117" s="2">
        <v>14</v>
      </c>
      <c r="F1117" s="2" t="s">
        <v>7</v>
      </c>
      <c r="G1117" s="2" t="s">
        <v>8</v>
      </c>
    </row>
    <row r="1118" spans="1:7" ht="30" x14ac:dyDescent="0.25">
      <c r="A1118" s="4" t="str">
        <f>HYPERLINK("http://techcrunch.com/2012/10/01/so-long-to-apples-music-social-network-ping-we-hardly-knew-ye/","So Long To Apple’s Music Social Network: Ping, We Hardly Knew Ye")</f>
        <v>So Long To Apple’s Music Social Network: Ping, We Hardly Knew Ye</v>
      </c>
      <c r="B1118" s="4" t="str">
        <f>HYPERLINK("http://www.facebook.com/8062627951/posts/363108730438603","RIP, Ping.")</f>
        <v>RIP, Ping.</v>
      </c>
      <c r="C1118" s="3">
        <v>41183.464687500003</v>
      </c>
      <c r="D1118" s="2">
        <v>67</v>
      </c>
      <c r="E1118" s="2">
        <v>14</v>
      </c>
      <c r="F1118" s="2" t="s">
        <v>7</v>
      </c>
      <c r="G1118" s="2" t="s">
        <v>7</v>
      </c>
    </row>
    <row r="1119" spans="1:7" ht="30" x14ac:dyDescent="0.25">
      <c r="A1119" s="4" t="str">
        <f>HYPERLINK("http://www.facebook.com/photo.php?fbid=10151265636257952&amp;set=a.114456157951.118433.8062627951&amp;type=1&amp;relevant_count=1","[Photo]")</f>
        <v>[Photo]</v>
      </c>
      <c r="B1119" s="4" t="str">
        <f>HYPERLINK("http://www.facebook.com/8062627951/posts/10151265636297952","The Lunatik Taktik case arms your iPhone for danger with rugged style - http://tcrn.ch/SuAaks")</f>
        <v>The Lunatik Taktik case arms your iPhone for danger with rugged style - http://tcrn.ch/SuAaks</v>
      </c>
      <c r="C1119" s="3">
        <v>41183.433171296296</v>
      </c>
      <c r="D1119" s="2">
        <v>133</v>
      </c>
      <c r="E1119" s="2">
        <v>28</v>
      </c>
      <c r="F1119" s="2" t="s">
        <v>7</v>
      </c>
      <c r="G1119" s="2" t="s">
        <v>8</v>
      </c>
    </row>
    <row r="1120" spans="1:7" ht="30" x14ac:dyDescent="0.25">
      <c r="A1120" s="4" t="str">
        <f>HYPERLINK("http://techcrunch.com/2012/10/01/google-wants-to-make-your-site-a-little-bit-faster-with-its-new-tag-manager/","Google Wants To Make Your Site a Little Bit Faster With Its New Tag Manager")</f>
        <v>Google Wants To Make Your Site a Little Bit Faster With Its New Tag Manager</v>
      </c>
      <c r="B1120" s="4" t="str">
        <f>HYPERLINK("http://www.facebook.com/8062627951/posts/471783226178160","What do you think of Tag Manager?")</f>
        <v>What do you think of Tag Manager?</v>
      </c>
      <c r="C1120" s="3">
        <v>41183.414409722223</v>
      </c>
      <c r="D1120" s="2">
        <v>67</v>
      </c>
      <c r="E1120" s="2">
        <v>5</v>
      </c>
      <c r="F1120" s="2" t="s">
        <v>8</v>
      </c>
      <c r="G1120" s="2" t="s">
        <v>7</v>
      </c>
    </row>
    <row r="1121" spans="1:7" ht="30" x14ac:dyDescent="0.25">
      <c r="A1121" s="4" t="str">
        <f>HYPERLINK("http://www.facebook.com/photo.php?fbid=10151265549017952&amp;set=a.114456157951.118433.8062627951&amp;type=1&amp;relevant_count=1","[Photo]")</f>
        <v>[Photo]</v>
      </c>
      <c r="B1121" s="4" t="str">
        <f>HYPERLINK("http://www.facebook.com/8062627951/posts/10151265549032952","Microsoft previews new JavaScript-like programming language TypeScript - http://tcrn.ch/W8vf9f")</f>
        <v>Microsoft previews new JavaScript-like programming language TypeScript - http://tcrn.ch/W8vf9f</v>
      </c>
      <c r="C1121" s="3">
        <v>41183.390185185184</v>
      </c>
      <c r="D1121" s="2">
        <v>343</v>
      </c>
      <c r="E1121" s="2">
        <v>49</v>
      </c>
      <c r="F1121" s="2" t="s">
        <v>7</v>
      </c>
      <c r="G1121" s="2" t="s">
        <v>8</v>
      </c>
    </row>
    <row r="1122" spans="1:7" ht="45" x14ac:dyDescent="0.25">
      <c r="A1122" s="4" t="str">
        <f>HYPERLINK("http://www.facebook.com/photo.php?fbid=10151265512577952&amp;set=a.114456157951.118433.8062627951&amp;type=1&amp;relevant_count=1","[Photo]")</f>
        <v>[Photo]</v>
      </c>
      <c r="B1122" s="4" t="str">
        <f>HYPERLINK("http://www.facebook.com/8062627951/posts/10151265512617952","Report: iPad mini press event invitations going out October 10th. Are you ready for a smaller iPad? - http://tcrn.ch/PS2tah")</f>
        <v>Report: iPad mini press event invitations going out October 10th. Are you ready for a smaller iPad? - http://tcrn.ch/PS2tah</v>
      </c>
      <c r="C1122" s="3">
        <v>41183.376296296294</v>
      </c>
      <c r="D1122" s="2">
        <v>155</v>
      </c>
      <c r="E1122" s="2">
        <v>43</v>
      </c>
      <c r="F1122" s="2" t="s">
        <v>8</v>
      </c>
      <c r="G1122" s="2" t="s">
        <v>8</v>
      </c>
    </row>
    <row r="1123" spans="1:7" ht="30" x14ac:dyDescent="0.25">
      <c r="A1123" s="4" t="str">
        <f>HYPERLINK("http://techcrunch.com/2012/09/30/paperwhite-kindle-review/","The Kindle Paperwhite Is A Reader’s Dream")</f>
        <v>The Kindle Paperwhite Is A Reader’s Dream</v>
      </c>
      <c r="B1123" s="4" t="str">
        <f>HYPERLINK("http://www.facebook.com/8062627951/posts/286635508117540","The Kindle Paperwhite is available starting today. Here's our review. Spoiler: It's great.")</f>
        <v>The Kindle Paperwhite is available starting today. Here's our review. Spoiler: It's great.</v>
      </c>
      <c r="C1123" s="3">
        <v>41183.22792824074</v>
      </c>
      <c r="D1123" s="2">
        <v>78</v>
      </c>
      <c r="E1123" s="2">
        <v>2</v>
      </c>
      <c r="F1123" s="2" t="s">
        <v>7</v>
      </c>
      <c r="G1123" s="2" t="s">
        <v>7</v>
      </c>
    </row>
    <row r="1124" spans="1:7" ht="45" x14ac:dyDescent="0.25">
      <c r="A1124" s="4" t="str">
        <f>HYPERLINK("http://techcrunch.com/2012/09/30/freedompop-opens-its-freemium-internet-service-to-the-masses-with-new-public-beta/","FreedomPop Opens Its Freemium Internet Service To The Masses With New Public Beta")</f>
        <v>FreedomPop Opens Its Freemium Internet Service To The Masses With New Public Beta</v>
      </c>
      <c r="B1124" s="4" t="str">
        <f>HYPERLINK("http://www.facebook.com/8062627951/posts/446696162049336","Come get some free 4G wireless internet!")</f>
        <v>Come get some free 4G wireless internet!</v>
      </c>
      <c r="C1124" s="3">
        <v>41183.144745370373</v>
      </c>
      <c r="D1124" s="2">
        <v>38</v>
      </c>
      <c r="E1124" s="2">
        <v>2</v>
      </c>
      <c r="F1124" s="2" t="s">
        <v>7</v>
      </c>
      <c r="G1124" s="2" t="s">
        <v>7</v>
      </c>
    </row>
    <row r="1125" spans="1:7" ht="30" x14ac:dyDescent="0.25">
      <c r="A1125" s="4" t="str">
        <f>HYPERLINK("http://www.facebook.com/photo.php?fbid=10151264249622952&amp;set=a.114456157951.118433.8062627951&amp;type=1&amp;relevant_count=1","[Photo]")</f>
        <v>[Photo]</v>
      </c>
      <c r="B1125" s="4" t="str">
        <f>HYPERLINK("http://www.facebook.com/8062627951/posts/10151264249647952","Iterations: We Know About B2B And B2C, But Don’t Overlook B2D - http://tcrn.ch/PPJtcG")</f>
        <v>Iterations: We Know About B2B And B2C, But Don’t Overlook B2D - http://tcrn.ch/PPJtcG</v>
      </c>
      <c r="C1125" s="3">
        <v>41182.557245370372</v>
      </c>
      <c r="D1125" s="2">
        <v>56</v>
      </c>
      <c r="E1125" s="2">
        <v>2</v>
      </c>
      <c r="F1125" s="2" t="s">
        <v>7</v>
      </c>
      <c r="G1125" s="2" t="s">
        <v>8</v>
      </c>
    </row>
    <row r="1126" spans="1:7" ht="30" x14ac:dyDescent="0.25">
      <c r="A1126" s="4" t="str">
        <f>HYPERLINK("http://www.facebook.com/photo.php?fbid=10151264147457952&amp;set=a.114456157951.118433.8062627951&amp;type=1&amp;relevant_count=1","[Photo]")</f>
        <v>[Photo]</v>
      </c>
      <c r="B1126" s="4" t="str">
        <f>HYPERLINK("http://www.facebook.com/8062627951/posts/10151264147492952","Five big changes in the iOS 6 App Store (and what developers should do) - http://tcrn.ch/R5cHmY")</f>
        <v>Five big changes in the iOS 6 App Store (and what developers should do) - http://tcrn.ch/R5cHmY</v>
      </c>
      <c r="C1126" s="3">
        <v>41182.50472222222</v>
      </c>
      <c r="D1126" s="2">
        <v>86</v>
      </c>
      <c r="E1126" s="2">
        <v>3</v>
      </c>
      <c r="F1126" s="2" t="s">
        <v>7</v>
      </c>
      <c r="G1126" s="2" t="s">
        <v>8</v>
      </c>
    </row>
    <row r="1127" spans="1:7" ht="30" x14ac:dyDescent="0.25">
      <c r="A1127" s="4" t="str">
        <f>HYPERLINK("http://www.facebook.com/photo.php?fbid=10151263415897952&amp;set=a.114456157951.118433.8062627951&amp;type=1&amp;relevant_count=1","[Photo]")</f>
        <v>[Photo]</v>
      </c>
      <c r="B1127" s="4" t="str">
        <f>HYPERLINK("http://www.facebook.com/8062627951/posts/10151263415912952","Italians take up the torch to ignite their own tech startup scene - http://tcrn.ch/P3s8Qn")</f>
        <v>Italians take up the torch to ignite their own tech startup scene - http://tcrn.ch/P3s8Qn</v>
      </c>
      <c r="C1127" s="3">
        <v>41182.033888888887</v>
      </c>
      <c r="D1127" s="2">
        <v>258</v>
      </c>
      <c r="E1127" s="2">
        <v>19</v>
      </c>
      <c r="F1127" s="2" t="s">
        <v>7</v>
      </c>
      <c r="G1127" s="2" t="s">
        <v>8</v>
      </c>
    </row>
    <row r="1128" spans="1:7" ht="45" x14ac:dyDescent="0.25">
      <c r="A1128" s="4" t="str">
        <f>HYPERLINK("http://techcrunch.com/2012/09/29/hate/","Hate ")</f>
        <v xml:space="preserve">Hate </v>
      </c>
      <c r="B1128" s="4" t="s">
        <v>67</v>
      </c>
      <c r="C1128" s="3">
        <v>41181.789988425924</v>
      </c>
      <c r="D1128" s="2">
        <v>57</v>
      </c>
      <c r="E1128" s="2">
        <v>5</v>
      </c>
      <c r="F1128" s="2" t="s">
        <v>7</v>
      </c>
      <c r="G1128" s="2" t="s">
        <v>7</v>
      </c>
    </row>
    <row r="1129" spans="1:7" ht="30" x14ac:dyDescent="0.25">
      <c r="A1129" s="4" t="str">
        <f>HYPERLINK("http://techcrunch.com/2012/09/29/should-you-trust-your-gut-without-a-doubt-yes/","Should You Trust Your Gut? The Answer Is Yes.")</f>
        <v>Should You Trust Your Gut? The Answer Is Yes.</v>
      </c>
      <c r="B1129" s="4" t="str">
        <f>HYPERLINK("http://www.facebook.com/8062627951/posts/211362218993826","Do you trust yours?")</f>
        <v>Do you trust yours?</v>
      </c>
      <c r="C1129" s="3">
        <v>41181.548831018517</v>
      </c>
      <c r="D1129" s="2">
        <v>84</v>
      </c>
      <c r="E1129" s="2">
        <v>11</v>
      </c>
      <c r="F1129" s="2" t="s">
        <v>8</v>
      </c>
      <c r="G1129" s="2" t="s">
        <v>7</v>
      </c>
    </row>
    <row r="1130" spans="1:7" ht="30" x14ac:dyDescent="0.25">
      <c r="A1130" s="4" t="str">
        <f>HYPERLINK("http://techcrunch.com/2012/09/29/facebook-messenger-ios-6-iphone-5-support/","Facebook Updates Messenger For iOS With New Chat UI, iOS 6 And iPhone 5 Support ")</f>
        <v xml:space="preserve">Facebook Updates Messenger For iOS With New Chat UI, iOS 6 And iPhone 5 Support </v>
      </c>
      <c r="B1130" s="4" t="str">
        <f>HYPERLINK("http://www.facebook.com/8062627951/posts/319788608119680","Facebook just launched a new version of its Messenger app for iOS. Like it?")</f>
        <v>Facebook just launched a new version of its Messenger app for iOS. Like it?</v>
      </c>
      <c r="C1130" s="3">
        <v>41181.504733796297</v>
      </c>
      <c r="D1130" s="2">
        <v>76</v>
      </c>
      <c r="E1130" s="2">
        <v>26</v>
      </c>
      <c r="F1130" s="2" t="s">
        <v>8</v>
      </c>
      <c r="G1130" s="2" t="s">
        <v>7</v>
      </c>
    </row>
    <row r="1131" spans="1:7" ht="30" x14ac:dyDescent="0.25">
      <c r="A1131" s="4" t="str">
        <f>HYPERLINK("http://www.facebook.com/photo.php?fbid=10151262639387952&amp;set=a.114456157951.118433.8062627951&amp;type=1&amp;relevant_count=1","[Photo]")</f>
        <v>[Photo]</v>
      </c>
      <c r="B1131" s="4" t="str">
        <f>HYPERLINK("http://www.facebook.com/8062627951/posts/10151262639417952","Lessons from the dramatic slow-motion death of Wikitravel - http://tcrn.ch/Qz5Zs3 -")</f>
        <v>Lessons from the dramatic slow-motion death of Wikitravel - http://tcrn.ch/Qz5Zs3 -</v>
      </c>
      <c r="C1131" s="3">
        <v>41181.449884259258</v>
      </c>
      <c r="D1131" s="2">
        <v>57</v>
      </c>
      <c r="E1131" s="2">
        <v>3</v>
      </c>
      <c r="F1131" s="2" t="s">
        <v>7</v>
      </c>
      <c r="G1131" s="2" t="s">
        <v>8</v>
      </c>
    </row>
    <row r="1132" spans="1:7" ht="75" x14ac:dyDescent="0.25">
      <c r="A1132" s="4" t="str">
        <f>HYPERLINK("http://techcrunch.com/2012/09/28/rest-in-peace-charles-alfred-eldon-a-pioneer-of-silicon-valley-a-role-model-for-this-new-generation/","Rest In Peace, Charles Alfred Eldon: A Pioneer Of Silicon Valley, A Role Model For This New Generati")</f>
        <v>Rest In Peace, Charles Alfred Eldon: A Pioneer Of Silicon Valley, A Role Model For This New Generati</v>
      </c>
      <c r="B1132" s="4" t="s">
        <v>68</v>
      </c>
      <c r="C1132" s="3">
        <v>41180.658912037034</v>
      </c>
      <c r="D1132" s="2">
        <v>138</v>
      </c>
      <c r="E1132" s="2">
        <v>6</v>
      </c>
      <c r="F1132" s="2" t="s">
        <v>7</v>
      </c>
      <c r="G1132" s="2" t="s">
        <v>7</v>
      </c>
    </row>
    <row r="1133" spans="1:7" ht="30" x14ac:dyDescent="0.25">
      <c r="A1133" s="4" t="str">
        <f>HYPERLINK("http://www.facebook.com/photo.php?fbid=10151261592532952&amp;set=a.114456157951.118433.8062627951&amp;type=1&amp;relevant_count=1","[Photo]")</f>
        <v>[Photo]</v>
      </c>
      <c r="B1133" s="4" t="str">
        <f>HYPERLINK("http://www.facebook.com/8062627951/posts/10151261592592952","TechCrunch giveaway: free tickets to Box’s 2012 #BoxWorks event. Enter for a chance to win - http://tcrn.ch/RoXQG1")</f>
        <v>TechCrunch giveaway: free tickets to Box’s 2012 #BoxWorks event. Enter for a chance to win - http://tcrn.ch/RoXQG1</v>
      </c>
      <c r="C1133" s="3">
        <v>41180.626296296294</v>
      </c>
      <c r="D1133" s="2">
        <v>46</v>
      </c>
      <c r="E1133" s="2">
        <v>9</v>
      </c>
      <c r="F1133" s="2" t="s">
        <v>7</v>
      </c>
      <c r="G1133" s="2" t="s">
        <v>8</v>
      </c>
    </row>
    <row r="1134" spans="1:7" ht="45" x14ac:dyDescent="0.25">
      <c r="A1134" s="4" t="str">
        <f>HYPERLINK("http://techcrunch.com/2012/09/28/color-ceo-nguyen-is-out/","Color CEO Bill Nguyen Checks Out Of Day-To-Day Operations, While A New Leadership Team Re-Tools ")</f>
        <v xml:space="preserve">Color CEO Bill Nguyen Checks Out Of Day-To-Day Operations, While A New Leadership Team Re-Tools </v>
      </c>
      <c r="B1134" s="4" t="str">
        <f>HYPERLINK("http://www.facebook.com/8062627951/posts/446791832028988","Looks like there is turmoil at the executive levels of Color Labs.")</f>
        <v>Looks like there is turmoil at the executive levels of Color Labs.</v>
      </c>
      <c r="C1134" s="3">
        <v>41180.46671296296</v>
      </c>
      <c r="D1134" s="2">
        <v>20</v>
      </c>
      <c r="E1134" s="2">
        <v>0</v>
      </c>
      <c r="F1134" s="2" t="s">
        <v>7</v>
      </c>
      <c r="G1134" s="2" t="s">
        <v>7</v>
      </c>
    </row>
    <row r="1135" spans="1:7" ht="30" x14ac:dyDescent="0.25">
      <c r="A1135" s="4" t="str">
        <f>HYPERLINK("http://www.facebook.com/photo.php?fbid=10151261301527952&amp;set=a.114456157951.118433.8062627951&amp;type=1&amp;relevant_count=1","[Photo]")</f>
        <v>[Photo]</v>
      </c>
      <c r="B1135" s="4" t="str">
        <f>HYPERLINK("http://www.facebook.com/8062627951/posts/10151261301552952","Sprint and Motorola party like it’s 2010: Motorola XPRT finally gets a taste of Gingerbread - http://tcrn.ch/Pwv8Rf")</f>
        <v>Sprint and Motorola party like it’s 2010: Motorola XPRT finally gets a taste of Gingerbread - http://tcrn.ch/Pwv8Rf</v>
      </c>
      <c r="C1135" s="3">
        <v>41180.438217592593</v>
      </c>
      <c r="D1135" s="2">
        <v>33</v>
      </c>
      <c r="E1135" s="2">
        <v>4</v>
      </c>
      <c r="F1135" s="2" t="s">
        <v>7</v>
      </c>
      <c r="G1135" s="2" t="s">
        <v>8</v>
      </c>
    </row>
    <row r="1136" spans="1:7" ht="30" x14ac:dyDescent="0.25">
      <c r="A1136" s="4" t="str">
        <f>HYPERLINK("http://techcrunch.com/2012/09/28/apple-is-heavily-promoting-alternative-map-apps-on-the-app-store/","Apple Is Heavily Promoting Alternative Map Apps On The App Store")</f>
        <v>Apple Is Heavily Promoting Alternative Map Apps On The App Store</v>
      </c>
      <c r="B1136" s="4" t="str">
        <f>HYPERLINK("http://www.facebook.com/8062627951/posts/418222241560240","First, Apple apologized. Now, the App Store is showing alternative mapping services.")</f>
        <v>First, Apple apologized. Now, the App Store is showing alternative mapping services.</v>
      </c>
      <c r="C1136" s="3">
        <v>41180.386574074073</v>
      </c>
      <c r="D1136" s="2">
        <v>225</v>
      </c>
      <c r="E1136" s="2">
        <v>46</v>
      </c>
      <c r="F1136" s="2" t="s">
        <v>7</v>
      </c>
      <c r="G1136" s="2" t="s">
        <v>7</v>
      </c>
    </row>
    <row r="1137" spans="1:7" ht="45" x14ac:dyDescent="0.25">
      <c r="A1137" s="4" t="str">
        <f>HYPERLINK("http://techcrunch.com/2012/09/28/blackberry-10-touch-qwerty-devices-leak-in-video-rim-wants-lady-gaga-to-help-sell-bb10/","BlackBerry 10 Touch, Qwerty Devices Leak In Video; RIM Wants Lady Gaga To Help Sell BB10")</f>
        <v>BlackBerry 10 Touch, Qwerty Devices Leak In Video; RIM Wants Lady Gaga To Help Sell BB10</v>
      </c>
      <c r="B1137" s="4" t="str">
        <f>HYPERLINK("http://www.facebook.com/8062627951/posts/422206134507878","Here's the first look at the upcoming BB10 devices.")</f>
        <v>Here's the first look at the upcoming BB10 devices.</v>
      </c>
      <c r="C1137" s="3">
        <v>41180.26390046296</v>
      </c>
      <c r="D1137" s="2">
        <v>38</v>
      </c>
      <c r="E1137" s="2">
        <v>7</v>
      </c>
      <c r="F1137" s="2" t="s">
        <v>7</v>
      </c>
      <c r="G1137" s="2" t="s">
        <v>7</v>
      </c>
    </row>
    <row r="1138" spans="1:7" ht="30" x14ac:dyDescent="0.25">
      <c r="A1138" s="4" t="str">
        <f>HYPERLINK("http://www.facebook.com/photo.php?fbid=10151260959837952&amp;set=a.114456157951.118433.8062627951&amp;type=1&amp;relevant_count=1","[Photo]")</f>
        <v>[Photo]</v>
      </c>
      <c r="B1138" s="4" t="str">
        <f>HYPERLINK("http://www.facebook.com/8062627951/posts/10151260959887952","Google Maps, now with more high-res satellite and 45° aerial imagery - http://tcrn.ch/USoRER")</f>
        <v>Google Maps, now with more high-res satellite and 45° aerial imagery - http://tcrn.ch/USoRER</v>
      </c>
      <c r="C1138" s="3">
        <v>41180.228854166664</v>
      </c>
      <c r="D1138" s="2">
        <v>373</v>
      </c>
      <c r="E1138" s="2">
        <v>22</v>
      </c>
      <c r="F1138" s="2" t="s">
        <v>7</v>
      </c>
      <c r="G1138" s="2" t="s">
        <v>8</v>
      </c>
    </row>
    <row r="1139" spans="1:7" ht="30" x14ac:dyDescent="0.25">
      <c r="A1139" s="4" t="str">
        <f>HYPERLINK("http://techcrunch.com/2012/09/28/tim-cook-apologizes-for-apple-maps-points-to-competitive-alternatives/","Tim Cook Apologizes For Apple Maps, Points To Competitive Alternatives")</f>
        <v>Tim Cook Apologizes For Apple Maps, Points To Competitive Alternatives</v>
      </c>
      <c r="B1139" s="4" t="str">
        <f>HYPERLINK("http://www.facebook.com/8062627951/posts/440230869352739","Apple Maps suck so bad Tim Cook has officially apologized. Here's the letter.")</f>
        <v>Apple Maps suck so bad Tim Cook has officially apologized. Here's the letter.</v>
      </c>
      <c r="C1139" s="3">
        <v>41180.201006944444</v>
      </c>
      <c r="D1139" s="2">
        <v>497</v>
      </c>
      <c r="E1139" s="2">
        <v>75</v>
      </c>
      <c r="F1139" s="2" t="s">
        <v>7</v>
      </c>
      <c r="G1139" s="2" t="s">
        <v>7</v>
      </c>
    </row>
    <row r="1140" spans="1:7" ht="30" x14ac:dyDescent="0.25">
      <c r="A1140" s="4" t="str">
        <f>HYPERLINK("http://techcrunch.com/2012/09/28/apples-iphone-5-availability-expands-what-it-means-to-regional-carriers/","Apple’s iPhone 5 Availability Expands: What It Means To Regional Carriers")</f>
        <v>Apple’s iPhone 5 Availability Expands: What It Means To Regional Carriers</v>
      </c>
      <c r="B1140" s="4" t="str">
        <f>HYPERLINK("http://www.facebook.com/8062627951/posts/348045328618151","The iPhone 5 is now available on a lot more carriers.")</f>
        <v>The iPhone 5 is now available on a lot more carriers.</v>
      </c>
      <c r="C1140" s="3">
        <v>41180.173437500001</v>
      </c>
      <c r="D1140" s="2">
        <v>29</v>
      </c>
      <c r="E1140" s="2">
        <v>5</v>
      </c>
      <c r="F1140" s="2" t="s">
        <v>7</v>
      </c>
      <c r="G1140" s="2" t="s">
        <v>7</v>
      </c>
    </row>
    <row r="1141" spans="1:7" ht="30" x14ac:dyDescent="0.25">
      <c r="A1141" s="4" t="str">
        <f>HYPERLINK("http://techcrunch.com/2012/09/27/an-afternoon-with-bad-piggies-rovios-next-hit/","An Afternoon With Bad Piggies, Rovio’s Next Hit")</f>
        <v>An Afternoon With Bad Piggies, Rovio’s Next Hit</v>
      </c>
      <c r="B1141" s="4" t="str">
        <f>HYPERLINK("http://www.facebook.com/8062627951/posts/119558308194133","Have you played Bad Piggies yet?")</f>
        <v>Have you played Bad Piggies yet?</v>
      </c>
      <c r="C1141" s="3">
        <v>41179.70957175926</v>
      </c>
      <c r="D1141" s="2">
        <v>37</v>
      </c>
      <c r="E1141" s="2">
        <v>5</v>
      </c>
      <c r="F1141" s="2" t="s">
        <v>8</v>
      </c>
      <c r="G1141" s="2" t="s">
        <v>7</v>
      </c>
    </row>
    <row r="1142" spans="1:7" x14ac:dyDescent="0.25">
      <c r="A1142" s="4" t="str">
        <f>HYPERLINK("http://www.facebook.com/photo.php?fbid=10151260256497952&amp;set=a.10151134316772952.498619.8062627951&amp;type=1&amp;relevant_count=1","[Photo]")</f>
        <v>[Photo]</v>
      </c>
      <c r="B1142" s="4" t="str">
        <f>HYPERLINK("http://www.facebook.com/8062627951/posts/10151260256572952","Best photobomb of the day. ")</f>
        <v xml:space="preserve">Best photobomb of the day. </v>
      </c>
      <c r="C1142" s="3">
        <v>41179.662789351853</v>
      </c>
      <c r="D1142" s="2">
        <v>2345</v>
      </c>
      <c r="E1142" s="2">
        <v>162</v>
      </c>
      <c r="F1142" s="2" t="s">
        <v>7</v>
      </c>
      <c r="G1142" s="2" t="s">
        <v>8</v>
      </c>
    </row>
    <row r="1143" spans="1:7" ht="30" x14ac:dyDescent="0.25">
      <c r="A1143" s="4" t="str">
        <f>HYPERLINK("http://www.facebook.com/photo.php?fbid=10151260240357952&amp;set=a.114456157951.118433.8062627951&amp;type=1&amp;relevant_count=1","[Photo]")</f>
        <v>[Photo]</v>
      </c>
      <c r="B1143" s="4" t="str">
        <f>HYPERLINK("http://www.facebook.com/8062627951/posts/10151260240377952","Most docks should work with the Lightning adapter and iPhone 5 - http://tcrn.ch/Q5wPG0")</f>
        <v>Most docks should work with the Lightning adapter and iPhone 5 - http://tcrn.ch/Q5wPG0</v>
      </c>
      <c r="C1143" s="3">
        <v>41179.652939814812</v>
      </c>
      <c r="D1143" s="2">
        <v>31</v>
      </c>
      <c r="E1143" s="2">
        <v>6</v>
      </c>
      <c r="F1143" s="2" t="s">
        <v>7</v>
      </c>
      <c r="G1143" s="2" t="s">
        <v>8</v>
      </c>
    </row>
    <row r="1144" spans="1:7" ht="30" x14ac:dyDescent="0.25">
      <c r="A1144" s="4" t="str">
        <f>HYPERLINK("http://techcrunch.com/2012/09/27/have-just-a-phone-number-ios-6-facebook-integration-can-fill-in-the-blanks/","Have Just A Phone Number? iOS 6 Facebook Integration Can Fill In The Blanks ")</f>
        <v xml:space="preserve">Have Just A Phone Number? iOS 6 Facebook Integration Can Fill In The Blanks </v>
      </c>
      <c r="B1144" s="4" t="str">
        <f>HYPERLINK("http://www.facebook.com/8062627951/posts/346956315397861","Have just a phone number? iOS 6 Facebook integration can fill in the profile picture and name for you.")</f>
        <v>Have just a phone number? iOS 6 Facebook integration can fill in the profile picture and name for you.</v>
      </c>
      <c r="C1144" s="3">
        <v>41179.570543981485</v>
      </c>
      <c r="D1144" s="2">
        <v>67</v>
      </c>
      <c r="E1144" s="2">
        <v>41</v>
      </c>
      <c r="F1144" s="2" t="s">
        <v>8</v>
      </c>
      <c r="G1144" s="2" t="s">
        <v>7</v>
      </c>
    </row>
    <row r="1145" spans="1:7" ht="45" x14ac:dyDescent="0.25">
      <c r="A1145" s="4" t="str">
        <f>HYPERLINK("http://www.facebook.com/photo.php?fbid=10151260011437952&amp;set=a.114456157951.118433.8062627951&amp;type=1&amp;relevant_count=1","[Photo]")</f>
        <v>[Photo]</v>
      </c>
      <c r="B1145" s="4" t="str">
        <f>HYPERLINK("http://www.facebook.com/8062627951/posts/10151260011467952","From socks to Starbucks: Facebook launches ‘Gifts’ to take on Amazon and let you buy hundreds of real products for your friends - http://tcrn.ch/QrVZAS")</f>
        <v>From socks to Starbucks: Facebook launches ‘Gifts’ to take on Amazon and let you buy hundreds of real products for your friends - http://tcrn.ch/QrVZAS</v>
      </c>
      <c r="C1145" s="3">
        <v>41179.526944444442</v>
      </c>
      <c r="D1145" s="2">
        <v>123</v>
      </c>
      <c r="E1145" s="2">
        <v>9</v>
      </c>
      <c r="F1145" s="2" t="s">
        <v>7</v>
      </c>
      <c r="G1145" s="2" t="s">
        <v>8</v>
      </c>
    </row>
    <row r="1146" spans="1:7" ht="45" x14ac:dyDescent="0.25">
      <c r="A1146" s="4" t="str">
        <f>HYPERLINK("http://techcrunch.com/2012/09/27/growing-its-influence-klout-gets-strategic-investment-from-microsoft-and-serious-bing-integration/","Growing Its Influence, Klout Gets Strategic Investment From Microsoft — And Serious Bing Integration")</f>
        <v>Growing Its Influence, Klout Gets Strategic Investment From Microsoft — And Serious Bing Integration</v>
      </c>
      <c r="B1146" s="4" t="str">
        <f>HYPERLINK("http://www.facebook.com/8062627951/posts/528450100504024","Klout has just signed a strategic investment and partnership with Microsoft that, on top of new funding, will create a product and business relationship with the Bing team.")</f>
        <v>Klout has just signed a strategic investment and partnership with Microsoft that, on top of new funding, will create a product and business relationship with the Bing team.</v>
      </c>
      <c r="C1146" s="3">
        <v>41179.476805555554</v>
      </c>
      <c r="D1146" s="2">
        <v>74</v>
      </c>
      <c r="E1146" s="2">
        <v>12</v>
      </c>
      <c r="F1146" s="2" t="s">
        <v>7</v>
      </c>
      <c r="G1146" s="2" t="s">
        <v>7</v>
      </c>
    </row>
    <row r="1147" spans="1:7" ht="30" x14ac:dyDescent="0.25">
      <c r="A1147" s="4" t="str">
        <f>HYPERLINK("http://www.facebook.com/photo.php?fbid=10151259892382952&amp;set=a.114456157951.118433.8062627951&amp;type=1&amp;relevant_count=1","[Photo]")</f>
        <v>[Photo]</v>
      </c>
      <c r="B1147" s="4" t="str">
        <f>HYPERLINK("http://www.facebook.com/8062627951/posts/10151259892412952","Google introduces an easier way to sync Gmail contacts to your iPhone - http://tcrn.ch/NTyobT")</f>
        <v>Google introduces an easier way to sync Gmail contacts to your iPhone - http://tcrn.ch/NTyobT</v>
      </c>
      <c r="C1147" s="3">
        <v>41179.457557870373</v>
      </c>
      <c r="D1147" s="2">
        <v>185</v>
      </c>
      <c r="E1147" s="2">
        <v>17</v>
      </c>
      <c r="F1147" s="2" t="s">
        <v>7</v>
      </c>
      <c r="G1147" s="2" t="s">
        <v>8</v>
      </c>
    </row>
    <row r="1148" spans="1:7" ht="30" x14ac:dyDescent="0.25">
      <c r="A1148" s="4" t="str">
        <f>HYPERLINK("http://www.facebook.com/photo.php?fbid=10151259868537952&amp;set=a.114456157951.118433.8062627951&amp;type=1&amp;relevant_count=1","[Photo]")</f>
        <v>[Photo]</v>
      </c>
      <c r="B1148" s="4" t="str">
        <f>HYPERLINK("http://www.facebook.com/8062627951/posts/10151259868562952","What's the best way for your business to buy more Facebook Fans? Mobile news feed ads - http://tcrn.ch/Pa8rko")</f>
        <v>What's the best way for your business to buy more Facebook Fans? Mobile news feed ads - http://tcrn.ch/Pa8rko</v>
      </c>
      <c r="C1148" s="3">
        <v>41179.442743055559</v>
      </c>
      <c r="D1148" s="2">
        <v>29</v>
      </c>
      <c r="E1148" s="2">
        <v>12</v>
      </c>
      <c r="F1148" s="2" t="s">
        <v>8</v>
      </c>
      <c r="G1148" s="2" t="s">
        <v>8</v>
      </c>
    </row>
    <row r="1149" spans="1:7" x14ac:dyDescent="0.25">
      <c r="A1149" s="4" t="str">
        <f>HYPERLINK("http://www.facebook.com/photo.php?fbid=10151259802492952&amp;set=a.114456157951.118433.8062627951&amp;type=1&amp;relevant_count=1","[Photo]")</f>
        <v>[Photo]</v>
      </c>
      <c r="B1149" s="4" t="str">
        <f>HYPERLINK("http://www.facebook.com/8062627951/posts/10151259802522952","Happy 14th birthday, Google! http://tcrn.ch/SnzYDG")</f>
        <v>Happy 14th birthday, Google! http://tcrn.ch/SnzYDG</v>
      </c>
      <c r="C1149" s="3">
        <v>41179.411956018521</v>
      </c>
      <c r="D1149" s="2">
        <v>311</v>
      </c>
      <c r="E1149" s="2">
        <v>12</v>
      </c>
      <c r="F1149" s="2" t="s">
        <v>7</v>
      </c>
      <c r="G1149" s="2" t="s">
        <v>8</v>
      </c>
    </row>
    <row r="1150" spans="1:7" ht="60" x14ac:dyDescent="0.25">
      <c r="A1150" s="4" t="str">
        <f>HYPERLINK("http://techcrunch.com/2012/09/27/googles-eric-schmidt-talks-apple-partnership-samsung-and-patent-problems/","Google’s Eric Schmidt Talks Apple Partnership, Samsung And Patent Problems")</f>
        <v>Google’s Eric Schmidt Talks Apple Partnership, Samsung And Patent Problems</v>
      </c>
      <c r="B1150" s="4" t="s">
        <v>69</v>
      </c>
      <c r="C1150" s="3">
        <v>41179.38958333333</v>
      </c>
      <c r="D1150" s="2">
        <v>149</v>
      </c>
      <c r="E1150" s="2">
        <v>23</v>
      </c>
      <c r="F1150" s="2" t="s">
        <v>7</v>
      </c>
      <c r="G1150" s="2" t="s">
        <v>7</v>
      </c>
    </row>
    <row r="1151" spans="1:7" ht="30" x14ac:dyDescent="0.25">
      <c r="A1151" s="4" t="str">
        <f>HYPERLINK("http://www.facebook.com/photo.php?fbid=10151259733127952&amp;set=a.114456157951.118433.8062627951&amp;type=1&amp;relevant_count=1","[Photo]")</f>
        <v>[Photo]</v>
      </c>
      <c r="B1151" s="4" t="str">
        <f>HYPERLINK("http://www.facebook.com/8062627951/posts/10151259733157952","A guide to guest columns on TechCrunch - http://tcrn.ch/OrNLKk")</f>
        <v>A guide to guest columns on TechCrunch - http://tcrn.ch/OrNLKk</v>
      </c>
      <c r="C1151" s="3">
        <v>41179.375277777777</v>
      </c>
      <c r="D1151" s="2">
        <v>16</v>
      </c>
      <c r="E1151" s="2">
        <v>0</v>
      </c>
      <c r="F1151" s="2" t="s">
        <v>7</v>
      </c>
      <c r="G1151" s="2" t="s">
        <v>8</v>
      </c>
    </row>
    <row r="1152" spans="1:7" ht="30" x14ac:dyDescent="0.25">
      <c r="A1152" s="4" t="str">
        <f>HYPERLINK("http://www.facebook.com/photo.php?fbid=10151259672007952&amp;set=a.114456157951.118433.8062627951&amp;type=1&amp;relevant_count=1","[Photo]")</f>
        <v>[Photo]</v>
      </c>
      <c r="B1152" s="4" t="str">
        <f>HYPERLINK("http://www.facebook.com/8062627951/posts/10151259672032952","Airbnb mobile traffic soars as its iOS app passes 1 million downloads - http://tcrn.ch/Scx3cZ")</f>
        <v>Airbnb mobile traffic soars as its iOS app passes 1 million downloads - http://tcrn.ch/Scx3cZ</v>
      </c>
      <c r="C1152" s="3">
        <v>41179.343032407407</v>
      </c>
      <c r="D1152" s="2">
        <v>63</v>
      </c>
      <c r="E1152" s="2">
        <v>1</v>
      </c>
      <c r="F1152" s="2" t="s">
        <v>7</v>
      </c>
      <c r="G1152" s="2" t="s">
        <v>8</v>
      </c>
    </row>
    <row r="1153" spans="1:7" ht="30" x14ac:dyDescent="0.25">
      <c r="A1153" s="4" t="str">
        <f>HYPERLINK("http://www.facebook.com/photo.php?fbid=10151259614567952&amp;set=a.114456157951.118433.8062627951&amp;type=1&amp;relevant_count=1","[Photo]")</f>
        <v>[Photo]</v>
      </c>
      <c r="B1153" s="4" t="str">
        <f>HYPERLINK("http://www.facebook.com/8062627951/posts/10151259614602952","Watch Google's Eric Schmidt dance Gangnam style -http://tcrn.ch/QX16X2")</f>
        <v>Watch Google's Eric Schmidt dance Gangnam style -http://tcrn.ch/QX16X2</v>
      </c>
      <c r="C1153" s="3">
        <v>41179.305520833332</v>
      </c>
      <c r="D1153" s="2">
        <v>2477</v>
      </c>
      <c r="E1153" s="2">
        <v>109</v>
      </c>
      <c r="F1153" s="2" t="s">
        <v>7</v>
      </c>
      <c r="G1153" s="2" t="s">
        <v>8</v>
      </c>
    </row>
    <row r="1154" spans="1:7" ht="30" x14ac:dyDescent="0.25">
      <c r="A1154" s="4" t="str">
        <f>HYPERLINK("http://techcrunch.com/2012/09/27/pew-pew-pew-iphone-5-destroyed-by-lasers-video/","Pew Pew Pew! iPhone 5 Destroyed By Lasers [Video]")</f>
        <v>Pew Pew Pew! iPhone 5 Destroyed By Lasers [Video]</v>
      </c>
      <c r="B1154" s="4" t="str">
        <f>HYPERLINK("http://www.facebook.com/8062627951/posts/530275166989004","iPhone 5 vs a 6 Watt Wicked Laser. Enjoy.")</f>
        <v>iPhone 5 vs a 6 Watt Wicked Laser. Enjoy.</v>
      </c>
      <c r="C1154" s="3">
        <v>41179.26122685185</v>
      </c>
      <c r="D1154" s="2">
        <v>63</v>
      </c>
      <c r="E1154" s="2">
        <v>10</v>
      </c>
      <c r="F1154" s="2" t="s">
        <v>7</v>
      </c>
      <c r="G1154" s="2" t="s">
        <v>7</v>
      </c>
    </row>
    <row r="1155" spans="1:7" ht="45" x14ac:dyDescent="0.25">
      <c r="A1155" s="4" t="str">
        <f>HYPERLINK("http://www.facebook.com/photo.php?fbid=10151259078677952&amp;set=a.114456157951.118433.8062627951&amp;type=1&amp;relevant_count=1","[Photo]")</f>
        <v>[Photo]</v>
      </c>
      <c r="B1155" s="4" t="str">
        <f>HYPERLINK("http://www.facebook.com/8062627951/posts/10151259078707952","RIM Employee’s OOO reply this week is both epic and inspiring. Dedicated employees should be praised, not berated. -http://tcrn.ch/NSp0Fs")</f>
        <v>RIM Employee’s OOO reply this week is both epic and inspiring. Dedicated employees should be praised, not berated. -http://tcrn.ch/NSp0Fs</v>
      </c>
      <c r="C1155" s="3">
        <v>41178.848194444443</v>
      </c>
      <c r="D1155" s="2">
        <v>109</v>
      </c>
      <c r="E1155" s="2">
        <v>12</v>
      </c>
      <c r="F1155" s="2" t="s">
        <v>7</v>
      </c>
      <c r="G1155" s="2" t="s">
        <v>8</v>
      </c>
    </row>
    <row r="1156" spans="1:7" ht="30" x14ac:dyDescent="0.25">
      <c r="A1156" s="4" t="str">
        <f>HYPERLINK("http://www.facebook.com/photo.php?fbid=10151258916742952&amp;set=a.114456157951.118433.8062627951&amp;type=1&amp;relevant_count=1","[Photo]")</f>
        <v>[Photo]</v>
      </c>
      <c r="B1156" s="4" t="str">
        <f>HYPERLINK("http://www.facebook.com/8062627951/posts/10151258916762952","Facebook Poke wars just got more epic, as Pokes now update in real-time http://tcrn.ch/QosP5A")</f>
        <v>Facebook Poke wars just got more epic, as Pokes now update in real-time http://tcrn.ch/QosP5A</v>
      </c>
      <c r="C1156" s="3">
        <v>41178.730474537035</v>
      </c>
      <c r="D1156" s="2">
        <v>236</v>
      </c>
      <c r="E1156" s="2">
        <v>36</v>
      </c>
      <c r="F1156" s="2" t="s">
        <v>7</v>
      </c>
      <c r="G1156" s="2" t="s">
        <v>8</v>
      </c>
    </row>
    <row r="1157" spans="1:7" ht="30" x14ac:dyDescent="0.25">
      <c r="A1157" s="4" t="str">
        <f>HYPERLINK("http://techcrunch.com/2012/09/26/airbnb-is-raising-a-big-third-round-aiming-for-a-valuation-north-of-2b/","Airbnb Is Raising A Big Third Round, Aiming For A Valuation North Of $2B")</f>
        <v>Airbnb Is Raising A Big Third Round, Aiming For A Valuation North Of $2B</v>
      </c>
      <c r="B1157" s="4" t="str">
        <f>HYPERLINK("http://www.facebook.com/8062627951/posts/272966432820373","Airbnb is raising around $100 million in a third round of funding at a valuation between $2 billion and $3 billion.")</f>
        <v>Airbnb is raising around $100 million in a third round of funding at a valuation between $2 billion and $3 billion.</v>
      </c>
      <c r="C1157" s="3">
        <v>41178.695486111108</v>
      </c>
      <c r="D1157" s="2">
        <v>128</v>
      </c>
      <c r="E1157" s="2">
        <v>21</v>
      </c>
      <c r="F1157" s="2" t="s">
        <v>7</v>
      </c>
      <c r="G1157" s="2" t="s">
        <v>7</v>
      </c>
    </row>
    <row r="1158" spans="1:7" ht="75" x14ac:dyDescent="0.25">
      <c r="A1158" s="4" t="str">
        <f>HYPERLINK("http://www.facebook.com/photo.php?fbid=10151258838197952&amp;set=a.114456157951.118433.8062627951&amp;type=1&amp;relevant_count=1","[Photo]")</f>
        <v>[Photo]</v>
      </c>
      <c r="B1158" s="4" t="s">
        <v>70</v>
      </c>
      <c r="C1158" s="3">
        <v>41178.678784722222</v>
      </c>
      <c r="D1158" s="2">
        <v>73</v>
      </c>
      <c r="E1158" s="2">
        <v>22</v>
      </c>
      <c r="F1158" s="2" t="s">
        <v>7</v>
      </c>
      <c r="G1158" s="2" t="s">
        <v>8</v>
      </c>
    </row>
    <row r="1159" spans="1:7" ht="45" x14ac:dyDescent="0.25">
      <c r="A1159" s="4" t="str">
        <f>HYPERLINK("http://www.facebook.com/photo.php?fbid=10151258778667952&amp;set=a.114456157951.118433.8062627951&amp;type=1&amp;relevant_count=1","[Photo]")</f>
        <v>[Photo]</v>
      </c>
      <c r="B1159" s="4" t="str">
        <f>HYPERLINK("http://www.facebook.com/8062627951/posts/10151258778692952","Headshot science: faces too close are perceived as less attractive, trustworthy, and competent. What do you think? - http://tcrn.ch/Uvh5MB")</f>
        <v>Headshot science: faces too close are perceived as less attractive, trustworthy, and competent. What do you think? - http://tcrn.ch/Uvh5MB</v>
      </c>
      <c r="C1159" s="3">
        <v>41178.63721064815</v>
      </c>
      <c r="D1159" s="2">
        <v>90</v>
      </c>
      <c r="E1159" s="2">
        <v>38</v>
      </c>
      <c r="F1159" s="2" t="s">
        <v>8</v>
      </c>
      <c r="G1159" s="2" t="s">
        <v>8</v>
      </c>
    </row>
    <row r="1160" spans="1:7" ht="30" x14ac:dyDescent="0.25">
      <c r="A1160" s="4" t="str">
        <f>HYPERLINK("http://techcrunch.com/2012/09/26/to-unlock-a-full-price-att-iphone-5-just-restore-it-in-itunes/","To Unlock A Full Price AT&amp;T iPhone 5, Just Restore It In iTunes")</f>
        <v>To Unlock A Full Price AT&amp;T iPhone 5, Just Restore It In iTunes</v>
      </c>
      <c r="B1160" s="4" t="str">
        <f>HYPERLINK("http://www.facebook.com/8062627951/posts/107550982736084","Check it out:")</f>
        <v>Check it out:</v>
      </c>
      <c r="C1160" s="3">
        <v>41178.604895833334</v>
      </c>
      <c r="D1160" s="2">
        <v>91</v>
      </c>
      <c r="E1160" s="2">
        <v>4</v>
      </c>
      <c r="F1160" s="2" t="s">
        <v>7</v>
      </c>
      <c r="G1160" s="2" t="s">
        <v>7</v>
      </c>
    </row>
    <row r="1161" spans="1:7" ht="45" x14ac:dyDescent="0.25">
      <c r="A1161" s="4" t="str">
        <f>HYPERLINK("http://www.facebook.com/photo.php?fbid=10151258656602952&amp;set=a.114456157951.118433.8062627951&amp;type=1&amp;relevant_count=1","[Photo]")</f>
        <v>[Photo]</v>
      </c>
      <c r="B1161" s="4" t="str">
        <f>HYPERLINK("http://www.facebook.com/8062627951/posts/10151258656642952","Operation Unlike is a go: Page fan counts are dropping because Facebook is deleting fake accounts - http://tcrn.ch/OquTeJ")</f>
        <v>Operation Unlike is a go: Page fan counts are dropping because Facebook is deleting fake accounts - http://tcrn.ch/OquTeJ</v>
      </c>
      <c r="C1161" s="3">
        <v>41178.564687500002</v>
      </c>
      <c r="D1161" s="2">
        <v>552</v>
      </c>
      <c r="E1161" s="2">
        <v>64</v>
      </c>
      <c r="F1161" s="2" t="s">
        <v>7</v>
      </c>
      <c r="G1161" s="2" t="s">
        <v>8</v>
      </c>
    </row>
    <row r="1162" spans="1:7" ht="30" x14ac:dyDescent="0.25">
      <c r="A1162" s="4" t="str">
        <f>HYPERLINK("http://techcrunch.com/2012/09/26/the-problem-with-early-reviews/","The Problem With Early Reviews ")</f>
        <v xml:space="preserve">The Problem With Early Reviews </v>
      </c>
      <c r="B1162" s="4" t="str">
        <f>HYPERLINK("http://www.facebook.com/8062627951/posts/190002227801088","As witnessed by the iPhone 5, early reviews can be incomplete. Here's why.")</f>
        <v>As witnessed by the iPhone 5, early reviews can be incomplete. Here's why.</v>
      </c>
      <c r="C1162" s="3">
        <v>41178.508518518516</v>
      </c>
      <c r="D1162" s="2">
        <v>46</v>
      </c>
      <c r="E1162" s="2">
        <v>15</v>
      </c>
      <c r="F1162" s="2" t="s">
        <v>7</v>
      </c>
      <c r="G1162" s="2" t="s">
        <v>7</v>
      </c>
    </row>
    <row r="1163" spans="1:7" ht="30" x14ac:dyDescent="0.25">
      <c r="A1163" s="4" t="str">
        <f>HYPERLINK("http://www.facebook.com/photo.php?fbid=10151258511587952&amp;set=a.114456157951.118433.8062627951&amp;type=1&amp;relevant_count=1","[Photo]")</f>
        <v>[Photo]</v>
      </c>
      <c r="B1163" s="4" t="str">
        <f>HYPERLINK("http://www.facebook.com/8062627951/posts/10151258511632952","Pollution-eating clothing heads toward commercialization - http://tcrn.ch/OqfWJv")</f>
        <v>Pollution-eating clothing heads toward commercialization - http://tcrn.ch/OqfWJv</v>
      </c>
      <c r="C1163" s="3">
        <v>41178.486828703702</v>
      </c>
      <c r="D1163" s="2">
        <v>53</v>
      </c>
      <c r="E1163" s="2">
        <v>0</v>
      </c>
      <c r="F1163" s="2" t="s">
        <v>7</v>
      </c>
      <c r="G1163" s="2" t="s">
        <v>8</v>
      </c>
    </row>
    <row r="1164" spans="1:7" ht="30" x14ac:dyDescent="0.25">
      <c r="A1164" s="4" t="str">
        <f>HYPERLINK("http://techcrunch.com/2012/09/26/twilio-att-advanced-communications-suite/","Twilio’s Biggest Partnership Yet: AT&amp;T Will Resell Its Cloud Telecom Apps And API")</f>
        <v>Twilio’s Biggest Partnership Yet: AT&amp;T Will Resell Its Cloud Telecom Apps And API</v>
      </c>
      <c r="B1164" s="4" t="str">
        <f>HYPERLINK("http://www.facebook.com/8062627951/posts/358783634205961","Twilio’s business is getting a huge boost today.")</f>
        <v>Twilio’s business is getting a huge boost today.</v>
      </c>
      <c r="C1164" s="3">
        <v>41178.46261574074</v>
      </c>
      <c r="D1164" s="2">
        <v>26</v>
      </c>
      <c r="E1164" s="2">
        <v>0</v>
      </c>
      <c r="F1164" s="2" t="s">
        <v>7</v>
      </c>
      <c r="G1164" s="2" t="s">
        <v>7</v>
      </c>
    </row>
    <row r="1165" spans="1:7" ht="30" x14ac:dyDescent="0.25">
      <c r="A1165" s="4" t="str">
        <f>HYPERLINK("http://www.facebook.com/photo.php?fbid=10151258426002952&amp;set=a.114456157951.118433.8062627951&amp;type=1&amp;relevant_count=1","[Photo]")</f>
        <v>[Photo]</v>
      </c>
      <c r="B1165" s="4" t="str">
        <f>HYPERLINK("http://www.facebook.com/8062627951/posts/10151258426027952","Report: Next iPad could pack a 16:9 widescreen display - http://tcrn.ch/NRhqLm")</f>
        <v>Report: Next iPad could pack a 16:9 widescreen display - http://tcrn.ch/NRhqLm</v>
      </c>
      <c r="C1165" s="3">
        <v>41178.433796296296</v>
      </c>
      <c r="D1165" s="2">
        <v>153</v>
      </c>
      <c r="E1165" s="2">
        <v>30</v>
      </c>
      <c r="F1165" s="2" t="s">
        <v>7</v>
      </c>
      <c r="G1165" s="2" t="s">
        <v>8</v>
      </c>
    </row>
    <row r="1166" spans="1:7" ht="30" x14ac:dyDescent="0.25">
      <c r="A1166" s="4" t="str">
        <f>HYPERLINK("http://www.facebook.com/photo.php?fbid=10151258400327952&amp;set=a.114456157951.118433.8062627951&amp;type=1&amp;relevant_count=1","[Photo]")</f>
        <v>[Photo]</v>
      </c>
      <c r="B1166" s="4" t="str">
        <f>HYPERLINK("http://www.facebook.com/8062627951/posts/10151258400362952","The iPhone 5's camera is faulty, shows purple haze when light source is just out of frame - http://tcrn.ch/RYTmIN")</f>
        <v>The iPhone 5's camera is faulty, shows purple haze when light source is just out of frame - http://tcrn.ch/RYTmIN</v>
      </c>
      <c r="C1166" s="3">
        <v>41178.417384259257</v>
      </c>
      <c r="D1166" s="2">
        <v>332</v>
      </c>
      <c r="E1166" s="2">
        <v>197</v>
      </c>
      <c r="F1166" s="2" t="s">
        <v>7</v>
      </c>
      <c r="G1166" s="2" t="s">
        <v>8</v>
      </c>
    </row>
    <row r="1167" spans="1:7" ht="30" x14ac:dyDescent="0.25">
      <c r="A1167" s="4" t="str">
        <f>HYPERLINK("http://www.facebook.com/photo.php?fbid=10151258349402952&amp;set=a.114456157951.118433.8062627951&amp;type=1&amp;relevant_count=1","[Photo]")</f>
        <v>[Photo]</v>
      </c>
      <c r="B1167" s="4" t="str">
        <f>HYPERLINK("http://www.facebook.com/8062627951/posts/10151258349442952","Facebook integrates with Dropbox to power file-sharing within Facebook Groups - http://tcrn.ch/QaXRKP")</f>
        <v>Facebook integrates with Dropbox to power file-sharing within Facebook Groups - http://tcrn.ch/QaXRKP</v>
      </c>
      <c r="C1167" s="3">
        <v>41178.391435185185</v>
      </c>
      <c r="D1167" s="2">
        <v>1394</v>
      </c>
      <c r="E1167" s="2">
        <v>54</v>
      </c>
      <c r="F1167" s="2" t="s">
        <v>7</v>
      </c>
      <c r="G1167" s="2" t="s">
        <v>8</v>
      </c>
    </row>
    <row r="1168" spans="1:7" ht="45" x14ac:dyDescent="0.25">
      <c r="A1168" s="4" t="str">
        <f>HYPERLINK("http://techcrunch.com/2012/09/26/kickstarters-obsolescence-problem-illustrated-by-a-fantastic-iphone-cable-ill-never-use/","Kickstarter’s Obsolescence Problem, Illustrated By A Fantastic iPhone Cable I’ll Never Use")</f>
        <v>Kickstarter’s Obsolescence Problem, Illustrated By A Fantastic iPhone Cable I’ll Never Use</v>
      </c>
      <c r="B1168" s="4" t="str">
        <f>HYPERLINK("http://www.facebook.com/8062627951/posts/463125127044308","One of the downsides to Kickstarter...")</f>
        <v>One of the downsides to Kickstarter...</v>
      </c>
      <c r="C1168" s="3">
        <v>41178.360023148147</v>
      </c>
      <c r="D1168" s="2">
        <v>33</v>
      </c>
      <c r="E1168" s="2">
        <v>14</v>
      </c>
      <c r="F1168" s="2" t="s">
        <v>7</v>
      </c>
      <c r="G1168" s="2" t="s">
        <v>7</v>
      </c>
    </row>
    <row r="1169" spans="1:7" ht="30" x14ac:dyDescent="0.25">
      <c r="A1169" s="4" t="str">
        <f>HYPERLINK("http://techcrunch.com/2012/09/26/forrester-iphone-app-users-young-and-wealthy-android-app-users-skew-older/","Forrester: iPhone App Users Young And Wealthy, Android App Users Skew Older")</f>
        <v>Forrester: iPhone App Users Young And Wealthy, Android App Users Skew Older</v>
      </c>
      <c r="B1169" s="4" t="str">
        <f>HYPERLINK("http://www.facebook.com/8062627951/posts/473773819322542","Is this right?")</f>
        <v>Is this right?</v>
      </c>
      <c r="C1169" s="3">
        <v>41178.322141203702</v>
      </c>
      <c r="D1169" s="2">
        <v>52</v>
      </c>
      <c r="E1169" s="2">
        <v>27</v>
      </c>
      <c r="F1169" s="2" t="s">
        <v>8</v>
      </c>
      <c r="G1169" s="2" t="s">
        <v>7</v>
      </c>
    </row>
    <row r="1170" spans="1:7" ht="45" x14ac:dyDescent="0.25">
      <c r="A1170" s="4" t="str">
        <f>HYPERLINK("http://techcrunch.com/2012/09/26/watch-out-riaa-kim-dotcom-is-back-and-teasing-megauploads-upcoming-music-service-megabox/","Watch out, RIAA: Kim Dotcom Is Back And Teasing Megaupload’s Upcoming Music Service, Megabox")</f>
        <v>Watch out, RIAA: Kim Dotcom Is Back And Teasing Megaupload’s Upcoming Music Service, Megabox</v>
      </c>
      <c r="B1170" s="4" t="str">
        <f>HYPERLINK("http://www.facebook.com/8062627951/posts/389069451164820","Ready for another music service? Kim Dotcom's Megabox is launching soon and here's the video teaser.")</f>
        <v>Ready for another music service? Kim Dotcom's Megabox is launching soon and here's the video teaser.</v>
      </c>
      <c r="C1170" s="3">
        <v>41178.291342592594</v>
      </c>
      <c r="D1170" s="2">
        <v>65</v>
      </c>
      <c r="E1170" s="2">
        <v>5</v>
      </c>
      <c r="F1170" s="2" t="s">
        <v>8</v>
      </c>
      <c r="G1170" s="2" t="s">
        <v>7</v>
      </c>
    </row>
    <row r="1171" spans="1:7" ht="30" x14ac:dyDescent="0.25">
      <c r="A1171" s="4" t="str">
        <f>HYPERLINK("http://www.facebook.com/photo.php?fbid=10151258118617952&amp;set=a.114456157951.118433.8062627951&amp;type=1&amp;relevant_count=1","[Photo]")</f>
        <v>[Photo]</v>
      </c>
      <c r="B1171" s="4" t="str">
        <f>HYPERLINK("http://www.facebook.com/8062627951/posts/10151258118642952","A sneak peak at the new Yahoo home page redesign? -http://tcrn.ch/UuDKIY")</f>
        <v>A sneak peak at the new Yahoo home page redesign? -http://tcrn.ch/UuDKIY</v>
      </c>
      <c r="C1171" s="3">
        <v>41178.270428240743</v>
      </c>
      <c r="D1171" s="2">
        <v>538</v>
      </c>
      <c r="E1171" s="2">
        <v>317</v>
      </c>
      <c r="F1171" s="2" t="s">
        <v>8</v>
      </c>
      <c r="G1171" s="2" t="s">
        <v>8</v>
      </c>
    </row>
    <row r="1172" spans="1:7" ht="30" x14ac:dyDescent="0.25">
      <c r="A1172" s="4" t="str">
        <f>HYPERLINK("http://techcrunch.com/2012/09/26/survey-ios-6-leads-to-decrease-in-device-satisfaction-among-iphone-users/","Survey: iOS 6 Leads To Decrease In Device Satisfaction Among iPhone Users")</f>
        <v>Survey: iOS 6 Leads To Decrease In Device Satisfaction Among iPhone Users</v>
      </c>
      <c r="B1172" s="4" t="str">
        <f>HYPERLINK("http://www.facebook.com/8062627951/posts/162147347242753","Maybe if the maps worked...")</f>
        <v>Maybe if the maps worked...</v>
      </c>
      <c r="C1172" s="3">
        <v>41178.209976851853</v>
      </c>
      <c r="D1172" s="2">
        <v>94</v>
      </c>
      <c r="E1172" s="2">
        <v>26</v>
      </c>
      <c r="F1172" s="2" t="s">
        <v>7</v>
      </c>
      <c r="G1172" s="2" t="s">
        <v>7</v>
      </c>
    </row>
    <row r="1173" spans="1:7" ht="45" x14ac:dyDescent="0.25">
      <c r="A1173" s="4" t="str">
        <f>HYPERLINK("http://techcrunch.com/2012/09/26/google-play-store-25-billion-app-downloads/","Google Play Store Hits 25 Billion App Downloads, Kicks Off Five Day Sale To Celebrate")</f>
        <v>Google Play Store Hits 25 Billion App Downloads, Kicks Off Five Day Sale To Celebrate</v>
      </c>
      <c r="B1173" s="4" t="str">
        <f>HYPERLINK("http://www.facebook.com/8062627951/posts/347722055319564","Google Play is growing up.")</f>
        <v>Google Play is growing up.</v>
      </c>
      <c r="C1173" s="3">
        <v>41178.145104166666</v>
      </c>
      <c r="D1173" s="2">
        <v>140</v>
      </c>
      <c r="E1173" s="2">
        <v>6</v>
      </c>
      <c r="F1173" s="2" t="s">
        <v>7</v>
      </c>
      <c r="G1173" s="2" t="s">
        <v>7</v>
      </c>
    </row>
    <row r="1174" spans="1:7" ht="45" x14ac:dyDescent="0.25">
      <c r="A1174" s="4" t="str">
        <f>HYPERLINK("http://techcrunch.com/2012/09/25/angelhack-fall-2012/","AngelHack Goes International For Its Next Hackathon")</f>
        <v>AngelHack Goes International For Its Next Hackathon</v>
      </c>
      <c r="B1174" s="4" t="str">
        <f>HYPERLINK("http://www.facebook.com/8062627951/posts/209930392470632","AngelHack is going international! The fall version of the event has now grown to include five international cities: Tel Aviv, London, Santiago, Paris, and Toronto.")</f>
        <v>AngelHack is going international! The fall version of the event has now grown to include five international cities: Tel Aviv, London, Santiago, Paris, and Toronto.</v>
      </c>
      <c r="C1174" s="3">
        <v>41177.83121527778</v>
      </c>
      <c r="D1174" s="2">
        <v>28</v>
      </c>
      <c r="E1174" s="2">
        <v>0</v>
      </c>
      <c r="F1174" s="2" t="s">
        <v>7</v>
      </c>
      <c r="G1174" s="2" t="s">
        <v>7</v>
      </c>
    </row>
    <row r="1175" spans="1:7" ht="45" x14ac:dyDescent="0.25">
      <c r="A1175" s="4" t="str">
        <f>HYPERLINK("http://techcrunch.com/2012/09/25/california-governor-jerry-brown-self-driving-car-bill-law/","Buckle Up, California: Governor Jerry Brown Signs State Law Permitting Self-Driving Cars ")</f>
        <v xml:space="preserve">Buckle Up, California: Governor Jerry Brown Signs State Law Permitting Self-Driving Cars </v>
      </c>
      <c r="B1175" s="4" t="str">
        <f>HYPERLINK("http://www.facebook.com/8062627951/posts/384560881615612","Here we go!")</f>
        <v>Here we go!</v>
      </c>
      <c r="C1175" s="3">
        <v>41177.673495370371</v>
      </c>
      <c r="D1175" s="2">
        <v>320</v>
      </c>
      <c r="E1175" s="2">
        <v>22</v>
      </c>
      <c r="F1175" s="2" t="s">
        <v>7</v>
      </c>
      <c r="G1175" s="2" t="s">
        <v>7</v>
      </c>
    </row>
    <row r="1176" spans="1:7" ht="30" x14ac:dyDescent="0.25">
      <c r="A1176" s="4" t="str">
        <f>HYPERLINK("http://www.facebook.com/photo.php?fbid=10151257401822952&amp;set=a.114456157951.118433.8062627951&amp;type=1&amp;relevant_count=1","[Photo]")</f>
        <v>[Photo]</v>
      </c>
      <c r="B1176" s="4" t="str">
        <f>HYPERLINK("http://www.facebook.com/8062627951/posts/10151257401832952","Google Maps goes diving, provides “Seaview” of Great Barrier Reef, Hawaii and Philippines - http://tcrn.ch/RfW0Y6")</f>
        <v>Google Maps goes diving, provides “Seaview” of Great Barrier Reef, Hawaii and Philippines - http://tcrn.ch/RfW0Y6</v>
      </c>
      <c r="C1176" s="3">
        <v>41177.665486111109</v>
      </c>
      <c r="D1176" s="2">
        <v>720</v>
      </c>
      <c r="E1176" s="2">
        <v>19</v>
      </c>
      <c r="F1176" s="2" t="s">
        <v>7</v>
      </c>
      <c r="G1176" s="2" t="s">
        <v>8</v>
      </c>
    </row>
    <row r="1177" spans="1:7" ht="45" x14ac:dyDescent="0.25">
      <c r="A1177" s="4" t="str">
        <f>HYPERLINK("http://techcrunch.com/2012/09/25/following-big-mobile-redesign-stumbleupon-brings-new-pinterest-like-look-to-the-web/","Following Big Mobile Redesign, StumbleUpon Brings New Pinterest-Like Look To The Web")</f>
        <v>Following Big Mobile Redesign, StumbleUpon Brings New Pinterest-Like Look To The Web</v>
      </c>
      <c r="B1177" s="4" t="str">
        <f>HYPERLINK("http://www.facebook.com/8062627951/posts/449880155056406","What do you think of StumbleUpon's new look?")</f>
        <v>What do you think of StumbleUpon's new look?</v>
      </c>
      <c r="C1177" s="3">
        <v>41177.652083333334</v>
      </c>
      <c r="D1177" s="2">
        <v>29</v>
      </c>
      <c r="E1177" s="2">
        <v>3</v>
      </c>
      <c r="F1177" s="2" t="s">
        <v>8</v>
      </c>
      <c r="G1177" s="2" t="s">
        <v>7</v>
      </c>
    </row>
    <row r="1178" spans="1:7" x14ac:dyDescent="0.25">
      <c r="A1178" s="4" t="str">
        <f>HYPERLINK("http://www.facebook.com/photo.php?fbid=10151257276842952&amp;set=a.114456157951.118433.8062627951&amp;type=1&amp;relevant_count=1","[Photo]")</f>
        <v>[Photo]</v>
      </c>
      <c r="B1178" s="4" t="str">
        <f>HYPERLINK("http://www.facebook.com/8062627951/posts/10151257276917952","The Facebook Mobile Equation - http://tcrn.ch/PE9ewe")</f>
        <v>The Facebook Mobile Equation - http://tcrn.ch/PE9ewe</v>
      </c>
      <c r="C1178" s="3">
        <v>41177.579976851855</v>
      </c>
      <c r="D1178" s="2">
        <v>156</v>
      </c>
      <c r="E1178" s="2">
        <v>22</v>
      </c>
      <c r="F1178" s="2" t="s">
        <v>7</v>
      </c>
      <c r="G1178" s="2" t="s">
        <v>8</v>
      </c>
    </row>
    <row r="1179" spans="1:7" ht="45" x14ac:dyDescent="0.25">
      <c r="A1179" s="4" t="str">
        <f>HYPERLINK("http://www.facebook.com/photo.php?fbid=10151257205317952&amp;set=a.114456157951.118433.8062627951&amp;type=1&amp;relevant_count=1","[Photo]")</f>
        <v>[Photo]</v>
      </c>
      <c r="B1179" s="4" t="str">
        <f>HYPERLINK("http://www.facebook.com/8062627951/posts/10151257207007952","At MIT, researchers have hacked the Microsoft Kinect’s laser into a wearable chest sensor that creates a floor-plan for firefighters - http://tcrn.ch/PkG6t5")</f>
        <v>At MIT, researchers have hacked the Microsoft Kinect’s laser into a wearable chest sensor that creates a floor-plan for firefighters - http://tcrn.ch/PkG6t5</v>
      </c>
      <c r="C1179" s="3">
        <v>41177.539270833331</v>
      </c>
      <c r="D1179" s="2">
        <v>681</v>
      </c>
      <c r="E1179" s="2">
        <v>38</v>
      </c>
      <c r="F1179" s="2" t="s">
        <v>7</v>
      </c>
      <c r="G1179" s="2" t="s">
        <v>8</v>
      </c>
    </row>
    <row r="1180" spans="1:7" ht="30" x14ac:dyDescent="0.25">
      <c r="A1180" s="4" t="str">
        <f>HYPERLINK("http://techcrunch.com/2012/09/25/techcrunchs-youtube-channel-hits-10-million-video-views/","TechCrunch’s YouTube Channel Hits 10 Million Video Views")</f>
        <v>TechCrunch’s YouTube Channel Hits 10 Million Video Views</v>
      </c>
      <c r="B1180" s="4" t="str">
        <f>HYPERLINK("http://www.facebook.com/8062627951/posts/122841437863265","Today, our YouTube channel passed its own milestone: 10 million views!")</f>
        <v>Today, our YouTube channel passed its own milestone: 10 million views!</v>
      </c>
      <c r="C1180" s="3">
        <v>41177.498622685183</v>
      </c>
      <c r="D1180" s="2">
        <v>32</v>
      </c>
      <c r="E1180" s="2">
        <v>5</v>
      </c>
      <c r="F1180" s="2" t="s">
        <v>7</v>
      </c>
      <c r="G1180" s="2" t="s">
        <v>7</v>
      </c>
    </row>
    <row r="1181" spans="1:7" ht="30" x14ac:dyDescent="0.25">
      <c r="A1181" s="4" t="str">
        <f>HYPERLINK("http://www.facebook.com/photo.php?fbid=10151257094617952&amp;set=a.114456157951.118433.8062627951&amp;type=1&amp;relevant_count=1","[Photo]")</f>
        <v>[Photo]</v>
      </c>
      <c r="B1181" s="4" t="str">
        <f>HYPERLINK("http://www.facebook.com/8062627951/posts/10151257094667952","The sweet, sweet cruelty of Apple's new Lightning connector for iPhone 5 - http://tcrn.ch/P1VY28")</f>
        <v>The sweet, sweet cruelty of Apple's new Lightning connector for iPhone 5 - http://tcrn.ch/P1VY28</v>
      </c>
      <c r="C1181" s="3">
        <v>41177.476388888892</v>
      </c>
      <c r="D1181" s="2">
        <v>176</v>
      </c>
      <c r="E1181" s="2">
        <v>86</v>
      </c>
      <c r="F1181" s="2" t="s">
        <v>7</v>
      </c>
      <c r="G1181" s="2" t="s">
        <v>8</v>
      </c>
    </row>
    <row r="1182" spans="1:7" ht="30" x14ac:dyDescent="0.25">
      <c r="A1182" s="4" t="str">
        <f>HYPERLINK("http://www.facebook.com/photo.php?fbid=10151257036622952&amp;set=a.114456157951.118433.8062627951&amp;type=1&amp;relevant_count=1","[Photo]")</f>
        <v>[Photo]</v>
      </c>
      <c r="B1182" s="4" t="str">
        <f>HYPERLINK("http://www.facebook.com/8062627951/posts/10151257036677952","Where have all the third-party iOS mapping apps gone? - http://tcrn.ch/RUXXf0")</f>
        <v>Where have all the third-party iOS mapping apps gone? - http://tcrn.ch/RUXXf0</v>
      </c>
      <c r="C1182" s="3">
        <v>41177.442743055559</v>
      </c>
      <c r="D1182" s="2">
        <v>51</v>
      </c>
      <c r="E1182" s="2">
        <v>9</v>
      </c>
      <c r="F1182" s="2" t="s">
        <v>8</v>
      </c>
      <c r="G1182" s="2" t="s">
        <v>8</v>
      </c>
    </row>
    <row r="1183" spans="1:7" ht="30" x14ac:dyDescent="0.25">
      <c r="A1183" s="4" t="str">
        <f>HYPERLINK("http://techcrunch.com/2012/09/25/klash-is-the-app-to-make-your-friends-dare-double-dare-you/","Klash Is The App To Make Your Friends Dare-Double-Dare You")</f>
        <v>Klash Is The App To Make Your Friends Dare-Double-Dare You</v>
      </c>
      <c r="B1183" s="4" t="str">
        <f>HYPERLINK("http://www.facebook.com/8062627951/posts/321642901267548","I dare you to...")</f>
        <v>I dare you to...</v>
      </c>
      <c r="C1183" s="3">
        <v>41177.403715277775</v>
      </c>
      <c r="D1183" s="2">
        <v>24</v>
      </c>
      <c r="E1183" s="2">
        <v>1</v>
      </c>
      <c r="F1183" s="2" t="s">
        <v>7</v>
      </c>
      <c r="G1183" s="2" t="s">
        <v>7</v>
      </c>
    </row>
    <row r="1184" spans="1:7" ht="30" x14ac:dyDescent="0.25">
      <c r="A1184" s="4" t="str">
        <f>HYPERLINK("http://www.facebook.com/photo.php?fbid=10151256919632952&amp;set=a.114456157951.118433.8062627951&amp;type=1&amp;relevant_count=1","[Photo]")</f>
        <v>[Photo]</v>
      </c>
      <c r="B1184" s="4" t="str">
        <f>HYPERLINK("http://www.facebook.com/8062627951/posts/10151256919667952","Apple’s Schiller on #ScratchGate: Aluminum scratching is normal. What do you think? - http://tcrn.ch/NOO3sX")</f>
        <v>Apple’s Schiller on #ScratchGate: Aluminum scratching is normal. What do you think? - http://tcrn.ch/NOO3sX</v>
      </c>
      <c r="C1184" s="3">
        <v>41177.381145833337</v>
      </c>
      <c r="D1184" s="2">
        <v>91</v>
      </c>
      <c r="E1184" s="2">
        <v>75</v>
      </c>
      <c r="F1184" s="2" t="s">
        <v>8</v>
      </c>
      <c r="G1184" s="2" t="s">
        <v>8</v>
      </c>
    </row>
    <row r="1185" spans="1:7" ht="30" x14ac:dyDescent="0.25">
      <c r="A1185" s="4" t="str">
        <f>HYPERLINK("http://www.facebook.com/photo.php?fbid=10151256818397952&amp;set=a.114456157951.118433.8062627951&amp;type=1&amp;relevant_count=1","[Photo]")</f>
        <v>[Photo]</v>
      </c>
      <c r="B1185" s="4" t="str">
        <f>HYPERLINK("http://www.facebook.com/8062627951/posts/10151256818437952","The Ostrich Pillow: Because who doesn't love a good nap? -http://tcrn.ch/OS2Vbx")</f>
        <v>The Ostrich Pillow: Because who doesn't love a good nap? -http://tcrn.ch/OS2Vbx</v>
      </c>
      <c r="C1185" s="3">
        <v>41177.317962962959</v>
      </c>
      <c r="D1185" s="2">
        <v>1560</v>
      </c>
      <c r="E1185" s="2">
        <v>81</v>
      </c>
      <c r="F1185" s="2" t="s">
        <v>8</v>
      </c>
      <c r="G1185" s="2" t="s">
        <v>8</v>
      </c>
    </row>
    <row r="1186" spans="1:7" ht="30" x14ac:dyDescent="0.25">
      <c r="A1186" s="4" t="str">
        <f>HYPERLINK("http://techcrunch.com/2012/09/25/the-story-of-an-internet-troll-with-a-surprising-twist/","The Story Of An Internet Troll With A Surprising Twist")</f>
        <v>The Story Of An Internet Troll With A Surprising Twist</v>
      </c>
      <c r="B1186" s="4" t="str">
        <f>HYPERLINK("http://www.facebook.com/8062627951/posts/421212037936566","Epic: A writer meets his online troll.")</f>
        <v>Epic: A writer meets his online troll.</v>
      </c>
      <c r="C1186" s="3">
        <v>41177.261145833334</v>
      </c>
      <c r="D1186" s="2">
        <v>66</v>
      </c>
      <c r="E1186" s="2">
        <v>3</v>
      </c>
      <c r="F1186" s="2" t="s">
        <v>7</v>
      </c>
      <c r="G1186" s="2" t="s">
        <v>7</v>
      </c>
    </row>
    <row r="1187" spans="1:7" ht="30" x14ac:dyDescent="0.25">
      <c r="A1187" s="4" t="str">
        <f>HYPERLINK("http://www.facebook.com/photo.php?fbid=10151256634002952&amp;set=a.114456157951.118433.8062627951&amp;type=1&amp;relevant_count=1","[Photo]")</f>
        <v>[Photo]</v>
      </c>
      <c r="B1187" s="4" t="str">
        <f>HYPERLINK("http://www.facebook.com/8062627951/posts/10151256634022952","Lytro expands retail presence, to be available next month from Amazon, Target, And Best Buy - http://tcrn.ch/QhptBi")</f>
        <v>Lytro expands retail presence, to be available next month from Amazon, Target, And Best Buy - http://tcrn.ch/QhptBi</v>
      </c>
      <c r="C1187" s="3">
        <v>41177.207662037035</v>
      </c>
      <c r="D1187" s="2">
        <v>263</v>
      </c>
      <c r="E1187" s="2">
        <v>16</v>
      </c>
      <c r="F1187" s="2" t="s">
        <v>7</v>
      </c>
      <c r="G1187" s="2" t="s">
        <v>8</v>
      </c>
    </row>
    <row r="1188" spans="1:7" ht="30" x14ac:dyDescent="0.25">
      <c r="A1188" s="4" t="str">
        <f>HYPERLINK("http://techcrunch.com/2012/09/25/eric-schmidt-google-hasnt-submitted-a-native-google-maps-app-to-apple/","Eric Schmidt: Google Hasn’t Submitted A Native Google Maps App To Apple (Yet)")</f>
        <v>Eric Schmidt: Google Hasn’t Submitted A Native Google Maps App To Apple (Yet)</v>
      </c>
      <c r="B1188" s="4" t="str">
        <f>HYPERLINK("http://www.facebook.com/8062627951/posts/410665002320339","Waiting for an iOS 6 Google Maps app? About that...")</f>
        <v>Waiting for an iOS 6 Google Maps app? About that...</v>
      </c>
      <c r="C1188" s="3">
        <v>41177.132187499999</v>
      </c>
      <c r="D1188" s="2">
        <v>65</v>
      </c>
      <c r="E1188" s="2">
        <v>29</v>
      </c>
      <c r="F1188" s="2" t="s">
        <v>8</v>
      </c>
      <c r="G1188" s="2" t="s">
        <v>7</v>
      </c>
    </row>
    <row r="1189" spans="1:7" ht="60" x14ac:dyDescent="0.25">
      <c r="A1189" s="4" t="str">
        <f>HYPERLINK("http://techcrunch.com/2012/09/24/unreasonable-at-sea-2/","Meet ‘Unreasonable At Sea’, The Startup Accelerator That Plans To Circle The Globe By Ship")</f>
        <v>Meet ‘Unreasonable At Sea’, The Startup Accelerator That Plans To Circle The Globe By Ship</v>
      </c>
      <c r="B1189" s="4" t="str">
        <f>HYPERLINK("http://www.facebook.com/8062627951/posts/149926675149662","[Video] The people behind the Boulder, Colorado-based Unreasonable Institute have managed to come up with a way to really make a splash.  Meet Unreasonable At Sea, a new program in which some 50 start...")</f>
        <v>[Video] The people behind the Boulder, Colorado-based Unreasonable Institute have managed to come up with a way to really make a splash.  Meet Unreasonable At Sea, a new program in which some 50 start...</v>
      </c>
      <c r="C1189" s="3">
        <v>41176.860520833332</v>
      </c>
      <c r="D1189" s="2">
        <v>29</v>
      </c>
      <c r="E1189" s="2">
        <v>7</v>
      </c>
      <c r="F1189" s="2" t="s">
        <v>7</v>
      </c>
      <c r="G1189" s="2" t="s">
        <v>7</v>
      </c>
    </row>
    <row r="1190" spans="1:7" ht="30" x14ac:dyDescent="0.25">
      <c r="A1190" s="4" t="str">
        <f>HYPERLINK("http://www.facebook.com/photo.php?fbid=10151256060932952&amp;set=a.114456157951.118433.8062627951&amp;type=1&amp;relevant_count=1","[Photo]")</f>
        <v>[Photo]</v>
      </c>
      <c r="B1190" s="4" t="str">
        <f>HYPERLINK("http://www.facebook.com/8062627951/posts/10151256060952952","Pocket: 60% iOS 6 adoption, 20% of daily users already on iPhone 5 - http://tcrn.ch/OYmJUY")</f>
        <v>Pocket: 60% iOS 6 adoption, 20% of daily users already on iPhone 5 - http://tcrn.ch/OYmJUY</v>
      </c>
      <c r="C1190" s="3">
        <v>41176.742280092592</v>
      </c>
      <c r="D1190" s="2">
        <v>164</v>
      </c>
      <c r="E1190" s="2">
        <v>36</v>
      </c>
      <c r="F1190" s="2" t="s">
        <v>7</v>
      </c>
      <c r="G1190" s="2" t="s">
        <v>8</v>
      </c>
    </row>
    <row r="1191" spans="1:7" ht="45" x14ac:dyDescent="0.25">
      <c r="A1191" s="4" t="str">
        <f>HYPERLINK("http://www.facebook.com/photo.php?fbid=10151255994927952&amp;set=a.114456157951.118433.8062627951&amp;type=1&amp;relevant_count=1","[Photo]")</f>
        <v>[Photo]</v>
      </c>
      <c r="B1191" s="4" t="str">
        <f>HYPERLINK("http://www.facebook.com/8062627951/posts/10151255994947952","Facebook’s new Timeline event lets you share you’re registered to vote, links to registration sites - http://tcrn.ch/OYnPQH")</f>
        <v>Facebook’s new Timeline event lets you share you’re registered to vote, links to registration sites - http://tcrn.ch/OYnPQH</v>
      </c>
      <c r="C1191" s="3">
        <v>41176.698125000003</v>
      </c>
      <c r="D1191" s="2">
        <v>143</v>
      </c>
      <c r="E1191" s="2">
        <v>20</v>
      </c>
      <c r="F1191" s="2" t="s">
        <v>7</v>
      </c>
      <c r="G1191" s="2" t="s">
        <v>8</v>
      </c>
    </row>
    <row r="1192" spans="1:7" ht="30" x14ac:dyDescent="0.25">
      <c r="A1192" s="4" t="str">
        <f>HYPERLINK("http://techcrunch.com/2012/09/24/the-mere-existence-of-a-new-myspace-makes-me-want-to-hurl-just-let-it-go/","The Mere Existence Of A “New Myspace” Makes Me Want To Hurl. Just Let It Go.")</f>
        <v>The Mere Existence Of A “New Myspace” Makes Me Want To Hurl. Just Let It Go.</v>
      </c>
      <c r="B1192" s="4" t="str">
        <f>HYPERLINK("http://www.facebook.com/8062627951/posts/274373252679378","Myspace is teasing a brand new design. Thoughts?")</f>
        <v>Myspace is teasing a brand new design. Thoughts?</v>
      </c>
      <c r="C1192" s="3">
        <v>41176.632013888891</v>
      </c>
      <c r="D1192" s="2">
        <v>74</v>
      </c>
      <c r="E1192" s="2">
        <v>53</v>
      </c>
      <c r="F1192" s="2" t="s">
        <v>8</v>
      </c>
      <c r="G1192" s="2" t="s">
        <v>7</v>
      </c>
    </row>
    <row r="1193" spans="1:7" ht="30" x14ac:dyDescent="0.25">
      <c r="A1193" s="4" t="str">
        <f>HYPERLINK("http://www.facebook.com/photo.php?fbid=10151255796182952&amp;set=a.114456157951.118433.8062627951&amp;type=1&amp;relevant_count=1","[Photo]")</f>
        <v>[Photo]</v>
      </c>
      <c r="B1193" s="4" t="str">
        <f>HYPERLINK("http://www.facebook.com/8062627951/posts/10151255796222952","SexDistance is a new web service that offers, well, you know - http://tcrn.ch/Omcfoj")</f>
        <v>SexDistance is a new web service that offers, well, you know - http://tcrn.ch/Omcfoj</v>
      </c>
      <c r="C1193" s="3">
        <v>41176.582083333335</v>
      </c>
      <c r="D1193" s="2">
        <v>146</v>
      </c>
      <c r="E1193" s="2">
        <v>43</v>
      </c>
      <c r="F1193" s="2" t="s">
        <v>7</v>
      </c>
      <c r="G1193" s="2" t="s">
        <v>8</v>
      </c>
    </row>
    <row r="1194" spans="1:7" ht="45" x14ac:dyDescent="0.25">
      <c r="A1194" s="4" t="str">
        <f>HYPERLINK("http://techcrunch.com/2012/09/24/video-iphone-5-vs-iphone-4s-side-by-side-performance-tests/","Video: iPhone 5 Vs. iPhone 4S Side-By-Side Performance Tests")</f>
        <v>Video: iPhone 5 Vs. iPhone 4S Side-By-Side Performance Tests</v>
      </c>
      <c r="B1194" s="4" t="str">
        <f>HYPERLINK("http://www.facebook.com/8062627951/posts/479165958770490","Want to see exactly how the iPhone 5's speedy new A6 processor compares to the now-somewhat-pokey iPhone 4S A5 chip? Check it out: http://tcrn.ch/TrgiSa")</f>
        <v>Want to see exactly how the iPhone 5's speedy new A6 processor compares to the now-somewhat-pokey iPhone 4S A5 chip? Check it out: http://tcrn.ch/TrgiSa</v>
      </c>
      <c r="C1194" s="3">
        <v>41176.537835648145</v>
      </c>
      <c r="D1194" s="2">
        <v>49</v>
      </c>
      <c r="E1194" s="2">
        <v>29</v>
      </c>
      <c r="F1194" s="2" t="s">
        <v>8</v>
      </c>
      <c r="G1194" s="2" t="s">
        <v>7</v>
      </c>
    </row>
    <row r="1195" spans="1:7" ht="45" x14ac:dyDescent="0.25">
      <c r="A1195" s="4" t="str">
        <f>HYPERLINK("http://www.facebook.com/photo.php?fbid=10151255572597952&amp;set=a.114456157951.118433.8062627951&amp;type=1&amp;relevant_count=1","[Photo]")</f>
        <v>[Photo]</v>
      </c>
      <c r="B1195" s="4" t="str">
        <f>HYPERLINK("http://www.facebook.com/8062627951/posts/10151255572642952","No private Facebook messages have been exposed. It's a hoax and Facebook confirms they're old wall posts.  http://tcrn.ch/ULuao7")</f>
        <v>No private Facebook messages have been exposed. It's a hoax and Facebook confirms they're old wall posts.  http://tcrn.ch/ULuao7</v>
      </c>
      <c r="C1195" s="3">
        <v>41176.474305555559</v>
      </c>
      <c r="D1195" s="2">
        <v>184</v>
      </c>
      <c r="E1195" s="2">
        <v>29</v>
      </c>
      <c r="F1195" s="2" t="s">
        <v>7</v>
      </c>
      <c r="G1195" s="2" t="s">
        <v>8</v>
      </c>
    </row>
    <row r="1196" spans="1:7" ht="30" x14ac:dyDescent="0.25">
      <c r="A1196" s="4" t="str">
        <f>HYPERLINK("http://www.facebook.com/photo.php?fbid=10151255546177952&amp;set=a.114456157951.118433.8062627951&amp;type=1&amp;relevant_count=1","[Photo]")</f>
        <v>[Photo]</v>
      </c>
      <c r="B1196" s="4" t="str">
        <f>HYPERLINK("http://www.facebook.com/8062627951/posts/10151255546197952","Verizon: our iPhone 5 SIM slot will never be carrier locked - http://tcrn.ch/RXAy71")</f>
        <v>Verizon: our iPhone 5 SIM slot will never be carrier locked - http://tcrn.ch/RXAy71</v>
      </c>
      <c r="C1196" s="3">
        <v>41176.457800925928</v>
      </c>
      <c r="D1196" s="2">
        <v>145</v>
      </c>
      <c r="E1196" s="2">
        <v>12</v>
      </c>
      <c r="F1196" s="2" t="s">
        <v>7</v>
      </c>
      <c r="G1196" s="2" t="s">
        <v>8</v>
      </c>
    </row>
    <row r="1197" spans="1:7" ht="30" x14ac:dyDescent="0.25">
      <c r="A1197" s="4" t="str">
        <f>HYPERLINK("http://www.facebook.com/photo.php?fbid=10151255394547952&amp;set=a.114456157951.118433.8062627951&amp;type=1&amp;relevant_count=1","[Photo]")</f>
        <v>[Photo]</v>
      </c>
      <c r="B1197" s="4" t="str">
        <f>HYPERLINK("http://www.facebook.com/8062627951/posts/10151255394587952","Ubooly, the plush toy with an iPhone brain, grabs $1.5M in seed funding - http://tcrn.ch/QtMnFm")</f>
        <v>Ubooly, the plush toy with an iPhone brain, grabs $1.5M in seed funding - http://tcrn.ch/QtMnFm</v>
      </c>
      <c r="C1197" s="3">
        <v>41176.367372685185</v>
      </c>
      <c r="D1197" s="2">
        <v>76</v>
      </c>
      <c r="E1197" s="2">
        <v>12</v>
      </c>
      <c r="F1197" s="2" t="s">
        <v>7</v>
      </c>
      <c r="G1197" s="2" t="s">
        <v>8</v>
      </c>
    </row>
    <row r="1198" spans="1:7" ht="30" x14ac:dyDescent="0.25">
      <c r="A1198" s="4" t="str">
        <f>HYPERLINK("http://techcrunch.com/2012/09/24/iphone-5-sells-over-5m-in-opening-weekend/","iPhone 5 Sells Over 5M In Opening Weekend, Limited Only By Device Supply")</f>
        <v>iPhone 5 Sells Over 5M In Opening Weekend, Limited Only By Device Supply</v>
      </c>
      <c r="B1198" s="4" t="str">
        <f>HYPERLINK("http://www.facebook.com/8062627951/posts/183362555132662","So who got an iPhone 5 over the weekend?")</f>
        <v>So who got an iPhone 5 over the weekend?</v>
      </c>
      <c r="C1198" s="3">
        <v>41176.2184837963</v>
      </c>
      <c r="D1198" s="2">
        <v>60</v>
      </c>
      <c r="E1198" s="2">
        <v>31</v>
      </c>
      <c r="F1198" s="2" t="s">
        <v>8</v>
      </c>
      <c r="G1198" s="2" t="s">
        <v>7</v>
      </c>
    </row>
    <row r="1199" spans="1:7" ht="30" x14ac:dyDescent="0.25">
      <c r="A1199" s="4" t="str">
        <f>HYPERLINK("http://www.facebook.com/photo.php?fbid=10151255120567952&amp;set=a.114456157951.118433.8062627951&amp;type=1&amp;relevant_count=1","[Photo]")</f>
        <v>[Photo]</v>
      </c>
      <c r="B1199" s="4" t="str">
        <f>HYPERLINK("http://www.facebook.com/8062627951/posts/10151255120592952","#ScratchGate: iPhone 5 owners are discovering aluminum is softer than glass -- http://tcrn.ch/QtHsUZ")</f>
        <v>#ScratchGate: iPhone 5 owners are discovering aluminum is softer than glass -- http://tcrn.ch/QtHsUZ</v>
      </c>
      <c r="C1199" s="3">
        <v>41176.184629629628</v>
      </c>
      <c r="D1199" s="2">
        <v>214</v>
      </c>
      <c r="E1199" s="2">
        <v>41</v>
      </c>
      <c r="F1199" s="2" t="s">
        <v>7</v>
      </c>
      <c r="G1199" s="2" t="s">
        <v>8</v>
      </c>
    </row>
    <row r="1200" spans="1:7" ht="45" x14ac:dyDescent="0.25">
      <c r="A1200" s="4" t="str">
        <f>HYPERLINK("http://techcrunch.com/2012/09/24/samsung-galaxy-s-iii-android-4-1-jelly-bean-update-starts-hitting-europe-gradually-heading-to-other-markets/","Samsung Galaxy S III Android 4.1 Jelly Bean Update Starts Hitting Europe — “Gradually” Heading To Ot")</f>
        <v>Samsung Galaxy S III Android 4.1 Jelly Bean Update Starts Hitting Europe — “Gradually” Heading To Ot</v>
      </c>
      <c r="B1200" s="4" t="str">
        <f>HYPERLINK("http://www.facebook.com/8062627951/posts/452659771444469","Here comes Jelly Bean!")</f>
        <v>Here comes Jelly Bean!</v>
      </c>
      <c r="C1200" s="3">
        <v>41176.095578703702</v>
      </c>
      <c r="D1200" s="2">
        <v>74</v>
      </c>
      <c r="E1200" s="2">
        <v>7</v>
      </c>
      <c r="F1200" s="2" t="s">
        <v>7</v>
      </c>
      <c r="G1200" s="2" t="s">
        <v>7</v>
      </c>
    </row>
    <row r="1201" spans="1:7" ht="30" x14ac:dyDescent="0.25">
      <c r="A1201" s="4" t="str">
        <f>HYPERLINK("http://techcrunch.com/2012/09/23/heres-what-goes-into-making-google-maps-will-apple-be-able-to-recalculate/","Here’s What Goes Into Making Google Maps, Will Apple Be Able To Recalculate? ")</f>
        <v xml:space="preserve">Here’s What Goes Into Making Google Maps, Will Apple Be Able To Recalculate? </v>
      </c>
      <c r="B1201" s="4" t="str">
        <f>HYPERLINK("http://www.facebook.com/8062627951/posts/441647392550822","Do you think Apple can get perfect faster than Google?")</f>
        <v>Do you think Apple can get perfect faster than Google?</v>
      </c>
      <c r="C1201" s="3">
        <v>41175.70890046296</v>
      </c>
      <c r="D1201" s="2">
        <v>85</v>
      </c>
      <c r="E1201" s="2">
        <v>31</v>
      </c>
      <c r="F1201" s="2" t="s">
        <v>8</v>
      </c>
      <c r="G1201" s="2" t="s">
        <v>7</v>
      </c>
    </row>
    <row r="1202" spans="1:7" ht="30" x14ac:dyDescent="0.25">
      <c r="A1202" s="4" t="str">
        <f>HYPERLINK("http://www.facebook.com/photo.php?fbid=10151254218577952&amp;set=a.114456157951.118433.8062627951&amp;type=1&amp;relevant_count=1","[Photo]")</f>
        <v>[Photo]</v>
      </c>
      <c r="B1202" s="4" t="str">
        <f>HYPERLINK("http://www.facebook.com/8062627951/posts/10151254218612952","Source: Apple is aggressively recruiting ex-Google Maps staff to build out iOS Maps - http://tcrn.ch/QxlMoi")</f>
        <v>Source: Apple is aggressively recruiting ex-Google Maps staff to build out iOS Maps - http://tcrn.ch/QxlMoi</v>
      </c>
      <c r="C1202" s="3">
        <v>41175.549328703702</v>
      </c>
      <c r="D1202" s="2">
        <v>552</v>
      </c>
      <c r="E1202" s="2">
        <v>111</v>
      </c>
      <c r="F1202" s="2" t="s">
        <v>7</v>
      </c>
      <c r="G1202" s="2" t="s">
        <v>8</v>
      </c>
    </row>
    <row r="1203" spans="1:7" ht="45" x14ac:dyDescent="0.25">
      <c r="A1203" s="4" t="str">
        <f>HYPERLINK("http://techcrunch.com/2012/09/23/iran-domestic-internet/","Iran Announces Plan To Launch Domestic Internet By March 2013 (And To Block Google Today)")</f>
        <v>Iran Announces Plan To Launch Domestic Internet By March 2013 (And To Block Google Today)</v>
      </c>
      <c r="B1203" s="4" t="str">
        <f>HYPERLINK("http://www.facebook.com/8062627951/posts/278382182273840","Control.")</f>
        <v>Control.</v>
      </c>
      <c r="C1203" s="3">
        <v>41175.527627314812</v>
      </c>
      <c r="D1203" s="2">
        <v>55</v>
      </c>
      <c r="E1203" s="2">
        <v>33</v>
      </c>
      <c r="F1203" s="2" t="s">
        <v>7</v>
      </c>
      <c r="G1203" s="2" t="s">
        <v>7</v>
      </c>
    </row>
    <row r="1204" spans="1:7" ht="30" x14ac:dyDescent="0.25">
      <c r="A1204" s="4" t="str">
        <f>HYPERLINK("http://techcrunch.com/2012/09/23/apple-is-already-shipping-many-late-iphone-5-pre-orders/","Apple Is Already Shipping Many “Late” iPhone 5 Pre-Orders")</f>
        <v>Apple Is Already Shipping Many “Late” iPhone 5 Pre-Orders</v>
      </c>
      <c r="B1204" s="4" t="str">
        <f>HYPERLINK("http://www.facebook.com/8062627951/posts/284021278371305","Your iPhone might be on its way.")</f>
        <v>Your iPhone might be on its way.</v>
      </c>
      <c r="C1204" s="3">
        <v>41175.426006944443</v>
      </c>
      <c r="D1204" s="2">
        <v>65</v>
      </c>
      <c r="E1204" s="2">
        <v>10</v>
      </c>
      <c r="F1204" s="2" t="s">
        <v>7</v>
      </c>
      <c r="G1204" s="2" t="s">
        <v>7</v>
      </c>
    </row>
    <row r="1205" spans="1:7" ht="30" x14ac:dyDescent="0.25">
      <c r="A1205" s="4" t="str">
        <f>HYPERLINK("http://www.facebook.com/photo.php?fbid=10151253894417952&amp;set=a.114456157951.118433.8062627951&amp;type=1&amp;relevant_count=1","[Photo]")</f>
        <v>[Photo]</v>
      </c>
      <c r="B1205" s="4" t="str">
        <f>HYPERLINK("http://www.facebook.com/8062627951/posts/10151253894442952","The free Internet will be just fine with Do Not Track. Here’s why. -- http://tcrn.ch/VsvUSz")</f>
        <v>The free Internet will be just fine with Do Not Track. Here’s why. -- http://tcrn.ch/VsvUSz</v>
      </c>
      <c r="C1205" s="3">
        <v>41175.37296296296</v>
      </c>
      <c r="D1205" s="2">
        <v>85</v>
      </c>
      <c r="E1205" s="2">
        <v>6</v>
      </c>
      <c r="F1205" s="2" t="s">
        <v>7</v>
      </c>
      <c r="G1205" s="2" t="s">
        <v>8</v>
      </c>
    </row>
    <row r="1206" spans="1:7" ht="75" x14ac:dyDescent="0.25">
      <c r="A1206" s="4" t="str">
        <f>HYPERLINK("http://techcrunch.com/2012/09/22/ground-truth/","Ground Truth")</f>
        <v>Ground Truth</v>
      </c>
      <c r="B1206" s="4" t="s">
        <v>71</v>
      </c>
      <c r="C1206" s="3">
        <v>41175.209432870368</v>
      </c>
      <c r="D1206" s="2">
        <v>54</v>
      </c>
      <c r="E1206" s="2">
        <v>16</v>
      </c>
      <c r="F1206" s="2" t="s">
        <v>7</v>
      </c>
      <c r="G1206" s="2" t="s">
        <v>7</v>
      </c>
    </row>
    <row r="1207" spans="1:7" ht="30" x14ac:dyDescent="0.25">
      <c r="A1207" s="4" t="str">
        <f>HYPERLINK("http://techcrunch.com/2012/09/21/heeyyyy-sexy-ladyyy/","No One Who Looks Like This Works, Or Has Worked, At TechCrunch")</f>
        <v>No One Who Looks Like This Works, Or Has Worked, At TechCrunch</v>
      </c>
      <c r="B1207" s="4" t="str">
        <f>HYPERLINK("http://www.facebook.com/8062627951/posts/283918111708403","FYI.")</f>
        <v>FYI.</v>
      </c>
      <c r="C1207" s="3">
        <v>41174.695752314816</v>
      </c>
      <c r="D1207" s="2">
        <v>123</v>
      </c>
      <c r="E1207" s="2">
        <v>22</v>
      </c>
      <c r="F1207" s="2" t="s">
        <v>7</v>
      </c>
      <c r="G1207" s="2" t="s">
        <v>7</v>
      </c>
    </row>
    <row r="1208" spans="1:7" x14ac:dyDescent="0.25">
      <c r="A1208" s="4" t="str">
        <f>HYPERLINK("http://techcrunch.com/2012/09/22/fly-or-die-iphone-5/","Fly Or Die: iPhone 5")</f>
        <v>Fly Or Die: iPhone 5</v>
      </c>
      <c r="B1208" s="4" t="str">
        <f>HYPERLINK("http://www.facebook.com/8062627951/posts/146799782131793","What would you give the iPhone 5: fly or die?")</f>
        <v>What would you give the iPhone 5: fly or die?</v>
      </c>
      <c r="C1208" s="3">
        <v>41174.568842592591</v>
      </c>
      <c r="D1208" s="2">
        <v>37</v>
      </c>
      <c r="E1208" s="2">
        <v>81</v>
      </c>
      <c r="F1208" s="2" t="s">
        <v>8</v>
      </c>
      <c r="G1208" s="2" t="s">
        <v>7</v>
      </c>
    </row>
    <row r="1209" spans="1:7" ht="45" x14ac:dyDescent="0.25">
      <c r="A1209" s="4" t="str">
        <f>HYPERLINK("http://techcrunch.com/2012/09/22/apples-707m-u-s-sales-ban-filing-against-samsung-underscores-one-of-apples-biggest-concerns/","Apple’s $707M, U.S. Sales Ban Filings Against Samsung Underscore One Of Apple’s Biggest Concerns")</f>
        <v>Apple’s $707M, U.S. Sales Ban Filings Against Samsung Underscore One Of Apple’s Biggest Concerns</v>
      </c>
      <c r="B1209" s="4" t="str">
        <f>HYPERLINK("http://www.facebook.com/8062627951/posts/297959143652846","Apple is scared.")</f>
        <v>Apple is scared.</v>
      </c>
      <c r="C1209" s="3">
        <v>41174.458912037036</v>
      </c>
      <c r="D1209" s="2">
        <v>124</v>
      </c>
      <c r="E1209" s="2">
        <v>47</v>
      </c>
      <c r="F1209" s="2" t="s">
        <v>7</v>
      </c>
      <c r="G1209" s="2" t="s">
        <v>7</v>
      </c>
    </row>
    <row r="1210" spans="1:7" ht="30" x14ac:dyDescent="0.25">
      <c r="A1210" s="4" t="str">
        <f>HYPERLINK("http://techcrunch.com/2012/09/22/iphone-5-jailbroken-according-to-ios-hacker-chpwn/","iPhone 5 Jailbroken According To iOS Hacker @chpwn")</f>
        <v>iPhone 5 Jailbroken According To iOS Hacker @chpwn</v>
      </c>
      <c r="B1210" s="4" t="str">
        <f>HYPERLINK("http://www.facebook.com/8062627951/posts/106036166218729","That didn't take long.")</f>
        <v>That didn't take long.</v>
      </c>
      <c r="C1210" s="3">
        <v>41174.434953703705</v>
      </c>
      <c r="D1210" s="2">
        <v>153</v>
      </c>
      <c r="E1210" s="2">
        <v>22</v>
      </c>
      <c r="F1210" s="2" t="s">
        <v>7</v>
      </c>
      <c r="G1210" s="2" t="s">
        <v>7</v>
      </c>
    </row>
    <row r="1211" spans="1:7" ht="30" x14ac:dyDescent="0.25">
      <c r="A1211" s="4" t="str">
        <f>HYPERLINK("http://www.facebook.com/photo.php?fbid=10151252438657952&amp;set=a.114456157951.118433.8062627951&amp;type=1&amp;relevant_count=1","[Photo]")</f>
        <v>[Photo]</v>
      </c>
      <c r="B1211" s="4" t="str">
        <f>HYPERLINK("http://www.facebook.com/8062627951/posts/10151252438712952","If Silicon Valley stocks are down, why are home prices up? --http://tcrn.ch/UoCwPk")</f>
        <v>If Silicon Valley stocks are down, why are home prices up? --http://tcrn.ch/UoCwPk</v>
      </c>
      <c r="C1211" s="3">
        <v>41174.324004629627</v>
      </c>
      <c r="D1211" s="2">
        <v>184</v>
      </c>
      <c r="E1211" s="2">
        <v>27</v>
      </c>
      <c r="F1211" s="2" t="s">
        <v>8</v>
      </c>
      <c r="G1211" s="2" t="s">
        <v>8</v>
      </c>
    </row>
    <row r="1212" spans="1:7" ht="30" x14ac:dyDescent="0.25">
      <c r="A1212" s="4" t="str">
        <f>HYPERLINK("http://techcrunch.com/2012/09/21/overcome-these-6-challenges-when-selling-to-startups/","Overcome These 6 Challenges When Selling To Startups")</f>
        <v>Overcome These 6 Challenges When Selling To Startups</v>
      </c>
      <c r="B1212" s="4" t="str">
        <f>HYPERLINK("http://www.facebook.com/8062627951/posts/411459398917208","Did we miss any?")</f>
        <v>Did we miss any?</v>
      </c>
      <c r="C1212" s="3">
        <v>41174.186782407407</v>
      </c>
      <c r="D1212" s="2">
        <v>28</v>
      </c>
      <c r="E1212" s="2">
        <v>2</v>
      </c>
      <c r="F1212" s="2" t="s">
        <v>8</v>
      </c>
      <c r="G1212" s="2" t="s">
        <v>7</v>
      </c>
    </row>
    <row r="1213" spans="1:7" ht="60" x14ac:dyDescent="0.25">
      <c r="A1213" s="4" t="str">
        <f>HYPERLINK("http://techcrunch.com/2012/09/21/watch-apples-first-iphone-5-tv-ads-physics-cheese-thumb-and-ears/","Watch Apple’s First iPhone 5 TV Ads: “Physics,” “Cheese,” “Thumb,” and “Ears”")</f>
        <v>Watch Apple’s First iPhone 5 TV Ads: “Physics,” “Cheese,” “Thumb,” and “Ears”</v>
      </c>
      <c r="B1213" s="4" t="str">
        <f>HYPERLINK("http://www.facebook.com/8062627951/posts/106463509508513","Apple just released the first four iPhone 5 commercials. Watch them here. http://techcrunch.com/2012/09/21/watch-apples-first-iphone-5-tv-ads-physics-cheese-thumb-and-ears/")</f>
        <v>Apple just released the first four iPhone 5 commercials. Watch them here. http://techcrunch.com/2012/09/21/watch-apples-first-iphone-5-tv-ads-physics-cheese-thumb-and-ears/</v>
      </c>
      <c r="C1213" s="3">
        <v>41174.152199074073</v>
      </c>
      <c r="D1213" s="2">
        <v>150</v>
      </c>
      <c r="E1213" s="2">
        <v>27</v>
      </c>
      <c r="F1213" s="2" t="s">
        <v>7</v>
      </c>
      <c r="G1213" s="2" t="s">
        <v>7</v>
      </c>
    </row>
    <row r="1214" spans="1:7" ht="30" x14ac:dyDescent="0.25">
      <c r="A1214" s="4" t="str">
        <f>HYPERLINK("http://www.facebook.com/photo.php?fbid=10151251719797952&amp;set=a.114456157951.118433.8062627951&amp;type=1&amp;relevant_count=1","[Photo]")</f>
        <v>[Photo]</v>
      </c>
      <c r="B1214" s="4" t="str">
        <f>HYPERLINK("http://www.facebook.com/8062627951/posts/10151251719847952","Motorola Mobility (Google) pokes fun at Apple’s iOS 6 Maps with #iLost hashtag. Ha. http://tcrn.ch/UzYBgL")</f>
        <v>Motorola Mobility (Google) pokes fun at Apple’s iOS 6 Maps with #iLost hashtag. Ha. http://tcrn.ch/UzYBgL</v>
      </c>
      <c r="C1214" s="3">
        <v>41173.745532407411</v>
      </c>
      <c r="D1214" s="2">
        <v>1131</v>
      </c>
      <c r="E1214" s="2">
        <v>149</v>
      </c>
      <c r="F1214" s="2" t="s">
        <v>7</v>
      </c>
      <c r="G1214" s="2" t="s">
        <v>8</v>
      </c>
    </row>
    <row r="1215" spans="1:7" ht="30" x14ac:dyDescent="0.25">
      <c r="A1215" s="4" t="str">
        <f>HYPERLINK("http://www.facebook.com/photo.php?fbid=10151251613227952&amp;set=a.114456157951.118433.8062627951&amp;type=1&amp;relevant_count=1","[Photo]")</f>
        <v>[Photo]</v>
      </c>
      <c r="B1215" s="4" t="str">
        <f>HYPERLINK("http://www.facebook.com/8062627951/posts/10151251613247952","SoftTech and others invest $1.5M in beauty ecommerce site Coterie - http://tcrn.ch/TfaR8I")</f>
        <v>SoftTech and others invest $1.5M in beauty ecommerce site Coterie - http://tcrn.ch/TfaR8I</v>
      </c>
      <c r="C1215" s="3">
        <v>41173.685393518521</v>
      </c>
      <c r="D1215" s="2">
        <v>22</v>
      </c>
      <c r="E1215" s="2">
        <v>2</v>
      </c>
      <c r="F1215" s="2" t="s">
        <v>7</v>
      </c>
      <c r="G1215" s="2" t="s">
        <v>8</v>
      </c>
    </row>
    <row r="1216" spans="1:7" ht="60" x14ac:dyDescent="0.25">
      <c r="A1216" s="4" t="str">
        <f>HYPERLINK("http://techcrunch.com/2012/09/21/twitter-api-dick-costolo/","Twitter’s Dick Costolo Wants You (And IFTTT) To Stop Blaming Twitter’s API Changes For Everything")</f>
        <v>Twitter’s Dick Costolo Wants You (And IFTTT) To Stop Blaming Twitter’s API Changes For Everything</v>
      </c>
      <c r="B1216" s="4" t="str">
        <f>HYPERLINK("http://www.facebook.com/8062627951/posts/442439942465270","First, Costolo said he didn’t want to be “flip.” Then he said, flippantly, “It’s become a little bit of, ‘I didn’t get my homework done because Twitter changed their API.’”   In fact, he said the chan...")</f>
        <v>First, Costolo said he didn’t want to be “flip.” Then he said, flippantly, “It’s become a little bit of, ‘I didn’t get my homework done because Twitter changed their API.’”   In fact, he said the chan...</v>
      </c>
      <c r="C1216" s="3">
        <v>41173.64167824074</v>
      </c>
      <c r="D1216" s="2">
        <v>25</v>
      </c>
      <c r="E1216" s="2">
        <v>7</v>
      </c>
      <c r="F1216" s="2" t="s">
        <v>7</v>
      </c>
      <c r="G1216" s="2" t="s">
        <v>7</v>
      </c>
    </row>
    <row r="1217" spans="1:7" ht="30" x14ac:dyDescent="0.25">
      <c r="A1217" s="4" t="str">
        <f>HYPERLINK("http://techcrunch.com/2012/09/21/i-need-to-use-the-word-apple/","Welcome To TechCrunch’s Words-Driven Friday")</f>
        <v>Welcome To TechCrunch’s Words-Driven Friday</v>
      </c>
      <c r="B1217" s="4" t="str">
        <f>HYPERLINK("http://www.facebook.com/8062627951/posts/361983730551275","As always, if you have a word you think we should use, please let us know.")</f>
        <v>As always, if you have a word you think we should use, please let us know.</v>
      </c>
      <c r="C1217" s="3">
        <v>41173.544004629628</v>
      </c>
      <c r="D1217" s="2">
        <v>16</v>
      </c>
      <c r="E1217" s="2">
        <v>16</v>
      </c>
      <c r="F1217" s="2" t="s">
        <v>7</v>
      </c>
      <c r="G1217" s="2" t="s">
        <v>7</v>
      </c>
    </row>
    <row r="1218" spans="1:7" ht="30" x14ac:dyDescent="0.25">
      <c r="A1218" s="4" t="str">
        <f>HYPERLINK("http://www.facebook.com/photo.php?fbid=10151251354077952&amp;set=a.114456157951.118433.8062627951&amp;type=1&amp;relevant_count=1","[Photo]")</f>
        <v>[Photo]</v>
      </c>
      <c r="B1218" s="4" t="str">
        <f>HYPERLINK("http://www.facebook.com/8062627951/posts/10151251354117952","Facebook starts letting you view and delete your Facebook search history - http://tcrn.ch/Q2V1uA")</f>
        <v>Facebook starts letting you view and delete your Facebook search history - http://tcrn.ch/Q2V1uA</v>
      </c>
      <c r="C1218" s="3">
        <v>41173.528935185182</v>
      </c>
      <c r="D1218" s="2">
        <v>222</v>
      </c>
      <c r="E1218" s="2">
        <v>11</v>
      </c>
      <c r="F1218" s="2" t="s">
        <v>7</v>
      </c>
      <c r="G1218" s="2" t="s">
        <v>8</v>
      </c>
    </row>
    <row r="1219" spans="1:7" ht="30" x14ac:dyDescent="0.25">
      <c r="A1219" s="4" t="str">
        <f>HYPERLINK("http://www.facebook.com/photo.php?fbid=10151251296207952&amp;set=a.114456157951.118433.8062627951&amp;type=1&amp;relevant_count=1","[Photo]")</f>
        <v>[Photo]</v>
      </c>
      <c r="B1219" s="4" t="str">
        <f>HYPERLINK("http://www.facebook.com/8062627951/posts/10151251296237952","Some early iPhone 5 adopters report odd screen issues - http://tcrn.ch/QIrq7e")</f>
        <v>Some early iPhone 5 adopters report odd screen issues - http://tcrn.ch/QIrq7e</v>
      </c>
      <c r="C1219" s="3">
        <v>41173.493668981479</v>
      </c>
      <c r="D1219" s="2">
        <v>211</v>
      </c>
      <c r="E1219" s="2">
        <v>68</v>
      </c>
      <c r="F1219" s="2" t="s">
        <v>7</v>
      </c>
      <c r="G1219" s="2" t="s">
        <v>8</v>
      </c>
    </row>
    <row r="1220" spans="1:7" x14ac:dyDescent="0.25">
      <c r="A1220" s="4" t="str">
        <f>HYPERLINK("http://techcrunch.com/2012/09/21/ajax-web-apps-in-ios-6-are-sort-of-broken/","AJAX Web Apps In iOS 6 Are Sort Of Broken")</f>
        <v>AJAX Web Apps In iOS 6 Are Sort Of Broken</v>
      </c>
      <c r="B1220" s="4" t="str">
        <f>HYPERLINK("http://www.facebook.com/8062627951/posts/404315459624190","Oops.")</f>
        <v>Oops.</v>
      </c>
      <c r="C1220" s="3">
        <v>41173.451817129629</v>
      </c>
      <c r="D1220" s="2">
        <v>81</v>
      </c>
      <c r="E1220" s="2">
        <v>15</v>
      </c>
      <c r="F1220" s="2" t="s">
        <v>7</v>
      </c>
      <c r="G1220" s="2" t="s">
        <v>7</v>
      </c>
    </row>
    <row r="1221" spans="1:7" ht="30" x14ac:dyDescent="0.25">
      <c r="A1221" s="4" t="str">
        <f>HYPERLINK("http://www.facebook.com/photo.php?fbid=10151251131922952&amp;set=a.114456157951.118433.8062627951&amp;type=1&amp;relevant_count=1","[Photo]")</f>
        <v>[Photo]</v>
      </c>
      <c r="B1221" s="4" t="str">
        <f>HYPERLINK("http://www.facebook.com/8062627951/posts/10151251131937952","How popular is Passbook? Sephora sees 17,000 Passbook users on day one, 20K after 24 hours - http://tcrn.ch/RIEPv8")</f>
        <v>How popular is Passbook? Sephora sees 17,000 Passbook users on day one, 20K after 24 hours - http://tcrn.ch/RIEPv8</v>
      </c>
      <c r="C1221" s="3">
        <v>41173.392453703702</v>
      </c>
      <c r="D1221" s="2">
        <v>199</v>
      </c>
      <c r="E1221" s="2">
        <v>19</v>
      </c>
      <c r="F1221" s="2" t="s">
        <v>8</v>
      </c>
      <c r="G1221" s="2" t="s">
        <v>8</v>
      </c>
    </row>
    <row r="1222" spans="1:7" ht="45" x14ac:dyDescent="0.25">
      <c r="A1222" s="4" t="str">
        <f>HYPERLINK("http://techcrunch.com/2012/09/21/rim-ceo-apologizes-for-yet-another-blackberry-outage-details-how-many-users-affected/","RIM CEO Apologizes For Yet Another BlackBerry Outage, Details How Many Users Affected")</f>
        <v>RIM CEO Apologizes For Yet Another BlackBerry Outage, Details How Many Users Affected</v>
      </c>
      <c r="B1222" s="4" t="str">
        <f>HYPERLINK("http://www.facebook.com/8062627951/posts/424169274306154","Did your BlackBerry stop working this morning?")</f>
        <v>Did your BlackBerry stop working this morning?</v>
      </c>
      <c r="C1222" s="3">
        <v>41173.364675925928</v>
      </c>
      <c r="D1222" s="2">
        <v>33</v>
      </c>
      <c r="E1222" s="2">
        <v>26</v>
      </c>
      <c r="F1222" s="2" t="s">
        <v>8</v>
      </c>
      <c r="G1222" s="2" t="s">
        <v>7</v>
      </c>
    </row>
    <row r="1223" spans="1:7" ht="30" x14ac:dyDescent="0.25">
      <c r="A1223" s="4" t="str">
        <f>HYPERLINK("http://www.facebook.com/photo.php?fbid=10151251075702952&amp;set=a.114456157951.118433.8062627951&amp;type=1&amp;relevant_count=1","[Photo]")</f>
        <v>[Photo]</v>
      </c>
      <c r="B1223" s="4" t="str">
        <f>HYPERLINK("http://www.facebook.com/8062627951/posts/10151251075722952","TechCrunch's picks from the ERA Demo Day in New York --http://tcrn.ch/RF9LBV")</f>
        <v>TechCrunch's picks from the ERA Demo Day in New York --http://tcrn.ch/RF9LBV</v>
      </c>
      <c r="C1223" s="3">
        <v>41173.354849537034</v>
      </c>
      <c r="D1223" s="2">
        <v>33</v>
      </c>
      <c r="E1223" s="2">
        <v>0</v>
      </c>
      <c r="F1223" s="2" t="s">
        <v>7</v>
      </c>
      <c r="G1223" s="2" t="s">
        <v>8</v>
      </c>
    </row>
    <row r="1224" spans="1:7" ht="30" x14ac:dyDescent="0.25">
      <c r="A1224" s="4" t="str">
        <f>HYPERLINK("http://www.facebook.com/photo.php?fbid=10151250876972952&amp;set=a.114456157951.118433.8062627951&amp;type=1&amp;relevant_count=1","[Photo]")</f>
        <v>[Photo]</v>
      </c>
      <c r="B1224" s="4" t="str">
        <f>HYPERLINK("http://www.facebook.com/8062627951/posts/10151250876997952","The iPhone 5 has arrived: But which iPhone is the best value? -- http://tcrn.ch/PuI5vI")</f>
        <v>The iPhone 5 has arrived: But which iPhone is the best value? -- http://tcrn.ch/PuI5vI</v>
      </c>
      <c r="C1224" s="3">
        <v>41173.241712962961</v>
      </c>
      <c r="D1224" s="2">
        <v>454</v>
      </c>
      <c r="E1224" s="2">
        <v>156</v>
      </c>
      <c r="F1224" s="2" t="s">
        <v>8</v>
      </c>
      <c r="G1224" s="2" t="s">
        <v>8</v>
      </c>
    </row>
    <row r="1225" spans="1:7" ht="30" x14ac:dyDescent="0.25">
      <c r="A1225" s="4" t="str">
        <f>HYPERLINK("http://techcrunch.com/2012/09/21/blackberry-outage-strikes-emea-on-iphone-5-launch-day-ouch-thats-gotta-hurt/","BlackBerry Outage Strikes EMEA On iPhone 5 Launch Day: Ouch — That’s Gotta Hurt")</f>
        <v>BlackBerry Outage Strikes EMEA On iPhone 5 Launch Day: Ouch — That’s Gotta Hurt</v>
      </c>
      <c r="B1225" s="4" t="str">
        <f>HYPERLINK("http://www.facebook.com/8062627951/posts/262553313848315","A network outage struck BlackBerry users in the EMEA region this morning. Ouch.")</f>
        <v>A network outage struck BlackBerry users in the EMEA region this morning. Ouch.</v>
      </c>
      <c r="C1225" s="3">
        <v>41173.182789351849</v>
      </c>
      <c r="D1225" s="2">
        <v>16</v>
      </c>
      <c r="E1225" s="2">
        <v>8</v>
      </c>
      <c r="F1225" s="2" t="s">
        <v>7</v>
      </c>
      <c r="G1225" s="2" t="s">
        <v>7</v>
      </c>
    </row>
    <row r="1226" spans="1:7" ht="30" x14ac:dyDescent="0.25">
      <c r="A1226" s="4" t="str">
        <f>HYPERLINK("http://www.facebook.com/photo.php?fbid=10151250778202952&amp;set=a.114456157951.118433.8062627951&amp;type=1&amp;relevant_count=1","[Photo]")</f>
        <v>[Photo]</v>
      </c>
      <c r="B1226" s="4" t="str">
        <f>HYPERLINK("http://www.facebook.com/8062627951/posts/10151250778267952","Doors are officially open. Make sure to follow along - http://tcrn.ch/PGmQac")</f>
        <v>Doors are officially open. Make sure to follow along - http://tcrn.ch/PGmQac</v>
      </c>
      <c r="C1226" s="3">
        <v>41173.168171296296</v>
      </c>
      <c r="D1226" s="2">
        <v>168</v>
      </c>
      <c r="E1226" s="2">
        <v>39</v>
      </c>
      <c r="F1226" s="2" t="s">
        <v>7</v>
      </c>
      <c r="G1226" s="2" t="s">
        <v>8</v>
      </c>
    </row>
    <row r="1227" spans="1:7" x14ac:dyDescent="0.25">
      <c r="A1227" s="4" t="str">
        <f>HYPERLINK("http://www.facebook.com/photo.php?fbid=10151250746992952&amp;set=a.114456157951.118433.8062627951&amp;type=1&amp;relevant_count=1","[Photo]")</f>
        <v>[Photo]</v>
      </c>
      <c r="B1227" s="4" t="str">
        <f>HYPERLINK("http://www.facebook.com/8062627951/posts/10151250747007952","Madness.")</f>
        <v>Madness.</v>
      </c>
      <c r="C1227" s="3">
        <v>41173.154016203705</v>
      </c>
      <c r="D1227" s="2">
        <v>262</v>
      </c>
      <c r="E1227" s="2">
        <v>74</v>
      </c>
      <c r="F1227" s="2" t="s">
        <v>7</v>
      </c>
      <c r="G1227" s="2" t="s">
        <v>8</v>
      </c>
    </row>
    <row r="1228" spans="1:7" x14ac:dyDescent="0.25">
      <c r="A1228" s="4" t="str">
        <f>HYPERLINK("http://www.facebook.com/photo.php?fbid=10151250727097952&amp;set=a.114456157951.118433.8062627951&amp;type=1&amp;relevant_count=1","[Photo]")</f>
        <v>[Photo]</v>
      </c>
      <c r="B1228" s="4" t="str">
        <f>HYPERLINK("http://www.facebook.com/8062627951/posts/10151250727122952","Lines for days. Would you wait in this line for a new phone?")</f>
        <v>Lines for days. Would you wait in this line for a new phone?</v>
      </c>
      <c r="C1228" s="3">
        <v>41173.136817129627</v>
      </c>
      <c r="D1228" s="2">
        <v>618</v>
      </c>
      <c r="E1228" s="2">
        <v>515</v>
      </c>
      <c r="F1228" s="2" t="s">
        <v>8</v>
      </c>
      <c r="G1228" s="2" t="s">
        <v>8</v>
      </c>
    </row>
    <row r="1229" spans="1:7" x14ac:dyDescent="0.25">
      <c r="A1229" s="4" t="str">
        <f>HYPERLINK("http://www.facebook.com/photo.php?fbid=10151250719482952&amp;set=a.114456157951.118433.8062627951&amp;type=1&amp;relevant_count=1","[Photo]")</f>
        <v>[Photo]</v>
      </c>
      <c r="B1229" s="4" t="str">
        <f>HYPERLINK("http://www.facebook.com/8062627951/posts/10151250719507952","There she is. Are you getting an iPhone 5?")</f>
        <v>There she is. Are you getting an iPhone 5?</v>
      </c>
      <c r="C1229" s="3">
        <v>41173.128576388888</v>
      </c>
      <c r="D1229" s="2">
        <v>346</v>
      </c>
      <c r="E1229" s="2">
        <v>122</v>
      </c>
      <c r="F1229" s="2" t="s">
        <v>8</v>
      </c>
      <c r="G1229" s="2" t="s">
        <v>8</v>
      </c>
    </row>
    <row r="1230" spans="1:7" x14ac:dyDescent="0.25">
      <c r="A1230" s="4" t="str">
        <f>HYPERLINK("http://www.facebook.com/photo.php?fbid=10151250715447952&amp;set=a.114456157951.118433.8062627951&amp;type=1&amp;relevant_count=1","[Photo]")</f>
        <v>[Photo]</v>
      </c>
      <c r="B1230" s="4" t="str">
        <f>HYPERLINK("http://www.facebook.com/8062627951/posts/10151250715467952","The unveiling of the Apple Store in NYC has begun.")</f>
        <v>The unveiling of the Apple Store in NYC has begun.</v>
      </c>
      <c r="C1230" s="3">
        <v>41173.12358796296</v>
      </c>
      <c r="D1230" s="2">
        <v>210</v>
      </c>
      <c r="E1230" s="2">
        <v>25</v>
      </c>
      <c r="F1230" s="2" t="s">
        <v>7</v>
      </c>
      <c r="G1230" s="2" t="s">
        <v>8</v>
      </c>
    </row>
    <row r="1231" spans="1:7" ht="30" x14ac:dyDescent="0.25">
      <c r="A1231" s="4" t="str">
        <f>HYPERLINK("http://techcrunch.com/2012/09/21/watch-it-live-apple-opens-doors-to-its-nyc-flagship-store-for-iphone-5-launch/","Watch It Live: Apple Opens Doors To Its NYC Flagship Store For iPhone 5 Launch")</f>
        <v>Watch It Live: Apple Opens Doors To Its NYC Flagship Store For iPhone 5 Launch</v>
      </c>
      <c r="B1231" s="4" t="str">
        <f>HYPERLINK("http://www.facebook.com/8062627951/posts/352680298148923","It’s the big day. iPhone 5 day. And we are LIVE! Make sure to tune in!")</f>
        <v>It’s the big day. iPhone 5 day. And we are LIVE! Make sure to tune in!</v>
      </c>
      <c r="C1231" s="3">
        <v>41173.118113425924</v>
      </c>
      <c r="D1231" s="2">
        <v>49</v>
      </c>
      <c r="E1231" s="2">
        <v>13</v>
      </c>
      <c r="F1231" s="2" t="s">
        <v>7</v>
      </c>
      <c r="G1231" s="2" t="s">
        <v>7</v>
      </c>
    </row>
    <row r="1232" spans="1:7" ht="45" x14ac:dyDescent="0.25">
      <c r="A1232" s="4" t="str">
        <f>HYPERLINK("http://www.facebook.com/photo.php?fbid=10151250437782952&amp;set=a.114456157951.118433.8062627951&amp;type=1&amp;relevant_count=1","[Photo]")</f>
        <v>[Photo]</v>
      </c>
      <c r="B1232" s="4" t="str">
        <f>HYPERLINK("http://www.facebook.com/8062627951/posts/10151250437797952","The team behind the food daily deals site MunchOnMe is on to the next one, launching a new startup, Caviar - http://tcrn.ch/PESrsB")</f>
        <v>The team behind the food daily deals site MunchOnMe is on to the next one, launching a new startup, Caviar - http://tcrn.ch/PESrsB</v>
      </c>
      <c r="C1232" s="3">
        <v>41172.845462962963</v>
      </c>
      <c r="D1232" s="2">
        <v>60</v>
      </c>
      <c r="E1232" s="2">
        <v>4</v>
      </c>
      <c r="F1232" s="2" t="s">
        <v>7</v>
      </c>
      <c r="G1232" s="2" t="s">
        <v>8</v>
      </c>
    </row>
    <row r="1233" spans="1:7" ht="30" x14ac:dyDescent="0.25">
      <c r="A1233" s="4" t="str">
        <f>HYPERLINK("http://techcrunch.com/2012/09/20/espn-goes-realtime-turns-its-content-firehose-into-a-streaming-reader/","ESPN Goes Realtime, Turns Its Content Firehose Into A Streaming Reader")</f>
        <v>ESPN Goes Realtime, Turns Its Content Firehose Into A Streaming Reader</v>
      </c>
      <c r="B1233" s="4" t="str">
        <f>HYPERLINK("http://www.facebook.com/8062627951/posts/228858237240461","ESPN fans, what do you think?")</f>
        <v>ESPN fans, what do you think?</v>
      </c>
      <c r="C1233" s="3">
        <v>41172.735451388886</v>
      </c>
      <c r="D1233" s="2">
        <v>63</v>
      </c>
      <c r="E1233" s="2">
        <v>5</v>
      </c>
      <c r="F1233" s="2" t="s">
        <v>8</v>
      </c>
      <c r="G1233" s="2" t="s">
        <v>7</v>
      </c>
    </row>
    <row r="1234" spans="1:7" ht="30" x14ac:dyDescent="0.25">
      <c r="A1234" s="4" t="str">
        <f>HYPERLINK("http://techcrunch.com/2012/09/20/sorry-folks-kiss-your-animated-twitter-avatars-goodbye/","Sorry Folks, Kiss Your Animated Twitter Avatars Goodbye")</f>
        <v>Sorry Folks, Kiss Your Animated Twitter Avatars Goodbye</v>
      </c>
      <c r="B1234" s="4" t="str">
        <f>HYPERLINK("http://www.facebook.com/8062627951/posts/284554874978399","RIP, animated Twitter avatars.")</f>
        <v>RIP, animated Twitter avatars.</v>
      </c>
      <c r="C1234" s="3">
        <v>41172.672847222224</v>
      </c>
      <c r="D1234" s="2">
        <v>52</v>
      </c>
      <c r="E1234" s="2">
        <v>12</v>
      </c>
      <c r="F1234" s="2" t="s">
        <v>7</v>
      </c>
      <c r="G1234" s="2" t="s">
        <v>7</v>
      </c>
    </row>
    <row r="1235" spans="1:7" ht="45" x14ac:dyDescent="0.25">
      <c r="A1235" s="4" t="str">
        <f>HYPERLINK("http://www.facebook.com/photo.php?fbid=10151250033432952&amp;set=a.114456157951.118433.8062627951&amp;type=1&amp;relevant_count=1","[Photo]")</f>
        <v>[Photo]</v>
      </c>
      <c r="B1235" s="4" t="s">
        <v>72</v>
      </c>
      <c r="C1235" s="3">
        <v>41172.555694444447</v>
      </c>
      <c r="D1235" s="2">
        <v>2249</v>
      </c>
      <c r="E1235" s="2">
        <v>158</v>
      </c>
      <c r="F1235" s="2" t="s">
        <v>7</v>
      </c>
      <c r="G1235" s="2" t="s">
        <v>8</v>
      </c>
    </row>
    <row r="1236" spans="1:7" ht="30" x14ac:dyDescent="0.25">
      <c r="A1236" s="4" t="str">
        <f>HYPERLINK("http://www.facebook.com/photo.php?fbid=10151250021167952&amp;set=a.114456157951.118433.8062627951&amp;type=1&amp;relevant_count=1","[Photo]")</f>
        <v>[Photo]</v>
      </c>
      <c r="B1236" s="4" t="str">
        <f>HYPERLINK("http://www.facebook.com/8062627951/posts/10151250021202952","Source: Google hopes to have iOS Maps app in the App Store “before Christmas” - http://tcrn.ch/RE9F8e")</f>
        <v>Source: Google hopes to have iOS Maps app in the App Store “before Christmas” - http://tcrn.ch/RE9F8e</v>
      </c>
      <c r="C1236" s="3">
        <v>41172.548611111109</v>
      </c>
      <c r="D1236" s="2">
        <v>845</v>
      </c>
      <c r="E1236" s="2">
        <v>53</v>
      </c>
      <c r="F1236" s="2" t="s">
        <v>7</v>
      </c>
      <c r="G1236" s="2" t="s">
        <v>8</v>
      </c>
    </row>
    <row r="1237" spans="1:7" ht="30" x14ac:dyDescent="0.25">
      <c r="A1237" s="4" t="str">
        <f>HYPERLINK("http://www.facebook.com/photo.php?fbid=10151249990607952&amp;set=a.114456157951.118433.8062627951&amp;type=1&amp;relevant_count=1","[Photo]")</f>
        <v>[Photo]</v>
      </c>
      <c r="B1237" s="4" t="str">
        <f>HYPERLINK("http://www.facebook.com/8062627951/posts/10151249990627952","In line for the iPhone 5: where have all the fanbois gone? http://tcrn.ch/QFLdnQ")</f>
        <v>In line for the iPhone 5: where have all the fanbois gone? http://tcrn.ch/QFLdnQ</v>
      </c>
      <c r="C1237" s="3">
        <v>41172.529166666667</v>
      </c>
      <c r="D1237" s="2">
        <v>91</v>
      </c>
      <c r="E1237" s="2">
        <v>42</v>
      </c>
      <c r="F1237" s="2" t="s">
        <v>8</v>
      </c>
      <c r="G1237" s="2" t="s">
        <v>8</v>
      </c>
    </row>
    <row r="1238" spans="1:7" ht="45" x14ac:dyDescent="0.25">
      <c r="A1238" s="4" t="str">
        <f>HYPERLINK("http://techcrunch.com/2012/09/20/the-beginnings-of-a-usable-mobile-wallet-target-brings-mobile-coupons-to-apples-passbook/","The Beginnings Of A Usable Mobile Wallet: Target Brings Mobile Coupons To Apple’s Passbook")</f>
        <v>The Beginnings Of A Usable Mobile Wallet: Target Brings Mobile Coupons To Apple’s Passbook</v>
      </c>
      <c r="B1238" s="4" t="str">
        <f>HYPERLINK("http://www.facebook.com/8062627951/posts/464238586932355","Today it’s official: Target’s app is now Passbook-enabled.")</f>
        <v>Today it’s official: Target’s app is now Passbook-enabled.</v>
      </c>
      <c r="C1238" s="3">
        <v>41172.482951388891</v>
      </c>
      <c r="D1238" s="2">
        <v>71</v>
      </c>
      <c r="E1238" s="2">
        <v>9</v>
      </c>
      <c r="F1238" s="2" t="s">
        <v>7</v>
      </c>
      <c r="G1238" s="2" t="s">
        <v>7</v>
      </c>
    </row>
    <row r="1239" spans="1:7" ht="45" x14ac:dyDescent="0.25">
      <c r="A1239" s="4" t="str">
        <f>HYPERLINK("http://www.facebook.com/photo.php?fbid=10151249844067952&amp;set=a.114456157951.118433.8062627951&amp;type=1&amp;relevant_count=1","[Photo]")</f>
        <v>[Photo]</v>
      </c>
      <c r="B1239" s="4" t="str">
        <f>HYPERLINK("http://www.facebook.com/8062627951/posts/10151249844087952","Why the @Facebook.com addresses in iOS 6 contact sync? Apple and Facebook want to shut out Gmail - http://tcrn.ch/Uln8TS")</f>
        <v>Why the @Facebook.com addresses in iOS 6 contact sync? Apple and Facebook want to shut out Gmail - http://tcrn.ch/Uln8TS</v>
      </c>
      <c r="C1239" s="3">
        <v>41172.440370370372</v>
      </c>
      <c r="D1239" s="2">
        <v>228</v>
      </c>
      <c r="E1239" s="2">
        <v>73</v>
      </c>
      <c r="F1239" s="2" t="s">
        <v>8</v>
      </c>
      <c r="G1239" s="2" t="s">
        <v>8</v>
      </c>
    </row>
    <row r="1240" spans="1:7" ht="30" x14ac:dyDescent="0.25">
      <c r="A1240" s="4" t="str">
        <f>HYPERLINK("http://www.facebook.com/photo.php?fbid=10151249770227952&amp;set=a.114456157951.118433.8062627951&amp;type=1&amp;relevant_count=1","[Photo]")</f>
        <v>[Photo]</v>
      </c>
      <c r="B1240" s="4" t="str">
        <f>HYPERLINK("http://www.facebook.com/8062627951/posts/10151249770267952","Welcome to Apple’s iOS6 Map — where Berlin is now called “Schoeneiche” - http://tcrn.ch/S6Q5RB")</f>
        <v>Welcome to Apple’s iOS6 Map — where Berlin is now called “Schoeneiche” - http://tcrn.ch/S6Q5RB</v>
      </c>
      <c r="C1240" s="3">
        <v>41172.389513888891</v>
      </c>
      <c r="D1240" s="2">
        <v>230</v>
      </c>
      <c r="E1240" s="2">
        <v>44</v>
      </c>
      <c r="F1240" s="2" t="s">
        <v>7</v>
      </c>
      <c r="G1240" s="2" t="s">
        <v>8</v>
      </c>
    </row>
    <row r="1241" spans="1:7" ht="30" x14ac:dyDescent="0.25">
      <c r="A1241" s="4" t="str">
        <f>HYPERLINK("http://www.facebook.com/photo.php?fbid=10151249556362952&amp;set=a.114456157951.118433.8062627951&amp;type=1&amp;relevant_count=1","[Photo]")</f>
        <v>[Photo]</v>
      </c>
      <c r="B1241" s="4" t="str">
        <f>HYPERLINK("http://www.facebook.com/8062627951/posts/10151249556392952","TechCrunch is going to the Midwest! -- http://tcrn.ch/RBRMa2")</f>
        <v>TechCrunch is going to the Midwest! -- http://tcrn.ch/RBRMa2</v>
      </c>
      <c r="C1241" s="3">
        <v>41172.240844907406</v>
      </c>
      <c r="D1241" s="2">
        <v>64</v>
      </c>
      <c r="E1241" s="2">
        <v>10</v>
      </c>
      <c r="F1241" s="2" t="s">
        <v>7</v>
      </c>
      <c r="G1241" s="2" t="s">
        <v>8</v>
      </c>
    </row>
    <row r="1242" spans="1:7" ht="30" x14ac:dyDescent="0.25">
      <c r="A1242" s="4" t="str">
        <f>HYPERLINK("http://techcrunch.com/2012/09/20/welcome-to-apples-ios6-map-where-berlin-is-now-called-schoeneiche/","Welcome To Apple’s iOS6 Map — Where Berlin Is Now Called “Schoeneiche”")</f>
        <v>Welcome To Apple’s iOS6 Map — Where Berlin Is Now Called “Schoeneiche”</v>
      </c>
      <c r="B1242" s="4" t="str">
        <f>HYPERLINK("http://www.facebook.com/8062627951/posts/472587459442281","iOS 6's maps are, well, bad.")</f>
        <v>iOS 6's maps are, well, bad.</v>
      </c>
      <c r="C1242" s="3">
        <v>41172.186180555553</v>
      </c>
      <c r="D1242" s="2">
        <v>571</v>
      </c>
      <c r="E1242" s="2">
        <v>87</v>
      </c>
      <c r="F1242" s="2" t="s">
        <v>7</v>
      </c>
      <c r="G1242" s="2" t="s">
        <v>7</v>
      </c>
    </row>
    <row r="1243" spans="1:7" ht="30" x14ac:dyDescent="0.25">
      <c r="A1243" s="4" t="str">
        <f>HYPERLINK("http://techcrunch.com/2012/09/19/the-ios-6-maps-app-takes-to-twitter-to-assuage-your-cartographic-grief/","The iOS 6 Maps App Takes To Twitter To Assuage Your Cartographic Grief")</f>
        <v>The iOS 6 Maps App Takes To Twitter To Assuage Your Cartographic Grief</v>
      </c>
      <c r="B1243" s="4" t="str">
        <f>HYPERLINK("http://www.facebook.com/8062627951/posts/265108283592812","Hurry up and follow @fake_iOS6maps on Twitter before it's too late.")</f>
        <v>Hurry up and follow @fake_iOS6maps on Twitter before it's too late.</v>
      </c>
      <c r="C1243" s="3">
        <v>41171.93072916667</v>
      </c>
      <c r="D1243" s="2">
        <v>65</v>
      </c>
      <c r="E1243" s="2">
        <v>11</v>
      </c>
      <c r="F1243" s="2" t="s">
        <v>7</v>
      </c>
      <c r="G1243" s="2" t="s">
        <v>7</v>
      </c>
    </row>
    <row r="1244" spans="1:7" ht="30" x14ac:dyDescent="0.25">
      <c r="A1244" s="4" t="str">
        <f>HYPERLINK("http://techcrunch.com/2012/09/19/pornfeud-sex-com-claims-pinterest-is-banning-racy-pins/","PornFeud: Sex.com Claims Pinterest Is Banning Racy Pins")</f>
        <v>PornFeud: Sex.com Claims Pinterest Is Banning Racy Pins</v>
      </c>
      <c r="B1244" s="4" t="str">
        <f>HYPERLINK("http://www.facebook.com/8062627951/posts/229600617165861","There's trouble brewing in Pinterest land.")</f>
        <v>There's trouble brewing in Pinterest land.</v>
      </c>
      <c r="C1244" s="3">
        <v>41171.823750000003</v>
      </c>
      <c r="D1244" s="2">
        <v>30</v>
      </c>
      <c r="E1244" s="2">
        <v>18</v>
      </c>
      <c r="F1244" s="2" t="s">
        <v>7</v>
      </c>
      <c r="G1244" s="2" t="s">
        <v>7</v>
      </c>
    </row>
    <row r="1245" spans="1:7" ht="30" x14ac:dyDescent="0.25">
      <c r="A1245" s="4" t="str">
        <f>HYPERLINK("http://techcrunch.com/2012/09/19/users-report-annoying-wifi-bug-in-ios-6/","Users Report Annoying (Apparently Fixed) WiFi Bug In iOS 6")</f>
        <v>Users Report Annoying (Apparently Fixed) WiFi Bug In iOS 6</v>
      </c>
      <c r="B1245" s="4" t="str">
        <f>HYPERLINK("http://www.facebook.com/8062627951/posts/262811950488884","Did you have any issues at all?")</f>
        <v>Did you have any issues at all?</v>
      </c>
      <c r="C1245" s="3">
        <v>41171.702256944445</v>
      </c>
      <c r="D1245" s="2">
        <v>56</v>
      </c>
      <c r="E1245" s="2">
        <v>64</v>
      </c>
      <c r="F1245" s="2" t="s">
        <v>8</v>
      </c>
      <c r="G1245" s="2" t="s">
        <v>7</v>
      </c>
    </row>
    <row r="1246" spans="1:7" ht="30" x14ac:dyDescent="0.25">
      <c r="A1246" s="4" t="str">
        <f>HYPERLINK("http://www.facebook.com/photo.php?fbid=10151248939877952&amp;set=a.10151134316772952.498619.8062627951&amp;type=1&amp;relevant_count=1","[Photo]")</f>
        <v>[Photo]</v>
      </c>
      <c r="B1246" s="4" t="str">
        <f>HYPERLINK("http://www.facebook.com/8062627951/posts/10151248939902952","One of our office mascots is obsessed with our new ping pong table. ")</f>
        <v xml:space="preserve">One of our office mascots is obsessed with our new ping pong table. </v>
      </c>
      <c r="C1246" s="3">
        <v>41171.677615740744</v>
      </c>
      <c r="D1246" s="2">
        <v>160</v>
      </c>
      <c r="E1246" s="2">
        <v>9</v>
      </c>
      <c r="F1246" s="2" t="s">
        <v>7</v>
      </c>
      <c r="G1246" s="2" t="s">
        <v>8</v>
      </c>
    </row>
    <row r="1247" spans="1:7" ht="30" x14ac:dyDescent="0.25">
      <c r="A1247" s="4" t="str">
        <f>HYPERLINK("http://www.facebook.com/photo.php?fbid=10151248899092952&amp;set=a.114456157951.118433.8062627951&amp;type=1&amp;relevant_count=1","[Photo]")</f>
        <v>[Photo]</v>
      </c>
      <c r="B1247" s="4" t="str">
        <f>HYPERLINK("http://www.facebook.com/8062627951/posts/10151248899107952","California and 11 other states now allow online voter registration - http://tcrn.ch/Rvf4E9")</f>
        <v>California and 11 other states now allow online voter registration - http://tcrn.ch/Rvf4E9</v>
      </c>
      <c r="C1247" s="3">
        <v>41171.645011574074</v>
      </c>
      <c r="D1247" s="2">
        <v>446</v>
      </c>
      <c r="E1247" s="2">
        <v>28</v>
      </c>
      <c r="F1247" s="2" t="s">
        <v>7</v>
      </c>
      <c r="G1247" s="2" t="s">
        <v>8</v>
      </c>
    </row>
    <row r="1248" spans="1:7" ht="30" x14ac:dyDescent="0.25">
      <c r="A1248" s="4" t="str">
        <f>HYPERLINK("http://www.facebook.com/photo.php?fbid=10151248808917952&amp;set=a.114456157951.118433.8062627951&amp;type=1&amp;relevant_count=1","[Photo]")</f>
        <v>[Photo]</v>
      </c>
      <c r="B1248" s="4" t="str">
        <f>HYPERLINK("http://www.facebook.com/8062627951/posts/10151248808937952","iOS 6 Passbook real world test: let’s all go to a movie… or not. http://tcrn.ch/NCR1kf")</f>
        <v>iOS 6 Passbook real world test: let’s all go to a movie… or not. http://tcrn.ch/NCR1kf</v>
      </c>
      <c r="C1248" s="3">
        <v>41171.577673611115</v>
      </c>
      <c r="D1248" s="2">
        <v>47</v>
      </c>
      <c r="E1248" s="2">
        <v>16</v>
      </c>
      <c r="F1248" s="2" t="s">
        <v>7</v>
      </c>
      <c r="G1248" s="2" t="s">
        <v>8</v>
      </c>
    </row>
    <row r="1249" spans="1:7" ht="30" x14ac:dyDescent="0.25">
      <c r="A1249" s="4" t="str">
        <f>HYPERLINK("http://techcrunch.com/2012/09/19/samsung-responds-to-iphone-5-frenzy-with-a-feisty-galaxy-s-iii-commercial/","Samsung Responds To iPhone 5 Frenzy With A Feisty Galaxy S III Commercial")</f>
        <v>Samsung Responds To iPhone 5 Frenzy With A Feisty Galaxy S III Commercial</v>
      </c>
      <c r="B1249" s="4" t="str">
        <f>HYPERLINK("http://www.facebook.com/8062627951/posts/225651690897478","Samsung gets feisty. What do you think of the commercial?")</f>
        <v>Samsung gets feisty. What do you think of the commercial?</v>
      </c>
      <c r="C1249" s="3">
        <v>41171.498055555552</v>
      </c>
      <c r="D1249" s="2">
        <v>496</v>
      </c>
      <c r="E1249" s="2">
        <v>118</v>
      </c>
      <c r="F1249" s="2" t="s">
        <v>8</v>
      </c>
      <c r="G1249" s="2" t="s">
        <v>7</v>
      </c>
    </row>
    <row r="1250" spans="1:7" ht="30" x14ac:dyDescent="0.25">
      <c r="A1250" s="4" t="str">
        <f>HYPERLINK("http://www.facebook.com/photo.php?fbid=10151248617342952&amp;set=a.114456157951.118433.8062627951&amp;type=1&amp;relevant_count=1","[Photo]")</f>
        <v>[Photo]</v>
      </c>
      <c r="B1250" s="4" t="str">
        <f>HYPERLINK("http://www.facebook.com/8062627951/posts/10151248617387952","Hands-on with Facebook in OS X: sharing made easy, app access and contact syncing - http://tcrn.ch/NCByAP")</f>
        <v>Hands-on with Facebook in OS X: sharing made easy, app access and contact syncing - http://tcrn.ch/NCByAP</v>
      </c>
      <c r="C1250" s="3">
        <v>41171.457557870373</v>
      </c>
      <c r="D1250" s="2">
        <v>78</v>
      </c>
      <c r="E1250" s="2">
        <v>14</v>
      </c>
      <c r="F1250" s="2" t="s">
        <v>7</v>
      </c>
      <c r="G1250" s="2" t="s">
        <v>8</v>
      </c>
    </row>
    <row r="1251" spans="1:7" ht="30" x14ac:dyDescent="0.25">
      <c r="A1251" s="4" t="str">
        <f>HYPERLINK("http://www.facebook.com/photo.php?fbid=10151248578177952&amp;set=a.114456157951.118433.8062627951&amp;type=1&amp;relevant_count=1","[Photo]")</f>
        <v>[Photo]</v>
      </c>
      <c r="B1251" s="4" t="str">
        <f>HYPERLINK("http://www.facebook.com/8062627951/posts/10151248578212952","How to undo Facebook hiding your email address before your friends use iOS 6 contact sync http://tcrn.ch/VdhJAz")</f>
        <v>How to undo Facebook hiding your email address before your friends use iOS 6 contact sync http://tcrn.ch/VdhJAz</v>
      </c>
      <c r="C1251" s="3">
        <v>41171.432824074072</v>
      </c>
      <c r="D1251" s="2">
        <v>227</v>
      </c>
      <c r="E1251" s="2">
        <v>9</v>
      </c>
      <c r="F1251" s="2" t="s">
        <v>7</v>
      </c>
      <c r="G1251" s="2" t="s">
        <v>8</v>
      </c>
    </row>
    <row r="1252" spans="1:7" ht="45" x14ac:dyDescent="0.25">
      <c r="A1252" s="4" t="str">
        <f>HYPERLINK("http://techcrunch.com/2012/09/19/if-i-were-google-i-wouldnt-release-a-native-ios-6-maps-app-for-six-months/","If I Were Google, I Wouldn’t Release A Native iOS 6 Maps App For Six Months | TechCrunch")</f>
        <v>If I Were Google, I Wouldn’t Release A Native iOS 6 Maps App For Six Months | TechCrunch</v>
      </c>
      <c r="B1252" s="4" t="str">
        <f>HYPERLINK("http://www.facebook.com/8062627951/posts/503897759622055","What are your thoughts on the new Maps app in iOS 6?")</f>
        <v>What are your thoughts on the new Maps app in iOS 6?</v>
      </c>
      <c r="C1252" s="3">
        <v>41171.394166666665</v>
      </c>
      <c r="D1252" s="2">
        <v>87</v>
      </c>
      <c r="E1252" s="2">
        <v>33</v>
      </c>
      <c r="F1252" s="2" t="s">
        <v>8</v>
      </c>
      <c r="G1252" s="2" t="s">
        <v>7</v>
      </c>
    </row>
    <row r="1253" spans="1:7" ht="30" x14ac:dyDescent="0.25">
      <c r="A1253" s="4" t="str">
        <f>HYPERLINK("http://www.facebook.com/photo.php?fbid=10151248505992952&amp;set=a.114456157951.118433.8062627951&amp;type=1&amp;relevant_count=1","[Photo]")</f>
        <v>[Photo]</v>
      </c>
      <c r="B1253" s="4" t="str">
        <f>HYPERLINK("http://www.facebook.com/8062627951/posts/10151248506012952","iOS 6 review: the highs, the lows, and everything in between - http://tcrn.ch/PqCYN5")</f>
        <v>iOS 6 review: the highs, the lows, and everything in between - http://tcrn.ch/PqCYN5</v>
      </c>
      <c r="C1253" s="3">
        <v>41171.387407407405</v>
      </c>
      <c r="D1253" s="2">
        <v>204</v>
      </c>
      <c r="E1253" s="2">
        <v>17</v>
      </c>
      <c r="F1253" s="2" t="s">
        <v>7</v>
      </c>
      <c r="G1253" s="2" t="s">
        <v>8</v>
      </c>
    </row>
    <row r="1254" spans="1:7" ht="30" x14ac:dyDescent="0.25">
      <c r="A1254" s="4" t="str">
        <f>HYPERLINK("http://www.facebook.com/photo.php?fbid=10151248481922952&amp;set=a.114456157951.118433.8062627951&amp;type=1&amp;relevant_count=1","[Photo]")</f>
        <v>[Photo]</v>
      </c>
      <c r="B1254" s="4" t="str">
        <f>HYPERLINK("http://www.facebook.com/8062627951/posts/10151248481962952","iOS 6 is now available: Here's what features your iDevice gets -- http://tcrn.ch/Up1NMa")</f>
        <v>iOS 6 is now available: Here's what features your iDevice gets -- http://tcrn.ch/Up1NMa</v>
      </c>
      <c r="C1254" s="3">
        <v>41171.370000000003</v>
      </c>
      <c r="D1254" s="2">
        <v>1812</v>
      </c>
      <c r="E1254" s="2">
        <v>212</v>
      </c>
      <c r="F1254" s="2" t="s">
        <v>7</v>
      </c>
      <c r="G1254" s="2" t="s">
        <v>8</v>
      </c>
    </row>
    <row r="1255" spans="1:7" ht="30" x14ac:dyDescent="0.25">
      <c r="A1255" s="4" t="str">
        <f>HYPERLINK("http://techcrunch.com/2012/09/19/meet-the-htc-8s-a-crappy-mid-range-windows-phone-device-no-one-will-buy/","Meet The HTC 8S, A Crappy Mid-Range Windows Phone Device No One Will Buy")</f>
        <v>Meet The HTC 8S, A Crappy Mid-Range Windows Phone Device No One Will Buy</v>
      </c>
      <c r="B1255" s="4" t="str">
        <f>HYPERLINK("http://www.facebook.com/8062627951/posts/161931620597452","Would you buy this phone? Or said another way, would you lock yourself into a two-year contract with this phone?")</f>
        <v>Would you buy this phone? Or said another way, would you lock yourself into a two-year contract with this phone?</v>
      </c>
      <c r="C1255" s="3">
        <v>41171.358182870368</v>
      </c>
      <c r="D1255" s="2">
        <v>66</v>
      </c>
      <c r="E1255" s="2">
        <v>71</v>
      </c>
      <c r="F1255" s="2" t="s">
        <v>8</v>
      </c>
      <c r="G1255" s="2" t="s">
        <v>7</v>
      </c>
    </row>
    <row r="1256" spans="1:7" ht="30" x14ac:dyDescent="0.25">
      <c r="A1256" s="4" t="str">
        <f>HYPERLINK("http://www.facebook.com/photo.php?fbid=10151248379427952&amp;set=a.114456157951.118433.8062627951&amp;type=1&amp;relevant_count=1","[Photo]")</f>
        <v>[Photo]</v>
      </c>
      <c r="B1256" s="4" t="str">
        <f>HYPERLINK("http://www.facebook.com/8062627951/posts/10151248379467952","We're live from HTC's New York press event! It's time for some new phones! http://tcrn.ch/OERkqt")</f>
        <v>We're live from HTC's New York press event! It's time for some new phones! http://tcrn.ch/OERkqt</v>
      </c>
      <c r="C1256" s="3">
        <v>41171.299687500003</v>
      </c>
      <c r="D1256" s="2">
        <v>127</v>
      </c>
      <c r="E1256" s="2">
        <v>14</v>
      </c>
      <c r="F1256" s="2" t="s">
        <v>7</v>
      </c>
      <c r="G1256" s="2" t="s">
        <v>8</v>
      </c>
    </row>
    <row r="1257" spans="1:7" ht="60" x14ac:dyDescent="0.25">
      <c r="A1257" s="4" t="str">
        <f>HYPERLINK("http://www.facebook.com/photo.php?fbid=10151248214452952&amp;set=a.114456157951.118433.8062627951&amp;type=1&amp;relevant_count=1","[Photo]")</f>
        <v>[Photo]</v>
      </c>
      <c r="B1257" s="4" t="s">
        <v>73</v>
      </c>
      <c r="C1257" s="3">
        <v>41171.214629629627</v>
      </c>
      <c r="D1257" s="2">
        <v>242</v>
      </c>
      <c r="E1257" s="2">
        <v>58</v>
      </c>
      <c r="F1257" s="2" t="s">
        <v>8</v>
      </c>
      <c r="G1257" s="2" t="s">
        <v>8</v>
      </c>
    </row>
    <row r="1258" spans="1:7" ht="45" x14ac:dyDescent="0.25">
      <c r="A1258" s="4" t="str">
        <f>HYPERLINK("http://www.facebook.com/photo.php?fbid=10151248122477952&amp;set=a.114456157951.118433.8062627951&amp;type=1&amp;relevant_count=1","[Photo]")</f>
        <v>[Photo]</v>
      </c>
      <c r="B1258" s="4" t="str">
        <f>HYPERLINK("http://www.facebook.com/8062627951/posts/10151248122527952","Salesforce launches HTML5 App for sales cloud; launches Chatter Communities for vendors and the Service Cloud --http://tcrn.ch/PSBDAt")</f>
        <v>Salesforce launches HTML5 App for sales cloud; launches Chatter Communities for vendors and the Service Cloud --http://tcrn.ch/PSBDAt</v>
      </c>
      <c r="C1258" s="3">
        <v>41171.182395833333</v>
      </c>
      <c r="D1258" s="2">
        <v>158</v>
      </c>
      <c r="E1258" s="2">
        <v>1</v>
      </c>
      <c r="F1258" s="2" t="s">
        <v>7</v>
      </c>
      <c r="G1258" s="2" t="s">
        <v>8</v>
      </c>
    </row>
    <row r="1259" spans="1:7" ht="45" x14ac:dyDescent="0.25">
      <c r="A1259" s="4" t="str">
        <f>HYPERLINK("http://techcrunch.com/2012/09/19/tweets-on-twitter/","Twitter Announces Product News On The ‘Today Show.’ Tech Is Now Mainstream. Dur.")</f>
        <v>Twitter Announces Product News On The ‘Today Show.’ Tech Is Now Mainstream. Dur.</v>
      </c>
      <c r="B1259" s="4" t="str">
        <f>HYPERLINK("http://www.facebook.com/8062627951/posts/282544688528226","Tech news is just news now.")</f>
        <v>Tech news is just news now.</v>
      </c>
      <c r="C1259" s="3">
        <v>41171.147604166668</v>
      </c>
      <c r="D1259" s="2">
        <v>47</v>
      </c>
      <c r="E1259" s="2">
        <v>3</v>
      </c>
      <c r="F1259" s="2" t="s">
        <v>7</v>
      </c>
      <c r="G1259" s="2" t="s">
        <v>7</v>
      </c>
    </row>
    <row r="1260" spans="1:7" ht="45" x14ac:dyDescent="0.25">
      <c r="A1260" s="4" t="str">
        <f>HYPERLINK("http://techcrunch.com/2012/09/18/iphone-5-review/","With iPhone 5, Apple Has Chiseled The Smartphone To Near Perfection | TechCrunch")</f>
        <v>With iPhone 5, Apple Has Chiseled The Smartphone To Near Perfection | TechCrunch</v>
      </c>
      <c r="B1260" s="4" t="str">
        <f>HYPERLINK("http://www.facebook.com/8062627951/posts/305197919587320","Well, MG Siegler is sold, will you be getting an iPhone 5?")</f>
        <v>Well, MG Siegler is sold, will you be getting an iPhone 5?</v>
      </c>
      <c r="C1260" s="3">
        <v>41170.730613425927</v>
      </c>
      <c r="D1260" s="2">
        <v>292</v>
      </c>
      <c r="E1260" s="2">
        <v>106</v>
      </c>
      <c r="F1260" s="2" t="s">
        <v>8</v>
      </c>
      <c r="G1260" s="2" t="s">
        <v>7</v>
      </c>
    </row>
    <row r="1261" spans="1:7" ht="30" x14ac:dyDescent="0.25">
      <c r="A1261" s="4" t="str">
        <f>HYPERLINK("http://www.facebook.com/photo.php?fbid=10151247551132952&amp;set=a.114456157951.118433.8062627951&amp;type=1&amp;relevant_count=1","[Photo]")</f>
        <v>[Photo]</v>
      </c>
      <c r="B1261" s="4" t="str">
        <f>HYPERLINK("http://www.facebook.com/8062627951/posts/10151247551172952","Source: Twitpic has been in talks to sell and getting kicked out of Twitter’s apps won’t help - http://tcrn.ch/QlQG5K")</f>
        <v>Source: Twitpic has been in talks to sell and getting kicked out of Twitter’s apps won’t help - http://tcrn.ch/QlQG5K</v>
      </c>
      <c r="C1261" s="3">
        <v>41170.71297453704</v>
      </c>
      <c r="D1261" s="2">
        <v>34</v>
      </c>
      <c r="E1261" s="2">
        <v>4</v>
      </c>
      <c r="F1261" s="2" t="s">
        <v>7</v>
      </c>
      <c r="G1261" s="2" t="s">
        <v>8</v>
      </c>
    </row>
    <row r="1262" spans="1:7" ht="45" x14ac:dyDescent="0.25">
      <c r="A1262" s="4" t="str">
        <f>HYPERLINK("http://www.facebook.com/photo.php?fbid=10151247352007952&amp;set=a.114456157951.118433.8062627951&amp;type=1&amp;relevant_count=1","[Photo]")</f>
        <v>[Photo]</v>
      </c>
      <c r="B1262" s="4" t="str">
        <f>HYPERLINK("http://www.facebook.com/8062627951/posts/10151247352042952","Reminder: Apple’s iOS 6 arrives tomorrow and here’s what you need to know - http://tcrn.ch/S65hTm    Getting excited yet?")</f>
        <v>Reminder: Apple’s iOS 6 arrives tomorrow and here’s what you need to know - http://tcrn.ch/S65hTm    Getting excited yet?</v>
      </c>
      <c r="C1262" s="3">
        <v>41170.576956018522</v>
      </c>
      <c r="D1262" s="2">
        <v>733</v>
      </c>
      <c r="E1262" s="2">
        <v>66</v>
      </c>
      <c r="F1262" s="2" t="s">
        <v>8</v>
      </c>
      <c r="G1262" s="2" t="s">
        <v>8</v>
      </c>
    </row>
    <row r="1263" spans="1:7" ht="30" x14ac:dyDescent="0.25">
      <c r="A1263" s="4" t="str">
        <f>HYPERLINK("http://www.facebook.com/photo.php?fbid=10151247237777952&amp;set=a.114456157951.118433.8062627951&amp;type=1&amp;relevant_count=1","[Photo]")</f>
        <v>[Photo]</v>
      </c>
      <c r="B1263" s="4" t="str">
        <f>HYPERLINK("http://www.facebook.com/8062627951/posts/10151247237812952","Facebook will now target you with ads on non-Facebook apps and sites http://tcrn.ch/QlDfma")</f>
        <v>Facebook will now target you with ads on non-Facebook apps and sites http://tcrn.ch/QlDfma</v>
      </c>
      <c r="C1263" s="3">
        <v>41170.516875000001</v>
      </c>
      <c r="D1263" s="2">
        <v>93</v>
      </c>
      <c r="E1263" s="2">
        <v>28</v>
      </c>
      <c r="F1263" s="2" t="s">
        <v>7</v>
      </c>
      <c r="G1263" s="2" t="s">
        <v>8</v>
      </c>
    </row>
    <row r="1264" spans="1:7" ht="30" x14ac:dyDescent="0.25">
      <c r="A1264" s="4" t="str">
        <f>HYPERLINK("http://www.facebook.com/photo.php?fbid=10151247175867952&amp;set=a.114456157951.118433.8062627951&amp;type=1&amp;relevant_count=1","[Photo]")</f>
        <v>[Photo]</v>
      </c>
      <c r="B1264" s="4" t="str">
        <f>HYPERLINK("http://www.facebook.com/8062627951/posts/10151247175922952","Watch Romney, Obama and other leaders who forgot there is no more secrecy - http://tcrn.ch/RoclfC")</f>
        <v>Watch Romney, Obama and other leaders who forgot there is no more secrecy - http://tcrn.ch/RoclfC</v>
      </c>
      <c r="C1264" s="3">
        <v>41170.483275462961</v>
      </c>
      <c r="D1264" s="2">
        <v>73</v>
      </c>
      <c r="E1264" s="2">
        <v>10</v>
      </c>
      <c r="F1264" s="2" t="s">
        <v>7</v>
      </c>
      <c r="G1264" s="2" t="s">
        <v>8</v>
      </c>
    </row>
    <row r="1265" spans="1:7" ht="30" x14ac:dyDescent="0.25">
      <c r="A1265" s="4" t="str">
        <f>HYPERLINK("http://www.facebook.com/photo.php?fbid=10151247053592952&amp;set=a.114456157951.118433.8062627951&amp;type=1&amp;relevant_count=1","[Photo]")</f>
        <v>[Photo]</v>
      </c>
      <c r="B1265" s="4" t="str">
        <f>HYPERLINK("http://www.facebook.com/8062627951/posts/10151247053652952","The iPhone 5's greatest inside story: chipmaking maturation for Apple - http://tcrn.ch/SxEgUW")</f>
        <v>The iPhone 5's greatest inside story: chipmaking maturation for Apple - http://tcrn.ch/SxEgUW</v>
      </c>
      <c r="C1265" s="3">
        <v>41170.419398148151</v>
      </c>
      <c r="D1265" s="2">
        <v>205</v>
      </c>
      <c r="E1265" s="2">
        <v>25</v>
      </c>
      <c r="F1265" s="2" t="s">
        <v>7</v>
      </c>
      <c r="G1265" s="2" t="s">
        <v>8</v>
      </c>
    </row>
    <row r="1266" spans="1:7" ht="30" x14ac:dyDescent="0.25">
      <c r="A1266" s="4" t="str">
        <f>HYPERLINK("http://techcrunch.com/2012/09/18/alleged-leaked-ipad-mini-pics-show-lightening-port-odd-hole-on-the-back/","Alleged Leaked iPad Mini Pics Show Lightening Port, Odd Hole On The Back")</f>
        <v>Alleged Leaked iPad Mini Pics Show Lightening Port, Odd Hole On The Back</v>
      </c>
      <c r="B1266" s="4" t="str">
        <f>HYPERLINK("http://www.facebook.com/8062627951/posts/157611664376532","Is this the iPad mini?")</f>
        <v>Is this the iPad mini?</v>
      </c>
      <c r="C1266" s="3">
        <v>41170.295648148145</v>
      </c>
      <c r="D1266" s="2">
        <v>102</v>
      </c>
      <c r="E1266" s="2">
        <v>24</v>
      </c>
      <c r="F1266" s="2" t="s">
        <v>8</v>
      </c>
      <c r="G1266" s="2" t="s">
        <v>7</v>
      </c>
    </row>
    <row r="1267" spans="1:7" ht="30" x14ac:dyDescent="0.25">
      <c r="A1267" s="4" t="str">
        <f>HYPERLINK("http://techcrunch.com/2012/09/18/att-on-notice-carrier-to-face-net-neutrality-complaint-over-facetime/","AT&amp;T On Notice: Carrier To Face Net Neutrality Complaint Over FaceTime")</f>
        <v>AT&amp;T On Notice: Carrier To Face Net Neutrality Complaint Over FaceTime</v>
      </c>
      <c r="B1267" s="4" t="str">
        <f>HYPERLINK("http://www.facebook.com/8062627951/posts/240531552736687","Someone is finally holding AT&amp;T's shady business tactics accountable.")</f>
        <v>Someone is finally holding AT&amp;T's shady business tactics accountable.</v>
      </c>
      <c r="C1267" s="3">
        <v>41170.263113425928</v>
      </c>
      <c r="D1267" s="2">
        <v>151</v>
      </c>
      <c r="E1267" s="2">
        <v>8</v>
      </c>
      <c r="F1267" s="2" t="s">
        <v>7</v>
      </c>
      <c r="G1267" s="2" t="s">
        <v>7</v>
      </c>
    </row>
    <row r="1268" spans="1:7" ht="30" x14ac:dyDescent="0.25">
      <c r="A1268" s="4" t="str">
        <f>HYPERLINK("http://www.facebook.com/photo.php?fbid=10151246706142952&amp;set=a.114456157951.118433.8062627951&amp;type=1&amp;relevant_count=1","[Photo]")</f>
        <v>[Photo]</v>
      </c>
      <c r="B1268" s="4" t="str">
        <f>HYPERLINK("http://www.facebook.com/8062627951/posts/10151246706172952","Look familiar? Twitter just announced a new design with focus on profile pages, iPad update. http://tcrn.ch/S28fE5")</f>
        <v>Look familiar? Twitter just announced a new design with focus on profile pages, iPad update. http://tcrn.ch/S28fE5</v>
      </c>
      <c r="C1268" s="3">
        <v>41170.210092592592</v>
      </c>
      <c r="D1268" s="2">
        <v>315</v>
      </c>
      <c r="E1268" s="2">
        <v>33</v>
      </c>
      <c r="F1268" s="2" t="s">
        <v>8</v>
      </c>
      <c r="G1268" s="2" t="s">
        <v>8</v>
      </c>
    </row>
    <row r="1269" spans="1:7" ht="30" x14ac:dyDescent="0.25">
      <c r="A1269" s="4" t="str">
        <f>HYPERLINK("http://techcrunch.com/2012/09/18/motorola-razr-i-officia/","Motorola Officially Outs The RAZR i, Its First Intel-Powered Smartphone")</f>
        <v>Motorola Officially Outs The RAZR i, Its First Intel-Powered Smartphone</v>
      </c>
      <c r="B1269" s="4" t="str">
        <f>HYPERLINK("http://www.facebook.com/8062627951/posts/480235455344623","Here's A Motorola Android phone with Intel inside.")</f>
        <v>Here's A Motorola Android phone with Intel inside.</v>
      </c>
      <c r="C1269" s="3">
        <v>41170.155439814815</v>
      </c>
      <c r="D1269" s="2">
        <v>130</v>
      </c>
      <c r="E1269" s="2">
        <v>14</v>
      </c>
      <c r="F1269" s="2" t="s">
        <v>7</v>
      </c>
      <c r="G1269" s="2" t="s">
        <v>7</v>
      </c>
    </row>
    <row r="1270" spans="1:7" ht="30" x14ac:dyDescent="0.25">
      <c r="A1270" s="4" t="str">
        <f>HYPERLINK("http://techcrunch.com/2012/09/18/yahooligans/","Yahoo!s Now Removing The ® From Their Logo. Is The Exclamation Mark Next?")</f>
        <v>Yahoo!s Now Removing The ® From Their Logo. Is The Exclamation Mark Next?</v>
      </c>
      <c r="B1270" s="4" t="str">
        <f>HYPERLINK("http://www.facebook.com/8062627951/posts/423125207743811","Nothing is safe at Yahoo now.")</f>
        <v>Nothing is safe at Yahoo now.</v>
      </c>
      <c r="C1270" s="3">
        <v>41170.134039351855</v>
      </c>
      <c r="D1270" s="2">
        <v>59</v>
      </c>
      <c r="E1270" s="2">
        <v>10</v>
      </c>
      <c r="F1270" s="2" t="s">
        <v>7</v>
      </c>
      <c r="G1270" s="2" t="s">
        <v>7</v>
      </c>
    </row>
    <row r="1271" spans="1:7" ht="30" x14ac:dyDescent="0.25">
      <c r="A1271" s="4" t="str">
        <f>HYPERLINK("http://www.facebook.com/photo.php?fbid=10151246429187952&amp;set=a.114456157951.118433.8062627951&amp;type=1&amp;relevant_count=1","[Photo]")</f>
        <v>[Photo]</v>
      </c>
      <c r="B1271" s="4" t="str">
        <f>HYPERLINK("http://www.facebook.com/8062627951/posts/10151246429202952","Startups: here’s a calculator for funding and equity, courtesy of SmartAsset. Check it out - http://tcrn.ch/SW6KOJ")</f>
        <v>Startups: here’s a calculator for funding and equity, courtesy of SmartAsset. Check it out - http://tcrn.ch/SW6KOJ</v>
      </c>
      <c r="C1271" s="3">
        <v>41169.929062499999</v>
      </c>
      <c r="D1271" s="2">
        <v>414</v>
      </c>
      <c r="E1271" s="2">
        <v>23</v>
      </c>
      <c r="F1271" s="2" t="s">
        <v>7</v>
      </c>
      <c r="G1271" s="2" t="s">
        <v>8</v>
      </c>
    </row>
    <row r="1272" spans="1:7" ht="30" x14ac:dyDescent="0.25">
      <c r="A1272" s="4" t="str">
        <f>HYPERLINK("http://www.facebook.com/photo.php?fbid=10151246272922952&amp;set=a.114456157951.118433.8062627951&amp;type=1&amp;relevant_count=1","[Photo]")</f>
        <v>[Photo]</v>
      </c>
      <c r="B1272" s="4" t="str">
        <f>HYPERLINK("http://www.facebook.com/8062627951/posts/10151246272942952","Twitter gives Muslims a voice, a (seriously) funny voice. #MuslimRage - http://tcrn.ch/QVajB8")</f>
        <v>Twitter gives Muslims a voice, a (seriously) funny voice. #MuslimRage - http://tcrn.ch/QVajB8</v>
      </c>
      <c r="C1272" s="3">
        <v>41169.807337962964</v>
      </c>
      <c r="D1272" s="2">
        <v>329</v>
      </c>
      <c r="E1272" s="2">
        <v>40</v>
      </c>
      <c r="F1272" s="2" t="s">
        <v>7</v>
      </c>
      <c r="G1272" s="2" t="s">
        <v>8</v>
      </c>
    </row>
    <row r="1273" spans="1:7" ht="45" x14ac:dyDescent="0.25">
      <c r="A1273" s="4" t="str">
        <f>HYPERLINK("http://www.facebook.com/photo.php?fbid=10151246138002952&amp;set=a.114456157951.118433.8062627951&amp;type=1&amp;relevant_count=1","[Photo]")</f>
        <v>[Photo]</v>
      </c>
      <c r="B1273" s="4" t="str">
        <f>HYPERLINK("http://www.facebook.com/8062627951/posts/10151246138022952","Lyft’s focus on community and the story behind the pink mustache. It may not be what you think - http://tcrn.ch/S4e2gy    How many of you use Lyft?")</f>
        <v>Lyft’s focus on community and the story behind the pink mustache. It may not be what you think - http://tcrn.ch/S4e2gy    How many of you use Lyft?</v>
      </c>
      <c r="C1273" s="3">
        <v>41169.725543981483</v>
      </c>
      <c r="D1273" s="2">
        <v>94</v>
      </c>
      <c r="E1273" s="2">
        <v>15</v>
      </c>
      <c r="F1273" s="2" t="s">
        <v>8</v>
      </c>
      <c r="G1273" s="2" t="s">
        <v>8</v>
      </c>
    </row>
    <row r="1274" spans="1:7" ht="45" x14ac:dyDescent="0.25">
      <c r="A1274" s="4" t="str">
        <f>HYPERLINK("http://www.facebook.com/photo.php?fbid=10151246040827952&amp;set=a.114456157951.118433.8062627951&amp;type=1&amp;relevant_count=1","[Photo]")</f>
        <v>[Photo]</v>
      </c>
      <c r="B1274" s="4" t="str">
        <f>HYPERLINK("http://www.facebook.com/8062627951/posts/10151246040857952","Foursquare is turning tomorrow's National Cheeseburger Day into a way to generate social good. Who's in?! http://tcrn.ch/O9zeme")</f>
        <v>Foursquare is turning tomorrow's National Cheeseburger Day into a way to generate social good. Who's in?! http://tcrn.ch/O9zeme</v>
      </c>
      <c r="C1274" s="3">
        <v>41169.652511574073</v>
      </c>
      <c r="D1274" s="2">
        <v>349</v>
      </c>
      <c r="E1274" s="2">
        <v>40</v>
      </c>
      <c r="F1274" s="2" t="s">
        <v>8</v>
      </c>
      <c r="G1274" s="2" t="s">
        <v>8</v>
      </c>
    </row>
    <row r="1275" spans="1:7" ht="30" x14ac:dyDescent="0.25">
      <c r="A1275" s="4" t="str">
        <f>HYPERLINK("http://www.facebook.com/photo.php?fbid=10151245924842952&amp;set=a.114456157951.118433.8062627951&amp;type=1&amp;relevant_count=1","[Photo]")</f>
        <v>[Photo]</v>
      </c>
      <c r="B1275" s="4" t="str">
        <f>HYPERLINK("http://www.facebook.com/8062627951/posts/10151245924877952","Introducing Canon’s new full-frame 6D: the beginning of the end for APS-C at $2099 - http://tcrn.ch/UfuE2H")</f>
        <v>Introducing Canon’s new full-frame 6D: the beginning of the end for APS-C at $2099 - http://tcrn.ch/UfuE2H</v>
      </c>
      <c r="C1275" s="3">
        <v>41169.581296296295</v>
      </c>
      <c r="D1275" s="2">
        <v>372</v>
      </c>
      <c r="E1275" s="2">
        <v>21</v>
      </c>
      <c r="F1275" s="2" t="s">
        <v>7</v>
      </c>
      <c r="G1275" s="2" t="s">
        <v>8</v>
      </c>
    </row>
    <row r="1276" spans="1:7" ht="30" x14ac:dyDescent="0.25">
      <c r="A1276" s="4" t="str">
        <f>HYPERLINK("http://www.facebook.com/photo.php?fbid=10151245816472952&amp;set=a.114456157951.118433.8062627951&amp;type=1&amp;relevant_count=1","[Photo]")</f>
        <v>[Photo]</v>
      </c>
      <c r="B1276" s="4" t="str">
        <f>HYPERLINK("http://www.facebook.com/8062627951/posts/10151245816567952","LIFX is a smartphone-controlled lightbulb. Pretty cool - http://tcrn.ch/U3xb4m")</f>
        <v>LIFX is a smartphone-controlled lightbulb. Pretty cool - http://tcrn.ch/U3xb4m</v>
      </c>
      <c r="C1276" s="3">
        <v>41169.545486111114</v>
      </c>
      <c r="D1276" s="2">
        <v>620</v>
      </c>
      <c r="E1276" s="2">
        <v>26</v>
      </c>
      <c r="F1276" s="2" t="s">
        <v>7</v>
      </c>
      <c r="G1276" s="2" t="s">
        <v>8</v>
      </c>
    </row>
    <row r="1277" spans="1:7" ht="30" x14ac:dyDescent="0.25">
      <c r="A1277" s="4" t="str">
        <f>HYPERLINK("http://www.facebook.com/photo.php?fbid=10151245720932952&amp;set=a.114456157951.118433.8062627951&amp;type=1&amp;relevant_count=1","[Photo]")</f>
        <v>[Photo]</v>
      </c>
      <c r="B1277" s="4" t="str">
        <f>HYPERLINK("http://www.facebook.com/8062627951/posts/10151245720962952","Apple stock crosses $700 per share after hours on the strength of iPhone 5 - http://tcrn.ch/SVcB6S")</f>
        <v>Apple stock crosses $700 per share after hours on the strength of iPhone 5 - http://tcrn.ch/SVcB6S</v>
      </c>
      <c r="C1277" s="3">
        <v>41169.523032407407</v>
      </c>
      <c r="D1277" s="2">
        <v>447</v>
      </c>
      <c r="E1277" s="2">
        <v>37</v>
      </c>
      <c r="F1277" s="2" t="s">
        <v>7</v>
      </c>
      <c r="G1277" s="2" t="s">
        <v>8</v>
      </c>
    </row>
    <row r="1278" spans="1:7" ht="45" x14ac:dyDescent="0.25">
      <c r="A1278" s="4" t="str">
        <f>HYPERLINK("http://www.facebook.com/photo.php?fbid=10151245657857952&amp;set=a.114456157951.118433.8062627951&amp;type=1&amp;relevant_count=1","[Photo]")</f>
        <v>[Photo]</v>
      </c>
      <c r="B1278" s="4" t="str">
        <f>HYPERLINK("http://www.facebook.com/8062627951/posts/10151245657902952","From the pig's point of view: Angry Birds-maker Rovio shows off gameplay in upcoming 'Bad Piggies' - http://tcrn.ch/O91FAI    Think you'll play?")</f>
        <v>From the pig's point of view: Angry Birds-maker Rovio shows off gameplay in upcoming 'Bad Piggies' - http://tcrn.ch/O91FAI    Think you'll play?</v>
      </c>
      <c r="C1278" s="3">
        <v>41169.498541666668</v>
      </c>
      <c r="D1278" s="2">
        <v>103</v>
      </c>
      <c r="E1278" s="2">
        <v>7</v>
      </c>
      <c r="F1278" s="2" t="s">
        <v>8</v>
      </c>
      <c r="G1278" s="2" t="s">
        <v>8</v>
      </c>
    </row>
    <row r="1279" spans="1:7" ht="45" x14ac:dyDescent="0.25">
      <c r="A1279" s="4" t="str">
        <f>HYPERLINK("http://www.facebook.com/photo.php?fbid=10151245508577952&amp;set=a.114456157951.118433.8062627951&amp;type=1&amp;relevant_count=1","[Photo]")</f>
        <v>[Photo]</v>
      </c>
      <c r="B1279" s="4" t="str">
        <f>HYPERLINK("http://www.facebook.com/8062627951/posts/10151245508622952","With $100 million in annual rentals, Luxury Retreats takes its first round of funding, $5 million led by iNovia - http://tcrn.ch/OAmzZy    Have you used Luxury Retreats yet?")</f>
        <v>With $100 million in annual rentals, Luxury Retreats takes its first round of funding, $5 million led by iNovia - http://tcrn.ch/OAmzZy    Have you used Luxury Retreats yet?</v>
      </c>
      <c r="C1279" s="3">
        <v>41169.440416666665</v>
      </c>
      <c r="D1279" s="2">
        <v>194</v>
      </c>
      <c r="E1279" s="2">
        <v>12</v>
      </c>
      <c r="F1279" s="2" t="s">
        <v>8</v>
      </c>
      <c r="G1279" s="2" t="s">
        <v>8</v>
      </c>
    </row>
    <row r="1280" spans="1:7" ht="45" x14ac:dyDescent="0.25">
      <c r="A1280" s="4" t="str">
        <f>HYPERLINK("http://techcrunch.com/2012/09/17/google-bought-something-announced-some-google-numbers-and-you-probably-arent-impressed/","Google Bought Something, Announced Some Google+ Numbers, And You Probably Aren’t Impressed")</f>
        <v>Google Bought Something, Announced Some Google+ Numbers, And You Probably Aren’t Impressed</v>
      </c>
      <c r="B1280" s="4" t="str">
        <f>HYPERLINK("http://www.facebook.com/8062627951/posts/344497142310782","What are your thoughts on Google+?")</f>
        <v>What are your thoughts on Google+?</v>
      </c>
      <c r="C1280" s="3">
        <v>41169.430081018516</v>
      </c>
      <c r="D1280" s="2">
        <v>80</v>
      </c>
      <c r="E1280" s="2">
        <v>52</v>
      </c>
      <c r="F1280" s="2" t="s">
        <v>8</v>
      </c>
      <c r="G1280" s="2" t="s">
        <v>7</v>
      </c>
    </row>
    <row r="1281" spans="1:7" ht="30" x14ac:dyDescent="0.25">
      <c r="A1281" s="4" t="str">
        <f>HYPERLINK("http://www.facebook.com/photo.php?fbid=10151245342047952&amp;set=a.114456157951.118433.8062627951&amp;type=1&amp;relevant_count=1","[Photo]")</f>
        <v>[Photo]</v>
      </c>
      <c r="B1281" s="4" t="str">
        <f>HYPERLINK("http://www.facebook.com/8062627951/posts/10151245342097952","Introducing TechCrunch’s Team Europe — building out internationally from here! http://tcrn.ch/OTgVxi")</f>
        <v>Introducing TechCrunch’s Team Europe — building out internationally from here! http://tcrn.ch/OTgVxi</v>
      </c>
      <c r="C1281" s="3">
        <v>41169.380578703705</v>
      </c>
      <c r="D1281" s="2">
        <v>108</v>
      </c>
      <c r="E1281" s="2">
        <v>9</v>
      </c>
      <c r="F1281" s="2" t="s">
        <v>7</v>
      </c>
      <c r="G1281" s="2" t="s">
        <v>8</v>
      </c>
    </row>
    <row r="1282" spans="1:7" ht="30" x14ac:dyDescent="0.25">
      <c r="A1282" s="4" t="str">
        <f>HYPERLINK("http://techcrunch.com/2012/09/17/why-google-shouldnt-have-censored-the-anti-islamic-video/","Why Google Shouldn’t Have Censored The Anti-Islamic Video")</f>
        <v>Why Google Shouldn’t Have Censored The Anti-Islamic Video</v>
      </c>
      <c r="B1282" s="4" t="str">
        <f>HYPERLINK("http://www.facebook.com/8062627951/posts/429985093715643","Touchy subject.")</f>
        <v>Touchy subject.</v>
      </c>
      <c r="C1282" s="3">
        <v>41169.35796296296</v>
      </c>
      <c r="D1282" s="2">
        <v>37</v>
      </c>
      <c r="E1282" s="2">
        <v>20</v>
      </c>
      <c r="F1282" s="2" t="s">
        <v>7</v>
      </c>
      <c r="G1282" s="2" t="s">
        <v>7</v>
      </c>
    </row>
    <row r="1283" spans="1:7" ht="30" x14ac:dyDescent="0.25">
      <c r="A1283" s="4" t="str">
        <f>HYPERLINK("http://www.facebook.com/photo.php?fbid=10151245240137952&amp;set=a.114456157951.118433.8062627951&amp;type=1&amp;relevant_count=1","[Photo]")</f>
        <v>[Photo]</v>
      </c>
      <c r="B1283" s="4" t="str">
        <f>HYPERLINK("http://www.facebook.com/8062627951/posts/10151245240177952","As expected, the boring iPhone 5 breaks previous sales records -- http://tcrn.ch/QTXIy3")</f>
        <v>As expected, the boring iPhone 5 breaks previous sales records -- http://tcrn.ch/QTXIy3</v>
      </c>
      <c r="C1283" s="3">
        <v>41169.317893518521</v>
      </c>
      <c r="D1283" s="2">
        <v>598</v>
      </c>
      <c r="E1283" s="2">
        <v>132</v>
      </c>
      <c r="F1283" s="2" t="s">
        <v>7</v>
      </c>
      <c r="G1283" s="2" t="s">
        <v>8</v>
      </c>
    </row>
    <row r="1284" spans="1:7" ht="30" x14ac:dyDescent="0.25">
      <c r="A1284" s="4" t="str">
        <f>HYPERLINK("http://techcrunch.com/2012/09/17/three-days-after-iphone-5-drops-samsung-desperately-leaks-galaxy-s-iv-debut-date/","Three Days After iPhone 5 Drops, Samsung Desperately Leaks Galaxy S IV Debut Date")</f>
        <v>Three Days After iPhone 5 Drops, Samsung Desperately Leaks Galaxy S IV Debut Date</v>
      </c>
      <c r="B1284" s="4" t="str">
        <f>HYPERLINK("http://www.facebook.com/8062627951/posts/442146535836931","Samsung gets dirty.")</f>
        <v>Samsung gets dirty.</v>
      </c>
      <c r="C1284" s="3">
        <v>41169.305173611108</v>
      </c>
      <c r="D1284" s="2">
        <v>214</v>
      </c>
      <c r="E1284" s="2">
        <v>82</v>
      </c>
      <c r="F1284" s="2" t="s">
        <v>7</v>
      </c>
      <c r="G1284" s="2" t="s">
        <v>7</v>
      </c>
    </row>
    <row r="1285" spans="1:7" ht="45" x14ac:dyDescent="0.25">
      <c r="A1285" s="4" t="str">
        <f>HYPERLINK("http://techcrunch.com/2012/09/17/parking-pandas-parking-spot-rentals-service-launches-in-san-francisco-and-on-iphone/","Parking Panda’s Parking Spot Rentals Service Launches In San Francisco And On iPhone")</f>
        <v>Parking Panda’s Parking Spot Rentals Service Launches In San Francisco And On iPhone</v>
      </c>
      <c r="B1285" s="4" t="str">
        <f>HYPERLINK("http://www.facebook.com/8062627951/posts/346713595422685","Parking sucks in San Francisco. Parking Panda aims to fix that while allowing parking spot owners to earn some extra cash.")</f>
        <v>Parking sucks in San Francisco. Parking Panda aims to fix that while allowing parking spot owners to earn some extra cash.</v>
      </c>
      <c r="C1285" s="3">
        <v>41169.291134259256</v>
      </c>
      <c r="D1285" s="2">
        <v>69</v>
      </c>
      <c r="E1285" s="2">
        <v>5</v>
      </c>
      <c r="F1285" s="2" t="s">
        <v>7</v>
      </c>
      <c r="G1285" s="2" t="s">
        <v>7</v>
      </c>
    </row>
    <row r="1286" spans="1:7" ht="45" x14ac:dyDescent="0.25">
      <c r="A1286" s="4" t="str">
        <f>HYPERLINK("http://techcrunch.com/2012/09/17/apple-announces-record-pre-orders-for-iphone-5-2m-in-24-hours/","Apple Announces Record Pre-Orders For iPhone 5: 2M in 24 Hours, 2X iPhone 4S Day One Sales")</f>
        <v>Apple Announces Record Pre-Orders For iPhone 5: 2M in 24 Hours, 2X iPhone 4S Day One Sales</v>
      </c>
      <c r="B1286" s="4" t="str">
        <f>HYPERLINK("http://www.facebook.com/8062627951/posts/154973764644139","Damn.")</f>
        <v>Damn.</v>
      </c>
      <c r="C1286" s="3">
        <v>41169.216458333336</v>
      </c>
      <c r="D1286" s="2">
        <v>433</v>
      </c>
      <c r="E1286" s="2">
        <v>67</v>
      </c>
      <c r="F1286" s="2" t="s">
        <v>7</v>
      </c>
      <c r="G1286" s="2" t="s">
        <v>7</v>
      </c>
    </row>
    <row r="1287" spans="1:7" ht="45" x14ac:dyDescent="0.25">
      <c r="A1287" s="4" t="str">
        <f>HYPERLINK("http://techcrunch.com/2012/09/16/shazam-for-tv/","Shazam Makes Its Big TV Push, Says App Can Now Tag Any Show On Any Channel | TechCrunch")</f>
        <v>Shazam Makes Its Big TV Push, Says App Can Now Tag Any Show On Any Channel | TechCrunch</v>
      </c>
      <c r="B1287" s="4" t="str">
        <f>HYPERLINK("http://www.facebook.com/8062627951/posts/481841081840118","You can now Shazam live TV.")</f>
        <v>You can now Shazam live TV.</v>
      </c>
      <c r="C1287" s="3">
        <v>41169.171099537038</v>
      </c>
      <c r="D1287" s="2">
        <v>99</v>
      </c>
      <c r="E1287" s="2">
        <v>3</v>
      </c>
      <c r="F1287" s="2" t="s">
        <v>7</v>
      </c>
      <c r="G1287" s="2" t="s">
        <v>7</v>
      </c>
    </row>
    <row r="1288" spans="1:7" x14ac:dyDescent="0.25">
      <c r="A1288" s="4" t="str">
        <f>HYPERLINK("http://techcrunch.com/2012/09/17/hands-on-with-the-fitbit-zip/","Hands-On With The Fitbit Zip")</f>
        <v>Hands-On With The Fitbit Zip</v>
      </c>
      <c r="B1288" s="4" t="str">
        <f>HYPERLINK("http://www.facebook.com/8062627951/posts/242177755905685","Meet the new Fitbits. These little bits will get you fit.")</f>
        <v>Meet the new Fitbits. These little bits will get you fit.</v>
      </c>
      <c r="C1288" s="3">
        <v>41169.14912037037</v>
      </c>
      <c r="D1288" s="2">
        <v>62</v>
      </c>
      <c r="E1288" s="2">
        <v>0</v>
      </c>
      <c r="F1288" s="2" t="s">
        <v>7</v>
      </c>
      <c r="G1288" s="2" t="s">
        <v>7</v>
      </c>
    </row>
    <row r="1289" spans="1:7" ht="45" x14ac:dyDescent="0.25">
      <c r="A1289" s="4" t="str">
        <f>HYPERLINK("http://techcrunch.com/2012/09/16/beats-targets-the-business-traveller-with-executive-edition-headphones-we-listen-in/","Beats Targets The Business Traveller With Executive Edition Headphones, We Listen In | TechCrunch")</f>
        <v>Beats Targets The Business Traveller With Executive Edition Headphones, We Listen In | TechCrunch</v>
      </c>
      <c r="B1289" s="4" t="str">
        <f>HYPERLINK("http://www.facebook.com/8062627951/posts/116142165202139","Travel a lot? You'll want to check out these new Beats headphones then.")</f>
        <v>Travel a lot? You'll want to check out these new Beats headphones then.</v>
      </c>
      <c r="C1289" s="3">
        <v>41168.858900462961</v>
      </c>
      <c r="D1289" s="2">
        <v>102</v>
      </c>
      <c r="E1289" s="2">
        <v>21</v>
      </c>
      <c r="F1289" s="2" t="s">
        <v>8</v>
      </c>
      <c r="G1289" s="2" t="s">
        <v>7</v>
      </c>
    </row>
    <row r="1290" spans="1:7" ht="30" x14ac:dyDescent="0.25">
      <c r="A1290" s="4" t="str">
        <f>HYPERLINK("http://www.facebook.com/photo.php?fbid=10151244455867952&amp;set=a.114456157951.118433.8062627951&amp;type=1&amp;relevant_count=1","[Photo]")</f>
        <v>[Photo]</v>
      </c>
      <c r="B1290" s="4" t="str">
        <f>HYPERLINK("http://www.facebook.com/8062627951/posts/10151244455892952","Nice phone, Apple, but what’s the deal with the $29 Lightning to 30-pin adapter? http://tcrn.ch/QeuEz0")</f>
        <v>Nice phone, Apple, but what’s the deal with the $29 Lightning to 30-pin adapter? http://tcrn.ch/QeuEz0</v>
      </c>
      <c r="C1290" s="3">
        <v>41168.749166666668</v>
      </c>
      <c r="D1290" s="2">
        <v>363</v>
      </c>
      <c r="E1290" s="2">
        <v>200</v>
      </c>
      <c r="F1290" s="2" t="s">
        <v>8</v>
      </c>
      <c r="G1290" s="2" t="s">
        <v>8</v>
      </c>
    </row>
    <row r="1291" spans="1:7" ht="75" x14ac:dyDescent="0.25">
      <c r="A1291" s="4" t="str">
        <f>HYPERLINK("http://techcrunch.com/2012/09/16/mayer-to-yahoo-you-can-have-any-cellphone-you-want-as-long-as-its-not-blackberry/","Mayer To Yahoo!: You Can Have Any Cellphone You Want, As Long As It’s Not Blackberry")</f>
        <v>Mayer To Yahoo!: You Can Have Any Cellphone You Want, As Long As It’s Not Blackberry</v>
      </c>
      <c r="B1291" s="4" t="s">
        <v>74</v>
      </c>
      <c r="C1291" s="3">
        <v>41168.697696759256</v>
      </c>
      <c r="D1291" s="2">
        <v>143</v>
      </c>
      <c r="E1291" s="2">
        <v>19</v>
      </c>
      <c r="F1291" s="2" t="s">
        <v>7</v>
      </c>
      <c r="G1291" s="2" t="s">
        <v>7</v>
      </c>
    </row>
    <row r="1292" spans="1:7" ht="30" x14ac:dyDescent="0.25">
      <c r="A1292" s="4" t="str">
        <f>HYPERLINK("http://www.facebook.com/photo.php?fbid=10151244236007952&amp;set=a.114456157951.118433.8062627951&amp;type=1&amp;relevant_count=1","[Photo]")</f>
        <v>[Photo]</v>
      </c>
      <c r="B1292" s="4" t="str">
        <f>HYPERLINK("http://www.facebook.com/8062627951/posts/10151244236072952","Investors are salivating over Mark Zuckerberg’s plans for search. Here’s why - http://tcrn.ch/Uc3UD8")</f>
        <v>Investors are salivating over Mark Zuckerberg’s plans for search. Here’s why - http://tcrn.ch/Uc3UD8</v>
      </c>
      <c r="C1292" s="3">
        <v>41168.618414351855</v>
      </c>
      <c r="D1292" s="2">
        <v>500</v>
      </c>
      <c r="E1292" s="2">
        <v>41</v>
      </c>
      <c r="F1292" s="2" t="s">
        <v>7</v>
      </c>
      <c r="G1292" s="2" t="s">
        <v>8</v>
      </c>
    </row>
    <row r="1293" spans="1:7" ht="30" x14ac:dyDescent="0.25">
      <c r="A1293" s="4" t="str">
        <f>HYPERLINK("http://techcrunch.com/2012/09/16/rocket-internet-is-there-a-method-to-its-madness-or-is-it-just-bad-for-innovation/","Rocket Internet: Is There A Method To Its Madness Or Is It Just Bad For Innovation")</f>
        <v>Rocket Internet: Is There A Method To Its Madness Or Is It Just Bad For Innovation</v>
      </c>
      <c r="B1293" s="4" t="str">
        <f>HYPERLINK("http://www.facebook.com/8062627951/posts/416745698384961","What are your thoughts?")</f>
        <v>What are your thoughts?</v>
      </c>
      <c r="C1293" s="3">
        <v>41168.595023148147</v>
      </c>
      <c r="D1293" s="2">
        <v>47</v>
      </c>
      <c r="E1293" s="2">
        <v>2</v>
      </c>
      <c r="F1293" s="2" t="s">
        <v>8</v>
      </c>
      <c r="G1293" s="2" t="s">
        <v>7</v>
      </c>
    </row>
    <row r="1294" spans="1:7" ht="30" x14ac:dyDescent="0.25">
      <c r="A1294" s="4" t="str">
        <f>HYPERLINK("http://www.facebook.com/photo.php?fbid=10151244027217952&amp;set=a.114456157951.118433.8062627951&amp;type=1&amp;relevant_count=1","[Photo]")</f>
        <v>[Photo]</v>
      </c>
      <c r="B1294" s="4" t="str">
        <f>HYPERLINK("http://www.facebook.com/8062627951/posts/10151244027242952","The rise of the TechnoLatinas: a full-fledged startup movement emerges in South America - http://tcrn.ch/S1zUJu")</f>
        <v>The rise of the TechnoLatinas: a full-fledged startup movement emerges in South America - http://tcrn.ch/S1zUJu</v>
      </c>
      <c r="C1294" s="3">
        <v>41168.51730324074</v>
      </c>
      <c r="D1294" s="2">
        <v>302</v>
      </c>
      <c r="E1294" s="2">
        <v>26</v>
      </c>
      <c r="F1294" s="2" t="s">
        <v>7</v>
      </c>
      <c r="G1294" s="2" t="s">
        <v>8</v>
      </c>
    </row>
    <row r="1295" spans="1:7" ht="30" x14ac:dyDescent="0.25">
      <c r="A1295" s="4" t="str">
        <f>HYPERLINK("http://techcrunch.com/2012/09/16/why-its-never-mattered-that-americas-schools-lag-behind-other-countries/","Why It’s Never Mattered That America’s Schools ‘Lag’ Behind Other Countries")</f>
        <v>Why It’s Never Mattered That America’s Schools ‘Lag’ Behind Other Countries</v>
      </c>
      <c r="B1295" s="4" t="str">
        <f>HYPERLINK("http://www.facebook.com/8062627951/posts/270055596446075","The US has never needed a great education system")</f>
        <v>The US has never needed a great education system</v>
      </c>
      <c r="C1295" s="3">
        <v>41168.312662037039</v>
      </c>
      <c r="D1295" s="2">
        <v>140</v>
      </c>
      <c r="E1295" s="2">
        <v>33</v>
      </c>
      <c r="F1295" s="2" t="s">
        <v>7</v>
      </c>
      <c r="G1295" s="2" t="s">
        <v>7</v>
      </c>
    </row>
    <row r="1296" spans="1:7" x14ac:dyDescent="0.25">
      <c r="A1296" s="4" t="str">
        <f>HYPERLINK("http://www.facebook.com/photo.php?fbid=10151243205652952&amp;set=a.114456157951.118433.8062627951&amp;type=1&amp;relevant_count=1","[Photo]")</f>
        <v>[Photo]</v>
      </c>
      <c r="B1296" s="4" t="str">
        <f>HYPERLINK("http://www.facebook.com/8062627951/posts/10151243205702952","How to disrupt petty inconveniences - http://tcrn.ch/OvXcbp")</f>
        <v>How to disrupt petty inconveniences - http://tcrn.ch/OvXcbp</v>
      </c>
      <c r="C1296" s="3">
        <v>41167.97515046296</v>
      </c>
      <c r="D1296" s="2">
        <v>652</v>
      </c>
      <c r="E1296" s="2">
        <v>23</v>
      </c>
      <c r="F1296" s="2" t="s">
        <v>7</v>
      </c>
      <c r="G1296" s="2" t="s">
        <v>8</v>
      </c>
    </row>
    <row r="1297" spans="1:7" ht="30" x14ac:dyDescent="0.25">
      <c r="A1297" s="4" t="str">
        <f>HYPERLINK("http://techcrunch.com/2012/09/15/being-more-accessible/","Being More Accessible")</f>
        <v>Being More Accessible</v>
      </c>
      <c r="B1297" s="4" t="str">
        <f>HYPERLINK("http://www.facebook.com/8062627951/posts/316250905140999","A guest post by Nas, co-founder of 12Society and multi-platinum recording artist.")</f>
        <v>A guest post by Nas, co-founder of 12Society and multi-platinum recording artist.</v>
      </c>
      <c r="C1297" s="3">
        <v>41167.573888888888</v>
      </c>
      <c r="D1297" s="2">
        <v>92</v>
      </c>
      <c r="E1297" s="2">
        <v>2</v>
      </c>
      <c r="F1297" s="2" t="s">
        <v>7</v>
      </c>
      <c r="G1297" s="2" t="s">
        <v>7</v>
      </c>
    </row>
    <row r="1298" spans="1:7" x14ac:dyDescent="0.25">
      <c r="A1298" s="4" t="str">
        <f>HYPERLINK("http://techcrunch.com/2012/09/15/the-path-to-starting-a-startup/","The Path To Starting A Startup")</f>
        <v>The Path To Starting A Startup</v>
      </c>
      <c r="B1298" s="4" t="str">
        <f>HYPERLINK("http://www.facebook.com/8062627951/posts/259827747453567","What path have you taken?")</f>
        <v>What path have you taken?</v>
      </c>
      <c r="C1298" s="3">
        <v>41167.530717592592</v>
      </c>
      <c r="D1298" s="2">
        <v>108</v>
      </c>
      <c r="E1298" s="2">
        <v>4</v>
      </c>
      <c r="F1298" s="2" t="s">
        <v>8</v>
      </c>
      <c r="G1298" s="2" t="s">
        <v>7</v>
      </c>
    </row>
    <row r="1299" spans="1:7" ht="30" x14ac:dyDescent="0.25">
      <c r="A1299" s="4" t="str">
        <f>HYPERLINK("http://www.facebook.com/photo.php?fbid=10151242527497952&amp;set=a.114456157951.118433.8062627951&amp;type=1&amp;relevant_count=1","[Photo]")</f>
        <v>[Photo]</v>
      </c>
      <c r="B1299" s="4" t="str">
        <f>HYPERLINK("http://www.facebook.com/8062627951/posts/10151242527522952","The verbal elegance of Apple and Nintendo - http://tcrn.ch/RarD1S")</f>
        <v>The verbal elegance of Apple and Nintendo - http://tcrn.ch/RarD1S</v>
      </c>
      <c r="C1299" s="3">
        <v>41167.508888888886</v>
      </c>
      <c r="D1299" s="2">
        <v>121</v>
      </c>
      <c r="E1299" s="2">
        <v>6</v>
      </c>
      <c r="F1299" s="2" t="s">
        <v>7</v>
      </c>
      <c r="G1299" s="2" t="s">
        <v>8</v>
      </c>
    </row>
    <row r="1300" spans="1:7" ht="30" x14ac:dyDescent="0.25">
      <c r="A1300" s="4" t="str">
        <f>HYPERLINK("http://techcrunch.com/2012/09/14/google-apps-says-goodbye-to-internet-explorer-pulls-support-for-the-browser/","Google Apps Says Goodbye To Internet Explorer 8, Pulls Support For the Browser ")</f>
        <v xml:space="preserve">Google Apps Says Goodbye To Internet Explorer 8, Pulls Support For the Browser </v>
      </c>
      <c r="B1300" s="4" t="str">
        <f>HYPERLINK("http://www.facebook.com/8062627951/posts/260938804027729","Today, the Google Apps team announced that it will no longer support Internet Explorer 8 (and lower).")</f>
        <v>Today, the Google Apps team announced that it will no longer support Internet Explorer 8 (and lower).</v>
      </c>
      <c r="C1300" s="3">
        <v>41166.62777777778</v>
      </c>
      <c r="D1300" s="2">
        <v>915</v>
      </c>
      <c r="E1300" s="2">
        <v>89</v>
      </c>
      <c r="F1300" s="2" t="s">
        <v>7</v>
      </c>
      <c r="G1300" s="2" t="s">
        <v>7</v>
      </c>
    </row>
    <row r="1301" spans="1:7" ht="30" x14ac:dyDescent="0.25">
      <c r="A1301" s="4" t="str">
        <f>HYPERLINK("http://techcrunch.com/2012/09/14/the-one-that-got-away-kevin-rose-passed-on-pinterest-at-a-5m-valuation/","The One That Got Away: Kevin Rose Passed On Pinterest At A $5M Valuation")</f>
        <v>The One That Got Away: Kevin Rose Passed On Pinterest At A $5M Valuation</v>
      </c>
      <c r="B1301" s="4" t="str">
        <f>HYPERLINK("http://www.facebook.com/8062627951/posts/450508124988307","The one that got away.")</f>
        <v>The one that got away.</v>
      </c>
      <c r="C1301" s="3">
        <v>41166.582280092596</v>
      </c>
      <c r="D1301" s="2">
        <v>74</v>
      </c>
      <c r="E1301" s="2">
        <v>11</v>
      </c>
      <c r="F1301" s="2" t="s">
        <v>7</v>
      </c>
      <c r="G1301" s="2" t="s">
        <v>7</v>
      </c>
    </row>
    <row r="1302" spans="1:7" ht="45" x14ac:dyDescent="0.25">
      <c r="A1302" s="4" t="str">
        <f>HYPERLINK("http://www.facebook.com/photo.php?fbid=10151241249382952&amp;set=a.114456157951.118433.8062627951&amp;type=1&amp;relevant_count=1","[Photo]")</f>
        <v>[Photo]</v>
      </c>
      <c r="B1302" s="4" t="str">
        <f>HYPERLINK("http://www.facebook.com/8062627951/posts/10151241249402952","iPhone 5 pre-order sells out 20 times faster than 4 and 4S, further highlighting Apple’s dominance - http://tcrn.ch/OnwfRk")</f>
        <v>iPhone 5 pre-order sells out 20 times faster than 4 and 4S, further highlighting Apple’s dominance - http://tcrn.ch/OnwfRk</v>
      </c>
      <c r="C1302" s="3">
        <v>41166.544999999998</v>
      </c>
      <c r="D1302" s="2">
        <v>720</v>
      </c>
      <c r="E1302" s="2">
        <v>122</v>
      </c>
      <c r="F1302" s="2" t="s">
        <v>7</v>
      </c>
      <c r="G1302" s="2" t="s">
        <v>8</v>
      </c>
    </row>
    <row r="1303" spans="1:7" ht="45" x14ac:dyDescent="0.25">
      <c r="A1303" s="4" t="str">
        <f>HYPERLINK("http://techcrunch.com/2012/09/14/gates-gore-and-dimon-kpcb-ceo-summit/","Gates, Gore, And Dimon, Oh My: Here’s The Full Schedule Of Kleiner Perkins’ Exclusive CEO Summit | T")</f>
        <v>Gates, Gore, And Dimon, Oh My: Here’s The Full Schedule Of Kleiner Perkins’ Exclusive CEO Summit | T</v>
      </c>
      <c r="B1303" s="4" t="str">
        <f>HYPERLINK("http://www.facebook.com/8062627951/posts/103381933150097","A truly amazing lineup of speakers.")</f>
        <v>A truly amazing lineup of speakers.</v>
      </c>
      <c r="C1303" s="3">
        <v>41166.475462962961</v>
      </c>
      <c r="D1303" s="2">
        <v>33</v>
      </c>
      <c r="E1303" s="2">
        <v>1</v>
      </c>
      <c r="F1303" s="2" t="s">
        <v>7</v>
      </c>
      <c r="G1303" s="2" t="s">
        <v>7</v>
      </c>
    </row>
    <row r="1304" spans="1:7" x14ac:dyDescent="0.25">
      <c r="A1304" s="4" t="str">
        <f>HYPERLINK("http://www.facebook.com/photo.php?fbid=10151240898607952&amp;set=a.10151240898582952.514333.8062627951&amp;type=1&amp;relevant_count=1","[Photo]")</f>
        <v>[Photo]</v>
      </c>
      <c r="B1304" s="4" t="str">
        <f>HYPERLINK("http://www.facebook.com/8062627951/posts/10151240898637952","Click here to enter http://bit.ly/PARwLJ")</f>
        <v>Click here to enter http://bit.ly/PARwLJ</v>
      </c>
      <c r="C1304" s="3">
        <v>41166.360254629632</v>
      </c>
      <c r="D1304" s="2">
        <v>101</v>
      </c>
      <c r="E1304" s="2">
        <v>27</v>
      </c>
      <c r="F1304" s="2" t="s">
        <v>7</v>
      </c>
      <c r="G1304" s="2" t="s">
        <v>8</v>
      </c>
    </row>
    <row r="1305" spans="1:7" ht="30" x14ac:dyDescent="0.25">
      <c r="A1305" s="4" t="str">
        <f>HYPERLINK("http://www.facebook.com/photo.php?fbid=10151240130882952&amp;set=a.114456157951.118433.8062627951&amp;type=1&amp;relevant_count=1","[Photo]")</f>
        <v>[Photo]</v>
      </c>
      <c r="B1305" s="4" t="str">
        <f>HYPERLINK("http://www.facebook.com/8062627951/posts/10151240130912952","Developers on iPhone 5: Redesigning apps not hard, but also not trivial http://tcrn.ch/SJd6ku")</f>
        <v>Developers on iPhone 5: Redesigning apps not hard, but also not trivial http://tcrn.ch/SJd6ku</v>
      </c>
      <c r="C1305" s="3">
        <v>41165.771122685182</v>
      </c>
      <c r="D1305" s="2">
        <v>343</v>
      </c>
      <c r="E1305" s="2">
        <v>47</v>
      </c>
      <c r="F1305" s="2" t="s">
        <v>7</v>
      </c>
      <c r="G1305" s="2" t="s">
        <v>8</v>
      </c>
    </row>
    <row r="1306" spans="1:7" ht="30" x14ac:dyDescent="0.25">
      <c r="A1306" s="4" t="str">
        <f>HYPERLINK("http://techcrunch.com/2012/09/13/iphone-5-unlocked-u-s-pricing-649-16gb-749-32gb-and-849-64gb/","iPhone 5 Unlocked U.S. Pricing: $649 (16GB), $749 (32GB) And $849 (64GB)")</f>
        <v>iPhone 5 Unlocked U.S. Pricing: $649 (16GB), $749 (32GB) And $849 (64GB)</v>
      </c>
      <c r="B1306" s="4" t="str">
        <f>HYPERLINK("http://www.facebook.com/8062627951/posts/352334368188641","Afraid of commitment?")</f>
        <v>Afraid of commitment?</v>
      </c>
      <c r="C1306" s="3">
        <v>41165.51152777778</v>
      </c>
      <c r="D1306" s="2">
        <v>145</v>
      </c>
      <c r="E1306" s="2">
        <v>72</v>
      </c>
      <c r="F1306" s="2" t="s">
        <v>8</v>
      </c>
      <c r="G1306" s="2" t="s">
        <v>7</v>
      </c>
    </row>
    <row r="1307" spans="1:7" x14ac:dyDescent="0.25">
      <c r="A1307" s="4" t="str">
        <f>HYPERLINK("http://www.facebook.com/photo.php?fbid=10151239666737952&amp;set=a.114456157951.118433.8062627951&amp;type=1&amp;relevant_count=1","[Photo]")</f>
        <v>[Photo]</v>
      </c>
      <c r="B1307" s="4" t="str">
        <f>HYPERLINK("http://www.facebook.com/8062627951/posts/10151239666812952","Team TechCrunch.")</f>
        <v>Team TechCrunch.</v>
      </c>
      <c r="C1307" s="3">
        <v>41165.478078703702</v>
      </c>
      <c r="D1307" s="2">
        <v>475</v>
      </c>
      <c r="E1307" s="2">
        <v>61</v>
      </c>
      <c r="F1307" s="2" t="s">
        <v>7</v>
      </c>
      <c r="G1307" s="2" t="s">
        <v>8</v>
      </c>
    </row>
    <row r="1308" spans="1:7" ht="30" x14ac:dyDescent="0.25">
      <c r="A1308" s="4" t="str">
        <f>HYPERLINK("http://www.facebook.com/photo.php?fbid=10151239654852952&amp;set=a.114456157951.118433.8062627951&amp;type=1&amp;relevant_count=1","[Photo]")</f>
        <v>[Photo]</v>
      </c>
      <c r="B1308" s="4" t="str">
        <f>HYPERLINK("http://www.facebook.com/8062627951/posts/10151239654867952","Apple’s magic is in the turn, not the prestige - http://tcrn.ch/Pdnxrr")</f>
        <v>Apple’s magic is in the turn, not the prestige - http://tcrn.ch/Pdnxrr</v>
      </c>
      <c r="C1308" s="3">
        <v>41165.472939814812</v>
      </c>
      <c r="D1308" s="2">
        <v>440</v>
      </c>
      <c r="E1308" s="2">
        <v>31</v>
      </c>
      <c r="F1308" s="2" t="s">
        <v>7</v>
      </c>
      <c r="G1308" s="2" t="s">
        <v>8</v>
      </c>
    </row>
    <row r="1309" spans="1:7" ht="45" x14ac:dyDescent="0.25">
      <c r="A1309" s="4" t="str">
        <f>HYPERLINK("http://techcrunch.com/2012/09/13/drive-me-lyft-just-might-have-the-customer-experience-advantage-over-uber/","Drive Me: Lyft Just Might Have The Customer Experience Advantage Over Uber")</f>
        <v>Drive Me: Lyft Just Might Have The Customer Experience Advantage Over Uber</v>
      </c>
      <c r="B1309" s="4" t="str">
        <f>HYPERLINK("http://www.facebook.com/8062627951/posts/421738741216896","Lyft or Uber? Which one do you prefer? Why?")</f>
        <v>Lyft or Uber? Which one do you prefer? Why?</v>
      </c>
      <c r="C1309" s="3">
        <v>41165.435474537036</v>
      </c>
      <c r="D1309" s="2">
        <v>26</v>
      </c>
      <c r="E1309" s="2">
        <v>13</v>
      </c>
      <c r="F1309" s="2" t="s">
        <v>8</v>
      </c>
      <c r="G1309" s="2" t="s">
        <v>7</v>
      </c>
    </row>
    <row r="1310" spans="1:7" ht="45" x14ac:dyDescent="0.25">
      <c r="A1310" s="4" t="str">
        <f>HYPERLINK("http://www.facebook.com/photo.php?fbid=10151239252517952&amp;set=a.114456157951.118433.8062627951&amp;type=1&amp;relevant_count=1","[Photo]")</f>
        <v>[Photo]</v>
      </c>
      <c r="B1310" s="4" t="str">
        <f>HYPERLINK("http://www.facebook.com/8062627951/posts/10151239252542952","Here's a recap of what Mark Zuckerberg said on stage at TechCrunch's conference, and why it gave Facebook's stock a huge boost http://tcrn.ch/QDLTfn")</f>
        <v>Here's a recap of what Mark Zuckerberg said on stage at TechCrunch's conference, and why it gave Facebook's stock a huge boost http://tcrn.ch/QDLTfn</v>
      </c>
      <c r="C1310" s="3">
        <v>41165.240543981483</v>
      </c>
      <c r="D1310" s="2">
        <v>264</v>
      </c>
      <c r="E1310" s="2">
        <v>24</v>
      </c>
      <c r="F1310" s="2" t="s">
        <v>7</v>
      </c>
      <c r="G1310" s="2" t="s">
        <v>8</v>
      </c>
    </row>
    <row r="1311" spans="1:7" ht="30" x14ac:dyDescent="0.25">
      <c r="A1311" s="4" t="str">
        <f>HYPERLINK("http://techcrunch.com/2012/09/12/techcrunch-disrupt-sf-2012-winner/","And The Winner Of TechCrunch Disrupt SF 2012 Is… YourMechanic! ")</f>
        <v xml:space="preserve">And The Winner Of TechCrunch Disrupt SF 2012 Is… YourMechanic! </v>
      </c>
      <c r="B1311" s="4" t="str">
        <f>HYPERLINK("http://www.facebook.com/8062627951/posts/444475888937665","Congratulations to YourMechanic for winning Disrupt SF 2012 and to Lit Motors for being the runner-up!")</f>
        <v>Congratulations to YourMechanic for winning Disrupt SF 2012 and to Lit Motors for being the runner-up!</v>
      </c>
      <c r="C1311" s="3">
        <v>41164.771643518521</v>
      </c>
      <c r="D1311" s="2">
        <v>104</v>
      </c>
      <c r="E1311" s="2">
        <v>12</v>
      </c>
      <c r="F1311" s="2" t="s">
        <v>7</v>
      </c>
      <c r="G1311" s="2" t="s">
        <v>7</v>
      </c>
    </row>
    <row r="1312" spans="1:7" x14ac:dyDescent="0.25">
      <c r="A1312" s="4" t="str">
        <f>HYPERLINK("http://www.facebook.com/photo.php?fbid=10151238589747952&amp;set=a.10151134316772952.498619.8062627951&amp;type=1&amp;relevant_count=1","[Photo]")</f>
        <v>[Photo]</v>
      </c>
      <c r="B1312" s="4" t="str">
        <f>HYPERLINK("http://www.facebook.com/8062627951/posts/10151238589782952","Congratulations to YourMechanic for winning #TCDisrupt!! ")</f>
        <v xml:space="preserve">Congratulations to YourMechanic for winning #TCDisrupt!! </v>
      </c>
      <c r="C1312" s="3">
        <v>41164.769074074073</v>
      </c>
      <c r="D1312" s="2">
        <v>102</v>
      </c>
      <c r="E1312" s="2">
        <v>8</v>
      </c>
      <c r="F1312" s="2" t="s">
        <v>7</v>
      </c>
      <c r="G1312" s="2" t="s">
        <v>8</v>
      </c>
    </row>
    <row r="1313" spans="1:7" ht="45" x14ac:dyDescent="0.25">
      <c r="A1313" s="4" t="str">
        <f>HYPERLINK("http://techcrunch.com/2012/09/12/jack-dorsey-bus-bubble/","Jack Dorsey Tries To Break Out Of The Bubble By Riding The Bus “Every Single Day”")</f>
        <v>Jack Dorsey Tries To Break Out Of The Bubble By Riding The Bus “Every Single Day”</v>
      </c>
      <c r="B1313" s="4" t="str">
        <f>HYPERLINK("http://www.facebook.com/8062627951/posts/283286468446455","Yes, Jack Dorsey rides the bus.")</f>
        <v>Yes, Jack Dorsey rides the bus.</v>
      </c>
      <c r="C1313" s="3">
        <v>41164.754999999997</v>
      </c>
      <c r="D1313" s="2">
        <v>147</v>
      </c>
      <c r="E1313" s="2">
        <v>15</v>
      </c>
      <c r="F1313" s="2" t="s">
        <v>7</v>
      </c>
      <c r="G1313" s="2" t="s">
        <v>7</v>
      </c>
    </row>
    <row r="1314" spans="1:7" ht="30" x14ac:dyDescent="0.25">
      <c r="A1314" s="4" t="str">
        <f>HYPERLINK("http://tcrn.ch/NZDnZW","Watch TechCrunch Disrupt SF Live! ")</f>
        <v xml:space="preserve">Watch TechCrunch Disrupt SF Live! </v>
      </c>
      <c r="B1314" s="4" t="str">
        <f>HYPERLINK("http://www.facebook.com/8062627951/posts/358212897594488","The Startup Battlefield finals are about to begin. Make sure to tune in! #TCDisrupt")</f>
        <v>The Startup Battlefield finals are about to begin. Make sure to tune in! #TCDisrupt</v>
      </c>
      <c r="C1314" s="3">
        <v>41164.633668981478</v>
      </c>
      <c r="D1314" s="2">
        <v>15</v>
      </c>
      <c r="E1314" s="2">
        <v>0</v>
      </c>
      <c r="F1314" s="2" t="s">
        <v>7</v>
      </c>
      <c r="G1314" s="2" t="s">
        <v>7</v>
      </c>
    </row>
    <row r="1315" spans="1:7" x14ac:dyDescent="0.25">
      <c r="A1315" s="4" t="str">
        <f>HYPERLINK("http://www.facebook.com/photo.php?fbid=10151238353922952&amp;set=a.10151134316772952.498619.8062627951&amp;type=1&amp;relevant_count=1","[Photo]")</f>
        <v>[Photo]</v>
      </c>
      <c r="B1315" s="4" t="str">
        <f>HYPERLINK("http://www.facebook.com/8062627951/posts/10151238353942952","Passing of the Disrupt Cup #TCDisrupt ")</f>
        <v xml:space="preserve">Passing of the Disrupt Cup #TCDisrupt </v>
      </c>
      <c r="C1315" s="3">
        <v>41164.615312499998</v>
      </c>
      <c r="D1315" s="2">
        <v>21</v>
      </c>
      <c r="E1315" s="2">
        <v>0</v>
      </c>
      <c r="F1315" s="2" t="s">
        <v>7</v>
      </c>
      <c r="G1315" s="2" t="s">
        <v>8</v>
      </c>
    </row>
    <row r="1316" spans="1:7" ht="30" x14ac:dyDescent="0.25">
      <c r="A1316" s="4" t="str">
        <f>HYPERLINK("http://www.facebook.com/photo.php?fbid=10151238349417952&amp;set=a.114456157951.118433.8062627951&amp;type=1&amp;relevant_count=1","[Photo]")</f>
        <v>[Photo]</v>
      </c>
      <c r="B1316" s="4" t="str">
        <f>HYPERLINK("http://www.facebook.com/8062627951/posts/10151238349442952","Future of commerce? Enough with the subscription model already - http://tcrn.ch/QLcbi2")</f>
        <v>Future of commerce? Enough with the subscription model already - http://tcrn.ch/QLcbi2</v>
      </c>
      <c r="C1316" s="3">
        <v>41164.612083333333</v>
      </c>
      <c r="D1316" s="2">
        <v>91</v>
      </c>
      <c r="E1316" s="2">
        <v>2</v>
      </c>
      <c r="F1316" s="2" t="s">
        <v>8</v>
      </c>
      <c r="G1316" s="2" t="s">
        <v>8</v>
      </c>
    </row>
    <row r="1317" spans="1:7" ht="30" x14ac:dyDescent="0.25">
      <c r="A1317" s="4" t="str">
        <f>HYPERLINK("http://www.facebook.com/photo.php?fbid=10151238304627952&amp;set=a.114456157951.118433.8062627951&amp;type=1&amp;relevant_count=1","[Photo]")</f>
        <v>[Photo]</v>
      </c>
      <c r="B1317" s="4" t="str">
        <f>HYPERLINK("http://www.facebook.com/8062627951/posts/10151238304667952","Ears-on with Apple’s new EarPods: better bass, better looks, just better - http://tcrn.ch/RJy3ds")</f>
        <v>Ears-on with Apple’s new EarPods: better bass, better looks, just better - http://tcrn.ch/RJy3ds</v>
      </c>
      <c r="C1317" s="3">
        <v>41164.583425925928</v>
      </c>
      <c r="D1317" s="2">
        <v>503</v>
      </c>
      <c r="E1317" s="2">
        <v>80</v>
      </c>
      <c r="F1317" s="2" t="s">
        <v>7</v>
      </c>
      <c r="G1317" s="2" t="s">
        <v>8</v>
      </c>
    </row>
    <row r="1318" spans="1:7" ht="45" x14ac:dyDescent="0.25">
      <c r="A1318" s="4" t="str">
        <f>HYPERLINK("http://techcrunch.com/2012/09/12/ping-facebook/","Ding Dong, Is Ping Dead? iTunes Gets Social With Facebook, Twitter, and Artist Photo Sharing ")</f>
        <v xml:space="preserve">Ding Dong, Is Ping Dead? iTunes Gets Social With Facebook, Twitter, and Artist Photo Sharing </v>
      </c>
      <c r="B1318" s="4" t="str">
        <f>HYPERLINK("http://www.facebook.com/8062627951/posts/353145694770608","Ding dong, is Ping dead? Signs point to finally.")</f>
        <v>Ding dong, is Ping dead? Signs point to finally.</v>
      </c>
      <c r="C1318" s="3">
        <v>41164.558391203704</v>
      </c>
      <c r="D1318" s="2">
        <v>47</v>
      </c>
      <c r="E1318" s="2">
        <v>11</v>
      </c>
      <c r="F1318" s="2" t="s">
        <v>8</v>
      </c>
      <c r="G1318" s="2" t="s">
        <v>7</v>
      </c>
    </row>
    <row r="1319" spans="1:7" x14ac:dyDescent="0.25">
      <c r="A1319" s="4" t="str">
        <f>HYPERLINK("http://www.facebook.com/photo.php?fbid=10151238251097952&amp;set=a.10151134316772952.498619.8062627951&amp;type=1&amp;relevant_count=1","[Photo]")</f>
        <v>[Photo]</v>
      </c>
      <c r="B1319" s="4" t="str">
        <f>HYPERLINK("http://www.facebook.com/8062627951/posts/10151238251127952","Michael Arrington and Vinod Khosla on stage at #TCDisrupt ")</f>
        <v xml:space="preserve">Michael Arrington and Vinod Khosla on stage at #TCDisrupt </v>
      </c>
      <c r="C1319" s="3">
        <v>41164.548946759256</v>
      </c>
      <c r="D1319" s="2">
        <v>45</v>
      </c>
      <c r="E1319" s="2">
        <v>1</v>
      </c>
      <c r="F1319" s="2" t="s">
        <v>7</v>
      </c>
      <c r="G1319" s="2" t="s">
        <v>8</v>
      </c>
    </row>
    <row r="1320" spans="1:7" x14ac:dyDescent="0.25">
      <c r="A1320" s="4" t="str">
        <f>HYPERLINK("http://www.facebook.com/photo.php?fbid=10151238146067952&amp;set=a.114456157951.118433.8062627951&amp;type=1&amp;relevant_count=1","[Photo]")</f>
        <v>[Photo]</v>
      </c>
      <c r="B1320" s="4" t="str">
        <f>HYPERLINK("http://www.facebook.com/8062627951/posts/10151238146102952","Hands on with the new iPhone 5 - http://tcrn.ch/RJiK4G")</f>
        <v>Hands on with the new iPhone 5 - http://tcrn.ch/RJiK4G</v>
      </c>
      <c r="C1320" s="3">
        <v>41164.487453703703</v>
      </c>
      <c r="D1320" s="2">
        <v>776</v>
      </c>
      <c r="E1320" s="2">
        <v>122</v>
      </c>
      <c r="F1320" s="2" t="s">
        <v>7</v>
      </c>
      <c r="G1320" s="2" t="s">
        <v>8</v>
      </c>
    </row>
    <row r="1321" spans="1:7" ht="45" x14ac:dyDescent="0.25">
      <c r="A1321" s="4" t="str">
        <f>HYPERLINK("http://techcrunch.com/2012/09/12/collegehumor-presents-apples-latest-press-conference-where-it-announce-nothing/","CollegeHumor Presents Apple’s Latest Press Conference Where It Announces Nothing")</f>
        <v>CollegeHumor Presents Apple’s Latest Press Conference Where It Announces Nothing</v>
      </c>
      <c r="B1321" s="4" t="s">
        <v>75</v>
      </c>
      <c r="C1321" s="3">
        <v>41164.462870370371</v>
      </c>
      <c r="D1321" s="2">
        <v>231</v>
      </c>
      <c r="E1321" s="2">
        <v>13</v>
      </c>
      <c r="F1321" s="2" t="s">
        <v>7</v>
      </c>
      <c r="G1321" s="2" t="s">
        <v>7</v>
      </c>
    </row>
    <row r="1322" spans="1:7" ht="45" x14ac:dyDescent="0.25">
      <c r="A1322" s="4" t="str">
        <f>HYPERLINK("http://www.facebook.com/photo.php?fbid=10151238094442952&amp;set=a.114456157951.118433.8062627951&amp;type=1&amp;relevant_count=1","[Photo]")</f>
        <v>[Photo]</v>
      </c>
      <c r="B1322" s="4" t="s">
        <v>76</v>
      </c>
      <c r="C1322" s="3">
        <v>41164.456875000003</v>
      </c>
      <c r="D1322" s="2">
        <v>362</v>
      </c>
      <c r="E1322" s="2">
        <v>33</v>
      </c>
      <c r="F1322" s="2" t="s">
        <v>8</v>
      </c>
      <c r="G1322" s="2" t="s">
        <v>8</v>
      </c>
    </row>
    <row r="1323" spans="1:7" ht="45" x14ac:dyDescent="0.25">
      <c r="A1323" s="4" t="str">
        <f>HYPERLINK("http://www.facebook.com/photo.php?fbid=10151238082097952&amp;set=a.114456157951.118433.8062627951&amp;type=1&amp;relevant_count=1","[Photo]")</f>
        <v>[Photo]</v>
      </c>
      <c r="B1323" s="4" t="str">
        <f>HYPERLINK("http://www.facebook.com/8062627951/posts/10151238082127952","Apple outs 5th gen iPod Touch: Siri, 4-inch display, comes in 5 different colors and it's launching in October. Who wants one? http://tcrn.ch/OhemUm")</f>
        <v>Apple outs 5th gen iPod Touch: Siri, 4-inch display, comes in 5 different colors and it's launching in October. Who wants one? http://tcrn.ch/OhemUm</v>
      </c>
      <c r="C1323" s="3">
        <v>41164.448738425926</v>
      </c>
      <c r="D1323" s="2">
        <v>368</v>
      </c>
      <c r="E1323" s="2">
        <v>62</v>
      </c>
      <c r="F1323" s="2" t="s">
        <v>8</v>
      </c>
      <c r="G1323" s="2" t="s">
        <v>8</v>
      </c>
    </row>
    <row r="1324" spans="1:7" ht="45" x14ac:dyDescent="0.25">
      <c r="A1324" s="4" t="str">
        <f>HYPERLINK("http://www.facebook.com/photo.php?fbid=10151238057012952&amp;set=a.114456157951.118433.8062627951&amp;type=1&amp;relevant_count=1","[Photo]")</f>
        <v>[Photo]</v>
      </c>
      <c r="B1324" s="4" t="str">
        <f>HYPERLINK("http://www.facebook.com/8062627951/posts/10151238057042952","Apple has announced the new iPod nano: 2.5&lt;U+2033&gt; display, home button, 38% thinner, and 7 colors - http://tcrn.ch/ScyurN")</f>
        <v>Apple has announced the new iPod nano: 2.5&lt;U+2033&gt; display, home button, 38% thinner, and 7 colors - http://tcrn.ch/ScyurN</v>
      </c>
      <c r="C1324" s="3">
        <v>41164.433796296296</v>
      </c>
      <c r="D1324" s="2">
        <v>390</v>
      </c>
      <c r="E1324" s="2">
        <v>65</v>
      </c>
      <c r="F1324" s="2" t="s">
        <v>7</v>
      </c>
      <c r="G1324" s="2" t="s">
        <v>8</v>
      </c>
    </row>
    <row r="1325" spans="1:7" ht="30" x14ac:dyDescent="0.25">
      <c r="A1325" s="4" t="str">
        <f>HYPERLINK("http://techcrunch.com/2012/09/12/apple-drops-iphone-4s-price-to-99/","Apple Drops iPhone 4S Price To $99 And Will Give Away The iPhone 4 For Free")</f>
        <v>Apple Drops iPhone 4S Price To $99 And Will Give Away The iPhone 4 For Free</v>
      </c>
      <c r="B1325" s="4" t="str">
        <f>HYPERLINK("http://www.facebook.com/8062627951/posts/441383942580316","This may be the biggest news of the day.")</f>
        <v>This may be the biggest news of the day.</v>
      </c>
      <c r="C1325" s="3">
        <v>41164.422407407408</v>
      </c>
      <c r="D1325" s="2">
        <v>400</v>
      </c>
      <c r="E1325" s="2">
        <v>58</v>
      </c>
      <c r="F1325" s="2" t="s">
        <v>7</v>
      </c>
      <c r="G1325" s="2" t="s">
        <v>7</v>
      </c>
    </row>
    <row r="1326" spans="1:7" ht="45" x14ac:dyDescent="0.25">
      <c r="A1326" s="4" t="str">
        <f>HYPERLINK("http://techcrunch.com/2012/09/12/iphone-5-pricing-and-availability-revealed-199-for-16gb-299-for-32gb-399-for-64gb/","iPhone 5 Pricing And Availability Revealed: $199 For 16GB, $299 For 32GB, $399 For 64GB")</f>
        <v>iPhone 5 Pricing And Availability Revealed: $199 For 16GB, $299 For 32GB, $399 For 64GB</v>
      </c>
      <c r="B1326" s="4" t="str">
        <f>HYPERLINK("http://www.facebook.com/8062627951/posts/153721861434074","Who's going to get one?")</f>
        <v>Who's going to get one?</v>
      </c>
      <c r="C1326" s="3">
        <v>41164.419421296298</v>
      </c>
      <c r="D1326" s="2">
        <v>527</v>
      </c>
      <c r="E1326" s="2">
        <v>143</v>
      </c>
      <c r="F1326" s="2" t="s">
        <v>8</v>
      </c>
      <c r="G1326" s="2" t="s">
        <v>7</v>
      </c>
    </row>
    <row r="1327" spans="1:7" ht="30" x14ac:dyDescent="0.25">
      <c r="A1327" s="4" t="str">
        <f>HYPERLINK("http://www.facebook.com/photo.php?fbid=10151238029422952&amp;set=a.114456157951.118433.8062627951&amp;type=1&amp;relevant_count=1","[Photo]")</f>
        <v>[Photo]</v>
      </c>
      <c r="B1327" s="4" t="str">
        <f>HYPERLINK("http://www.facebook.com/8062627951/posts/10151238029447952","Apple’s iOS 6: Facebook, Maps, Passbook, photo sharing, Siri and more - http://tcrn.ch/QdbxYW")</f>
        <v>Apple’s iOS 6: Facebook, Maps, Passbook, photo sharing, Siri and more - http://tcrn.ch/QdbxYW</v>
      </c>
      <c r="C1327" s="3">
        <v>41164.416724537034</v>
      </c>
      <c r="D1327" s="2">
        <v>280</v>
      </c>
      <c r="E1327" s="2">
        <v>28</v>
      </c>
      <c r="F1327" s="2" t="s">
        <v>7</v>
      </c>
      <c r="G1327" s="2" t="s">
        <v>8</v>
      </c>
    </row>
    <row r="1328" spans="1:7" ht="30" x14ac:dyDescent="0.25">
      <c r="A1328" s="4" t="str">
        <f>HYPERLINK("http://www.facebook.com/photo.php?fbid=10151238021507952&amp;set=a.114456157951.118433.8062627951&amp;type=1&amp;relevant_count=1","[Photo]")</f>
        <v>[Photo]</v>
      </c>
      <c r="B1328" s="4" t="str">
        <f>HYPERLINK("http://www.facebook.com/8062627951/posts/10151238021542952","Introducing the new “Lightning” connector for the iPhone 5 - http://tcrn.ch/Qdb0WE")</f>
        <v>Introducing the new “Lightning” connector for the iPhone 5 - http://tcrn.ch/Qdb0WE</v>
      </c>
      <c r="C1328" s="3">
        <v>41164.41170138889</v>
      </c>
      <c r="D1328" s="2">
        <v>161</v>
      </c>
      <c r="E1328" s="2">
        <v>50</v>
      </c>
      <c r="F1328" s="2" t="s">
        <v>7</v>
      </c>
      <c r="G1328" s="2" t="s">
        <v>8</v>
      </c>
    </row>
    <row r="1329" spans="1:7" x14ac:dyDescent="0.25">
      <c r="A1329" s="4" t="str">
        <f>HYPERLINK("http://www.facebook.com/photo.php?fbid=10151237996377952&amp;set=a.114456157951.118433.8062627951&amp;type=1&amp;relevant_count=1","[Photo]")</f>
        <v>[Photo]</v>
      </c>
      <c r="B1329" s="4" t="str">
        <f>HYPERLINK("http://www.facebook.com/8062627951/posts/10151237996407952","There she is. http://tcrn.ch/RLUs4r")</f>
        <v>There she is. http://tcrn.ch/RLUs4r</v>
      </c>
      <c r="C1329" s="3">
        <v>41164.397349537037</v>
      </c>
      <c r="D1329" s="2">
        <v>786</v>
      </c>
      <c r="E1329" s="2">
        <v>88</v>
      </c>
      <c r="F1329" s="2" t="s">
        <v>7</v>
      </c>
      <c r="G1329" s="2" t="s">
        <v>8</v>
      </c>
    </row>
    <row r="1330" spans="1:7" x14ac:dyDescent="0.25">
      <c r="A1330" s="4" t="str">
        <f>HYPERLINK("http://techcrunch.com/2012/09/12/apple-iphone-5-official/","Apple Officially Reveals The iPhone 5")</f>
        <v>Apple Officially Reveals The iPhone 5</v>
      </c>
      <c r="B1330" s="4" t="str">
        <f>HYPERLINK("http://www.facebook.com/8062627951/posts/284803601628208","Here it is: the iPhone 5.")</f>
        <v>Here it is: the iPhone 5.</v>
      </c>
      <c r="C1330" s="3">
        <v>41164.386608796296</v>
      </c>
      <c r="D1330" s="2">
        <v>922</v>
      </c>
      <c r="E1330" s="2">
        <v>62</v>
      </c>
      <c r="F1330" s="2" t="s">
        <v>7</v>
      </c>
      <c r="G1330" s="2" t="s">
        <v>7</v>
      </c>
    </row>
    <row r="1331" spans="1:7" x14ac:dyDescent="0.25">
      <c r="A1331" s="4" t="str">
        <f>HYPERLINK("http://www.facebook.com/photo.php?fbid=10151237959517952&amp;set=a.114456157951.118433.8062627951&amp;type=1&amp;relevant_count=1","[Photo]")</f>
        <v>[Photo]</v>
      </c>
      <c r="B1331" s="4" t="str">
        <f>HYPERLINK("http://www.facebook.com/8062627951/posts/10151237959567952","The lights have dimmed. Get ready. http://tcrn.ch/RLUs4r")</f>
        <v>The lights have dimmed. Get ready. http://tcrn.ch/RLUs4r</v>
      </c>
      <c r="C1331" s="3">
        <v>41164.376712962963</v>
      </c>
      <c r="D1331" s="2">
        <v>585</v>
      </c>
      <c r="E1331" s="2">
        <v>19</v>
      </c>
      <c r="F1331" s="2" t="s">
        <v>7</v>
      </c>
      <c r="G1331" s="2" t="s">
        <v>8</v>
      </c>
    </row>
    <row r="1332" spans="1:7" ht="30" x14ac:dyDescent="0.25">
      <c r="A1332" s="4" t="str">
        <f>HYPERLINK("http://techcrunch.com/2012/09/12/join-us-live-at-1pm-eastern10am-pacific-for-apples-iphone-announcement/","Join Us Live At 1PM Eastern/10AM Pacific For Apple’s iPhone Announcement")</f>
        <v>Join Us Live At 1PM Eastern/10AM Pacific For Apple’s iPhone Announcement</v>
      </c>
      <c r="B1332" s="4" t="str">
        <f>HYPERLINK("http://www.facebook.com/8062627951/posts/401941776526240","We are LIVE. Here we go. It's time for the iPhone 5.")</f>
        <v>We are LIVE. Here we go. It's time for the iPhone 5.</v>
      </c>
      <c r="C1332" s="3">
        <v>41164.373483796298</v>
      </c>
      <c r="D1332" s="2">
        <v>125</v>
      </c>
      <c r="E1332" s="2">
        <v>24</v>
      </c>
      <c r="F1332" s="2" t="s">
        <v>7</v>
      </c>
      <c r="G1332" s="2" t="s">
        <v>7</v>
      </c>
    </row>
    <row r="1333" spans="1:7" ht="30" x14ac:dyDescent="0.25">
      <c r="A1333" s="4" t="str">
        <f>HYPERLINK("http://techcrunch.com/2012/09/12/watch-techcrunch-disrupt-sf-live-3/","Watch TechCrunch Disrupt SF Live! ")</f>
        <v xml:space="preserve">Watch TechCrunch Disrupt SF Live! </v>
      </c>
      <c r="B1333" s="4" t="str">
        <f>HYPERLINK("http://www.facebook.com/8062627951/posts/204163286381870","Day 3 of Disrupt SF has just kicked off. Make sure to follow along!")</f>
        <v>Day 3 of Disrupt SF has just kicked off. Make sure to follow along!</v>
      </c>
      <c r="C1333" s="3">
        <v>41164.361585648148</v>
      </c>
      <c r="D1333" s="2">
        <v>19</v>
      </c>
      <c r="E1333" s="2">
        <v>0</v>
      </c>
      <c r="F1333" s="2" t="s">
        <v>7</v>
      </c>
      <c r="G1333" s="2" t="s">
        <v>7</v>
      </c>
    </row>
    <row r="1334" spans="1:7" ht="30" x14ac:dyDescent="0.25">
      <c r="A1334" s="4" t="str">
        <f>HYPERLINK("http://www.facebook.com/photo.php?fbid=10151237885877952&amp;set=a.114456157951.118433.8062627951&amp;type=1&amp;relevant_count=1","[Photo]")</f>
        <v>[Photo]</v>
      </c>
      <c r="B1334" s="4" t="str">
        <f>HYPERLINK("http://www.facebook.com/8062627951/posts/10151237885912952","Join Us Live At 1PM Eastern/10AM Pacific For Apple’s iPhone Announcement - http://tcrn.ch/RLUs4r")</f>
        <v>Join Us Live At 1PM Eastern/10AM Pacific For Apple’s iPhone Announcement - http://tcrn.ch/RLUs4r</v>
      </c>
      <c r="C1334" s="3">
        <v>41164.333993055552</v>
      </c>
      <c r="D1334" s="2">
        <v>239</v>
      </c>
      <c r="E1334" s="2">
        <v>25</v>
      </c>
      <c r="F1334" s="2" t="s">
        <v>7</v>
      </c>
      <c r="G1334" s="2" t="s">
        <v>8</v>
      </c>
    </row>
    <row r="1335" spans="1:7" x14ac:dyDescent="0.25">
      <c r="A1335" s="4" t="str">
        <f>HYPERLINK("http://www.facebook.com/photo.php?fbid=10151237834192952&amp;set=a.114456157951.118433.8062627951&amp;type=1&amp;relevant_count=1","[Photo]")</f>
        <v>[Photo]</v>
      </c>
      <c r="B1335" s="4" t="str">
        <f>HYPERLINK("http://www.facebook.com/8062627951/posts/10151237834247952","Are you ready?")</f>
        <v>Are you ready?</v>
      </c>
      <c r="C1335" s="3">
        <v>41164.311724537038</v>
      </c>
      <c r="D1335" s="2">
        <v>1001</v>
      </c>
      <c r="E1335" s="2">
        <v>87</v>
      </c>
      <c r="F1335" s="2" t="s">
        <v>8</v>
      </c>
      <c r="G1335" s="2" t="s">
        <v>8</v>
      </c>
    </row>
    <row r="1336" spans="1:7" ht="45" x14ac:dyDescent="0.25">
      <c r="A1336" s="4" t="str">
        <f>HYPERLINK("http://techcrunch.com/2012/09/12/whoops-apple-search-engine-is-revealing-product-news-before-todays-event-iphone-5-new-ipods-new-itunes-confirmed/","Apple Search Engine Reveals Product News Before Today’s Event: iPhone 5, New iPods, New iTunes Confi")</f>
        <v>Apple Search Engine Reveals Product News Before Today’s Event: iPhone 5, New iPods, New iTunes Confi</v>
      </c>
      <c r="B1336" s="4" t="str">
        <f>HYPERLINK("http://www.facebook.com/8062627951/posts/388745491196288","Welp, here are Apple's announcements...just a little bit early.")</f>
        <v>Welp, here are Apple's announcements...just a little bit early.</v>
      </c>
      <c r="C1336" s="3">
        <v>41164.308888888889</v>
      </c>
      <c r="D1336" s="2">
        <v>206</v>
      </c>
      <c r="E1336" s="2">
        <v>33</v>
      </c>
      <c r="F1336" s="2" t="s">
        <v>7</v>
      </c>
      <c r="G1336" s="2" t="s">
        <v>7</v>
      </c>
    </row>
    <row r="1337" spans="1:7" ht="45" x14ac:dyDescent="0.25">
      <c r="A1337" s="4" t="str">
        <f>HYPERLINK("http://techcrunch.com/2012/09/11/the-final-seven-disrupt-sf-startups-expect-labs-gyft-lit-motors-prior-knowledge-saya-yourmechanic-and-zumper/","The Final Seven Disrupt SF Startups: Expect Labs, Gyft, Lit Motors, Prior Knowledge, Saya, YourMecha")</f>
        <v>The Final Seven Disrupt SF Startups: Expect Labs, Gyft, Lit Motors, Prior Knowledge, Saya, YourMecha</v>
      </c>
      <c r="B1337" s="4" t="str">
        <f>HYPERLINK("http://www.facebook.com/8062627951/posts/144283759048153","Presenting the TechCrunch Disrupt SF 2012 Finalists!")</f>
        <v>Presenting the TechCrunch Disrupt SF 2012 Finalists!</v>
      </c>
      <c r="C1337" s="3">
        <v>41163.994340277779</v>
      </c>
      <c r="D1337" s="2">
        <v>49</v>
      </c>
      <c r="E1337" s="2">
        <v>6</v>
      </c>
      <c r="F1337" s="2" t="s">
        <v>7</v>
      </c>
      <c r="G1337" s="2" t="s">
        <v>7</v>
      </c>
    </row>
    <row r="1338" spans="1:7" x14ac:dyDescent="0.25">
      <c r="A1338" s="4" t="str">
        <f>HYPERLINK("http://www.facebook.com/photo.php?fbid=10151237346472952&amp;set=a.10151134316772952.498619.8062627951&amp;type=1&amp;relevant_count=1","[Photo]")</f>
        <v>[Photo]</v>
      </c>
      <c r="B1338" s="4" t="str">
        <f>HYPERLINK("http://www.facebook.com/8062627951/posts/10151237346497952","#TCDisrupt party time. ")</f>
        <v xml:space="preserve">#TCDisrupt party time. </v>
      </c>
      <c r="C1338" s="3">
        <v>41163.879155092596</v>
      </c>
      <c r="D1338" s="2">
        <v>71</v>
      </c>
      <c r="E1338" s="2">
        <v>7</v>
      </c>
      <c r="F1338" s="2" t="s">
        <v>7</v>
      </c>
      <c r="G1338" s="2" t="s">
        <v>8</v>
      </c>
    </row>
    <row r="1339" spans="1:7" ht="30" x14ac:dyDescent="0.25">
      <c r="A1339" s="4" t="str">
        <f>HYPERLINK("http://techcrunch.com/2012/09/11/here-are-your-techcrunch-disrupt-sf-battlefield-startups-from-day-2/","Here Are Your TechCrunch Disrupt SF Battlefield Startups From Day 2")</f>
        <v>Here Are Your TechCrunch Disrupt SF Battlefield Startups From Day 2</v>
      </c>
      <c r="B1339" s="4" t="str">
        <f>HYPERLINK("http://www.facebook.com/8062627951/posts/484038931614260","Here they are! Which one was your favorite? Make sure to tune in tomorrow for the finale.")</f>
        <v>Here they are! Which one was your favorite? Make sure to tune in tomorrow for the finale.</v>
      </c>
      <c r="C1339" s="3">
        <v>41163.745439814818</v>
      </c>
      <c r="D1339" s="2">
        <v>20</v>
      </c>
      <c r="E1339" s="2">
        <v>3</v>
      </c>
      <c r="F1339" s="2" t="s">
        <v>8</v>
      </c>
      <c r="G1339" s="2" t="s">
        <v>7</v>
      </c>
    </row>
    <row r="1340" spans="1:7" ht="30" x14ac:dyDescent="0.25">
      <c r="A1340" s="4" t="str">
        <f>HYPERLINK("http://www.facebook.com/photo.php?fbid=10151237066697952&amp;set=a.114456157951.118433.8062627951&amp;type=1&amp;relevant_count=1","[Photo]")</f>
        <v>[Photo]</v>
      </c>
      <c r="B1340" s="4" t="str">
        <f>HYPERLINK("http://www.facebook.com/8062627951/posts/10151237066737952","The best soundbites from Mark Zuckerberg’s first interview post-IPO [VIDEO] - http://tcrn.ch/QDtCyV")</f>
        <v>The best soundbites from Mark Zuckerberg’s first interview post-IPO [VIDEO] - http://tcrn.ch/QDtCyV</v>
      </c>
      <c r="C1340" s="3">
        <v>41163.687685185185</v>
      </c>
      <c r="D1340" s="2">
        <v>89</v>
      </c>
      <c r="E1340" s="2">
        <v>5</v>
      </c>
      <c r="F1340" s="2" t="s">
        <v>7</v>
      </c>
      <c r="G1340" s="2" t="s">
        <v>8</v>
      </c>
    </row>
    <row r="1341" spans="1:7" ht="30" x14ac:dyDescent="0.25">
      <c r="A1341" s="4" t="str">
        <f>HYPERLINK("http://www.facebook.com/photo.php?fbid=10151237016562952&amp;set=a.114456157951.118433.8062627951&amp;type=1&amp;relevant_count=1","[Photo]")</f>
        <v>[Photo]</v>
      </c>
      <c r="B1341" s="4" t="str">
        <f>HYPERLINK("http://www.facebook.com/8062627951/posts/10151237016627952","Expect Labs’ MindMeld iPad app understands your conversations in real time - http://tcrn.ch/UImpy4")</f>
        <v>Expect Labs’ MindMeld iPad app understands your conversations in real time - http://tcrn.ch/UImpy4</v>
      </c>
      <c r="C1341" s="3">
        <v>41163.660995370374</v>
      </c>
      <c r="D1341" s="2">
        <v>121</v>
      </c>
      <c r="E1341" s="2">
        <v>12</v>
      </c>
      <c r="F1341" s="2" t="s">
        <v>7</v>
      </c>
      <c r="G1341" s="2" t="s">
        <v>8</v>
      </c>
    </row>
    <row r="1342" spans="1:7" ht="45" x14ac:dyDescent="0.25">
      <c r="A1342" s="4" t="str">
        <f>HYPERLINK("http://techcrunch.com/2012/09/11/godaddy-says-it-wasnt-anonymous-it-wasnt-a-hack-it-wasnt-a-ddos-it-was-internal-network-issues/","GoDaddy Says Our Crash Wasn’t Anonymous, It Wasn’t A Hack, It Wasn’t A DDoS. It Was Internal Network")</f>
        <v>GoDaddy Says Our Crash Wasn’t Anonymous, It Wasn’t A Hack, It Wasn’t A DDoS. It Was Internal Network</v>
      </c>
      <c r="B1342" s="4" t="str">
        <f>HYPERLINK("http://www.facebook.com/8062627951/posts/409904729058603","It wasn't a hack, but rather “a series of internal network events that corrupted router data tables.”")</f>
        <v>It wasn't a hack, but rather “a series of internal network events that corrupted router data tables.”</v>
      </c>
      <c r="C1342" s="3">
        <v>41163.634976851848</v>
      </c>
      <c r="D1342" s="2">
        <v>69</v>
      </c>
      <c r="E1342" s="2">
        <v>50</v>
      </c>
      <c r="F1342" s="2" t="s">
        <v>7</v>
      </c>
      <c r="G1342" s="2" t="s">
        <v>7</v>
      </c>
    </row>
    <row r="1343" spans="1:7" ht="30" x14ac:dyDescent="0.25">
      <c r="A1343" s="4" t="str">
        <f>HYPERLINK("http://techcrunch.com/2012/09/11/watch-techcrunch-disrupt-sf-live-2/","Watch TechCrunch Disrupt SF Live! ")</f>
        <v xml:space="preserve">Watch TechCrunch Disrupt SF Live! </v>
      </c>
      <c r="B1343" s="4" t="str">
        <f>HYPERLINK("http://www.facebook.com/8062627951/posts/401417183257454","Michael Arrington and AOL CEO Tim Armstrong are live on stage. Tune in now.")</f>
        <v>Michael Arrington and AOL CEO Tim Armstrong are live on stage. Tune in now.</v>
      </c>
      <c r="C1343" s="3">
        <v>41163.616944444446</v>
      </c>
      <c r="D1343" s="2">
        <v>11</v>
      </c>
      <c r="E1343" s="2">
        <v>4</v>
      </c>
      <c r="F1343" s="2" t="s">
        <v>7</v>
      </c>
      <c r="G1343" s="2" t="s">
        <v>7</v>
      </c>
    </row>
    <row r="1344" spans="1:7" ht="60" x14ac:dyDescent="0.25">
      <c r="A1344" s="4" t="str">
        <f>HYPERLINK("http://techcrunch.com/2012/09/11/mark-zuckerberg-our-biggest-mistake-with-mobile-was-betting-too-much-on-html5/","Mark Zuckerberg: Our Biggest Mistake Was Betting Too Much On HTML5")</f>
        <v>Mark Zuckerberg: Our Biggest Mistake Was Betting Too Much On HTML5</v>
      </c>
      <c r="B1344" s="4" t="s">
        <v>77</v>
      </c>
      <c r="C1344" s="3">
        <v>41163.598460648151</v>
      </c>
      <c r="D1344" s="2">
        <v>254</v>
      </c>
      <c r="E1344" s="2">
        <v>31</v>
      </c>
      <c r="F1344" s="2" t="s">
        <v>7</v>
      </c>
      <c r="G1344" s="2" t="s">
        <v>7</v>
      </c>
    </row>
    <row r="1345" spans="1:7" ht="30" x14ac:dyDescent="0.25">
      <c r="A1345" s="4" t="str">
        <f>HYPERLINK("http://www.facebook.com/photo.php?fbid=10151236897667952&amp;set=a.114456157951.118433.8062627951&amp;type=1&amp;relevant_count=1","[Photo]")</f>
        <v>[Photo]</v>
      </c>
      <c r="B1345" s="4" t="str">
        <f>HYPERLINK("http://www.facebook.com/8062627951/posts/10151236897727952","Facebook's Zuckerberg on being under the radar: I would rather be underestimated - http://tcrn.ch/RQsDw1")</f>
        <v>Facebook's Zuckerberg on being under the radar: I would rather be underestimated - http://tcrn.ch/RQsDw1</v>
      </c>
      <c r="C1345" s="3">
        <v>41163.585902777777</v>
      </c>
      <c r="D1345" s="2">
        <v>239</v>
      </c>
      <c r="E1345" s="2">
        <v>9</v>
      </c>
      <c r="F1345" s="2" t="s">
        <v>7</v>
      </c>
      <c r="G1345" s="2" t="s">
        <v>8</v>
      </c>
    </row>
    <row r="1346" spans="1:7" ht="30" x14ac:dyDescent="0.25">
      <c r="A1346" s="4" t="str">
        <f>HYPERLINK("http://techcrunch.com/2012/09/11/mark-zuckerberg-a-facebook-phone-just-doesnt-make-any-sense/","Mark Zuckerberg: A Facebook Phone Just Doesn’t Make Any Sense ")</f>
        <v xml:space="preserve">Mark Zuckerberg: A Facebook Phone Just Doesn’t Make Any Sense </v>
      </c>
      <c r="B1346" s="4" t="str">
        <f>HYPERLINK("http://www.facebook.com/8062627951/posts/402304336490964","“Let’s say we built a phone… hypothetically,” he said. And then immediately clarifying: “we’re not, by the way.”")</f>
        <v>“Let’s say we built a phone… hypothetically,” he said. And then immediately clarifying: “we’re not, by the way.”</v>
      </c>
      <c r="C1346" s="3">
        <v>41163.574212962965</v>
      </c>
      <c r="D1346" s="2">
        <v>108</v>
      </c>
      <c r="E1346" s="2">
        <v>22</v>
      </c>
      <c r="F1346" s="2" t="s">
        <v>7</v>
      </c>
      <c r="G1346" s="2" t="s">
        <v>7</v>
      </c>
    </row>
    <row r="1347" spans="1:7" ht="45" x14ac:dyDescent="0.25">
      <c r="A1347" s="4" t="str">
        <f>HYPERLINK("http://techcrunch.com/2012/09/11/the-ceo-of-facebook-still-codes-on-the-side-but-tends-to-break-things/","The CEO Of Facebook Still Codes On The Side, But Tends To Break Things")</f>
        <v>The CEO Of Facebook Still Codes On The Side, But Tends To Break Things</v>
      </c>
      <c r="B1347" s="4" t="s">
        <v>78</v>
      </c>
      <c r="C1347" s="3">
        <v>41163.568703703706</v>
      </c>
      <c r="D1347" s="2">
        <v>171</v>
      </c>
      <c r="E1347" s="2">
        <v>16</v>
      </c>
      <c r="F1347" s="2" t="s">
        <v>7</v>
      </c>
      <c r="G1347" s="2" t="s">
        <v>7</v>
      </c>
    </row>
    <row r="1348" spans="1:7" ht="30" x14ac:dyDescent="0.25">
      <c r="A1348" s="4" t="str">
        <f>HYPERLINK("http://www.facebook.com/photo.php?fbid=10151236837427952&amp;set=a.114456157951.118433.8062627951&amp;type=1&amp;relevant_count=1","[Photo]")</f>
        <v>[Photo]</v>
      </c>
      <c r="B1348" s="4" t="str">
        <f>HYPERLINK("http://www.facebook.com/8062627951/posts/10151236837452952","Zuckerberg on Facebook’s IPO: stock performance has been “disappointing” - http://tcrn.ch/QLOOiQ")</f>
        <v>Zuckerberg on Facebook’s IPO: stock performance has been “disappointing” - http://tcrn.ch/QLOOiQ</v>
      </c>
      <c r="C1348" s="3">
        <v>41163.558449074073</v>
      </c>
      <c r="D1348" s="2">
        <v>226</v>
      </c>
      <c r="E1348" s="2">
        <v>54</v>
      </c>
      <c r="F1348" s="2" t="s">
        <v>7</v>
      </c>
      <c r="G1348" s="2" t="s">
        <v>8</v>
      </c>
    </row>
    <row r="1349" spans="1:7" x14ac:dyDescent="0.25">
      <c r="A1349" s="4" t="str">
        <f>HYPERLINK("http://www.facebook.com/photo.php?fbid=10151236821947952&amp;set=a.10151134316772952.498619.8062627951&amp;type=1&amp;relevant_count=1","[Photo]")</f>
        <v>[Photo]</v>
      </c>
      <c r="B1349" s="4" t="str">
        <f>HYPERLINK("http://www.facebook.com/8062627951/posts/10151236821987952","Mark Zuckerberg and Michael Arrington. #tcdisrupt  ")</f>
        <v xml:space="preserve">Mark Zuckerberg and Michael Arrington. #tcdisrupt  </v>
      </c>
      <c r="C1349" s="3">
        <v>41163.54996527778</v>
      </c>
      <c r="D1349" s="2">
        <v>35</v>
      </c>
      <c r="E1349" s="2">
        <v>8</v>
      </c>
      <c r="F1349" s="2" t="s">
        <v>7</v>
      </c>
      <c r="G1349" s="2" t="s">
        <v>8</v>
      </c>
    </row>
    <row r="1350" spans="1:7" x14ac:dyDescent="0.25">
      <c r="A1350" s="4" t="str">
        <f>HYPERLINK("http://www.facebook.com/photo.php?fbid=10151236807347952&amp;set=a.10151134316772952.498619.8062627951&amp;type=1&amp;relevant_count=1","[Photo]")</f>
        <v>[Photo]</v>
      </c>
      <c r="B1350" s="4" t="str">
        <f>HYPERLINK("http://www.facebook.com/8062627951/posts/10151236807367952","Packed house. Mark Zuckerberg is about to take the stage. ")</f>
        <v xml:space="preserve">Packed house. Mark Zuckerberg is about to take the stage. </v>
      </c>
      <c r="C1350" s="3">
        <v>41163.541944444441</v>
      </c>
      <c r="D1350" s="2">
        <v>85</v>
      </c>
      <c r="E1350" s="2">
        <v>6</v>
      </c>
      <c r="F1350" s="2" t="s">
        <v>7</v>
      </c>
      <c r="G1350" s="2" t="s">
        <v>8</v>
      </c>
    </row>
    <row r="1351" spans="1:7" ht="30" x14ac:dyDescent="0.25">
      <c r="A1351" s="4" t="str">
        <f>HYPERLINK("http://tcrn.ch/TGmuVd","Watch TechCrunch Disrupt SF Live! ")</f>
        <v xml:space="preserve">Watch TechCrunch Disrupt SF Live! </v>
      </c>
      <c r="B1351" s="4" t="str">
        <f>HYPERLINK("http://www.facebook.com/8062627951/posts/341938055899029","Michael Arrington &amp; Mark Zuckerberg are about to take the stage! Follow along LIVE")</f>
        <v>Michael Arrington &amp; Mark Zuckerberg are about to take the stage! Follow along LIVE</v>
      </c>
      <c r="C1351" s="3">
        <v>41163.536932870367</v>
      </c>
      <c r="D1351" s="2">
        <v>62</v>
      </c>
      <c r="E1351" s="2">
        <v>4</v>
      </c>
      <c r="F1351" s="2" t="s">
        <v>7</v>
      </c>
      <c r="G1351" s="2" t="s">
        <v>7</v>
      </c>
    </row>
    <row r="1352" spans="1:7" ht="30" x14ac:dyDescent="0.25">
      <c r="A1352" s="4" t="str">
        <f>HYPERLINK("http://www.facebook.com/photo.php?fbid=10151236640217952&amp;set=a.114456157951.118433.8062627951&amp;type=1&amp;relevant_count=1","[Photo]")</f>
        <v>[Photo]</v>
      </c>
      <c r="B1352" s="4" t="str">
        <f>HYPERLINK("http://www.facebook.com/8062627951/posts/10151236640262952","Marc Benioff: “Facebook has the opportunity to be the next Google” - http://tcrn.ch/P8VDfS")</f>
        <v>Marc Benioff: “Facebook has the opportunity to be the next Google” - http://tcrn.ch/P8VDfS</v>
      </c>
      <c r="C1352" s="3">
        <v>41163.459988425922</v>
      </c>
      <c r="D1352" s="2">
        <v>134</v>
      </c>
      <c r="E1352" s="2">
        <v>42</v>
      </c>
      <c r="F1352" s="2" t="s">
        <v>7</v>
      </c>
      <c r="G1352" s="2" t="s">
        <v>8</v>
      </c>
    </row>
    <row r="1353" spans="1:7" ht="30" x14ac:dyDescent="0.25">
      <c r="A1353" s="4" t="str">
        <f>HYPERLINK("http://techcrunch.com/2012/09/11/square-was-originally-called-squirrel-heres-the-story-from-jack-dorsey/","Square Was Originally Called “Squirrel”, Here’s The Story From Jack Dorsey")</f>
        <v>Square Was Originally Called “Squirrel”, Here’s The Story From Jack Dorsey</v>
      </c>
      <c r="B1353" s="4" t="str">
        <f>HYPERLINK("http://www.facebook.com/8062627951/posts/469691716396685","Squirrel has a nice ring to it though, don't you think?")</f>
        <v>Squirrel has a nice ring to it though, don't you think?</v>
      </c>
      <c r="C1353" s="3">
        <v>41163.432638888888</v>
      </c>
      <c r="D1353" s="2">
        <v>38</v>
      </c>
      <c r="E1353" s="2">
        <v>8</v>
      </c>
      <c r="F1353" s="2" t="s">
        <v>8</v>
      </c>
      <c r="G1353" s="2" t="s">
        <v>7</v>
      </c>
    </row>
    <row r="1354" spans="1:7" ht="30" x14ac:dyDescent="0.25">
      <c r="A1354" s="4" t="str">
        <f>HYPERLINK("http://www.facebook.com/photo.php?fbid=10151236566162952&amp;set=a.114456157951.118433.8062627951&amp;type=1&amp;relevant_count=1","[Photo]")</f>
        <v>[Photo]</v>
      </c>
      <c r="B1354" s="4" t="str">
        <f>HYPERLINK("http://www.facebook.com/8062627951/posts/10151236566192952","Michael Arrington and Marc Benioff are on stage. Watch live now: http://tcrn.ch/TGmuVd")</f>
        <v>Michael Arrington and Marc Benioff are on stage. Watch live now: http://tcrn.ch/TGmuVd</v>
      </c>
      <c r="C1354" s="3">
        <v>41163.426469907405</v>
      </c>
      <c r="D1354" s="2">
        <v>67</v>
      </c>
      <c r="E1354" s="2">
        <v>6</v>
      </c>
      <c r="F1354" s="2" t="s">
        <v>7</v>
      </c>
      <c r="G1354" s="2" t="s">
        <v>8</v>
      </c>
    </row>
    <row r="1355" spans="1:7" ht="30" x14ac:dyDescent="0.25">
      <c r="A1355" s="4" t="str">
        <f>HYPERLINK("http://www.facebook.com/photo.php?fbid=10151236529677952&amp;set=a.114456157951.118433.8062627951&amp;type=1&amp;relevant_count=1","[Photo]")</f>
        <v>[Photo]</v>
      </c>
      <c r="B1355" s="4" t="str">
        <f>HYPERLINK("http://www.facebook.com/8062627951/posts/10151236529707952","Boosted Boards unveils its magical Stanford-engineered electric skateboard - http://tcrn.ch/PfgiNO")</f>
        <v>Boosted Boards unveils its magical Stanford-engineered electric skateboard - http://tcrn.ch/PfgiNO</v>
      </c>
      <c r="C1355" s="3">
        <v>41163.41207175926</v>
      </c>
      <c r="D1355" s="2">
        <v>210</v>
      </c>
      <c r="E1355" s="2">
        <v>22</v>
      </c>
      <c r="F1355" s="2" t="s">
        <v>7</v>
      </c>
      <c r="G1355" s="2" t="s">
        <v>8</v>
      </c>
    </row>
    <row r="1356" spans="1:7" ht="45" x14ac:dyDescent="0.25">
      <c r="A1356" s="4" t="str">
        <f>HYPERLINK("http://techcrunch.com/2012/09/11/kevin-rose-shares-his-experiences-with-the-media-calls-famous-business-week-piece-the-worst-cover-ever/","Kevin Rose Shares His Experiences With The Media, Calls Famous Business Week Piece The “Worst Cover.")</f>
        <v>Kevin Rose Shares His Experiences With The Media, Calls Famous Business Week Piece The “Worst Cover.</v>
      </c>
      <c r="B1356" s="4" t="str">
        <f>HYPERLINK("http://www.facebook.com/8062627951/posts/270695636376165","Yeah, we agree. That cover was pretty horrible.")</f>
        <v>Yeah, we agree. That cover was pretty horrible.</v>
      </c>
      <c r="C1356" s="3">
        <v>41163.394791666666</v>
      </c>
      <c r="D1356" s="2">
        <v>29</v>
      </c>
      <c r="E1356" s="2">
        <v>2</v>
      </c>
      <c r="F1356" s="2" t="s">
        <v>7</v>
      </c>
      <c r="G1356" s="2" t="s">
        <v>7</v>
      </c>
    </row>
    <row r="1357" spans="1:7" ht="30" x14ac:dyDescent="0.25">
      <c r="A1357" s="4" t="str">
        <f>HYPERLINK("http://www.facebook.com/photo.php?fbid=10151236454267952&amp;set=a.114456157951.118433.8062627951&amp;type=1&amp;relevant_count=1","[Photo]")</f>
        <v>[Photo]</v>
      </c>
      <c r="B1357" s="4" t="str">
        <f>HYPERLINK("http://www.facebook.com/8062627951/posts/10151236454297952","Watch Kevin Rose and Colleen Taylor on our live Disrupt feed right now! http://t.co/RjYq3Hi9")</f>
        <v>Watch Kevin Rose and Colleen Taylor on our live Disrupt feed right now! http://t.co/RjYq3Hi9</v>
      </c>
      <c r="C1357" s="3">
        <v>41163.369490740741</v>
      </c>
      <c r="D1357" s="2">
        <v>172</v>
      </c>
      <c r="E1357" s="2">
        <v>14</v>
      </c>
      <c r="F1357" s="2" t="s">
        <v>7</v>
      </c>
      <c r="G1357" s="2" t="s">
        <v>8</v>
      </c>
    </row>
    <row r="1358" spans="1:7" ht="45" x14ac:dyDescent="0.25">
      <c r="A1358" s="4" t="str">
        <f>HYPERLINK("http://www.facebook.com/photo.php?fbid=10151236438702952&amp;set=a.114456157951.118433.8062627951&amp;type=1&amp;relevant_count=1","[Photo]")</f>
        <v>[Photo]</v>
      </c>
      <c r="B1358" s="4" t="str">
        <f>HYPERLINK("http://www.facebook.com/8062627951/posts/10151236438727952","San Francisco Mayor Ed Lee talking to Michael Arrington says he visits a different tech company every tuesday http://tcrn.ch/Pa5CSu")</f>
        <v>San Francisco Mayor Ed Lee talking to Michael Arrington says he visits a different tech company every tuesday http://tcrn.ch/Pa5CSu</v>
      </c>
      <c r="C1358" s="3">
        <v>41163.361307870371</v>
      </c>
      <c r="D1358" s="2">
        <v>71</v>
      </c>
      <c r="E1358" s="2">
        <v>7</v>
      </c>
      <c r="F1358" s="2" t="s">
        <v>7</v>
      </c>
      <c r="G1358" s="2" t="s">
        <v>8</v>
      </c>
    </row>
    <row r="1359" spans="1:7" ht="30" x14ac:dyDescent="0.25">
      <c r="A1359" s="4" t="str">
        <f>HYPERLINK("http://techcrunch.com/2012/09/10/here-are-the-techcrunch-disrupt-sf-battlefield-startups-from-day-one/","Here Are The TechCrunch Disrupt SF Battlefield Startups From Day One")</f>
        <v>Here Are The TechCrunch Disrupt SF Battlefield Startups From Day One</v>
      </c>
      <c r="B1359" s="4" t="str">
        <f>HYPERLINK("http://www.facebook.com/8062627951/posts/426871460703747","Which startups were your favorite? Make sure to tune in tomorrow!")</f>
        <v>Which startups were your favorite? Make sure to tune in tomorrow!</v>
      </c>
      <c r="C1359" s="3">
        <v>41162.746157407404</v>
      </c>
      <c r="D1359" s="2">
        <v>40</v>
      </c>
      <c r="E1359" s="2">
        <v>4</v>
      </c>
      <c r="F1359" s="2" t="s">
        <v>8</v>
      </c>
      <c r="G1359" s="2" t="s">
        <v>7</v>
      </c>
    </row>
    <row r="1360" spans="1:7" ht="30" x14ac:dyDescent="0.25">
      <c r="A1360" s="4" t="str">
        <f>HYPERLINK("http://www.facebook.com/photo.php?fbid=10151235529757952&amp;set=a.114456157951.118433.8062627951&amp;type=1&amp;relevant_count=1","[Photo]")</f>
        <v>[Photo]</v>
      </c>
      <c r="B1360" s="4" t="str">
        <f>HYPERLINK("http://www.facebook.com/8062627951/posts/10151235529807952","Gyft is moving the plastic gift card industry to your iPhone - http://tcrn.ch/RzudU9")</f>
        <v>Gyft is moving the plastic gift card industry to your iPhone - http://tcrn.ch/RzudU9</v>
      </c>
      <c r="C1360" s="3">
        <v>41162.719259259262</v>
      </c>
      <c r="D1360" s="2">
        <v>97</v>
      </c>
      <c r="E1360" s="2">
        <v>9</v>
      </c>
      <c r="F1360" s="2" t="s">
        <v>7</v>
      </c>
      <c r="G1360" s="2" t="s">
        <v>8</v>
      </c>
    </row>
    <row r="1361" spans="1:7" ht="45" x14ac:dyDescent="0.25">
      <c r="A1361" s="4" t="str">
        <f>HYPERLINK("http://techcrunch.com/2012/09/10/godaddy-looks-like-its-back-up-company-yet-to-confirm-why-it-went-down/","GoDaddy Is Back Up, Thanks To Rival Verisign? Asana’s Moskovitz Calls It The Final Straw")</f>
        <v>GoDaddy Is Back Up, Thanks To Rival Verisign? Asana’s Moskovitz Calls It The Final Straw</v>
      </c>
      <c r="B1361" s="4" t="str">
        <f>HYPERLINK("http://www.facebook.com/8062627951/posts/278427058927816","GoDaddy is back up! But they have yet to confirm whether the outage was due to a distributed denial of service attack.")</f>
        <v>GoDaddy is back up! But they have yet to confirm whether the outage was due to a distributed denial of service attack.</v>
      </c>
      <c r="C1361" s="3">
        <v>41162.685023148151</v>
      </c>
      <c r="D1361" s="2">
        <v>104</v>
      </c>
      <c r="E1361" s="2">
        <v>22</v>
      </c>
      <c r="F1361" s="2" t="s">
        <v>7</v>
      </c>
      <c r="G1361" s="2" t="s">
        <v>7</v>
      </c>
    </row>
    <row r="1362" spans="1:7" ht="30" x14ac:dyDescent="0.25">
      <c r="A1362" s="4" t="str">
        <f>HYPERLINK("http://www.facebook.com/photo.php?fbid=10151235405992952&amp;set=a.114456157951.118433.8062627951&amp;type=1&amp;relevant_count=1","[Photo]")</f>
        <v>[Photo]</v>
      </c>
      <c r="B1362" s="4" t="str">
        <f>HYPERLINK("http://www.facebook.com/8062627951/posts/10151235406007952","Tovbot is a robotic iPod dock that can shake its groove thing - http://tcrn.ch/RDPkiz")</f>
        <v>Tovbot is a robotic iPod dock that can shake its groove thing - http://tcrn.ch/RDPkiz</v>
      </c>
      <c r="C1362" s="3">
        <v>41162.636006944442</v>
      </c>
      <c r="D1362" s="2">
        <v>59</v>
      </c>
      <c r="E1362" s="2">
        <v>9</v>
      </c>
      <c r="F1362" s="2" t="s">
        <v>7</v>
      </c>
      <c r="G1362" s="2" t="s">
        <v>8</v>
      </c>
    </row>
    <row r="1363" spans="1:7" ht="30" x14ac:dyDescent="0.25">
      <c r="A1363" s="4" t="str">
        <f>HYPERLINK("http://www.facebook.com/photo.php?fbid=10151235334567952&amp;set=a.114456157951.118433.8062627951&amp;type=1&amp;relevant_count=1","[Photo]")</f>
        <v>[Photo]</v>
      </c>
      <c r="B1363" s="4" t="str">
        <f>HYPERLINK("http://www.facebook.com/8062627951/posts/10151235334612952","Lit Motors will shake up the electric vehicle market with its two-wheeled, untippable C-1 - http://tcrn.ch/S4RzvW")</f>
        <v>Lit Motors will shake up the electric vehicle market with its two-wheeled, untippable C-1 - http://tcrn.ch/S4RzvW</v>
      </c>
      <c r="C1363" s="3">
        <v>41162.590937499997</v>
      </c>
      <c r="D1363" s="2">
        <v>402</v>
      </c>
      <c r="E1363" s="2">
        <v>37</v>
      </c>
      <c r="F1363" s="2" t="s">
        <v>7</v>
      </c>
      <c r="G1363" s="2" t="s">
        <v>8</v>
      </c>
    </row>
    <row r="1364" spans="1:7" ht="45" x14ac:dyDescent="0.25">
      <c r="A1364" s="4" t="str">
        <f>HYPERLINK("http://www.facebook.com/photo.php?fbid=10151235306292952&amp;set=a.114456157951.118433.8062627951&amp;type=1&amp;relevant_count=1","[Photo]")</f>
        <v>[Photo]</v>
      </c>
      <c r="B1364" s="4" t="str">
        <f>HYPERLINK("http://www.facebook.com/8062627951/posts/10151235306337952","Jessica Alba: running a startup is really hard, you have to be passionate about what you do - http://tcrn.ch/ROAiuL     How many of you agree?")</f>
        <v>Jessica Alba: running a startup is really hard, you have to be passionate about what you do - http://tcrn.ch/ROAiuL     How many of you agree?</v>
      </c>
      <c r="C1364" s="3">
        <v>41162.574837962966</v>
      </c>
      <c r="D1364" s="2">
        <v>1262</v>
      </c>
      <c r="E1364" s="2">
        <v>115</v>
      </c>
      <c r="F1364" s="2" t="s">
        <v>8</v>
      </c>
      <c r="G1364" s="2" t="s">
        <v>8</v>
      </c>
    </row>
    <row r="1365" spans="1:7" x14ac:dyDescent="0.25">
      <c r="A1365" s="4" t="str">
        <f>HYPERLINK("http://www.facebook.com/photo.php?fbid=10151235275072952&amp;set=a.10151134316772952.498619.8062627951&amp;type=1&amp;relevant_count=1","[Photo]")</f>
        <v>[Photo]</v>
      </c>
      <c r="B1365" s="4" t="str">
        <f>HYPERLINK("http://www.facebook.com/8062627951/posts/10151235275107952","Leena Rao, Brian Lee and Jessica Alba on stage. #TCDisrupt ")</f>
        <v xml:space="preserve">Leena Rao, Brian Lee and Jessica Alba on stage. #TCDisrupt </v>
      </c>
      <c r="C1365" s="3">
        <v>41162.554803240739</v>
      </c>
      <c r="D1365" s="2">
        <v>15</v>
      </c>
      <c r="E1365" s="2">
        <v>3</v>
      </c>
      <c r="F1365" s="2" t="s">
        <v>7</v>
      </c>
      <c r="G1365" s="2" t="s">
        <v>8</v>
      </c>
    </row>
    <row r="1366" spans="1:7" x14ac:dyDescent="0.25">
      <c r="A1366" s="4" t="str">
        <f>HYPERLINK("http://techcrunch.com/2012/09/10/watch-techcrunch-disrupt-sf-live/","Watch TechCrunch Disrupt SF Live!")</f>
        <v>Watch TechCrunch Disrupt SF Live!</v>
      </c>
      <c r="B1366" s="4" t="str">
        <f>HYPERLINK("http://www.facebook.com/8062627951/posts/135710019908397","We are back with Jessica Alba! Watch live now.")</f>
        <v>We are back with Jessica Alba! Watch live now.</v>
      </c>
      <c r="C1366" s="3">
        <v>41162.547013888892</v>
      </c>
      <c r="D1366" s="2">
        <v>17</v>
      </c>
      <c r="E1366" s="2">
        <v>1</v>
      </c>
      <c r="F1366" s="2" t="s">
        <v>7</v>
      </c>
      <c r="G1366" s="2" t="s">
        <v>7</v>
      </c>
    </row>
    <row r="1367" spans="1:7" x14ac:dyDescent="0.25">
      <c r="A1367" s="4" t="str">
        <f>HYPERLINK("http://www.facebook.com/photo.php?fbid=10151235211292952&amp;set=a.10151134316772952.498619.8062627951&amp;type=1&amp;relevant_count=1","[Photo]")</f>
        <v>[Photo]</v>
      </c>
      <c r="B1367" s="4" t="str">
        <f>HYPERLINK("http://www.facebook.com/8062627951/posts/10151235211337952","Full house in Startup Alley! #TCDisrupt ")</f>
        <v xml:space="preserve">Full house in Startup Alley! #TCDisrupt </v>
      </c>
      <c r="C1367" s="3">
        <v>41162.519861111112</v>
      </c>
      <c r="D1367" s="2">
        <v>95</v>
      </c>
      <c r="E1367" s="2">
        <v>5</v>
      </c>
      <c r="F1367" s="2" t="s">
        <v>7</v>
      </c>
      <c r="G1367" s="2" t="s">
        <v>8</v>
      </c>
    </row>
    <row r="1368" spans="1:7" ht="30" x14ac:dyDescent="0.25">
      <c r="A1368" s="4" t="str">
        <f>HYPERLINK("http://www.facebook.com/photo.php?fbid=10151235195967952&amp;set=a.114456157951.118433.8062627951&amp;type=1&amp;relevant_count=1","[Photo]")</f>
        <v>[Photo]</v>
      </c>
      <c r="B1368" s="4" t="str">
        <f>HYPERLINK("http://www.facebook.com/8062627951/posts/10151235196002952","Happy International Creepy Boston Dynamics Robotic Horse Day! http://tcrn.ch/OBuxx9")</f>
        <v>Happy International Creepy Boston Dynamics Robotic Horse Day! http://tcrn.ch/OBuxx9</v>
      </c>
      <c r="C1368" s="3">
        <v>41162.511238425926</v>
      </c>
      <c r="D1368" s="2">
        <v>180</v>
      </c>
      <c r="E1368" s="2">
        <v>12</v>
      </c>
      <c r="F1368" s="2" t="s">
        <v>7</v>
      </c>
      <c r="G1368" s="2" t="s">
        <v>8</v>
      </c>
    </row>
    <row r="1369" spans="1:7" ht="30" x14ac:dyDescent="0.25">
      <c r="A1369" s="4" t="str">
        <f>HYPERLINK("http://www.facebook.com/photo.php?fbid=10151235142317952&amp;set=a.114456157951.118433.8062627951&amp;type=1&amp;relevant_count=1","[Photo]")</f>
        <v>[Photo]</v>
      </c>
      <c r="B1369" s="4" t="str">
        <f>HYPERLINK("http://www.facebook.com/8062627951/posts/10151235142342952","Is the next iPhone already in patent trouble? http://tcrn.ch/Syiy9y")</f>
        <v>Is the next iPhone already in patent trouble? http://tcrn.ch/Syiy9y</v>
      </c>
      <c r="C1369" s="3">
        <v>41162.482349537036</v>
      </c>
      <c r="D1369" s="2">
        <v>227</v>
      </c>
      <c r="E1369" s="2">
        <v>65</v>
      </c>
      <c r="F1369" s="2" t="s">
        <v>8</v>
      </c>
      <c r="G1369" s="2" t="s">
        <v>8</v>
      </c>
    </row>
    <row r="1370" spans="1:7" ht="30" x14ac:dyDescent="0.25">
      <c r="A1370" s="4" t="str">
        <f>HYPERLINK("http://techcrunch.com/2012/09/10/godaddy-outage-takes-down-millions-of-sites/","GoDaddy Outage Takes Down Millions Of Sites")</f>
        <v>GoDaddy Outage Takes Down Millions Of Sites</v>
      </c>
      <c r="B1370" s="4" t="str">
        <f>HYPERLINK("http://www.facebook.com/8062627951/posts/202482079882749","Whoops.")</f>
        <v>Whoops.</v>
      </c>
      <c r="C1370" s="3">
        <v>41162.434328703705</v>
      </c>
      <c r="D1370" s="2">
        <v>211</v>
      </c>
      <c r="E1370" s="2">
        <v>97</v>
      </c>
      <c r="F1370" s="2" t="s">
        <v>7</v>
      </c>
      <c r="G1370" s="2" t="s">
        <v>7</v>
      </c>
    </row>
    <row r="1371" spans="1:7" x14ac:dyDescent="0.25">
      <c r="A1371" s="4" t="str">
        <f>HYPERLINK("http://techcrunch.com/2012/09/09/the-mobile-payments-fustercluck/","The Mobile Payments Fustercluck")</f>
        <v>The Mobile Payments Fustercluck</v>
      </c>
      <c r="B1371" s="4" t="str">
        <f>HYPERLINK("http://www.facebook.com/8062627951/posts/101922473296499","Fustercluck.")</f>
        <v>Fustercluck.</v>
      </c>
      <c r="C1371" s="3">
        <v>41162.428611111114</v>
      </c>
      <c r="D1371" s="2">
        <v>48</v>
      </c>
      <c r="E1371" s="2">
        <v>5</v>
      </c>
      <c r="F1371" s="2" t="s">
        <v>7</v>
      </c>
      <c r="G1371" s="2" t="s">
        <v>7</v>
      </c>
    </row>
    <row r="1372" spans="1:7" ht="45" x14ac:dyDescent="0.25">
      <c r="A1372" s="4" t="str">
        <f>HYPERLINK("http://techcrunch.com/2012/09/10/jack-dorsey-we-need-revolution-not-disruption/","Jack Dorsey: We Need Revolution, Not Disruption")</f>
        <v>Jack Dorsey: We Need Revolution, Not Disruption</v>
      </c>
      <c r="B1372" s="4" t="s">
        <v>79</v>
      </c>
      <c r="C1372" s="3">
        <v>41162.400358796294</v>
      </c>
      <c r="D1372" s="2">
        <v>95</v>
      </c>
      <c r="E1372" s="2">
        <v>11</v>
      </c>
      <c r="F1372" s="2" t="s">
        <v>7</v>
      </c>
      <c r="G1372" s="2" t="s">
        <v>7</v>
      </c>
    </row>
    <row r="1373" spans="1:7" ht="30" x14ac:dyDescent="0.25">
      <c r="A1373" s="4" t="str">
        <f>HYPERLINK("http://techcrunch.com/2012/09/09/do-you-need-to-be-a-jerk-to-be-a-successful-entrepreneur/","Do You Need To Be A Jerk To Be A Successful Entrepreneur?")</f>
        <v>Do You Need To Be A Jerk To Be A Successful Entrepreneur?</v>
      </c>
      <c r="B1373" s="4" t="str">
        <f>HYPERLINK("http://www.facebook.com/8062627951/posts/206881942775505","What do you think?")</f>
        <v>What do you think?</v>
      </c>
      <c r="C1373" s="3">
        <v>41162.374155092592</v>
      </c>
      <c r="D1373" s="2">
        <v>158</v>
      </c>
      <c r="E1373" s="2">
        <v>29</v>
      </c>
      <c r="F1373" s="2" t="s">
        <v>8</v>
      </c>
      <c r="G1373" s="2" t="s">
        <v>7</v>
      </c>
    </row>
    <row r="1374" spans="1:7" x14ac:dyDescent="0.25">
      <c r="A1374" s="4" t="str">
        <f>HYPERLINK("http://www.facebook.com/photo.php?fbid=10151234928802952&amp;set=a.10151134316772952.498619.8062627951&amp;type=1&amp;relevant_count=1","[Photo]")</f>
        <v>[Photo]</v>
      </c>
      <c r="B1374" s="4" t="str">
        <f>HYPERLINK("http://www.facebook.com/8062627951/posts/10151234928817952","Jack Dorsey is on stage. Watch live now! #TCDisrupt ")</f>
        <v xml:space="preserve">Jack Dorsey is on stage. Watch live now! #TCDisrupt </v>
      </c>
      <c r="C1374" s="3">
        <v>41162.366539351853</v>
      </c>
      <c r="D1374" s="2">
        <v>166</v>
      </c>
      <c r="E1374" s="2">
        <v>8</v>
      </c>
      <c r="F1374" s="2" t="s">
        <v>7</v>
      </c>
      <c r="G1374" s="2" t="s">
        <v>8</v>
      </c>
    </row>
    <row r="1375" spans="1:7" ht="30" x14ac:dyDescent="0.25">
      <c r="A1375" s="4" t="str">
        <f>HYPERLINK("http://www.facebook.com/photo.php?fbid=10151234916462952&amp;set=a.114456157951.118433.8062627951&amp;type=1&amp;relevant_count=1","[Photo]")</f>
        <v>[Photo]</v>
      </c>
      <c r="B1375" s="4" t="str">
        <f>HYPERLINK("http://www.facebook.com/8062627951/posts/10151234916517952","Ben Horowitz: Jack Dorsey is eating payments through software http://tcrn.ch/O8MWzO")</f>
        <v>Ben Horowitz: Jack Dorsey is eating payments through software http://tcrn.ch/O8MWzO</v>
      </c>
      <c r="C1375" s="3">
        <v>41162.359097222223</v>
      </c>
      <c r="D1375" s="2">
        <v>39</v>
      </c>
      <c r="E1375" s="2">
        <v>0</v>
      </c>
      <c r="F1375" s="2" t="s">
        <v>7</v>
      </c>
      <c r="G1375" s="2" t="s">
        <v>8</v>
      </c>
    </row>
    <row r="1376" spans="1:7" x14ac:dyDescent="0.25">
      <c r="A1376" s="4" t="str">
        <f>HYPERLINK("http://www.facebook.com/photo.php?fbid=10151234847892952&amp;set=a.114456157951.118433.8062627951&amp;type=1&amp;relevant_count=1","[Photo]")</f>
        <v>[Photo]</v>
      </c>
      <c r="B1376" s="4" t="str">
        <f>HYPERLINK("http://www.facebook.com/8062627951/posts/10151234847942952","Here we go... http://tcrn.ch/RDPkiz")</f>
        <v>Here we go... http://tcrn.ch/RDPkiz</v>
      </c>
      <c r="C1376" s="3">
        <v>41162.329722222225</v>
      </c>
      <c r="D1376" s="2">
        <v>142</v>
      </c>
      <c r="E1376" s="2">
        <v>5</v>
      </c>
      <c r="F1376" s="2" t="s">
        <v>7</v>
      </c>
      <c r="G1376" s="2" t="s">
        <v>8</v>
      </c>
    </row>
    <row r="1377" spans="1:7" ht="30" x14ac:dyDescent="0.25">
      <c r="A1377" s="4" t="str">
        <f>HYPERLINK("http://techcrunch.com/2012/09/10/watch-techcrunch-disrupt-sf-live/","Watch TechCrunch Disrupt SF Live! | TechCrunch")</f>
        <v>Watch TechCrunch Disrupt SF Live! | TechCrunch</v>
      </c>
      <c r="B1377" s="4" t="str">
        <f>HYPERLINK("http://www.facebook.com/8062627951/posts/365767590165901","And we're off!")</f>
        <v>And we're off!</v>
      </c>
      <c r="C1377" s="3">
        <v>41162.328101851854</v>
      </c>
      <c r="D1377" s="2">
        <v>28</v>
      </c>
      <c r="E1377" s="2">
        <v>1</v>
      </c>
      <c r="F1377" s="2" t="s">
        <v>7</v>
      </c>
      <c r="G1377" s="2" t="s">
        <v>7</v>
      </c>
    </row>
    <row r="1378" spans="1:7" ht="45" x14ac:dyDescent="0.25">
      <c r="A1378" s="4" t="str">
        <f>HYPERLINK("http://www.facebook.com/photo.php?fbid=10151233911327952&amp;set=a.114456157951.118433.8062627951&amp;type=1&amp;relevant_count=1","[Photo]")</f>
        <v>[Photo]</v>
      </c>
      <c r="B1378" s="4" t="str">
        <f>HYPERLINK("http://www.facebook.com/8062627951/posts/10151233911352952","Meet the Disrupt SF 2012 Hackathon winners! Livebolt takes grand prize, Auctopus and HeatData are runners up! #hackdisrupt http://tcrn.ch/Okcqjy")</f>
        <v>Meet the Disrupt SF 2012 Hackathon winners! Livebolt takes grand prize, Auctopus and HeatData are runners up! #hackdisrupt http://tcrn.ch/Okcqjy</v>
      </c>
      <c r="C1378" s="3">
        <v>41161.622418981482</v>
      </c>
      <c r="D1378" s="2">
        <v>209</v>
      </c>
      <c r="E1378" s="2">
        <v>16</v>
      </c>
      <c r="F1378" s="2" t="s">
        <v>7</v>
      </c>
      <c r="G1378" s="2" t="s">
        <v>8</v>
      </c>
    </row>
    <row r="1379" spans="1:7" x14ac:dyDescent="0.25">
      <c r="A1379" s="4" t="str">
        <f>HYPERLINK("http://www.facebook.com/photo.php?fbid=10151233848772952&amp;set=a.10151134316772952.498619.8062627951&amp;type=1&amp;relevant_count=1","[Photo]")</f>
        <v>[Photo]</v>
      </c>
      <c r="B1379" s="4" t="str">
        <f>HYPERLINK("http://www.facebook.com/8062627951/posts/10151233848887952","#hackdisrupt ")</f>
        <v xml:space="preserve">#hackdisrupt </v>
      </c>
      <c r="C1379" s="3">
        <v>41161.582233796296</v>
      </c>
      <c r="D1379" s="2">
        <v>51</v>
      </c>
      <c r="E1379" s="2">
        <v>1</v>
      </c>
      <c r="F1379" s="2" t="s">
        <v>7</v>
      </c>
      <c r="G1379" s="2" t="s">
        <v>8</v>
      </c>
    </row>
    <row r="1380" spans="1:7" ht="45" x14ac:dyDescent="0.25">
      <c r="A1380" s="4" t="str">
        <f>HYPERLINK("http://techcrunch.com/2012/09/09/amazon-doesnt-want-to-be-more-like-apple-it-wants-to-be-more-like-amazon-com/","Amazon Doesn’t Want To Be More Like Apple, It Wants To Be More Like Amazon.com")</f>
        <v>Amazon Doesn’t Want To Be More Like Apple, It Wants To Be More Like Amazon.com</v>
      </c>
      <c r="B1380" s="4" t="str">
        <f>HYPERLINK("http://www.facebook.com/8062627951/posts/225160584276914","Amazon is serious about hardware, but on their own terms.")</f>
        <v>Amazon is serious about hardware, but on their own terms.</v>
      </c>
      <c r="C1380" s="3">
        <v>41161.568530092591</v>
      </c>
      <c r="D1380" s="2">
        <v>112</v>
      </c>
      <c r="E1380" s="2">
        <v>5</v>
      </c>
      <c r="F1380" s="2" t="s">
        <v>7</v>
      </c>
      <c r="G1380" s="2" t="s">
        <v>7</v>
      </c>
    </row>
    <row r="1381" spans="1:7" x14ac:dyDescent="0.25">
      <c r="A1381" s="4" t="str">
        <f>HYPERLINK("http://www.facebook.com/photo.php?fbid=10151233739282952&amp;set=a.10151134316772952.498619.8062627951&amp;type=1&amp;relevant_count=1","[Photo]")</f>
        <v>[Photo]</v>
      </c>
      <c r="B1381" s="4" t="str">
        <f>HYPERLINK("http://www.facebook.com/8062627951/posts/10151233739322952","Hackathons are rough. #hackdisrupt ")</f>
        <v xml:space="preserve">Hackathons are rough. #hackdisrupt </v>
      </c>
      <c r="C1381" s="3">
        <v>41161.523252314815</v>
      </c>
      <c r="D1381" s="2">
        <v>44</v>
      </c>
      <c r="E1381" s="2">
        <v>3</v>
      </c>
      <c r="F1381" s="2" t="s">
        <v>7</v>
      </c>
      <c r="G1381" s="2" t="s">
        <v>8</v>
      </c>
    </row>
    <row r="1382" spans="1:7" ht="30" x14ac:dyDescent="0.25">
      <c r="A1382" s="4" t="str">
        <f>HYPERLINK("http://www.facebook.com/photo.php?fbid=10151233719432952&amp;set=a.114456157951.118433.8062627951&amp;type=1&amp;relevant_count=1","[Photo]")</f>
        <v>[Photo]</v>
      </c>
      <c r="B1382" s="4" t="str">
        <f>HYPERLINK("http://www.facebook.com/8062627951/posts/10151233719462952","The future of Amazon: ambitious, diverse, and expansive - http://tcrn.ch/S0sOAU")</f>
        <v>The future of Amazon: ambitious, diverse, and expansive - http://tcrn.ch/S0sOAU</v>
      </c>
      <c r="C1382" s="3">
        <v>41161.513877314814</v>
      </c>
      <c r="D1382" s="2">
        <v>439</v>
      </c>
      <c r="E1382" s="2">
        <v>13</v>
      </c>
      <c r="F1382" s="2" t="s">
        <v>7</v>
      </c>
      <c r="G1382" s="2" t="s">
        <v>8</v>
      </c>
    </row>
    <row r="1383" spans="1:7" ht="30" x14ac:dyDescent="0.25">
      <c r="A1383" s="4" t="str">
        <f>HYPERLINK("http://www.facebook.com/photo.php?fbid=10151233640057952&amp;set=a.114456157951.118433.8062627951&amp;type=1&amp;relevant_count=1","[Photo]")</f>
        <v>[Photo]</v>
      </c>
      <c r="B1383" s="4" t="str">
        <f>HYPERLINK("http://www.facebook.com/8062627951/posts/10151233640092952","Meet the Disrupt SF 2012 Hackathon hackers! http://tcrn.ch/O43EjV")</f>
        <v>Meet the Disrupt SF 2012 Hackathon hackers! http://tcrn.ch/O43EjV</v>
      </c>
      <c r="C1383" s="3">
        <v>41161.47084490741</v>
      </c>
      <c r="D1383" s="2">
        <v>233</v>
      </c>
      <c r="E1383" s="2">
        <v>26</v>
      </c>
      <c r="F1383" s="2" t="s">
        <v>7</v>
      </c>
      <c r="G1383" s="2" t="s">
        <v>8</v>
      </c>
    </row>
    <row r="1384" spans="1:7" ht="30" x14ac:dyDescent="0.25">
      <c r="A1384" s="4" t="str">
        <f>HYPERLINK("http://www.facebook.com/photo.php?fbid=10151233557222952&amp;set=a.114456157951.118433.8062627951&amp;type=1&amp;relevant_count=1","[Photo]")</f>
        <v>[Photo]</v>
      </c>
      <c r="B1384" s="4" t="str">
        <f>HYPERLINK("http://www.facebook.com/8062627951/posts/10151233557287952","Live from the TechCrunch Disrupt SF Hackathon Finals! http://tcrn.ch/NUiP4X")</f>
        <v>Live from the TechCrunch Disrupt SF Hackathon Finals! http://tcrn.ch/NUiP4X</v>
      </c>
      <c r="C1384" s="3">
        <v>41161.423854166664</v>
      </c>
      <c r="D1384" s="2">
        <v>68</v>
      </c>
      <c r="E1384" s="2">
        <v>7</v>
      </c>
      <c r="F1384" s="2" t="s">
        <v>7</v>
      </c>
      <c r="G1384" s="2" t="s">
        <v>8</v>
      </c>
    </row>
    <row r="1385" spans="1:7" x14ac:dyDescent="0.25">
      <c r="A1385" s="4" t="str">
        <f>HYPERLINK("http://blog.sonar.me/post/31070612861/how-to-rock-techcrunch-disrupt","How To Rock TechCrunch Disrupt")</f>
        <v>How To Rock TechCrunch Disrupt</v>
      </c>
      <c r="B1385" s="4" t="str">
        <f>HYPERLINK("http://www.facebook.com/8062627951/posts/386631378073778","Great read!!!")</f>
        <v>Great read!!!</v>
      </c>
      <c r="C1385" s="3">
        <v>41160.888738425929</v>
      </c>
      <c r="D1385" s="2">
        <v>44</v>
      </c>
      <c r="E1385" s="2">
        <v>3</v>
      </c>
      <c r="F1385" s="2" t="s">
        <v>7</v>
      </c>
      <c r="G1385" s="2" t="s">
        <v>7</v>
      </c>
    </row>
    <row r="1386" spans="1:7" ht="30" x14ac:dyDescent="0.25">
      <c r="A1386" s="4" t="str">
        <f>HYPERLINK("http://techcrunch.com/2012/09/08/hacker-uses-a-kinect-to-help-his-mom-email-after-a-stroke/","Hacker Uses A Kinect To Help His Mom Email After A Stroke")</f>
        <v>Hacker Uses A Kinect To Help His Mom Email After A Stroke</v>
      </c>
      <c r="B1386" s="4" t="str">
        <f>HYPERLINK("http://www.facebook.com/8062627951/posts/152742164865314","An amazing story.")</f>
        <v>An amazing story.</v>
      </c>
      <c r="C1386" s="3">
        <v>41160.633877314816</v>
      </c>
      <c r="D1386" s="2">
        <v>378</v>
      </c>
      <c r="E1386" s="2">
        <v>3</v>
      </c>
      <c r="F1386" s="2" t="s">
        <v>7</v>
      </c>
      <c r="G1386" s="2" t="s">
        <v>7</v>
      </c>
    </row>
    <row r="1387" spans="1:7" ht="30" x14ac:dyDescent="0.25">
      <c r="A1387" s="4" t="str">
        <f>HYPERLINK("http://techcrunch.com/2012/09/08/the-disrupt-sf-2012-hackathon-is-on-like-donkey-kong/","The Disrupt SF 2012 Hackathon Is On Like Donkey Kong")</f>
        <v>The Disrupt SF 2012 Hackathon Is On Like Donkey Kong</v>
      </c>
      <c r="B1387" s="4" t="str">
        <f>HYPERLINK("http://www.facebook.com/8062627951/posts/472737572757343","The Hackathon is officially on like Donkey Kong. #hackdisrupt")</f>
        <v>The Hackathon is officially on like Donkey Kong. #hackdisrupt</v>
      </c>
      <c r="C1387" s="3">
        <v>41160.621111111112</v>
      </c>
      <c r="D1387" s="2">
        <v>45</v>
      </c>
      <c r="E1387" s="2">
        <v>1</v>
      </c>
      <c r="F1387" s="2" t="s">
        <v>7</v>
      </c>
      <c r="G1387" s="2" t="s">
        <v>7</v>
      </c>
    </row>
    <row r="1388" spans="1:7" ht="30" x14ac:dyDescent="0.25">
      <c r="A1388" s="4" t="str">
        <f>HYPERLINK("http://techcrunch.tumblr.com/post/31152584770/one-of-the-best-t-shirts-weve-seen-so-far-at-the","One of the best t-shirts we’ve seen so far at the...")</f>
        <v>One of the best t-shirts we’ve seen so far at the...</v>
      </c>
      <c r="B1388" s="4" t="str">
        <f>HYPERLINK("http://www.facebook.com/8062627951/posts/463539663680050","One of the best t-shirts we've seen so far at the Hackathon. #YOLO")</f>
        <v>One of the best t-shirts we've seen so far at the Hackathon. #YOLO</v>
      </c>
      <c r="C1388" s="3">
        <v>41160.602905092594</v>
      </c>
      <c r="D1388" s="2">
        <v>298</v>
      </c>
      <c r="E1388" s="2">
        <v>24</v>
      </c>
      <c r="F1388" s="2" t="s">
        <v>7</v>
      </c>
      <c r="G1388" s="2" t="s">
        <v>7</v>
      </c>
    </row>
    <row r="1389" spans="1:7" ht="30" x14ac:dyDescent="0.25">
      <c r="A1389" s="4" t="str">
        <f>HYPERLINK("http://www.facebook.com/photo.php?fbid=10151232351932952&amp;set=a.114456157951.118433.8062627951&amp;type=1&amp;relevant_count=1","[Photo]")</f>
        <v>[Photo]</v>
      </c>
      <c r="B1389" s="4" t="str">
        <f>HYPERLINK("http://www.facebook.com/8062627951/posts/10151232351962952","Spotify will launch a browser-based version http://tcrn.ch/O35vW0")</f>
        <v>Spotify will launch a browser-based version http://tcrn.ch/O35vW0</v>
      </c>
      <c r="C1389" s="3">
        <v>41160.585173611114</v>
      </c>
      <c r="D1389" s="2">
        <v>630</v>
      </c>
      <c r="E1389" s="2">
        <v>39</v>
      </c>
      <c r="F1389" s="2" t="s">
        <v>7</v>
      </c>
      <c r="G1389" s="2" t="s">
        <v>8</v>
      </c>
    </row>
    <row r="1390" spans="1:7" ht="30" x14ac:dyDescent="0.25">
      <c r="A1390" s="4" t="str">
        <f>HYPERLINK("http://www.facebook.com/photo.php?fbid=10151232223182952&amp;set=a.114456157951.118433.8062627951&amp;type=1&amp;relevant_count=1","[Photo]")</f>
        <v>[Photo]</v>
      </c>
      <c r="B1390" s="4" t="str">
        <f>HYPERLINK("http://www.facebook.com/8062627951/posts/10151232223207952","Instagram for video—massive market opportunity, yes! Done right, no! http://tcrn.ch/P4jiOX")</f>
        <v>Instagram for video—massive market opportunity, yes! Done right, no! http://tcrn.ch/P4jiOX</v>
      </c>
      <c r="C1390" s="3">
        <v>41160.513310185182</v>
      </c>
      <c r="D1390" s="2">
        <v>105</v>
      </c>
      <c r="E1390" s="2">
        <v>8</v>
      </c>
      <c r="F1390" s="2" t="s">
        <v>7</v>
      </c>
      <c r="G1390" s="2" t="s">
        <v>8</v>
      </c>
    </row>
    <row r="1391" spans="1:7" x14ac:dyDescent="0.25">
      <c r="A1391" s="4" t="str">
        <f>HYPERLINK("http://www.facebook.com/photo.php?fbid=10151232189367952&amp;set=a.10151134316772952.498619.8062627951&amp;type=1&amp;relevant_count=1","[Photo]")</f>
        <v>[Photo]</v>
      </c>
      <c r="B1391" s="4" t="str">
        <f>HYPERLINK("http://www.facebook.com/8062627951/posts/10151232189407952","The doors are open and the Hackathon has begun! ")</f>
        <v xml:space="preserve">The doors are open and the Hackathon has begun! </v>
      </c>
      <c r="C1391" s="3">
        <v>41160.493750000001</v>
      </c>
      <c r="D1391" s="2">
        <v>193</v>
      </c>
      <c r="E1391" s="2">
        <v>8</v>
      </c>
      <c r="F1391" s="2" t="s">
        <v>7</v>
      </c>
      <c r="G1391" s="2" t="s">
        <v>8</v>
      </c>
    </row>
    <row r="1392" spans="1:7" ht="30" x14ac:dyDescent="0.25">
      <c r="A1392" s="4" t="str">
        <f>HYPERLINK("http://www.facebook.com/photo.php?fbid=10151232063127952&amp;set=a.114456157951.118433.8062627951&amp;type=1&amp;relevant_count=1","[Photo]")</f>
        <v>[Photo]</v>
      </c>
      <c r="B1392" s="4" t="str">
        <f>HYPERLINK("http://www.facebook.com/8062627951/posts/10151232063157952","Preparation for Apple's iPhone event is underway! http://tcrn.ch/NhSzA6")</f>
        <v>Preparation for Apple's iPhone event is underway! http://tcrn.ch/NhSzA6</v>
      </c>
      <c r="C1392" s="3">
        <v>41160.424629629626</v>
      </c>
      <c r="D1392" s="2">
        <v>2268</v>
      </c>
      <c r="E1392" s="2">
        <v>109</v>
      </c>
      <c r="F1392" s="2" t="s">
        <v>7</v>
      </c>
      <c r="G1392" s="2" t="s">
        <v>8</v>
      </c>
    </row>
    <row r="1393" spans="1:7" ht="45" x14ac:dyDescent="0.25">
      <c r="A1393" s="4" t="str">
        <f>HYPERLINK("http://techcrunch.com/2012/09/08/sock-puppet-spectacular-are-online-reviews-completely-worthless-or-only-mostly-worthless/","Sock Puppet Spectacular: Are Online Reviews Completely Worthless, Or Only Mostly Worthless?")</f>
        <v>Sock Puppet Spectacular: Are Online Reviews Completely Worthless, Or Only Mostly Worthless?</v>
      </c>
      <c r="B1393" s="4" t="str">
        <f>HYPERLINK("http://www.facebook.com/8062627951/posts/218875184908652","How many of you read online reviews?")</f>
        <v>How many of you read online reviews?</v>
      </c>
      <c r="C1393" s="3">
        <v>41160.403263888889</v>
      </c>
      <c r="D1393" s="2">
        <v>39</v>
      </c>
      <c r="E1393" s="2">
        <v>3</v>
      </c>
      <c r="F1393" s="2" t="s">
        <v>8</v>
      </c>
      <c r="G1393" s="2" t="s">
        <v>7</v>
      </c>
    </row>
    <row r="1394" spans="1:7" ht="30" x14ac:dyDescent="0.25">
      <c r="A1394" s="4" t="str">
        <f>HYPERLINK("http://www.facebook.com/photo.php?fbid=10151231107117952&amp;set=a.114456157951.118433.8062627951&amp;type=1&amp;relevant_count=1","[Photo]")</f>
        <v>[Photo]</v>
      </c>
      <c r="B1394" s="4" t="str">
        <f>HYPERLINK("http://www.facebook.com/8062627951/posts/10151231107137952","Getting ready for the Hackathon and Disrupt SF. http://instagram.com/p/PStAjzuxz2/")</f>
        <v>Getting ready for the Hackathon and Disrupt SF. http://instagram.com/p/PStAjzuxz2/</v>
      </c>
      <c r="C1394" s="3">
        <v>41159.664675925924</v>
      </c>
      <c r="D1394" s="2">
        <v>309</v>
      </c>
      <c r="E1394" s="2">
        <v>29</v>
      </c>
      <c r="F1394" s="2" t="s">
        <v>7</v>
      </c>
      <c r="G1394" s="2" t="s">
        <v>8</v>
      </c>
    </row>
    <row r="1395" spans="1:7" ht="30" x14ac:dyDescent="0.25">
      <c r="A1395" s="4" t="str">
        <f>HYPERLINK("http://www.facebook.com/photo.php?fbid=10151230984442952&amp;set=a.114456157951.118433.8062627951&amp;type=1&amp;relevant_count=1","[Photo]")</f>
        <v>[Photo]</v>
      </c>
      <c r="B1395" s="4" t="str">
        <f>HYPERLINK("http://www.facebook.com/8062627951/posts/10151230984482952","The RAZR M, Motorola’s clever answer to the $99 iPhone 4S - http://tcrn.ch/NZXOA8")</f>
        <v>The RAZR M, Motorola’s clever answer to the $99 iPhone 4S - http://tcrn.ch/NZXOA8</v>
      </c>
      <c r="C1395" s="3">
        <v>41159.580509259256</v>
      </c>
      <c r="D1395" s="2">
        <v>256</v>
      </c>
      <c r="E1395" s="2">
        <v>74</v>
      </c>
      <c r="F1395" s="2" t="s">
        <v>7</v>
      </c>
      <c r="G1395" s="2" t="s">
        <v>8</v>
      </c>
    </row>
    <row r="1396" spans="1:7" ht="30" x14ac:dyDescent="0.25">
      <c r="A1396" s="4" t="str">
        <f>HYPERLINK("http://www.facebook.com/photo.php?fbid=10151230886187952&amp;set=a.114456157951.118433.8062627951&amp;type=1&amp;relevant_count=1","[Photo]")</f>
        <v>[Photo]</v>
      </c>
      <c r="B1396" s="4" t="str">
        <f>HYPERLINK("http://www.facebook.com/8062627951/posts/10151230886227952","Why you should come to the Disrupt SF Hackathon - http://tcrn.ch/RUfxKd")</f>
        <v>Why you should come to the Disrupt SF Hackathon - http://tcrn.ch/RUfxKd</v>
      </c>
      <c r="C1396" s="3">
        <v>41159.512060185189</v>
      </c>
      <c r="D1396" s="2">
        <v>339</v>
      </c>
      <c r="E1396" s="2">
        <v>18</v>
      </c>
      <c r="F1396" s="2" t="s">
        <v>7</v>
      </c>
      <c r="G1396" s="2" t="s">
        <v>8</v>
      </c>
    </row>
    <row r="1397" spans="1:7" ht="30" x14ac:dyDescent="0.25">
      <c r="A1397" s="4" t="str">
        <f>HYPERLINK("http://www.facebook.com/photo.php?fbid=10151230874657952&amp;set=a.114456157951.118433.8062627951&amp;type=1&amp;relevant_count=1","[Photo]")</f>
        <v>[Photo]</v>
      </c>
      <c r="B1397" s="4" t="str">
        <f>HYPERLINK("http://www.facebook.com/8062627951/posts/10151230874707952","Give the gift of startups: Just Because lets you give freebies to friends from the startups you love - http://tcrn.ch/RjWs9a")</f>
        <v>Give the gift of startups: Just Because lets you give freebies to friends from the startups you love - http://tcrn.ch/RjWs9a</v>
      </c>
      <c r="C1397" s="3">
        <v>41159.504548611112</v>
      </c>
      <c r="D1397" s="2">
        <v>32</v>
      </c>
      <c r="E1397" s="2">
        <v>2</v>
      </c>
      <c r="F1397" s="2" t="s">
        <v>7</v>
      </c>
      <c r="G1397" s="2" t="s">
        <v>8</v>
      </c>
    </row>
    <row r="1398" spans="1:7" ht="30" x14ac:dyDescent="0.25">
      <c r="A1398" s="4" t="str">
        <f>HYPERLINK("http://techcrunch.com/2012/09/07/siri-why-are-you-having-trouble-connecting/","Siri, Why Are You Having Trouble Connecting? ")</f>
        <v xml:space="preserve">Siri, Why Are You Having Trouble Connecting? </v>
      </c>
      <c r="B1398" s="4" t="str">
        <f>HYPERLINK("http://www.facebook.com/8062627951/posts/335413809888290","Is Siri down for you?")</f>
        <v>Is Siri down for you?</v>
      </c>
      <c r="C1398" s="3">
        <v>41159.475347222222</v>
      </c>
      <c r="D1398" s="2">
        <v>76</v>
      </c>
      <c r="E1398" s="2">
        <v>39</v>
      </c>
      <c r="F1398" s="2" t="s">
        <v>8</v>
      </c>
      <c r="G1398" s="2" t="s">
        <v>7</v>
      </c>
    </row>
    <row r="1399" spans="1:7" ht="45" x14ac:dyDescent="0.25">
      <c r="A1399" s="4" t="str">
        <f>HYPERLINK("http://www.facebook.com/photo.php?fbid=10151230787307952&amp;set=a.10151134316772952.498619.8062627951&amp;type=1&amp;relevant_count=1","[Photo]")</f>
        <v>[Photo]</v>
      </c>
      <c r="B1399" s="4" t="s">
        <v>80</v>
      </c>
      <c r="C1399" s="3">
        <v>41159.44730324074</v>
      </c>
      <c r="D1399" s="2">
        <v>29</v>
      </c>
      <c r="E1399" s="2">
        <v>3</v>
      </c>
      <c r="F1399" s="2" t="s">
        <v>7</v>
      </c>
      <c r="G1399" s="2" t="s">
        <v>8</v>
      </c>
    </row>
    <row r="1400" spans="1:7" ht="45" x14ac:dyDescent="0.25">
      <c r="A1400" s="4" t="str">
        <f>HYPERLINK("http://www.facebook.com/photo.php?fbid=10151230723952952&amp;set=a.114456157951.118433.8062627951&amp;type=1&amp;relevant_count=1","[Photo]")</f>
        <v>[Photo]</v>
      </c>
      <c r="B1400" s="4" t="str">
        <f>HYPERLINK("http://www.facebook.com/8062627951/posts/10151230724007952","For all of you music lovers: Timbre iPhone app offers stunning, simple local live music discovery - http://tcrn.ch/P83FaR")</f>
        <v>For all of you music lovers: Timbre iPhone app offers stunning, simple local live music discovery - http://tcrn.ch/P83FaR</v>
      </c>
      <c r="C1400" s="3">
        <v>41159.411481481482</v>
      </c>
      <c r="D1400" s="2">
        <v>123</v>
      </c>
      <c r="E1400" s="2">
        <v>10</v>
      </c>
      <c r="F1400" s="2" t="s">
        <v>7</v>
      </c>
      <c r="G1400" s="2" t="s">
        <v>8</v>
      </c>
    </row>
    <row r="1401" spans="1:7" ht="60" x14ac:dyDescent="0.25">
      <c r="A1401" s="4" t="str">
        <f>HYPERLINK("http://techcrunch.com/2012/09/07/how-romneys-digital-director-zac-moffatt-got-silicon-valley-brightest-minds-to-work-for-the-campaign/","Underdog No More: How Romney’s Digital Director, Zac Moffatt, Got Silicon Valley To Power The Campai")</f>
        <v>Underdog No More: How Romney’s Digital Director, Zac Moffatt, Got Silicon Valley To Power The Campai</v>
      </c>
      <c r="B1401" s="4" t="s">
        <v>81</v>
      </c>
      <c r="C1401" s="3">
        <v>41159.385625000003</v>
      </c>
      <c r="D1401" s="2">
        <v>48</v>
      </c>
      <c r="E1401" s="2">
        <v>4</v>
      </c>
      <c r="F1401" s="2" t="s">
        <v>7</v>
      </c>
      <c r="G1401" s="2" t="s">
        <v>7</v>
      </c>
    </row>
    <row r="1402" spans="1:7" ht="30" x14ac:dyDescent="0.25">
      <c r="A1402" s="4" t="str">
        <f>HYPERLINK("http://www.facebook.com/photo.php?fbid=10151230646282952&amp;set=a.114456157951.118433.8062627951&amp;type=1&amp;relevant_count=1","[Photo]")</f>
        <v>[Photo]</v>
      </c>
      <c r="B1402" s="4" t="str">
        <f>HYPERLINK("http://www.facebook.com/8062627951/posts/10151230646317952","Google brings 45 degree imagery to 30 new cities in Google Maps - http://tcrn.ch/OtfrtB")</f>
        <v>Google brings 45 degree imagery to 30 new cities in Google Maps - http://tcrn.ch/OtfrtB</v>
      </c>
      <c r="C1402" s="3">
        <v>41159.369456018518</v>
      </c>
      <c r="D1402" s="2">
        <v>214</v>
      </c>
      <c r="E1402" s="2">
        <v>9</v>
      </c>
      <c r="F1402" s="2" t="s">
        <v>7</v>
      </c>
      <c r="G1402" s="2" t="s">
        <v>8</v>
      </c>
    </row>
    <row r="1403" spans="1:7" ht="45" x14ac:dyDescent="0.25">
      <c r="A1403" s="4" t="str">
        <f>HYPERLINK("http://techcrunch.com/2012/09/07/everything-you-always-wanted-to-know-about-html5-but-were-afraid-to-ask-slides/","Everything You Always Wanted To Know About HTML5* (*But Were Afraid To Ask) [Slides]")</f>
        <v>Everything You Always Wanted To Know About HTML5* (*But Were Afraid To Ask) [Slides]</v>
      </c>
      <c r="B1403" s="4" t="str">
        <f>HYPERLINK("http://www.facebook.com/8062627951/posts/239674986156001","Drumroll...")</f>
        <v>Drumroll...</v>
      </c>
      <c r="C1403" s="3">
        <v>41159.348958333336</v>
      </c>
      <c r="D1403" s="2">
        <v>238</v>
      </c>
      <c r="E1403" s="2">
        <v>9</v>
      </c>
      <c r="F1403" s="2" t="s">
        <v>7</v>
      </c>
      <c r="G1403" s="2" t="s">
        <v>7</v>
      </c>
    </row>
    <row r="1404" spans="1:7" ht="45" x14ac:dyDescent="0.25">
      <c r="A1404" s="4" t="str">
        <f>HYPERLINK("http://techcrunch.com/2012/09/06/barack-obamas-speech-52757-tweets-per-minute-9m-total-democratic-convention-tweets/","Barack Obama’s Record-Setting Speech: 52,757 Tweets Per Minute, 9M Total DNC Tweets")</f>
        <v>Barack Obama’s Record-Setting Speech: 52,757 Tweets Per Minute, 9M Total DNC Tweets</v>
      </c>
      <c r="B1404" s="4" t="str">
        <f>HYPERLINK("http://www.facebook.com/8062627951/posts/339174329509904","Were you one of the tweeters?")</f>
        <v>Were you one of the tweeters?</v>
      </c>
      <c r="C1404" s="3">
        <v>41158.967048611114</v>
      </c>
      <c r="D1404" s="2">
        <v>126</v>
      </c>
      <c r="E1404" s="2">
        <v>28</v>
      </c>
      <c r="F1404" s="2" t="s">
        <v>8</v>
      </c>
      <c r="G1404" s="2" t="s">
        <v>7</v>
      </c>
    </row>
    <row r="1405" spans="1:7" ht="45" x14ac:dyDescent="0.25">
      <c r="A1405" s="4" t="str">
        <f>HYPERLINK("http://techcrunch.com/2012/09/06/hackathon-hardware-hackers-heres-one-more-chance-to-hack-on-a-raspberry-pi-this-weekened/","Hackathon Hardware Hackers: Here’s One More Chance To Hack On A Raspberry Pi This Weekened")</f>
        <v>Hackathon Hardware Hackers: Here’s One More Chance To Hack On A Raspberry Pi This Weekened</v>
      </c>
      <c r="B1405" s="4" t="str">
        <f>HYPERLINK("http://www.facebook.com/8062627951/posts/495376187139091","Hey hackers, check this out.")</f>
        <v>Hey hackers, check this out.</v>
      </c>
      <c r="C1405" s="3">
        <v>41158.745509259257</v>
      </c>
      <c r="D1405" s="2">
        <v>33</v>
      </c>
      <c r="E1405" s="2">
        <v>2</v>
      </c>
      <c r="F1405" s="2" t="s">
        <v>7</v>
      </c>
      <c r="G1405" s="2" t="s">
        <v>7</v>
      </c>
    </row>
    <row r="1406" spans="1:7" ht="45" x14ac:dyDescent="0.25">
      <c r="A1406" s="4" t="str">
        <f>HYPERLINK("http://www.facebook.com/photo.php?fbid=10151229753622952&amp;set=a.114456157951.118433.8062627951&amp;type=1&amp;relevant_count=1","[Photo]")</f>
        <v>[Photo]</v>
      </c>
      <c r="B1406" s="4" t="str">
        <f>HYPERLINK("http://www.facebook.com/8062627951/posts/10151229753652952","Quora, DropBox &amp; others made $30M in job offers to engineers in first 2 weeks of DeveloperAuction - http://tcrn.ch/So98xo")</f>
        <v>Quora, DropBox &amp; others made $30M in job offers to engineers in first 2 weeks of DeveloperAuction - http://tcrn.ch/So98xo</v>
      </c>
      <c r="C1406" s="3">
        <v>41158.648865740739</v>
      </c>
      <c r="D1406" s="2">
        <v>321</v>
      </c>
      <c r="E1406" s="2">
        <v>16</v>
      </c>
      <c r="F1406" s="2" t="s">
        <v>7</v>
      </c>
      <c r="G1406" s="2" t="s">
        <v>8</v>
      </c>
    </row>
    <row r="1407" spans="1:7" ht="45" x14ac:dyDescent="0.25">
      <c r="A1407" s="4" t="str">
        <f>HYPERLINK("http://www.facebook.com/photo.php?fbid=10151229551247952&amp;set=a.114456157951.118433.8062627951&amp;type=1&amp;relevant_count=1","[Photo]")</f>
        <v>[Photo]</v>
      </c>
      <c r="B1407" s="4" t="str">
        <f>HYPERLINK("http://www.facebook.com/8062627951/posts/10151229551292952","Facebook + Instagram is official, so now what? Founders will likely stay but the team may leave as integration begins - http://tcrn.ch/Q2oTHb")</f>
        <v>Facebook + Instagram is official, so now what? Founders will likely stay but the team may leave as integration begins - http://tcrn.ch/Q2oTHb</v>
      </c>
      <c r="C1407" s="3">
        <v>41158.524062500001</v>
      </c>
      <c r="D1407" s="2">
        <v>502</v>
      </c>
      <c r="E1407" s="2">
        <v>70</v>
      </c>
      <c r="F1407" s="2" t="s">
        <v>8</v>
      </c>
      <c r="G1407" s="2" t="s">
        <v>8</v>
      </c>
    </row>
    <row r="1408" spans="1:7" ht="60" x14ac:dyDescent="0.25">
      <c r="A1408" s="4" t="str">
        <f>HYPERLINK("http://www.facebook.com/photo.php?fbid=10151229508947952&amp;set=a.114456157951.118433.8062627951&amp;type=1&amp;relevant_count=1","[Photo]")</f>
        <v>[Photo]</v>
      </c>
      <c r="B1408" s="4" t="s">
        <v>82</v>
      </c>
      <c r="C1408" s="3">
        <v>41158.49962962963</v>
      </c>
      <c r="D1408" s="2">
        <v>84</v>
      </c>
      <c r="E1408" s="2">
        <v>10</v>
      </c>
      <c r="F1408" s="2" t="s">
        <v>7</v>
      </c>
      <c r="G1408" s="2" t="s">
        <v>8</v>
      </c>
    </row>
    <row r="1409" spans="1:7" ht="45" x14ac:dyDescent="0.25">
      <c r="A1409" s="4" t="str">
        <f>HYPERLINK("http://techcrunch.com/2012/09/06/amazon-introduces-8-9-inch-32gb-lte-kindle-fire-hd-for-499/","Amazon Introduces 8.9-inch, 32GB, LTE Kindle Fire HD for $499")</f>
        <v>Amazon Introduces 8.9-inch, 32GB, LTE Kindle Fire HD for $499</v>
      </c>
      <c r="B1409" s="4" t="str">
        <f>HYPERLINK("http://www.facebook.com/8062627951/posts/340791179344725","Amazon has introduced one last Kindle Fire today, the HD version with LTE capability and 32GB of storage for $499. Want one?")</f>
        <v>Amazon has introduced one last Kindle Fire today, the HD version with LTE capability and 32GB of storage for $499. Want one?</v>
      </c>
      <c r="C1409" s="3">
        <v>41158.483564814815</v>
      </c>
      <c r="D1409" s="2">
        <v>77</v>
      </c>
      <c r="E1409" s="2">
        <v>24</v>
      </c>
      <c r="F1409" s="2" t="s">
        <v>8</v>
      </c>
      <c r="G1409" s="2" t="s">
        <v>7</v>
      </c>
    </row>
    <row r="1410" spans="1:7" ht="60" x14ac:dyDescent="0.25">
      <c r="A1410" s="4" t="str">
        <f>HYPERLINK("http://www.facebook.com/photo.php?fbid=10151229431562952&amp;set=a.114456157951.118433.8062627951&amp;type=1&amp;relevant_count=1","[Photo]")</f>
        <v>[Photo]</v>
      </c>
      <c r="B1410" s="4" t="s">
        <v>83</v>
      </c>
      <c r="C1410" s="3">
        <v>41158.452638888892</v>
      </c>
      <c r="D1410" s="2">
        <v>290</v>
      </c>
      <c r="E1410" s="2">
        <v>15</v>
      </c>
      <c r="F1410" s="2" t="s">
        <v>7</v>
      </c>
      <c r="G1410" s="2" t="s">
        <v>8</v>
      </c>
    </row>
    <row r="1411" spans="1:7" ht="45" x14ac:dyDescent="0.25">
      <c r="A1411" s="4" t="str">
        <f>HYPERLINK("http://techcrunch.com/2012/09/06/say-hello-to-amazons-new-kindle-fire-family-bigger-fire-hds-159-upgraded-original/","Say Hello To Amazon’s New Kindle Fire Family: Bigger Fire HD, $159 Upgraded Original")</f>
        <v>Say Hello To Amazon’s New Kindle Fire Family: Bigger Fire HD, $159 Upgraded Original</v>
      </c>
      <c r="B1411" s="4" t="str">
        <f>HYPERLINK("http://www.facebook.com/8062627951/posts/363646810379519","Say hi to Amazon's new Kindle Fire family.")</f>
        <v>Say hi to Amazon's new Kindle Fire family.</v>
      </c>
      <c r="C1411" s="3">
        <v>41158.441076388888</v>
      </c>
      <c r="D1411" s="2">
        <v>161</v>
      </c>
      <c r="E1411" s="2">
        <v>8</v>
      </c>
      <c r="F1411" s="2" t="s">
        <v>7</v>
      </c>
      <c r="G1411" s="2" t="s">
        <v>7</v>
      </c>
    </row>
    <row r="1412" spans="1:7" x14ac:dyDescent="0.25">
      <c r="A1412" s="4" t="str">
        <f>HYPERLINK("http://techcrunch.com/2012/09/06/live-from-amazons-2012-event-fire-it-up/","Live From Amazon’s 2012 Event: Fire It Up!")</f>
        <v>Live From Amazon’s 2012 Event: Fire It Up!</v>
      </c>
      <c r="B1412" s="4" t="str">
        <f>HYPERLINK("http://www.facebook.com/8062627951/posts/441079335933191","We are LIVE! Any guesses on what they'll announce?")</f>
        <v>We are LIVE! Any guesses on what they'll announce?</v>
      </c>
      <c r="C1412" s="3">
        <v>41158.403599537036</v>
      </c>
      <c r="D1412" s="2">
        <v>44</v>
      </c>
      <c r="E1412" s="2">
        <v>19</v>
      </c>
      <c r="F1412" s="2" t="s">
        <v>8</v>
      </c>
      <c r="G1412" s="2" t="s">
        <v>7</v>
      </c>
    </row>
    <row r="1413" spans="1:7" ht="45" x14ac:dyDescent="0.25">
      <c r="A1413" s="4" t="str">
        <f>HYPERLINK("http://www.facebook.com/photo.php?fbid=10151229315552952&amp;set=a.114456157951.118433.8062627951&amp;type=1&amp;relevant_count=1","[Photo]")</f>
        <v>[Photo]</v>
      </c>
      <c r="B1413" s="4" t="str">
        <f>HYPERLINK("http://www.facebook.com/8062627951/posts/10151229315597952","Bing it on.    Microsoft claims 2:1 users prefer Bing's search results over Google's in blind test - http://tcrn.ch/P3A2Y8    Which do you prefer?")</f>
        <v>Bing it on.    Microsoft claims 2:1 users prefer Bing's search results over Google's in blind test - http://tcrn.ch/P3A2Y8    Which do you prefer?</v>
      </c>
      <c r="C1413" s="3">
        <v>41158.379479166666</v>
      </c>
      <c r="D1413" s="2">
        <v>228</v>
      </c>
      <c r="E1413" s="2">
        <v>255</v>
      </c>
      <c r="F1413" s="2" t="s">
        <v>8</v>
      </c>
      <c r="G1413" s="2" t="s">
        <v>8</v>
      </c>
    </row>
    <row r="1414" spans="1:7" ht="45" x14ac:dyDescent="0.25">
      <c r="A1414" s="4" t="str">
        <f>HYPERLINK("http://www.facebook.com/photo.php?fbid=10151229287707952&amp;set=a.114456157951.118433.8062627951&amp;type=1&amp;relevant_count=1","[Photo]")</f>
        <v>[Photo]</v>
      </c>
      <c r="B1414" s="4" t="str">
        <f>HYPERLINK("http://www.facebook.com/8062627951/posts/10151229287742952","Amazon rumor roundup: faster and cheaper Kindle Fire, Kindle Touch with a better screen, and maybe a phone - http://tcrn.ch/Rebj52")</f>
        <v>Amazon rumor roundup: faster and cheaper Kindle Fire, Kindle Touch with a better screen, and maybe a phone - http://tcrn.ch/Rebj52</v>
      </c>
      <c r="C1414" s="3">
        <v>41158.363067129627</v>
      </c>
      <c r="D1414" s="2">
        <v>105</v>
      </c>
      <c r="E1414" s="2">
        <v>3</v>
      </c>
      <c r="F1414" s="2" t="s">
        <v>7</v>
      </c>
      <c r="G1414" s="2" t="s">
        <v>8</v>
      </c>
    </row>
    <row r="1415" spans="1:7" ht="45" x14ac:dyDescent="0.25">
      <c r="A1415" s="4" t="str">
        <f>HYPERLINK("http://www.facebook.com/photo.php?fbid=10151229257147952&amp;set=a.114456157951.118433.8062627951&amp;type=1&amp;relevant_count=1","[Photo]")</f>
        <v>[Photo]</v>
      </c>
      <c r="B1415" s="4" t="str">
        <f>HYPERLINK("http://www.facebook.com/8062627951/posts/10151229257232952","LinkedIn unveils redesigned company pages: simpler, more visual, and more relevant - http://tcrn.ch/OSbGi9    What do you think of the new pages?")</f>
        <v>LinkedIn unveils redesigned company pages: simpler, more visual, and more relevant - http://tcrn.ch/OSbGi9    What do you think of the new pages?</v>
      </c>
      <c r="C1415" s="3">
        <v>41158.344687500001</v>
      </c>
      <c r="D1415" s="2">
        <v>223</v>
      </c>
      <c r="E1415" s="2">
        <v>25</v>
      </c>
      <c r="F1415" s="2" t="s">
        <v>8</v>
      </c>
      <c r="G1415" s="2" t="s">
        <v>8</v>
      </c>
    </row>
    <row r="1416" spans="1:7" x14ac:dyDescent="0.25">
      <c r="A1416" s="4" t="str">
        <f>HYPERLINK("http://www.facebook.com/photo.php?fbid=10151228674197952&amp;set=a.114456157951.118433.8062627951&amp;type=1&amp;relevant_count=1","[Photo]")</f>
        <v>[Photo]</v>
      </c>
      <c r="B1416" s="4" t="str">
        <f>HYPERLINK("http://www.facebook.com/8062627951/posts/10151228674222952","A good sign. http://instagram.com/p/PN7TZjFZqY/")</f>
        <v>A good sign. http://instagram.com/p/PN7TZjFZqY/</v>
      </c>
      <c r="C1416" s="3">
        <v>41157.860821759263</v>
      </c>
      <c r="D1416" s="2">
        <v>148</v>
      </c>
      <c r="E1416" s="2">
        <v>5</v>
      </c>
      <c r="F1416" s="2" t="s">
        <v>7</v>
      </c>
      <c r="G1416" s="2" t="s">
        <v>8</v>
      </c>
    </row>
    <row r="1417" spans="1:7" x14ac:dyDescent="0.25">
      <c r="A1417" s="4" t="str">
        <f>HYPERLINK("http://www.facebook.com/photo.php?fbid=10151228603687952&amp;set=a.10151134316772952.498619.8062627951&amp;type=1&amp;relevant_count=1","[Photo]")</f>
        <v>[Photo]</v>
      </c>
      <c r="B1417" s="4" t="str">
        <f>HYPERLINK("http://www.facebook.com/8062627951/posts/10151228603717952","San Francisco double rainbow ")</f>
        <v xml:space="preserve">San Francisco double rainbow </v>
      </c>
      <c r="C1417" s="3">
        <v>41157.813958333332</v>
      </c>
      <c r="D1417" s="2">
        <v>708</v>
      </c>
      <c r="E1417" s="2">
        <v>29</v>
      </c>
      <c r="F1417" s="2" t="s">
        <v>7</v>
      </c>
      <c r="G1417" s="2" t="s">
        <v>8</v>
      </c>
    </row>
    <row r="1418" spans="1:7" ht="30" x14ac:dyDescent="0.25">
      <c r="A1418" s="4" t="str">
        <f>HYPERLINK("http://www.facebook.com/photo.php?fbid=10151228343037952&amp;set=a.114456157951.118433.8062627951&amp;type=1&amp;relevant_count=1","[Photo]")</f>
        <v>[Photo]</v>
      </c>
      <c r="B1418" s="4" t="str">
        <f>HYPERLINK("http://www.facebook.com/8062627951/posts/10151228343052952","The future of memes: 4chan hits 22M monthlies and unveils a new API - http://tcrn.ch/RarfW8")</f>
        <v>The future of memes: 4chan hits 22M monthlies and unveils a new API - http://tcrn.ch/RarfW8</v>
      </c>
      <c r="C1418" s="3">
        <v>41157.640636574077</v>
      </c>
      <c r="D1418" s="2">
        <v>67</v>
      </c>
      <c r="E1418" s="2">
        <v>8</v>
      </c>
      <c r="F1418" s="2" t="s">
        <v>7</v>
      </c>
      <c r="G1418" s="2" t="s">
        <v>8</v>
      </c>
    </row>
    <row r="1419" spans="1:7" ht="30" x14ac:dyDescent="0.25">
      <c r="A1419" s="4" t="str">
        <f>HYPERLINK("http://techcrunch.com/2012/09/05/announcing-the-full-agenda-for-techcrunch-disrupt-sf/","Announcing The Full TechCrunch Disrupt SF 2012 Agenda")</f>
        <v>Announcing The Full TechCrunch Disrupt SF 2012 Agenda</v>
      </c>
      <c r="B1419" s="4" t="str">
        <f>HYPERLINK("http://www.facebook.com/8062627951/posts/266412560142799","Here is the full Disrupt SF 2012 agenda. Which part are you looking forward to the most? Only a few more days to go.")</f>
        <v>Here is the full Disrupt SF 2012 agenda. Which part are you looking forward to the most? Only a few more days to go.</v>
      </c>
      <c r="C1419" s="3">
        <v>41157.574108796296</v>
      </c>
      <c r="D1419" s="2">
        <v>34</v>
      </c>
      <c r="E1419" s="2">
        <v>1</v>
      </c>
      <c r="F1419" s="2" t="s">
        <v>8</v>
      </c>
      <c r="G1419" s="2" t="s">
        <v>7</v>
      </c>
    </row>
    <row r="1420" spans="1:7" ht="30" x14ac:dyDescent="0.25">
      <c r="A1420" s="4" t="str">
        <f>HYPERLINK("http://techcrunch.com/2012/09/05/giveaway-new-relic-has-four-more-free-disrupt-sf-tickets-for-all-you-datanerds/","Giveaway: New Relic Has Four More Free Disrupt SF Tickets For All You #DataNerds ")</f>
        <v xml:space="preserve">Giveaway: New Relic Has Four More Free Disrupt SF Tickets For All You #DataNerds </v>
      </c>
      <c r="B1420" s="4" t="str">
        <f>HYPERLINK("http://www.facebook.com/8062627951/posts/116681918480378","Hey nerds, last chance to win a free ticket to Disrupt SF! Enter now!")</f>
        <v>Hey nerds, last chance to win a free ticket to Disrupt SF! Enter now!</v>
      </c>
      <c r="C1420" s="3">
        <v>41157.532071759262</v>
      </c>
      <c r="D1420" s="2">
        <v>34</v>
      </c>
      <c r="E1420" s="2">
        <v>5</v>
      </c>
      <c r="F1420" s="2" t="s">
        <v>7</v>
      </c>
      <c r="G1420" s="2" t="s">
        <v>7</v>
      </c>
    </row>
    <row r="1421" spans="1:7" ht="30" x14ac:dyDescent="0.25">
      <c r="A1421" s="4" t="str">
        <f>HYPERLINK("http://www.facebook.com/photo.php?fbid=10151228064592952&amp;set=a.114456157951.118433.8062627951&amp;type=1&amp;relevant_count=1","[Photo]")</f>
        <v>[Photo]</v>
      </c>
      <c r="B1421" s="4" t="str">
        <f>HYPERLINK("http://www.facebook.com/8062627951/posts/10151228064637952","Motorola outs the Verizon-bound DROID RAZR M, launching on 9/13 For $99 - http://tcrn.ch/Tj0cbH")</f>
        <v>Motorola outs the Verizon-bound DROID RAZR M, launching on 9/13 For $99 - http://tcrn.ch/Tj0cbH</v>
      </c>
      <c r="C1421" s="3">
        <v>41157.481666666667</v>
      </c>
      <c r="D1421" s="2">
        <v>128</v>
      </c>
      <c r="E1421" s="2">
        <v>33</v>
      </c>
      <c r="F1421" s="2" t="s">
        <v>7</v>
      </c>
      <c r="G1421" s="2" t="s">
        <v>8</v>
      </c>
    </row>
    <row r="1422" spans="1:7" ht="30" x14ac:dyDescent="0.25">
      <c r="A1422" s="4" t="str">
        <f>HYPERLINK("http://techcrunch.com/2012/09/05/eric-schmidt-there-are-now-1-3-million-android-device-activations-per-day/","Eric Schmidt: “There Are Now 1.3 Million Android Device Activations Per Day”")</f>
        <v>Eric Schmidt: “There Are Now 1.3 Million Android Device Activations Per Day”</v>
      </c>
      <c r="B1422" s="4" t="str">
        <f>HYPERLINK("http://www.facebook.com/8062627951/posts/116957101784880","Impressed?")</f>
        <v>Impressed?</v>
      </c>
      <c r="C1422" s="3">
        <v>41157.436354166668</v>
      </c>
      <c r="D1422" s="2">
        <v>220</v>
      </c>
      <c r="E1422" s="2">
        <v>48</v>
      </c>
      <c r="F1422" s="2" t="s">
        <v>8</v>
      </c>
      <c r="G1422" s="2" t="s">
        <v>7</v>
      </c>
    </row>
    <row r="1423" spans="1:7" ht="30" x14ac:dyDescent="0.25">
      <c r="A1423" s="4" t="str">
        <f>HYPERLINK("http://www.facebook.com/photo.php?fbid=10151227950772952&amp;set=a.114456157951.118433.8062627951&amp;type=1&amp;relevant_count=1","[Photo]")</f>
        <v>[Photo]</v>
      </c>
      <c r="B1423" s="4" t="str">
        <f>HYPERLINK("http://www.facebook.com/8062627951/posts/10151227950817952","We are LIVE from Motorola’s “On Display” Android press conference. Follow along here: http://tcrn.ch/Q0H1kG")</f>
        <v>We are LIVE from Motorola’s “On Display” Android press conference. Follow along here: http://tcrn.ch/Q0H1kG</v>
      </c>
      <c r="C1423" s="3">
        <v>41157.415844907409</v>
      </c>
      <c r="D1423" s="2">
        <v>41</v>
      </c>
      <c r="E1423" s="2">
        <v>0</v>
      </c>
      <c r="F1423" s="2" t="s">
        <v>7</v>
      </c>
      <c r="G1423" s="2" t="s">
        <v>8</v>
      </c>
    </row>
    <row r="1424" spans="1:7" ht="30" x14ac:dyDescent="0.25">
      <c r="A1424" s="4" t="str">
        <f>HYPERLINK("http://www.facebook.com/photo.php?fbid=10151227904837952&amp;set=a.114456157951.118433.8062627951&amp;type=1&amp;relevant_count=1","[Photo]")</f>
        <v>[Photo]</v>
      </c>
      <c r="B1424" s="4" t="str">
        <f>HYPERLINK("http://www.facebook.com/8062627951/posts/10151227904857952","Why convertible notes are sometimes terrible for startups http://tcrn.ch/Q0DBhW")</f>
        <v>Why convertible notes are sometimes terrible for startups http://tcrn.ch/Q0DBhW</v>
      </c>
      <c r="C1424" s="3">
        <v>41157.389953703707</v>
      </c>
      <c r="D1424" s="2">
        <v>57</v>
      </c>
      <c r="E1424" s="2">
        <v>2</v>
      </c>
      <c r="F1424" s="2" t="s">
        <v>7</v>
      </c>
      <c r="G1424" s="2" t="s">
        <v>8</v>
      </c>
    </row>
    <row r="1425" spans="1:7" ht="45" x14ac:dyDescent="0.25">
      <c r="A1425" s="4" t="str">
        <f>HYPERLINK("http://techcrunch.com/2012/09/05/nokia-lumia-920-official/","Nokia Lumia 920 Officially Revealed: PureView Camera, Wireless Charging, Snapdragon S4 Processor")</f>
        <v>Nokia Lumia 920 Officially Revealed: PureView Camera, Wireless Charging, Snapdragon S4 Processor</v>
      </c>
      <c r="B1425" s="4" t="str">
        <f>HYPERLINK("http://www.facebook.com/8062627951/posts/418129654902210","Here's Nokia's new Lumia flagship. Is it enough to take on the new iPhone or Samsung Galaxy S III?")</f>
        <v>Here's Nokia's new Lumia flagship. Is it enough to take on the new iPhone or Samsung Galaxy S III?</v>
      </c>
      <c r="C1425" s="3">
        <v>41157.301041666666</v>
      </c>
      <c r="D1425" s="2">
        <v>136</v>
      </c>
      <c r="E1425" s="2">
        <v>35</v>
      </c>
      <c r="F1425" s="2" t="s">
        <v>8</v>
      </c>
      <c r="G1425" s="2" t="s">
        <v>7</v>
      </c>
    </row>
    <row r="1426" spans="1:7" ht="30" x14ac:dyDescent="0.25">
      <c r="A1426" s="4" t="str">
        <f>HYPERLINK("http://techcrunch.com/2012/09/05/live-from-nokia/","Live From Nokia’s Windows Phone 8 Press Conference")</f>
        <v>Live From Nokia’s Windows Phone 8 Press Conference</v>
      </c>
      <c r="B1426" s="4" t="str">
        <f>HYPERLINK("http://www.facebook.com/8062627951/posts/111775878972747","Join us live for the launch of Nokia's Windows Phone 8 smartphones! Now! Really, like right now!")</f>
        <v>Join us live for the launch of Nokia's Windows Phone 8 smartphones! Now! Really, like right now!</v>
      </c>
      <c r="C1426" s="3">
        <v>41157.234837962962</v>
      </c>
      <c r="D1426" s="2">
        <v>70</v>
      </c>
      <c r="E1426" s="2">
        <v>13</v>
      </c>
      <c r="F1426" s="2" t="s">
        <v>7</v>
      </c>
      <c r="G1426" s="2" t="s">
        <v>7</v>
      </c>
    </row>
    <row r="1427" spans="1:7" ht="45" x14ac:dyDescent="0.25">
      <c r="A1427" s="4" t="str">
        <f>HYPERLINK("http://techcrunch.com/2012/09/05/laurene-powell-jobs-widow-of-steve-jobs-is-joining-stanford-universitys-board-of-trustees/","Laurene Powell Jobs, Widow Of Steve Jobs, Is Joining Stanford University’s Board Of Trustees")</f>
        <v>Laurene Powell Jobs, Widow Of Steve Jobs, Is Joining Stanford University’s Board Of Trustees</v>
      </c>
      <c r="B1427" s="4" t="str">
        <f>HYPERLINK("http://www.facebook.com/8062627951/posts/407523669308320","Laurene Powell Jobs, widow of visionary Apple co-founder and CEO, the late Steve Jobs, is joining Stanford University's Board of Trustees.")</f>
        <v>Laurene Powell Jobs, widow of visionary Apple co-founder and CEO, the late Steve Jobs, is joining Stanford University's Board of Trustees.</v>
      </c>
      <c r="C1427" s="3">
        <v>41157.155439814815</v>
      </c>
      <c r="D1427" s="2">
        <v>170</v>
      </c>
      <c r="E1427" s="2">
        <v>11</v>
      </c>
      <c r="F1427" s="2" t="s">
        <v>7</v>
      </c>
      <c r="G1427" s="2" t="s">
        <v>7</v>
      </c>
    </row>
    <row r="1428" spans="1:7" ht="30" x14ac:dyDescent="0.25">
      <c r="A1428" s="4" t="str">
        <f>HYPERLINK("http://techcrunch.com/2012/09/04/michelle-obamas-speech-brings-in-28k-tweets-per-minute-destroys-mitt-romney/","Michelle Obama’s Speech Brings In 28K Tweets Per Minute, Destroys Mitt Romney")</f>
        <v>Michelle Obama’s Speech Brings In 28K Tweets Per Minute, Destroys Mitt Romney</v>
      </c>
      <c r="B1428" s="4" t="str">
        <f>HYPERLINK("http://www.facebook.com/8062627951/posts/181547491970414","Were you watching and/or tweeting?")</f>
        <v>Were you watching and/or tweeting?</v>
      </c>
      <c r="C1428" s="3">
        <v>41156.89806712963</v>
      </c>
      <c r="D1428" s="2">
        <v>577</v>
      </c>
      <c r="E1428" s="2">
        <v>79</v>
      </c>
      <c r="F1428" s="2" t="s">
        <v>8</v>
      </c>
      <c r="G1428" s="2" t="s">
        <v>7</v>
      </c>
    </row>
    <row r="1429" spans="1:7" x14ac:dyDescent="0.25">
      <c r="A1429" s="4" t="str">
        <f>HYPERLINK("http://techcrunch.com/2012/09/04/when-should-you-buy-facebook-stock/","When Should You Buy Facebook Stock?")</f>
        <v>When Should You Buy Facebook Stock?</v>
      </c>
      <c r="B1429" s="4" t="str">
        <f>HYPERLINK("http://www.facebook.com/8062627951/posts/280206565426575","How many of you have already bought Facebook stock?")</f>
        <v>How many of you have already bought Facebook stock?</v>
      </c>
      <c r="C1429" s="3">
        <v>41156.739004629628</v>
      </c>
      <c r="D1429" s="2">
        <v>46</v>
      </c>
      <c r="E1429" s="2">
        <v>48</v>
      </c>
      <c r="F1429" s="2" t="s">
        <v>8</v>
      </c>
      <c r="G1429" s="2" t="s">
        <v>7</v>
      </c>
    </row>
    <row r="1430" spans="1:7" ht="30" x14ac:dyDescent="0.25">
      <c r="A1430" s="4" t="str">
        <f>HYPERLINK("http://techcrunch.com/2012/09/04/the-new-iphone/","iPhone 5. Because Of Reasons.")</f>
        <v>iPhone 5. Because Of Reasons.</v>
      </c>
      <c r="B1430" s="4" t="str">
        <f>HYPERLINK("http://www.facebook.com/8062627951/posts/490456987633910","Any guesses on what you think the next iPhone's name will officially be?")</f>
        <v>Any guesses on what you think the next iPhone's name will officially be?</v>
      </c>
      <c r="C1430" s="3">
        <v>41156.70857638889</v>
      </c>
      <c r="D1430" s="2">
        <v>77</v>
      </c>
      <c r="E1430" s="2">
        <v>112</v>
      </c>
      <c r="F1430" s="2" t="s">
        <v>8</v>
      </c>
      <c r="G1430" s="2" t="s">
        <v>7</v>
      </c>
    </row>
    <row r="1431" spans="1:7" ht="60" x14ac:dyDescent="0.25">
      <c r="A1431" s="4" t="str">
        <f>HYPERLINK("http://www.facebook.com/photo.php?fbid=10151226947337952&amp;set=a.114456157951.118433.8062627951&amp;type=1&amp;relevant_count=1","[Photo]")</f>
        <v>[Photo]</v>
      </c>
      <c r="B1431" s="4" t="str">
        <f>HYPERLINK("http://www.facebook.com/8062627951/posts/10151226947377952","Google+ Hangout featuring world premiere of “Lincoln” movie trailer to be broadcast in Times Square. Steven Spielberg and Joseph Gordon-Levitt will be joining - http://tcrn.ch/PGJE8y")</f>
        <v>Google+ Hangout featuring world premiere of “Lincoln” movie trailer to be broadcast in Times Square. Steven Spielberg and Joseph Gordon-Levitt will be joining - http://tcrn.ch/PGJE8y</v>
      </c>
      <c r="C1431" s="3">
        <v>41156.691331018519</v>
      </c>
      <c r="D1431" s="2">
        <v>327</v>
      </c>
      <c r="E1431" s="2">
        <v>20</v>
      </c>
      <c r="F1431" s="2" t="s">
        <v>7</v>
      </c>
      <c r="G1431" s="2" t="s">
        <v>8</v>
      </c>
    </row>
    <row r="1432" spans="1:7" ht="45" x14ac:dyDescent="0.25">
      <c r="A1432" s="4" t="str">
        <f>HYPERLINK("http://techcrunch.com/2012/09/04/forget-about-iphone-5-leaked-image-shows-packaging-for-the-new-iphone/","Forget About “iPhone 5&lt;U+2033&gt;, Leaked Image Shows Packaging For “The New iPhone” ")</f>
        <v xml:space="preserve">Forget About “iPhone 5&lt;U+2033&gt;, Leaked Image Shows Packaging For “The New iPhone” </v>
      </c>
      <c r="B1432" s="4" t="s">
        <v>84</v>
      </c>
      <c r="C1432" s="3">
        <v>41156.588275462964</v>
      </c>
      <c r="D1432" s="2">
        <v>282</v>
      </c>
      <c r="E1432" s="2">
        <v>114</v>
      </c>
      <c r="F1432" s="2" t="s">
        <v>8</v>
      </c>
      <c r="G1432" s="2" t="s">
        <v>7</v>
      </c>
    </row>
    <row r="1433" spans="1:7" ht="45" x14ac:dyDescent="0.25">
      <c r="A1433" s="4" t="str">
        <f>HYPERLINK("http://techcrunch.com/2012/09/04/chrome-turns-four-team-to-create-five-foot-logo-out-of-10000-lego-pieces-to-celebrate/","Chrome Turns Four: Team To Create Five Foot Logo Out Of 10,000 LEGO Pieces To Celebrate")</f>
        <v>Chrome Turns Four: Team To Create Five Foot Logo Out Of 10,000 LEGO Pieces To Celebrate</v>
      </c>
      <c r="B1433" s="4" t="str">
        <f>HYPERLINK("http://www.facebook.com/8062627951/posts/524193860931184","This may be the best usage of Google’s 20% time ever. Any guesses how long this will take?")</f>
        <v>This may be the best usage of Google’s 20% time ever. Any guesses how long this will take?</v>
      </c>
      <c r="C1433" s="3">
        <v>41156.578553240739</v>
      </c>
      <c r="D1433" s="2">
        <v>50</v>
      </c>
      <c r="E1433" s="2">
        <v>7</v>
      </c>
      <c r="F1433" s="2" t="s">
        <v>8</v>
      </c>
      <c r="G1433" s="2" t="s">
        <v>7</v>
      </c>
    </row>
    <row r="1434" spans="1:7" ht="45" x14ac:dyDescent="0.25">
      <c r="A1434" s="4" t="str">
        <f>HYPERLINK("http://www.facebook.com/photo.php?fbid=10151226642932952&amp;set=a.114456157951.118433.8062627951&amp;type=1&amp;relevant_count=1","[Photo]")</f>
        <v>[Photo]</v>
      </c>
      <c r="B1434" s="4" t="str">
        <f>HYPERLINK("http://www.facebook.com/8062627951/posts/10151226642972952","Install or be annoyed: Google home page nags Firefoxers and Internet Explorers to switch to Chrome - http://tcrn.ch/Nb0bV2")</f>
        <v>Install or be annoyed: Google home page nags Firefoxers and Internet Explorers to switch to Chrome - http://tcrn.ch/Nb0bV2</v>
      </c>
      <c r="C1434" s="3">
        <v>41156.512511574074</v>
      </c>
      <c r="D1434" s="2">
        <v>127</v>
      </c>
      <c r="E1434" s="2">
        <v>62</v>
      </c>
      <c r="F1434" s="2" t="s">
        <v>7</v>
      </c>
      <c r="G1434" s="2" t="s">
        <v>8</v>
      </c>
    </row>
    <row r="1435" spans="1:7" ht="30" x14ac:dyDescent="0.25">
      <c r="A1435" s="4" t="str">
        <f>HYPERLINK("http://techcrunch.com/2012/09/04/techcrunch-giveaway-kindle-and-free-ticket-to-disrupt-sf-tcdisrupt/","TechCrunch Giveaway: Kindle And Free Ticket To Disrupt SF #TCDisrupt")</f>
        <v>TechCrunch Giveaway: Kindle And Free Ticket To Disrupt SF #TCDisrupt</v>
      </c>
      <c r="B1435" s="4" t="str">
        <f>HYPERLINK("http://www.facebook.com/8062627951/posts/426744490694353","Want to come to Disrupt SF? Make sure to enter for a chance to win.")</f>
        <v>Want to come to Disrupt SF? Make sure to enter for a chance to win.</v>
      </c>
      <c r="C1435" s="3">
        <v>41156.495335648149</v>
      </c>
      <c r="D1435" s="2">
        <v>24</v>
      </c>
      <c r="E1435" s="2">
        <v>1</v>
      </c>
      <c r="F1435" s="2" t="s">
        <v>8</v>
      </c>
      <c r="G1435" s="2" t="s">
        <v>7</v>
      </c>
    </row>
    <row r="1436" spans="1:7" ht="30" x14ac:dyDescent="0.25">
      <c r="A1436" s="4" t="str">
        <f>HYPERLINK("http://www.facebook.com/photo.php?fbid=10151226585402952&amp;set=a.114456157951.118433.8062627951&amp;type=1&amp;relevant_count=1","[Photo]")</f>
        <v>[Photo]</v>
      </c>
      <c r="B1436" s="4" t="str">
        <f>HYPERLINK("http://www.facebook.com/8062627951/posts/10151226585437952","Apple's new iPhone (5? fifth? fiver?) is coming: here's what it should look like - http://tcrn.ch/RD2fpo")</f>
        <v>Apple's new iPhone (5? fifth? fiver?) is coming: here's what it should look like - http://tcrn.ch/RD2fpo</v>
      </c>
      <c r="C1436" s="3">
        <v>41156.479618055557</v>
      </c>
      <c r="D1436" s="2">
        <v>293</v>
      </c>
      <c r="E1436" s="2">
        <v>58</v>
      </c>
      <c r="F1436" s="2" t="s">
        <v>8</v>
      </c>
      <c r="G1436" s="2" t="s">
        <v>8</v>
      </c>
    </row>
    <row r="1437" spans="1:7" ht="45" x14ac:dyDescent="0.25">
      <c r="A1437" s="4" t="str">
        <f>HYPERLINK("http://techcrunch.com/2012/09/04/please-welcome-natasha-lomas-and-darrell-etherington-and-drew-olanoff-to-techcrunch/","Please Welcome Natasha Lomas And Darrell Etherington (And Drew Olanoff) To TechCrunch")</f>
        <v>Please Welcome Natasha Lomas And Darrell Etherington (And Drew Olanoff) To TechCrunch</v>
      </c>
      <c r="B1437" s="4" t="str">
        <f>HYPERLINK("http://www.facebook.com/8062627951/posts/460784513953356","Please join us in welcoming Natasha Lomas, Darrell Etherington and Drew Olanoff to the team!")</f>
        <v>Please join us in welcoming Natasha Lomas, Darrell Etherington and Drew Olanoff to the team!</v>
      </c>
      <c r="C1437" s="3">
        <v>41156.447916666664</v>
      </c>
      <c r="D1437" s="2">
        <v>27</v>
      </c>
      <c r="E1437" s="2">
        <v>3</v>
      </c>
      <c r="F1437" s="2" t="s">
        <v>7</v>
      </c>
      <c r="G1437" s="2" t="s">
        <v>7</v>
      </c>
    </row>
    <row r="1438" spans="1:7" ht="45" x14ac:dyDescent="0.25">
      <c r="A1438" s="4" t="str">
        <f>HYPERLINK("http://www.facebook.com/photo.php?fbid=10151226474142952&amp;set=a.114456157951.118433.8062627951&amp;type=1&amp;relevant_count=1","[Photo]")</f>
        <v>[Photo]</v>
      </c>
      <c r="B1438" s="4" t="str">
        <f>HYPERLINK("http://www.facebook.com/8062627951/posts/10151226474312952","Facebook’s Mark Zuckerberg will give his first on-stage interview since the IPO at Disrupt SF. Tickets on sale now. http://tcrn.ch/OVfUWp")</f>
        <v>Facebook’s Mark Zuckerberg will give his first on-stage interview since the IPO at Disrupt SF. Tickets on sale now. http://tcrn.ch/OVfUWp</v>
      </c>
      <c r="C1438" s="3">
        <v>41156.416122685187</v>
      </c>
      <c r="D1438" s="2">
        <v>227</v>
      </c>
      <c r="E1438" s="2">
        <v>53</v>
      </c>
      <c r="F1438" s="2" t="s">
        <v>7</v>
      </c>
      <c r="G1438" s="2" t="s">
        <v>8</v>
      </c>
    </row>
    <row r="1439" spans="1:7" ht="30" x14ac:dyDescent="0.25">
      <c r="A1439" s="4" t="str">
        <f>HYPERLINK("http://www.facebook.com/photo.php?fbid=10151226405172952&amp;set=a.114456157951.118433.8062627951&amp;type=1&amp;relevant_count=1","[Photo]")</f>
        <v>[Photo]</v>
      </c>
      <c r="B1439" s="4" t="str">
        <f>HYPERLINK("http://www.facebook.com/8062627951/posts/10151226405192952","Apple UDID leak: there’s no proof (yet) of FBI involvement, but here’s why you should still care - http://tcrn.ch/PG7EIG")</f>
        <v>Apple UDID leak: there’s no proof (yet) of FBI involvement, but here’s why you should still care - http://tcrn.ch/PG7EIG</v>
      </c>
      <c r="C1439" s="3">
        <v>41156.369895833333</v>
      </c>
      <c r="D1439" s="2">
        <v>92</v>
      </c>
      <c r="E1439" s="2">
        <v>20</v>
      </c>
      <c r="F1439" s="2" t="s">
        <v>7</v>
      </c>
      <c r="G1439" s="2" t="s">
        <v>8</v>
      </c>
    </row>
    <row r="1440" spans="1:7" ht="45" x14ac:dyDescent="0.25">
      <c r="A1440" s="4" t="str">
        <f>HYPERLINK("http://www.facebook.com/photo.php?fbid=10151226363752952&amp;set=a.114456157951.118433.8062627951&amp;type=1&amp;relevant_count=1","[Photo]")</f>
        <v>[Photo]</v>
      </c>
      <c r="B1440" s="4" t="str">
        <f>HYPERLINK("http://www.facebook.com/8062627951/posts/10151226363802952","We knew it was coming and now it's official. Apple schedules special event for September 12th. Who's excited for the next iPhone? http://tcrn.ch/PG67T2")</f>
        <v>We knew it was coming and now it's official. Apple schedules special event for September 12th. Who's excited for the next iPhone? http://tcrn.ch/PG67T2</v>
      </c>
      <c r="C1440" s="3">
        <v>41156.342673611114</v>
      </c>
      <c r="D1440" s="2">
        <v>1196</v>
      </c>
      <c r="E1440" s="2">
        <v>117</v>
      </c>
      <c r="F1440" s="2" t="s">
        <v>8</v>
      </c>
      <c r="G1440" s="2" t="s">
        <v>8</v>
      </c>
    </row>
    <row r="1441" spans="1:7" ht="45" x14ac:dyDescent="0.25">
      <c r="A1441" s="4" t="str">
        <f>HYPERLINK("http://techcrunch.com/2012/09/04/antisec-leaks-1000001-udids-from-a-trove-of-12-million-allegedly-stolen-from-an-fbi-laptop/","Antisec Leaks 1,000,001 UDIDs From A Trove Of 12 Million Allegedly Stolen From An FBI Laptop")</f>
        <v>Antisec Leaks 1,000,001 UDIDs From A Trove Of 12 Million Allegedly Stolen From An FBI Laptop</v>
      </c>
      <c r="B1441" s="4" t="str">
        <f>HYPERLINK("http://www.facebook.com/8062627951/posts/274870972615135","Scary.")</f>
        <v>Scary.</v>
      </c>
      <c r="C1441" s="3">
        <v>41156.317141203705</v>
      </c>
      <c r="D1441" s="2">
        <v>59</v>
      </c>
      <c r="E1441" s="2">
        <v>8</v>
      </c>
      <c r="F1441" s="2" t="s">
        <v>7</v>
      </c>
      <c r="G1441" s="2" t="s">
        <v>7</v>
      </c>
    </row>
    <row r="1442" spans="1:7" ht="45" x14ac:dyDescent="0.25">
      <c r="A1442" s="4" t="str">
        <f>HYPERLINK("http://techcrunch.com/2012/09/03/ustream-apologizes-for-shutting-down-the-hugo-awards-livestream-says-it-will-recalibrate/","Ustream Apologizes For Shutting Down The Hugo Awards Livestream, Says It Will ‘Recalibrate’")</f>
        <v>Ustream Apologizes For Shutting Down The Hugo Awards Livestream, Says It Will ‘Recalibrate’</v>
      </c>
      <c r="B1442" s="4" t="str">
        <f>HYPERLINK("http://www.facebook.com/8062627951/posts/298105273629930","What do you think of Ustream's apology?")</f>
        <v>What do you think of Ustream's apology?</v>
      </c>
      <c r="C1442" s="3">
        <v>41155.94190972222</v>
      </c>
      <c r="D1442" s="2">
        <v>20</v>
      </c>
      <c r="E1442" s="2">
        <v>5</v>
      </c>
      <c r="F1442" s="2" t="s">
        <v>8</v>
      </c>
      <c r="G1442" s="2" t="s">
        <v>7</v>
      </c>
    </row>
    <row r="1443" spans="1:7" ht="30" x14ac:dyDescent="0.25">
      <c r="A1443" s="4" t="str">
        <f>HYPERLINK("http://www.facebook.com/photo.php?fbid=10151225675257952&amp;set=a.114456157951.118433.8062627951&amp;type=1&amp;relevant_count=1","[Photo]")</f>
        <v>[Photo]</v>
      </c>
      <c r="B1443" s="4" t="str">
        <f>HYPERLINK("http://www.facebook.com/8062627951/posts/10151225675282952","Too tipsy (or too lazy) for Metal Gear? Save Harry is the game for you - http://tcrn.ch/ON3tKA")</f>
        <v>Too tipsy (or too lazy) for Metal Gear? Save Harry is the game for you - http://tcrn.ch/ON3tKA</v>
      </c>
      <c r="C1443" s="3">
        <v>41155.804756944446</v>
      </c>
      <c r="D1443" s="2">
        <v>59</v>
      </c>
      <c r="E1443" s="2">
        <v>5</v>
      </c>
      <c r="F1443" s="2" t="s">
        <v>8</v>
      </c>
      <c r="G1443" s="2" t="s">
        <v>8</v>
      </c>
    </row>
    <row r="1444" spans="1:7" ht="30" x14ac:dyDescent="0.25">
      <c r="A1444" s="4" t="str">
        <f>HYPERLINK("http://www.facebook.com/photo.php?fbid=10151225273467952&amp;set=a.114456157951.118433.8062627951&amp;type=1&amp;relevant_count=1","[Photo]")</f>
        <v>[Photo]</v>
      </c>
      <c r="B1444" s="4" t="str">
        <f>HYPERLINK("http://www.facebook.com/8062627951/posts/10151225273537952","Mexico is happening at TechCrunch Disrupt SF. Get ready! http://tcrn.ch/OT4ZwG")</f>
        <v>Mexico is happening at TechCrunch Disrupt SF. Get ready! http://tcrn.ch/OT4ZwG</v>
      </c>
      <c r="C1444" s="3">
        <v>41155.593958333331</v>
      </c>
      <c r="D1444" s="2">
        <v>135</v>
      </c>
      <c r="E1444" s="2">
        <v>6</v>
      </c>
      <c r="F1444" s="2" t="s">
        <v>7</v>
      </c>
      <c r="G1444" s="2" t="s">
        <v>8</v>
      </c>
    </row>
    <row r="1445" spans="1:7" ht="30" x14ac:dyDescent="0.25">
      <c r="A1445" s="4" t="str">
        <f>HYPERLINK("http://techcrunch.com/2012/09/03/starleth-robot-big-dog/","Watch Out, Big Dog: Swiss University Builds An Improved Quadrupedal Robot")</f>
        <v>Watch Out, Big Dog: Swiss University Builds An Improved Quadrupedal Robot</v>
      </c>
      <c r="B1445" s="4" t="str">
        <f>HYPERLINK("http://www.facebook.com/8062627951/posts/202621829869401","Watch out, Big Dog. There’s a new Dog in the mix, the StarlETH, a smaller robot made at ETH Zurich.")</f>
        <v>Watch out, Big Dog. There’s a new Dog in the mix, the StarlETH, a smaller robot made at ETH Zurich.</v>
      </c>
      <c r="C1445" s="3">
        <v>41155.506643518522</v>
      </c>
      <c r="D1445" s="2">
        <v>51</v>
      </c>
      <c r="E1445" s="2">
        <v>0</v>
      </c>
      <c r="F1445" s="2" t="s">
        <v>7</v>
      </c>
      <c r="G1445" s="2" t="s">
        <v>7</v>
      </c>
    </row>
    <row r="1446" spans="1:7" ht="30" x14ac:dyDescent="0.25">
      <c r="A1446" s="4" t="str">
        <f>HYPERLINK("http://www.facebook.com/photo.php?fbid=10151225009417952&amp;set=a.114456157951.118433.8062627951&amp;type=1&amp;relevant_count=1","[Photo]")</f>
        <v>[Photo]</v>
      </c>
      <c r="B1446" s="4" t="str">
        <f>HYPERLINK("http://www.facebook.com/8062627951/posts/10151225009437952","The rumors are not true. Bruce Willis is not suing Apple over iTunes music ownership rights - http://tcrn.ch/PW0Awi")</f>
        <v>The rumors are not true. Bruce Willis is not suing Apple over iTunes music ownership rights - http://tcrn.ch/PW0Awi</v>
      </c>
      <c r="C1446" s="3">
        <v>41155.442997685182</v>
      </c>
      <c r="D1446" s="2">
        <v>101</v>
      </c>
      <c r="E1446" s="2">
        <v>22</v>
      </c>
      <c r="F1446" s="2" t="s">
        <v>7</v>
      </c>
      <c r="G1446" s="2" t="s">
        <v>8</v>
      </c>
    </row>
    <row r="1447" spans="1:7" ht="30" x14ac:dyDescent="0.25">
      <c r="A1447" s="4" t="str">
        <f>HYPERLINK("http://techcrunch.com/2012/09/03/how-obama-stole-romneys-rnc-thunder-with-clever-social-media/","How Obama Stole Romney’s RNC Thunder With Clever Social Media")</f>
        <v>How Obama Stole Romney’s RNC Thunder With Clever Social Media</v>
      </c>
      <c r="B1447" s="4" t="str">
        <f>HYPERLINK("http://www.facebook.com/8062627951/posts/410662618994237","Smart social media is priceless")</f>
        <v>Smart social media is priceless</v>
      </c>
      <c r="C1447" s="3">
        <v>41155.352650462963</v>
      </c>
      <c r="D1447" s="2">
        <v>273</v>
      </c>
      <c r="E1447" s="2">
        <v>38</v>
      </c>
      <c r="F1447" s="2" t="s">
        <v>7</v>
      </c>
      <c r="G1447" s="2" t="s">
        <v>7</v>
      </c>
    </row>
    <row r="1448" spans="1:7" ht="75" x14ac:dyDescent="0.25">
      <c r="A1448" s="4" t="str">
        <f>HYPERLINK("http://techcrunch.com/2012/09/02/on-lack-of-it-readiness-and-innovators-dilemma-vmware-delivers-a-sad-reality/","On Lack Of IT Readiness – And Innovators Dilemma. VMware Delivers A Sad Reality")</f>
        <v>On Lack Of IT Readiness – And Innovators Dilemma. VMware Delivers A Sad Reality</v>
      </c>
      <c r="B1448" s="4" t="s">
        <v>85</v>
      </c>
      <c r="C1448" s="3">
        <v>41154.949189814812</v>
      </c>
      <c r="D1448" s="2">
        <v>40</v>
      </c>
      <c r="E1448" s="2">
        <v>2</v>
      </c>
      <c r="F1448" s="2" t="s">
        <v>7</v>
      </c>
      <c r="G1448" s="2" t="s">
        <v>7</v>
      </c>
    </row>
    <row r="1449" spans="1:7" ht="30" x14ac:dyDescent="0.25">
      <c r="A1449" s="4" t="str">
        <f>HYPERLINK("http://www.facebook.com/photo.php?fbid=10151224076627952&amp;set=a.114456157951.118433.8062627951&amp;type=1&amp;relevant_count=1","[Photo]")</f>
        <v>[Photo]</v>
      </c>
      <c r="B1449" s="4" t="str">
        <f>HYPERLINK("http://www.facebook.com/8062627951/posts/10151224076647952","Purported redesigned Apple earbuds leaked in Vietnam - http://tcrn.ch/OFlADL")</f>
        <v>Purported redesigned Apple earbuds leaked in Vietnam - http://tcrn.ch/OFlADL</v>
      </c>
      <c r="C1449" s="3">
        <v>41154.740601851852</v>
      </c>
      <c r="D1449" s="2">
        <v>454</v>
      </c>
      <c r="E1449" s="2">
        <v>64</v>
      </c>
      <c r="F1449" s="2" t="s">
        <v>7</v>
      </c>
      <c r="G1449" s="2" t="s">
        <v>8</v>
      </c>
    </row>
    <row r="1450" spans="1:7" ht="30" x14ac:dyDescent="0.25">
      <c r="A1450" s="4" t="str">
        <f>HYPERLINK("http://techcrunch.com/2012/09/02/this-james-franco-samsung-ad-is-indescribable/","This James Franco Samsung Ad Is Indescribable")</f>
        <v>This James Franco Samsung Ad Is Indescribable</v>
      </c>
      <c r="B1450" s="4" t="str">
        <f>HYPERLINK("http://www.facebook.com/8062627951/posts/423219637714428","Any James Franco fans?")</f>
        <v>Any James Franco fans?</v>
      </c>
      <c r="C1450" s="3">
        <v>41154.682800925926</v>
      </c>
      <c r="D1450" s="2">
        <v>233</v>
      </c>
      <c r="E1450" s="2">
        <v>42</v>
      </c>
      <c r="F1450" s="2" t="s">
        <v>8</v>
      </c>
      <c r="G1450" s="2" t="s">
        <v>7</v>
      </c>
    </row>
    <row r="1451" spans="1:7" ht="30" x14ac:dyDescent="0.25">
      <c r="A1451" s="4" t="str">
        <f>HYPERLINK("http://techcrunch.com/2012/09/02/berkeley-study-half-star-change-in-yelp-rating-can-make-or-break-a-restaurant/","Berkeley Study: Half-Star Change In Yelp Rating Can Make Or Break A Restaurant")</f>
        <v>Berkeley Study: Half-Star Change In Yelp Rating Can Make Or Break A Restaurant</v>
      </c>
      <c r="B1451" s="4" t="str">
        <f>HYPERLINK("http://www.facebook.com/8062627951/posts/334810383278509","Does that half-star rating make a difference to you?")</f>
        <v>Does that half-star rating make a difference to you?</v>
      </c>
      <c r="C1451" s="3">
        <v>41154.517812500002</v>
      </c>
      <c r="D1451" s="2">
        <v>40</v>
      </c>
      <c r="E1451" s="2">
        <v>14</v>
      </c>
      <c r="F1451" s="2" t="s">
        <v>8</v>
      </c>
      <c r="G1451" s="2" t="s">
        <v>7</v>
      </c>
    </row>
    <row r="1452" spans="1:7" ht="30" x14ac:dyDescent="0.25">
      <c r="A1452" s="4" t="str">
        <f>HYPERLINK("http://www.facebook.com/photo.php?fbid=10151223640352952&amp;set=a.114456157951.118433.8062627951&amp;type=1&amp;relevant_count=1","[Photo]")</f>
        <v>[Photo]</v>
      </c>
      <c r="B1452" s="4" t="str">
        <f>HYPERLINK("http://www.facebook.com/8062627951/posts/10151223640382952","Defining a growth hacker: three common characteristics - http://tcrn.ch/QRebEY")</f>
        <v>Defining a growth hacker: three common characteristics - http://tcrn.ch/QRebEY</v>
      </c>
      <c r="C1452" s="3">
        <v>41154.480034722219</v>
      </c>
      <c r="D1452" s="2">
        <v>104</v>
      </c>
      <c r="E1452" s="2">
        <v>12</v>
      </c>
      <c r="F1452" s="2" t="s">
        <v>7</v>
      </c>
      <c r="G1452" s="2" t="s">
        <v>8</v>
      </c>
    </row>
    <row r="1453" spans="1:7" ht="30" x14ac:dyDescent="0.25">
      <c r="A1453" s="4" t="str">
        <f>HYPERLINK("http://www.facebook.com/photo.php?fbid=10151222796382952&amp;set=a.114456157951.118433.8062627951&amp;type=1&amp;relevant_count=1","[Photo]")</f>
        <v>[Photo]</v>
      </c>
      <c r="B1453" s="4" t="str">
        <f>HYPERLINK("http://www.facebook.com/8062627951/posts/10151222796422952","The '7 Deadly Sales Sins' committed by startups - http://tcrn.ch/PY43pT")</f>
        <v>The '7 Deadly Sales Sins' committed by startups - http://tcrn.ch/PY43pT</v>
      </c>
      <c r="C1453" s="3">
        <v>41153.93241898148</v>
      </c>
      <c r="D1453" s="2">
        <v>228</v>
      </c>
      <c r="E1453" s="2">
        <v>11</v>
      </c>
      <c r="F1453" s="2" t="s">
        <v>7</v>
      </c>
      <c r="G1453" s="2" t="s">
        <v>8</v>
      </c>
    </row>
    <row r="1454" spans="1:7" ht="30" x14ac:dyDescent="0.25">
      <c r="A1454" s="4" t="str">
        <f>HYPERLINK("http://techcrunch.com/2012/09/01/amazon-hollywood-ultraviolet/","Amazon’s Big Hollywood Announcement: All About UltraViolet?")</f>
        <v>Amazon’s Big Hollywood Announcement: All About UltraViolet?</v>
      </c>
      <c r="B1454" s="4" t="str">
        <f>HYPERLINK("http://www.facebook.com/8062627951/posts/324746214288452","What do you think Amazon will announce on Thursday in LA?")</f>
        <v>What do you think Amazon will announce on Thursday in LA?</v>
      </c>
      <c r="C1454" s="3">
        <v>41153.742986111109</v>
      </c>
      <c r="D1454" s="2">
        <v>63</v>
      </c>
      <c r="E1454" s="2">
        <v>21</v>
      </c>
      <c r="F1454" s="2" t="s">
        <v>8</v>
      </c>
      <c r="G1454" s="2" t="s">
        <v>7</v>
      </c>
    </row>
    <row r="1455" spans="1:7" ht="30" x14ac:dyDescent="0.25">
      <c r="A1455" s="4" t="str">
        <f>HYPERLINK("http://techcrunch.com/2012/09/01/things-to-consider-before-asking-friends-and-family-to-invest-in-your-venture/","Things to Consider Before Asking Friends and Family to Invest In Your Venture")</f>
        <v>Things to Consider Before Asking Friends and Family to Invest In Your Venture</v>
      </c>
      <c r="B1455" s="4" t="str">
        <f>HYPERLINK("http://www.facebook.com/8062627951/posts/434082809976947","Would you feel comfortable asking your friends &amp; family to invest in your venture?")</f>
        <v>Would you feel comfortable asking your friends &amp; family to invest in your venture?</v>
      </c>
      <c r="C1455" s="3">
        <v>41153.647152777776</v>
      </c>
      <c r="D1455" s="2">
        <v>47</v>
      </c>
      <c r="E1455" s="2">
        <v>10</v>
      </c>
      <c r="F1455" s="2" t="s">
        <v>8</v>
      </c>
      <c r="G1455" s="2" t="s">
        <v>7</v>
      </c>
    </row>
    <row r="1456" spans="1:7" ht="30" x14ac:dyDescent="0.25">
      <c r="A1456" s="4" t="str">
        <f>HYPERLINK("http://techcrunch.com/2012/09/01/labor-day-ready-white-house-releases-beer-recipe-thanks-to-we-the-people/","Labor Day Ready: White House Releases Beer Recipe Thanks To Direct Democracy")</f>
        <v>Labor Day Ready: White House Releases Beer Recipe Thanks To Direct Democracy</v>
      </c>
      <c r="B1456" s="4" t="str">
        <f>HYPERLINK("http://www.facebook.com/8062627951/posts/279653602139005","Anyone want to try the White House's official home brew, The White House Honey Ale?")</f>
        <v>Anyone want to try the White House's official home brew, The White House Honey Ale?</v>
      </c>
      <c r="C1456" s="3">
        <v>41153.597766203704</v>
      </c>
      <c r="D1456" s="2">
        <v>80</v>
      </c>
      <c r="E1456" s="2">
        <v>20</v>
      </c>
      <c r="F1456" s="2" t="s">
        <v>8</v>
      </c>
      <c r="G1456" s="2" t="s">
        <v>7</v>
      </c>
    </row>
    <row r="1457" spans="1:7" ht="30" x14ac:dyDescent="0.25">
      <c r="A1457" s="4" t="str">
        <f>HYPERLINK("http://www.facebook.com/photo.php?fbid=10151222223082952&amp;set=a.114456157951.118433.8062627951&amp;type=1&amp;relevant_count=1","[Photo]")</f>
        <v>[Photo]</v>
      </c>
      <c r="B1457" s="4" t="str">
        <f>HYPERLINK("http://www.facebook.com/8062627951/posts/10151222223122952","Ecosystem 101: the six necessary categories to build the next Silicon Valley - http://tcrn.ch/NDVkNB")</f>
        <v>Ecosystem 101: the six necessary categories to build the next Silicon Valley - http://tcrn.ch/NDVkNB</v>
      </c>
      <c r="C1457" s="3">
        <v>41153.514872685184</v>
      </c>
      <c r="D1457" s="2">
        <v>235</v>
      </c>
      <c r="E1457" s="2">
        <v>37</v>
      </c>
      <c r="F1457" s="2" t="s">
        <v>7</v>
      </c>
      <c r="G1457" s="2" t="s">
        <v>8</v>
      </c>
    </row>
    <row r="1458" spans="1:7" ht="30" x14ac:dyDescent="0.25">
      <c r="A1458" s="4" t="str">
        <f>HYPERLINK("http://techcrunch.com/2012/09/01/how-apple-and-google-could-make-qr-codes-mainstream/","How Apple And Google Could Make QR Codes Mainstream")</f>
        <v>How Apple And Google Could Make QR Codes Mainstream</v>
      </c>
      <c r="B1458" s="4" t="str">
        <f>HYPERLINK("http://www.facebook.com/8062627951/posts/309775125787005","Have you ever used a QR code?")</f>
        <v>Have you ever used a QR code?</v>
      </c>
      <c r="C1458" s="3">
        <v>41153.421215277776</v>
      </c>
      <c r="D1458" s="2">
        <v>211</v>
      </c>
      <c r="E1458" s="2">
        <v>83</v>
      </c>
      <c r="F1458" s="2" t="s">
        <v>8</v>
      </c>
      <c r="G1458" s="2" t="s">
        <v>7</v>
      </c>
    </row>
    <row r="1459" spans="1:7" ht="30" x14ac:dyDescent="0.25">
      <c r="A1459" s="4" t="str">
        <f>HYPERLINK("http://techcrunch.com/2012/09/01/google-is-going-after-yammer-to-flank-facebook/","Google+ Is Going After Yammer To Flank Facebook")</f>
        <v>Google+ Is Going After Yammer To Flank Facebook</v>
      </c>
      <c r="B1459" s="4" t="str">
        <f>HYPERLINK("http://www.facebook.com/8062627951/posts/417988298257549","Yet another battle in the never-ending war between Google and Facebook.")</f>
        <v>Yet another battle in the never-ending war between Google and Facebook.</v>
      </c>
      <c r="C1459" s="3">
        <v>41153.382754629631</v>
      </c>
      <c r="D1459" s="2">
        <v>85</v>
      </c>
      <c r="E1459" s="2">
        <v>21</v>
      </c>
      <c r="F1459" s="2" t="s">
        <v>7</v>
      </c>
      <c r="G1459" s="2" t="s">
        <v>7</v>
      </c>
    </row>
    <row r="1460" spans="1:7" x14ac:dyDescent="0.25">
      <c r="A1460" s="4" t="str">
        <f>HYPERLINK("http://www.facebook.com/photo.php?fbid=10151221685662952&amp;set=a.114456157951.118433.8062627951&amp;type=1&amp;relevant_count=1","[Photo]")</f>
        <v>[Photo]</v>
      </c>
      <c r="B1460" s="4" t="str">
        <f>HYPERLINK("http://www.facebook.com/8062627951/posts/10151221685717952","Apple's patent win is bad for us all -- http://tcrn.ch/OJhFrk")</f>
        <v>Apple's patent win is bad for us all -- http://tcrn.ch/OJhFrk</v>
      </c>
      <c r="C1460" s="3">
        <v>41153.219050925924</v>
      </c>
      <c r="D1460" s="2">
        <v>451</v>
      </c>
      <c r="E1460" s="2">
        <v>60</v>
      </c>
      <c r="F1460" s="2" t="s">
        <v>7</v>
      </c>
      <c r="G1460" s="2" t="s">
        <v>8</v>
      </c>
    </row>
    <row r="1461" spans="1:7" ht="30" x14ac:dyDescent="0.25">
      <c r="A1461" s="4" t="str">
        <f>HYPERLINK("http://www.facebook.com/photo.php?fbid=10151221463447952&amp;set=a.114456157951.118433.8062627951&amp;type=1&amp;relevant_count=1","[Photo]")</f>
        <v>[Photo]</v>
      </c>
      <c r="B1461" s="4" t="str">
        <f>HYPERLINK("http://www.facebook.com/8062627951/posts/10151221463472952","Now in 600+ schools and open to any student, Lore gives higher ed a next-gen social network - http://tcrn.ch/Q9qpXs")</f>
        <v>Now in 600+ schools and open to any student, Lore gives higher ed a next-gen social network - http://tcrn.ch/Q9qpXs</v>
      </c>
      <c r="C1461" s="3">
        <v>41153.041238425925</v>
      </c>
      <c r="D1461" s="2">
        <v>174</v>
      </c>
      <c r="E1461" s="2">
        <v>9</v>
      </c>
      <c r="F1461" s="2" t="s">
        <v>7</v>
      </c>
      <c r="G1461" s="2" t="s">
        <v>8</v>
      </c>
    </row>
    <row r="1462" spans="1:7" x14ac:dyDescent="0.25">
      <c r="A1462" s="4" t="str">
        <f>HYPERLINK("http://www.facebook.com/photo.php?fbid=10151221063932952&amp;set=a.10151134316772952.498619.8062627951&amp;type=1&amp;relevant_count=1","[Photo]")</f>
        <v>[Photo]</v>
      </c>
      <c r="B1462" s="4" t="str">
        <f>HYPERLINK("http://www.facebook.com/8062627951/posts/10151221063962952","TechCrunch style. ")</f>
        <v xml:space="preserve">TechCrunch style. </v>
      </c>
      <c r="C1462" s="3">
        <v>41152.71539351852</v>
      </c>
      <c r="D1462" s="2">
        <v>143</v>
      </c>
      <c r="E1462" s="2">
        <v>14</v>
      </c>
      <c r="F1462" s="2" t="s">
        <v>7</v>
      </c>
      <c r="G1462" s="2" t="s">
        <v>8</v>
      </c>
    </row>
    <row r="1463" spans="1:7" ht="30" x14ac:dyDescent="0.25">
      <c r="A1463" s="4" t="str">
        <f>HYPERLINK("http://www.facebook.com/photo.php?fbid=10151220782542952&amp;set=a.114456157951.118433.8062627951&amp;type=1&amp;relevant_count=1","[Photo]")</f>
        <v>[Photo]</v>
      </c>
      <c r="B1463" s="4" t="str">
        <f>HYPERLINK("http://www.facebook.com/8062627951/posts/10151220782562952","Facebook stock hits a new low, now down more than 50% since IPO - http://tcrn.ch/R2NtUe")</f>
        <v>Facebook stock hits a new low, now down more than 50% since IPO - http://tcrn.ch/R2NtUe</v>
      </c>
      <c r="C1463" s="3">
        <v>41152.558680555558</v>
      </c>
      <c r="D1463" s="2">
        <v>485</v>
      </c>
      <c r="E1463" s="2">
        <v>127</v>
      </c>
      <c r="F1463" s="2" t="s">
        <v>7</v>
      </c>
      <c r="G1463" s="2" t="s">
        <v>8</v>
      </c>
    </row>
    <row r="1464" spans="1:7" x14ac:dyDescent="0.25">
      <c r="A1464" s="4" t="str">
        <f>HYPERLINK("http://www.facebook.com/photo.php?fbid=10151220731282952&amp;set=a.10151134316772952.498619.8062627951&amp;type=1&amp;relevant_count=1","[Photo]")</f>
        <v>[Photo]</v>
      </c>
      <c r="B1464" s="4" t="str">
        <f>HYPERLINK("http://www.facebook.com/8062627951/posts/10151220731322952","Happy Friday ")</f>
        <v xml:space="preserve">Happy Friday </v>
      </c>
      <c r="C1464" s="3">
        <v>41152.526550925926</v>
      </c>
      <c r="D1464" s="2">
        <v>62</v>
      </c>
      <c r="E1464" s="2">
        <v>2</v>
      </c>
      <c r="F1464" s="2" t="s">
        <v>7</v>
      </c>
      <c r="G1464" s="2" t="s">
        <v>8</v>
      </c>
    </row>
    <row r="1465" spans="1:7" ht="30" x14ac:dyDescent="0.25">
      <c r="A1465" s="4" t="str">
        <f>HYPERLINK("http://techcrunch.com/2012/08/31/animated-gifs-as-ads-tumblr-experiments-with-advertising-format/","Animated Gifs As Ads? Tumblr Experiments With New Advertising Format")</f>
        <v>Animated Gifs As Ads? Tumblr Experiments With New Advertising Format</v>
      </c>
      <c r="B1465" s="4" t="str">
        <f>HYPERLINK("http://www.facebook.com/8062627951/posts/361377047274439","Long live the GIFs!")</f>
        <v>Long live the GIFs!</v>
      </c>
      <c r="C1465" s="3">
        <v>41152.490532407406</v>
      </c>
      <c r="D1465" s="2">
        <v>72</v>
      </c>
      <c r="E1465" s="2">
        <v>11</v>
      </c>
      <c r="F1465" s="2" t="s">
        <v>7</v>
      </c>
      <c r="G1465" s="2" t="s">
        <v>7</v>
      </c>
    </row>
    <row r="1466" spans="1:7" ht="30" x14ac:dyDescent="0.25">
      <c r="A1466" s="4" t="s">
        <v>9</v>
      </c>
      <c r="B1466" s="4" t="str">
        <f>HYPERLINK("http://www.facebook.com/8062627951/posts/10151220578047952","Giveaways and big announcements for Disrupt SF coming next week. Any guesses? Stay tuned!")</f>
        <v>Giveaways and big announcements for Disrupt SF coming next week. Any guesses? Stay tuned!</v>
      </c>
      <c r="C1466" s="3">
        <v>41152.458553240744</v>
      </c>
      <c r="D1466" s="2">
        <v>16</v>
      </c>
      <c r="E1466" s="2">
        <v>5</v>
      </c>
      <c r="F1466" s="2" t="s">
        <v>8</v>
      </c>
      <c r="G1466" s="2" t="s">
        <v>7</v>
      </c>
    </row>
    <row r="1467" spans="1:7" ht="30" x14ac:dyDescent="0.25">
      <c r="A1467" s="4" t="str">
        <f>HYPERLINK("http://techcrunch.com/2012/08/31/hp-launches-the-beta-release-of-open-webos/","HP Launches The Beta Release Of Open WebOS")</f>
        <v>HP Launches The Beta Release Of Open WebOS</v>
      </c>
      <c r="B1467" s="4" t="str">
        <f>HYPERLINK("http://www.facebook.com/8062627951/posts/173455489456801","Thoughts?")</f>
        <v>Thoughts?</v>
      </c>
      <c r="C1467" s="3">
        <v>41152.451840277776</v>
      </c>
      <c r="D1467" s="2">
        <v>71</v>
      </c>
      <c r="E1467" s="2">
        <v>15</v>
      </c>
      <c r="F1467" s="2" t="s">
        <v>8</v>
      </c>
      <c r="G1467" s="2" t="s">
        <v>7</v>
      </c>
    </row>
    <row r="1468" spans="1:7" ht="45" x14ac:dyDescent="0.25">
      <c r="A1468" s="4" t="str">
        <f>HYPERLINK("http://techcrunch.com/2012/08/31/olive-wpp-distribution/","The Makers Of Smartphone-Shot Feature Film Olive Hope To Rethink Movie Distribution")</f>
        <v>The Makers Of Smartphone-Shot Feature Film Olive Hope To Rethink Movie Distribution</v>
      </c>
      <c r="B1468" s="4" t="str">
        <f>HYPERLINK("http://www.facebook.com/8062627951/posts/101828309970707","Armed with just a smartphone, a great story and the Internet, this indie film could foretell the future of movie making and distribution.")</f>
        <v>Armed with just a smartphone, a great story and the Internet, this indie film could foretell the future of movie making and distribution.</v>
      </c>
      <c r="C1468" s="3">
        <v>41152.321898148148</v>
      </c>
      <c r="D1468" s="2">
        <v>45</v>
      </c>
      <c r="E1468" s="2">
        <v>5</v>
      </c>
      <c r="F1468" s="2" t="s">
        <v>7</v>
      </c>
      <c r="G1468" s="2" t="s">
        <v>7</v>
      </c>
    </row>
    <row r="1469" spans="1:7" ht="30" x14ac:dyDescent="0.25">
      <c r="A1469" s="4" t="str">
        <f>HYPERLINK("http://www.facebook.com/photo.php?fbid=10151220217332952&amp;set=a.114456157951.118433.8062627951&amp;type=1&amp;relevant_count=1","[Photo]")</f>
        <v>[Photo]</v>
      </c>
      <c r="B1469" s="4" t="str">
        <f>HYPERLINK("http://www.facebook.com/8062627951/posts/10151220217352952","This is the best look at the new iPhone yet. http://tcrn.ch/TE9fzX")</f>
        <v>This is the best look at the new iPhone yet. http://tcrn.ch/TE9fzX</v>
      </c>
      <c r="C1469" s="3">
        <v>41152.282199074078</v>
      </c>
      <c r="D1469" s="2">
        <v>787</v>
      </c>
      <c r="E1469" s="2">
        <v>90</v>
      </c>
      <c r="F1469" s="2" t="s">
        <v>7</v>
      </c>
      <c r="G1469" s="2" t="s">
        <v>8</v>
      </c>
    </row>
    <row r="1470" spans="1:7" ht="30" x14ac:dyDescent="0.25">
      <c r="A1470" s="4" t="str">
        <f>HYPERLINK("http://techcrunch.com/2012/08/31/smart-tvs-gf/","Smart TVs Fail To Score With Consumers In U.S. And Other Western Markets: GfK")</f>
        <v>Smart TVs Fail To Score With Consumers In U.S. And Other Western Markets: GfK</v>
      </c>
      <c r="B1470" s="4" t="str">
        <f>HYPERLINK("http://www.facebook.com/8062627951/posts/324736470955284","Why aren't smart TVs catching on?")</f>
        <v>Why aren't smart TVs catching on?</v>
      </c>
      <c r="C1470" s="3">
        <v>41152.260451388887</v>
      </c>
      <c r="D1470" s="2">
        <v>56</v>
      </c>
      <c r="E1470" s="2">
        <v>62</v>
      </c>
      <c r="F1470" s="2" t="s">
        <v>8</v>
      </c>
      <c r="G1470" s="2" t="s">
        <v>7</v>
      </c>
    </row>
    <row r="1471" spans="1:7" ht="30" x14ac:dyDescent="0.25">
      <c r="A1471" s="4" t="str">
        <f>HYPERLINK("http://www.facebook.com/photo.php?fbid=10151220103397952&amp;set=a.114456157951.118433.8062627951&amp;type=1&amp;relevant_count=1","[Photo]")</f>
        <v>[Photo]</v>
      </c>
      <c r="B1471" s="4" t="str">
        <f>HYPERLINK("http://www.facebook.com/8062627951/posts/10151220103422952","Nokia's Windows Phone 8 820/920 PureView Smartphones leak -- and they look great! http://tcrn.ch/OxRx0t")</f>
        <v>Nokia's Windows Phone 8 820/920 PureView Smartphones leak -- and they look great! http://tcrn.ch/OxRx0t</v>
      </c>
      <c r="C1471" s="3">
        <v>41152.20385416667</v>
      </c>
      <c r="D1471" s="2">
        <v>369</v>
      </c>
      <c r="E1471" s="2">
        <v>36</v>
      </c>
      <c r="F1471" s="2" t="s">
        <v>7</v>
      </c>
      <c r="G1471" s="2" t="s">
        <v>8</v>
      </c>
    </row>
    <row r="1472" spans="1:7" ht="30" x14ac:dyDescent="0.25">
      <c r="A1472" s="4" t="str">
        <f>HYPERLINK("http://techcrunch.com/2012/08/30/facebook-ads-email-phone-numbers/","Facebook To Roll Out Email- and Phone Number-Based Ad Targeting Next Week")</f>
        <v>Facebook To Roll Out Email- and Phone Number-Based Ad Targeting Next Week</v>
      </c>
      <c r="B1472" s="4" t="str">
        <f>HYPERLINK("http://www.facebook.com/8062627951/posts/147184968755159","Get ready.")</f>
        <v>Get ready.</v>
      </c>
      <c r="C1472" s="3">
        <v>41151.762037037035</v>
      </c>
      <c r="D1472" s="2">
        <v>79</v>
      </c>
      <c r="E1472" s="2">
        <v>25</v>
      </c>
      <c r="F1472" s="2" t="s">
        <v>7</v>
      </c>
      <c r="G1472" s="2" t="s">
        <v>7</v>
      </c>
    </row>
    <row r="1473" spans="1:7" ht="60" x14ac:dyDescent="0.25">
      <c r="A1473" s="4" t="str">
        <f>HYPERLINK("http://www.facebook.com/photo.php?fbid=10151219370412952&amp;set=a.114456157951.118433.8062627951&amp;type=1&amp;relevant_count=1","[Photo]")</f>
        <v>[Photo]</v>
      </c>
      <c r="B1473" s="4" t="str">
        <f>HYPERLINK("http://www.facebook.com/8062627951/posts/10151219370467952","Wolfram Alpha, the “computational knowledge engine” that quietly handles a large number of queries from Apple’s Siri, launched a new feature today that allows you to quickly get an overview of all you...")</f>
        <v>Wolfram Alpha, the “computational knowledge engine” that quietly handles a large number of queries from Apple’s Siri, launched a new feature today that allows you to quickly get an overview of all you...</v>
      </c>
      <c r="C1473" s="3">
        <v>41151.632025462961</v>
      </c>
      <c r="D1473" s="2">
        <v>982</v>
      </c>
      <c r="E1473" s="2">
        <v>45</v>
      </c>
      <c r="F1473" s="2" t="s">
        <v>7</v>
      </c>
      <c r="G1473" s="2" t="s">
        <v>8</v>
      </c>
    </row>
    <row r="1474" spans="1:7" ht="30" x14ac:dyDescent="0.25">
      <c r="A1474" s="4" t="str">
        <f>HYPERLINK("http://www.facebook.com/photo.php?fbid=10151219288837952&amp;set=a.114456157951.118433.8062627951&amp;type=1&amp;relevant_count=1","[Photo]")</f>
        <v>[Photo]</v>
      </c>
      <c r="B1474" s="4" t="str">
        <f>HYPERLINK("http://www.facebook.com/8062627951/posts/10151219288922952","Titans talking turkey? Larry Page &amp; Tim Cook are reportedly discussing patent issues - http://tcrn.ch/OvxDDw")</f>
        <v>Titans talking turkey? Larry Page &amp; Tim Cook are reportedly discussing patent issues - http://tcrn.ch/OvxDDw</v>
      </c>
      <c r="C1474" s="3">
        <v>41151.580694444441</v>
      </c>
      <c r="D1474" s="2">
        <v>116</v>
      </c>
      <c r="E1474" s="2">
        <v>21</v>
      </c>
      <c r="F1474" s="2" t="s">
        <v>8</v>
      </c>
      <c r="G1474" s="2" t="s">
        <v>8</v>
      </c>
    </row>
    <row r="1475" spans="1:7" x14ac:dyDescent="0.25">
      <c r="A1475" s="4" t="str">
        <f>HYPERLINK("http://www.facebook.com/photo.php?fbid=10151219191882952&amp;set=a.10151134316772952.498619.8062627951&amp;type=1&amp;relevant_count=1","[Photo]")</f>
        <v>[Photo]</v>
      </c>
      <c r="B1475" s="4" t="str">
        <f>HYPERLINK("http://www.facebook.com/8062627951/posts/10151219191907952","Getting prepared for the Hackathon next weekend. ")</f>
        <v xml:space="preserve">Getting prepared for the Hackathon next weekend. </v>
      </c>
      <c r="C1475" s="3">
        <v>41151.523368055554</v>
      </c>
      <c r="D1475" s="2">
        <v>78</v>
      </c>
      <c r="E1475" s="2">
        <v>5</v>
      </c>
      <c r="F1475" s="2" t="s">
        <v>7</v>
      </c>
      <c r="G1475" s="2" t="s">
        <v>8</v>
      </c>
    </row>
    <row r="1476" spans="1:7" ht="30" x14ac:dyDescent="0.25">
      <c r="A1476" s="4" t="str">
        <f>HYPERLINK("http://www.facebook.com/photo.php?fbid=10151219126457952&amp;set=a.114456157951.118433.8062627951&amp;type=1&amp;relevant_count=1","[Photo]")</f>
        <v>[Photo]</v>
      </c>
      <c r="B1476" s="4" t="str">
        <f>HYPERLINK("http://www.facebook.com/8062627951/posts/10151219126477952","Galactic status: Virgin Airlines offers one frequent flier a trip to space. Would you want to go? http://tcrn.ch/UdOOvK")</f>
        <v>Galactic status: Virgin Airlines offers one frequent flier a trip to space. Would you want to go? http://tcrn.ch/UdOOvK</v>
      </c>
      <c r="C1476" s="3">
        <v>41151.485347222224</v>
      </c>
      <c r="D1476" s="2">
        <v>563</v>
      </c>
      <c r="E1476" s="2">
        <v>60</v>
      </c>
      <c r="F1476" s="2" t="s">
        <v>8</v>
      </c>
      <c r="G1476" s="2" t="s">
        <v>8</v>
      </c>
    </row>
    <row r="1477" spans="1:7" ht="45" x14ac:dyDescent="0.25">
      <c r="A1477" s="4" t="str">
        <f>HYPERLINK("http://techcrunch.com/2012/08/30/disrupt-2012-online-video-panel/","Join HBO, YouTube, Machinima, And Hollywood Producer Dana Brunetti At Disrupt SF")</f>
        <v>Join HBO, YouTube, Machinima, And Hollywood Producer Dana Brunetti At Disrupt SF</v>
      </c>
      <c r="B1477" s="4" t="str">
        <f>HYPERLINK("http://www.facebook.com/8062627951/posts/102210553264869","Top leaders from HBO, YouTube, Machinima and The Social Network producer Dan Brunetti will all be joining us for Disrupt!")</f>
        <v>Top leaders from HBO, YouTube, Machinima and The Social Network producer Dan Brunetti will all be joining us for Disrupt!</v>
      </c>
      <c r="C1477" s="3">
        <v>41151.436550925922</v>
      </c>
      <c r="D1477" s="2">
        <v>17</v>
      </c>
      <c r="E1477" s="2">
        <v>0</v>
      </c>
      <c r="F1477" s="2" t="s">
        <v>7</v>
      </c>
      <c r="G1477" s="2" t="s">
        <v>7</v>
      </c>
    </row>
    <row r="1478" spans="1:7" ht="45" x14ac:dyDescent="0.25">
      <c r="A1478" s="4" t="str">
        <f>HYPERLINK("http://techcrunch.com/2012/08/30/facebook-saturation-twitter-skype-instagram-other-apps-downloaded-more-in-july/","Facebook Saturation?: Twitter, Skype, Instagram &amp; Other Apps Downloaded More In July")</f>
        <v>Facebook Saturation?: Twitter, Skype, Instagram &amp; Other Apps Downloaded More In July</v>
      </c>
      <c r="B1478" s="4" t="str">
        <f>HYPERLINK("http://www.facebook.com/8062627951/posts/322477844515436","Is Facebook's appeal diminishing?")</f>
        <v>Is Facebook's appeal diminishing?</v>
      </c>
      <c r="C1478" s="3">
        <v>41151.283645833333</v>
      </c>
      <c r="D1478" s="2">
        <v>104</v>
      </c>
      <c r="E1478" s="2">
        <v>40</v>
      </c>
      <c r="F1478" s="2" t="s">
        <v>8</v>
      </c>
      <c r="G1478" s="2" t="s">
        <v>7</v>
      </c>
    </row>
    <row r="1479" spans="1:7" ht="30" x14ac:dyDescent="0.25">
      <c r="A1479" s="4" t="str">
        <f>HYPERLINK("http://techcrunch.com/2012/08/30/att-opens-a-swanky-10000-sq-ft-flagship-store-in-chi-town/","AT&amp;T Opens A Swanky 10,000 Sq. Ft. Flagship Store In Chi-Town")</f>
        <v>AT&amp;T Opens A Swanky 10,000 Sq. Ft. Flagship Store In Chi-Town</v>
      </c>
      <c r="B1479" s="4" t="str">
        <f>HYPERLINK("http://www.facebook.com/8062627951/posts/114279408721196","Fancy!")</f>
        <v>Fancy!</v>
      </c>
      <c r="C1479" s="3">
        <v>41151.260115740741</v>
      </c>
      <c r="D1479" s="2">
        <v>21</v>
      </c>
      <c r="E1479" s="2">
        <v>7</v>
      </c>
      <c r="F1479" s="2" t="s">
        <v>7</v>
      </c>
      <c r="G1479" s="2" t="s">
        <v>7</v>
      </c>
    </row>
    <row r="1480" spans="1:7" ht="30" x14ac:dyDescent="0.25">
      <c r="A1480" s="4" t="str">
        <f>HYPERLINK("http://techcrunch.com/2012/08/30/amazon-wants-everyone-to-know-the-kindle-fire-is-sold-out/","Amazon Wants Everyone To Know The Kindle Fire Is Sold Out")</f>
        <v>Amazon Wants Everyone To Know The Kindle Fire Is Sold Out</v>
      </c>
      <c r="B1480" s="4" t="str">
        <f>HYPERLINK("http://www.facebook.com/8062627951/posts/110150209135740","Are you ready for the new Kindle Fire?")</f>
        <v>Are you ready for the new Kindle Fire?</v>
      </c>
      <c r="C1480" s="3">
        <v>41151.238761574074</v>
      </c>
      <c r="D1480" s="2">
        <v>49</v>
      </c>
      <c r="E1480" s="2">
        <v>7</v>
      </c>
      <c r="F1480" s="2" t="s">
        <v>8</v>
      </c>
      <c r="G1480" s="2" t="s">
        <v>7</v>
      </c>
    </row>
    <row r="1481" spans="1:7" ht="45" x14ac:dyDescent="0.25">
      <c r="A1481" s="4" t="str">
        <f>HYPERLINK("http://techcrunch.com/2012/08/29/lift-launches/","Lift Brings A Simple Habit-Tracking And Self-Improvement Experience To Your iPhone")</f>
        <v>Lift Brings A Simple Habit-Tracking And Self-Improvement Experience To Your iPhone</v>
      </c>
      <c r="B1481" s="4" t="str">
        <f>HYPERLINK("http://www.facebook.com/8062627951/posts/174401712696035","Who needs help reaching some personal goals?")</f>
        <v>Who needs help reaching some personal goals?</v>
      </c>
      <c r="C1481" s="3">
        <v>41150.74895833333</v>
      </c>
      <c r="D1481" s="2">
        <v>97</v>
      </c>
      <c r="E1481" s="2">
        <v>10</v>
      </c>
      <c r="F1481" s="2" t="s">
        <v>8</v>
      </c>
      <c r="G1481" s="2" t="s">
        <v>7</v>
      </c>
    </row>
    <row r="1482" spans="1:7" ht="45" x14ac:dyDescent="0.25">
      <c r="A1482" s="4" t="str">
        <f>HYPERLINK("http://www.facebook.com/photo.php?fbid=10151217824577952&amp;set=a.114456157951.118433.8062627951&amp;type=1&amp;relevant_count=1","[Photo]")</f>
        <v>[Photo]</v>
      </c>
      <c r="B1482" s="4" t="str">
        <f>HYPERLINK("http://www.facebook.com/8062627951/posts/10151217824622952","Samsung ATIV S Revealed: Windows Phone 8, 4.8&lt;U+2033&gt; HD Display, 1.5GHz Dual-Core Processor - http://tcrn.ch/STMgDp")</f>
        <v>Samsung ATIV S Revealed: Windows Phone 8, 4.8&lt;U+2033&gt; HD Display, 1.5GHz Dual-Core Processor - http://tcrn.ch/STMgDp</v>
      </c>
      <c r="C1482" s="3">
        <v>41150.582962962966</v>
      </c>
      <c r="D1482" s="2">
        <v>189</v>
      </c>
      <c r="E1482" s="2">
        <v>26</v>
      </c>
      <c r="F1482" s="2" t="s">
        <v>7</v>
      </c>
      <c r="G1482" s="2" t="s">
        <v>8</v>
      </c>
    </row>
    <row r="1483" spans="1:7" ht="30" x14ac:dyDescent="0.25">
      <c r="A1483" s="4" t="str">
        <f>HYPERLINK("http://www.facebook.com/photo.php?fbid=10151217727687952&amp;set=a.114456157951.118433.8062627951&amp;type=1&amp;relevant_count=1","[Photo]")</f>
        <v>[Photo]</v>
      </c>
      <c r="B1483" s="4" t="str">
        <f>HYPERLINK("http://www.facebook.com/8062627951/posts/10151217727727952","Photo of President Barack Obama on Reddit - http://tcrn.ch/SUrp2O")</f>
        <v>Photo of President Barack Obama on Reddit - http://tcrn.ch/SUrp2O</v>
      </c>
      <c r="C1483" s="3">
        <v>41150.543275462966</v>
      </c>
      <c r="D1483" s="2">
        <v>1599</v>
      </c>
      <c r="E1483" s="2">
        <v>190</v>
      </c>
      <c r="F1483" s="2" t="s">
        <v>7</v>
      </c>
      <c r="G1483" s="2" t="s">
        <v>8</v>
      </c>
    </row>
    <row r="1484" spans="1:7" x14ac:dyDescent="0.25">
      <c r="A1484" s="4" t="str">
        <f>HYPERLINK("http://www.facebook.com/photo.php?fbid=10151217706757952&amp;set=a.10151134316772952.498619.8062627951&amp;type=1&amp;relevant_count=1","[Photo]")</f>
        <v>[Photo]</v>
      </c>
      <c r="B1484" s="4" t="str">
        <f>HYPERLINK("http://www.facebook.com/8062627951/posts/10151217706807952","Look, new toy! ")</f>
        <v xml:space="preserve">Look, new toy! </v>
      </c>
      <c r="C1484" s="3">
        <v>41150.531504629631</v>
      </c>
      <c r="D1484" s="2">
        <v>109</v>
      </c>
      <c r="E1484" s="2">
        <v>13</v>
      </c>
      <c r="F1484" s="2" t="s">
        <v>7</v>
      </c>
      <c r="G1484" s="2" t="s">
        <v>8</v>
      </c>
    </row>
    <row r="1485" spans="1:7" ht="30" x14ac:dyDescent="0.25">
      <c r="A1485" s="4" t="str">
        <f>HYPERLINK("http://techcrunch.com/2012/08/29/president-barack-obama-joins-reddit-does-an-ama/","President Barack Obama Joins Reddit, Does An AMA")</f>
        <v>President Barack Obama Joins Reddit, Does An AMA</v>
      </c>
      <c r="B1485" s="4" t="str">
        <f>HYPERLINK("http://www.facebook.com/8062627951/posts/437195572990802","President Barack Obama joins Reddit!")</f>
        <v>President Barack Obama joins Reddit!</v>
      </c>
      <c r="C1485" s="3">
        <v>41150.526828703703</v>
      </c>
      <c r="D1485" s="2">
        <v>291</v>
      </c>
      <c r="E1485" s="2">
        <v>24</v>
      </c>
      <c r="F1485" s="2" t="s">
        <v>7</v>
      </c>
      <c r="G1485" s="2" t="s">
        <v>7</v>
      </c>
    </row>
    <row r="1486" spans="1:7" ht="45" x14ac:dyDescent="0.25">
      <c r="A1486" s="4" t="str">
        <f>HYPERLINK("http://techcrunch.com/2012/08/29/samsung-announces-the-galaxy-camera-4-8-display-quad-core-exynos-soc-and-jelly-bean/","Samsung Announces The Galaxy Camera: 4.8&lt;U+2033&gt; Display, 16MP CMOS Sensor, 21x Zoom, And Jelly Bean")</f>
        <v>Samsung Announces The Galaxy Camera: 4.8&lt;U+2033&gt; Display, 16MP CMOS Sensor, 21x Zoom, And Jelly Bean</v>
      </c>
      <c r="B1486" s="4" t="str">
        <f>HYPERLINK("http://www.facebook.com/8062627951/posts/485694551441819","Samsung is looking boost the point-and-shoot business with a dash of Android. Do you want one?")</f>
        <v>Samsung is looking boost the point-and-shoot business with a dash of Android. Do you want one?</v>
      </c>
      <c r="C1486" s="3">
        <v>41150.461770833332</v>
      </c>
      <c r="D1486" s="2">
        <v>155</v>
      </c>
      <c r="E1486" s="2">
        <v>44</v>
      </c>
      <c r="F1486" s="2" t="s">
        <v>8</v>
      </c>
      <c r="G1486" s="2" t="s">
        <v>7</v>
      </c>
    </row>
    <row r="1487" spans="1:7" ht="30" x14ac:dyDescent="0.25">
      <c r="A1487" s="4" t="str">
        <f>HYPERLINK("http://www.facebook.com/photo.php?fbid=10151217444812952&amp;set=a.114456157951.118433.8062627951&amp;type=1&amp;relevant_count=1","[Photo]")</f>
        <v>[Photo]</v>
      </c>
      <c r="B1487" s="4" t="str">
        <f>HYPERLINK("http://www.facebook.com/8062627951/posts/10151217444837952","Meet the Galaxy Note II, Samsung’s most important phone yet - http://tcrn.ch/QyBNxU")</f>
        <v>Meet the Galaxy Note II, Samsung’s most important phone yet - http://tcrn.ch/QyBNxU</v>
      </c>
      <c r="C1487" s="3">
        <v>41150.391400462962</v>
      </c>
      <c r="D1487" s="2">
        <v>602</v>
      </c>
      <c r="E1487" s="2">
        <v>66</v>
      </c>
      <c r="F1487" s="2" t="s">
        <v>7</v>
      </c>
      <c r="G1487" s="2" t="s">
        <v>8</v>
      </c>
    </row>
    <row r="1488" spans="1:7" ht="45" x14ac:dyDescent="0.25">
      <c r="A1488" s="4" t="str">
        <f>HYPERLINK("http://techcrunch.com/2012/08/29/google-enters-the-social-enterprise-with-public-debut-of-google-for-businesses-free-through-2013/","Google Enters The Social Enterprise With Public Debut Of Google+ For Businesses, Free Through 2013")</f>
        <v>Google Enters The Social Enterprise With Public Debut Of Google+ For Businesses, Free Through 2013</v>
      </c>
      <c r="B1488" s="4" t="str">
        <f>HYPERLINK("http://www.facebook.com/8062627951/posts/138601612949893","Big moves from Google.")</f>
        <v>Big moves from Google.</v>
      </c>
      <c r="C1488" s="3">
        <v>41150.360405092593</v>
      </c>
      <c r="D1488" s="2">
        <v>228</v>
      </c>
      <c r="E1488" s="2">
        <v>8</v>
      </c>
      <c r="F1488" s="2" t="s">
        <v>7</v>
      </c>
      <c r="G1488" s="2" t="s">
        <v>7</v>
      </c>
    </row>
    <row r="1489" spans="1:7" ht="45" x14ac:dyDescent="0.25">
      <c r="A1489" s="4" t="str">
        <f>HYPERLINK("http://www.facebook.com/photo.php?fbid=10151217281042952&amp;set=a.114456157951.118433.8062627951&amp;type=1&amp;relevant_count=1","[Photo]")</f>
        <v>[Photo]</v>
      </c>
      <c r="B1489" s="4" t="str">
        <f>HYPERLINK("http://www.facebook.com/8062627951/posts/10151217281077952","Sony takes on the MS Surface, introduces the full-featured VAIO Duo 11 Windows 8 slide-out tablet -- http://t.co/82rBjMtl")</f>
        <v>Sony takes on the MS Surface, introduces the full-featured VAIO Duo 11 Windows 8 slide-out tablet -- http://t.co/82rBjMtl</v>
      </c>
      <c r="C1489" s="3">
        <v>41150.305543981478</v>
      </c>
      <c r="D1489" s="2">
        <v>389</v>
      </c>
      <c r="E1489" s="2">
        <v>39</v>
      </c>
      <c r="F1489" s="2" t="s">
        <v>7</v>
      </c>
      <c r="G1489" s="2" t="s">
        <v>8</v>
      </c>
    </row>
    <row r="1490" spans="1:7" ht="30" x14ac:dyDescent="0.25">
      <c r="A1490" s="4" t="str">
        <f>HYPERLINK("http://techcrunch.com/2012/08/29/another-sign-of-a-new-iphone-apple-will-pay-you-to-recycle-your-4s/","Another Sign Of A New iPhone? Apple Will Pay You To Recycle Your 4S")</f>
        <v>Another Sign Of A New iPhone? Apple Will Pay You To Recycle Your 4S</v>
      </c>
      <c r="B1490" s="4" t="str">
        <f>HYPERLINK("http://www.facebook.com/8062627951/posts/419565178078529","Apple wants to buy your old iPhone.")</f>
        <v>Apple wants to buy your old iPhone.</v>
      </c>
      <c r="C1490" s="3">
        <v>41150.213425925926</v>
      </c>
      <c r="D1490" s="2">
        <v>219</v>
      </c>
      <c r="E1490" s="2">
        <v>30</v>
      </c>
      <c r="F1490" s="2" t="s">
        <v>7</v>
      </c>
      <c r="G1490" s="2" t="s">
        <v>7</v>
      </c>
    </row>
    <row r="1491" spans="1:7" ht="45" x14ac:dyDescent="0.25">
      <c r="A1491" s="4" t="str">
        <f>HYPERLINK("http://techcrunch.com/2012/08/28/stky-aims-to-save-you-from-yourself-with-sticky-note-inspired-to-do-list/","Stky Aims To Save You From Yourself With Sticky Note-Inspired To-Do List")</f>
        <v>Stky Aims To Save You From Yourself With Sticky Note-Inspired To-Do List</v>
      </c>
      <c r="B1491" s="4" t="str">
        <f>HYPERLINK("http://www.facebook.com/8062627951/posts/100752466744500","You know that long to-do list that you never get to? Stky, an app built by CrunchFund EIR Dave Feldman, can help save you from your insurmountable list.")</f>
        <v>You know that long to-do list that you never get to? Stky, an app built by CrunchFund EIR Dave Feldman, can help save you from your insurmountable list.</v>
      </c>
      <c r="C1491" s="3">
        <v>41149.907118055555</v>
      </c>
      <c r="D1491" s="2">
        <v>45</v>
      </c>
      <c r="E1491" s="2">
        <v>10</v>
      </c>
      <c r="F1491" s="2" t="s">
        <v>8</v>
      </c>
      <c r="G1491" s="2" t="s">
        <v>7</v>
      </c>
    </row>
    <row r="1492" spans="1:7" ht="30" x14ac:dyDescent="0.25">
      <c r="A1492" s="4" t="str">
        <f>HYPERLINK("http://techcrunch.com/2012/08/28/talented-shirley-hornstein/","The Talented Ms. Hornstein: How @Shirls Fooled The Valley")</f>
        <v>The Talented Ms. Hornstein: How @Shirls Fooled The Valley</v>
      </c>
      <c r="B1492" s="4" t="str">
        <f>HYPERLINK("http://www.facebook.com/8062627951/posts/462974570454595","How not to get ahead in Silicon Valley.")</f>
        <v>How not to get ahead in Silicon Valley.</v>
      </c>
      <c r="C1492" s="3">
        <v>41149.726400462961</v>
      </c>
      <c r="D1492" s="2">
        <v>149</v>
      </c>
      <c r="E1492" s="2">
        <v>26</v>
      </c>
      <c r="F1492" s="2" t="s">
        <v>7</v>
      </c>
      <c r="G1492" s="2" t="s">
        <v>7</v>
      </c>
    </row>
    <row r="1493" spans="1:7" ht="30" x14ac:dyDescent="0.25">
      <c r="A1493" s="4" t="str">
        <f>HYPERLINK("http://www.facebook.com/photo.php?fbid=10151216449592952&amp;set=a.114456157951.118433.8062627951&amp;type=1&amp;relevant_count=1","[Photo]")</f>
        <v>[Photo]</v>
      </c>
      <c r="B1493" s="4" t="str">
        <f>HYPERLINK("http://www.facebook.com/8062627951/posts/10151216449637952","RAWR: Samsung Canada wins the Internet with this custom Galaxy S III - http://tcrn.ch/SPtWv9")</f>
        <v>RAWR: Samsung Canada wins the Internet with this custom Galaxy S III - http://tcrn.ch/SPtWv9</v>
      </c>
      <c r="C1493" s="3">
        <v>41149.691666666666</v>
      </c>
      <c r="D1493" s="2">
        <v>330</v>
      </c>
      <c r="E1493" s="2">
        <v>16</v>
      </c>
      <c r="F1493" s="2" t="s">
        <v>7</v>
      </c>
      <c r="G1493" s="2" t="s">
        <v>8</v>
      </c>
    </row>
    <row r="1494" spans="1:7" ht="45" x14ac:dyDescent="0.25">
      <c r="A1494" s="4" t="str">
        <f>HYPERLINK("http://techcrunch.com/2012/08/28/facebook-brings-notifications-album-specific-uploads-to-standalone-camera-app/","Facebook Brings Notifications, Album-Specific Uploads To Standalone Camera App")</f>
        <v>Facebook Brings Notifications, Album-Specific Uploads To Standalone Camera App</v>
      </c>
      <c r="B1494" s="4" t="str">
        <f>HYPERLINK("http://www.facebook.com/8062627951/posts/109372809213411","Facebook updated its standalone camera app today. Do you like it?")</f>
        <v>Facebook updated its standalone camera app today. Do you like it?</v>
      </c>
      <c r="C1494" s="3">
        <v>41149.675567129627</v>
      </c>
      <c r="D1494" s="2">
        <v>50</v>
      </c>
      <c r="E1494" s="2">
        <v>10</v>
      </c>
      <c r="F1494" s="2" t="s">
        <v>8</v>
      </c>
      <c r="G1494" s="2" t="s">
        <v>7</v>
      </c>
    </row>
    <row r="1495" spans="1:7" ht="45" x14ac:dyDescent="0.25">
      <c r="A1495" s="4" t="str">
        <f>HYPERLINK("http://www.facebook.com/photo.php?fbid=10151216332682952&amp;set=a.114456157951.118433.8062627951&amp;type=1&amp;relevant_count=1","[Photo]")</f>
        <v>[Photo]</v>
      </c>
      <c r="B1495" s="4" t="str">
        <f>HYPERLINK("http://www.facebook.com/8062627951/posts/10151216332722952","Your Disrupt Startup Battlefield final judges: Marissa Mayer, Roelof Botha, Michael Arrington, Chris Dixon, David Lee And David Sacks.    Who's ready?! - http://tcrn.ch/PpTNpK")</f>
        <v>Your Disrupt Startup Battlefield final judges: Marissa Mayer, Roelof Botha, Michael Arrington, Chris Dixon, David Lee And David Sacks.    Who's ready?! - http://tcrn.ch/PpTNpK</v>
      </c>
      <c r="C1495" s="3">
        <v>41149.651863425926</v>
      </c>
      <c r="D1495" s="2">
        <v>67</v>
      </c>
      <c r="E1495" s="2">
        <v>5</v>
      </c>
      <c r="F1495" s="2" t="s">
        <v>8</v>
      </c>
      <c r="G1495" s="2" t="s">
        <v>8</v>
      </c>
    </row>
    <row r="1496" spans="1:7" ht="45" x14ac:dyDescent="0.25">
      <c r="A1496" s="4" t="str">
        <f>HYPERLINK("http://techcrunch.com/2012/08/28/yammers-david-sacks-to-join-us-at-disrupt-sf/","Yammer’s David Sacks To Join Us At Disrupt SF")</f>
        <v>Yammer’s David Sacks To Join Us At Disrupt SF</v>
      </c>
      <c r="B1496" s="4" t="str">
        <f>HYPERLINK("http://www.facebook.com/8062627951/posts/378326622240260","Yammer's David Sacks will be joining us at this year's Disrupt SF. What do you think he'll be talking about? Get your tickets!")</f>
        <v>Yammer's David Sacks will be joining us at this year's Disrupt SF. What do you think he'll be talking about? Get your tickets!</v>
      </c>
      <c r="C1496" s="3">
        <v>41149.589606481481</v>
      </c>
      <c r="D1496" s="2">
        <v>17</v>
      </c>
      <c r="E1496" s="2">
        <v>2</v>
      </c>
      <c r="F1496" s="2" t="s">
        <v>8</v>
      </c>
      <c r="G1496" s="2" t="s">
        <v>7</v>
      </c>
    </row>
    <row r="1497" spans="1:7" ht="45" x14ac:dyDescent="0.25">
      <c r="A1497" s="4" t="str">
        <f>HYPERLINK("http://techcrunch.com/2012/08/28/first-fire-thyself/","First, Fire Thyself")</f>
        <v>First, Fire Thyself</v>
      </c>
      <c r="B1497" s="4" t="s">
        <v>86</v>
      </c>
      <c r="C1497" s="3">
        <v>41149.542824074073</v>
      </c>
      <c r="D1497" s="2">
        <v>103</v>
      </c>
      <c r="E1497" s="2">
        <v>9</v>
      </c>
      <c r="F1497" s="2" t="s">
        <v>8</v>
      </c>
      <c r="G1497" s="2" t="s">
        <v>7</v>
      </c>
    </row>
    <row r="1498" spans="1:7" ht="30" x14ac:dyDescent="0.25">
      <c r="A1498" s="4" t="str">
        <f>HYPERLINK("http://www.facebook.com/photo.php?fbid=10151215812727952&amp;set=a.114456157951.118433.8062627951&amp;type=1&amp;relevant_count=1","[Photo]")</f>
        <v>[Photo]</v>
      </c>
      <c r="B1498" s="4" t="str">
        <f>HYPERLINK("http://www.facebook.com/8062627951/posts/10151215812792952","Winter is coming: the great iPhone cable shortage of 2012 - http://tcrn.ch/NUvEMp")</f>
        <v>Winter is coming: the great iPhone cable shortage of 2012 - http://tcrn.ch/NUvEMp</v>
      </c>
      <c r="C1498" s="3">
        <v>41149.47320601852</v>
      </c>
      <c r="D1498" s="2">
        <v>228</v>
      </c>
      <c r="E1498" s="2">
        <v>32</v>
      </c>
      <c r="F1498" s="2" t="s">
        <v>7</v>
      </c>
      <c r="G1498" s="2" t="s">
        <v>8</v>
      </c>
    </row>
    <row r="1499" spans="1:7" ht="30" x14ac:dyDescent="0.25">
      <c r="A1499" s="4" t="str">
        <f>HYPERLINK("http://www.facebook.com/photo.php?fbid=10151215615072952&amp;set=a.114456157951.118433.8062627951&amp;type=1&amp;relevant_count=1","[Photo]")</f>
        <v>[Photo]</v>
      </c>
      <c r="B1499" s="4" t="str">
        <f>HYPERLINK("http://www.facebook.com/8062627951/posts/10151215615122952","The new iPhone already has an Android-powered clone - http://tcrn.ch/RVeG2f")</f>
        <v>The new iPhone already has an Android-powered clone - http://tcrn.ch/RVeG2f</v>
      </c>
      <c r="C1499" s="3">
        <v>41149.415821759256</v>
      </c>
      <c r="D1499" s="2">
        <v>597</v>
      </c>
      <c r="E1499" s="2">
        <v>91</v>
      </c>
      <c r="F1499" s="2" t="s">
        <v>7</v>
      </c>
      <c r="G1499" s="2" t="s">
        <v>8</v>
      </c>
    </row>
    <row r="1500" spans="1:7" x14ac:dyDescent="0.25">
      <c r="A1500" s="4" t="str">
        <f>HYPERLINK("http://www.facebook.com/photo.php?fbid=10151215529197952&amp;set=a.10151134316772952.498619.8062627951&amp;type=1&amp;relevant_count=1","[Photo]")</f>
        <v>[Photo]</v>
      </c>
      <c r="B1500" s="4" t="str">
        <f>HYPERLINK("http://www.facebook.com/8062627951/posts/10151215529277952","Someone sent us a Kindle! What should we do with it? ")</f>
        <v xml:space="preserve">Someone sent us a Kindle! What should we do with it? </v>
      </c>
      <c r="C1500" s="3">
        <v>41149.385960648149</v>
      </c>
      <c r="D1500" s="2">
        <v>252</v>
      </c>
      <c r="E1500" s="2">
        <v>482</v>
      </c>
      <c r="F1500" s="2" t="s">
        <v>8</v>
      </c>
      <c r="G1500" s="2" t="s">
        <v>8</v>
      </c>
    </row>
    <row r="1501" spans="1:7" ht="45" x14ac:dyDescent="0.25">
      <c r="A1501" s="4" t="str">
        <f>HYPERLINK("http://techcrunch.com/2012/08/28/how-much-is-a-like-worth-data-visualization-company-sumall-releases-social-metrics-tracking-social-activity-against-web-traffic-and-revenue/","How Much Is A Like Worth? SumAll Social Metrics Tracks Social Activity Against Web Traffic And Reven")</f>
        <v>How Much Is A Like Worth? SumAll Social Metrics Tracks Social Activity Against Web Traffic And Reven</v>
      </c>
      <c r="B1501" s="4" t="str">
        <f>HYPERLINK("http://www.facebook.com/8062627951/posts/282250431879609","Any guesses?")</f>
        <v>Any guesses?</v>
      </c>
      <c r="C1501" s="3">
        <v>41149.345914351848</v>
      </c>
      <c r="D1501" s="2">
        <v>73</v>
      </c>
      <c r="E1501" s="2">
        <v>14</v>
      </c>
      <c r="F1501" s="2" t="s">
        <v>8</v>
      </c>
      <c r="G1501" s="2" t="s">
        <v>7</v>
      </c>
    </row>
    <row r="1502" spans="1:7" ht="45" x14ac:dyDescent="0.25">
      <c r="A1502" s="4" t="str">
        <f>HYPERLINK("http://techcrunch.com/2012/08/28/crunchbase-weekly-and-crunch-daily-bring-top-headlines-to-your-inbox/","CrunchBase Weekly And Crunch Daily Bring Top Headlines To Your Inbox | TechCrunch")</f>
        <v>CrunchBase Weekly And Crunch Daily Bring Top Headlines To Your Inbox | TechCrunch</v>
      </c>
      <c r="B1502" s="4" t="str">
        <f>HYPERLINK("http://www.facebook.com/8062627951/posts/277339702371376","Introducing “CrunchBase Weekly”, a brand new way to quench your curiosity from TechCrunch!")</f>
        <v>Introducing “CrunchBase Weekly”, a brand new way to quench your curiosity from TechCrunch!</v>
      </c>
      <c r="C1502" s="3">
        <v>41149.298796296294</v>
      </c>
      <c r="D1502" s="2">
        <v>18</v>
      </c>
      <c r="E1502" s="2">
        <v>1</v>
      </c>
      <c r="F1502" s="2" t="s">
        <v>7</v>
      </c>
      <c r="G1502" s="2" t="s">
        <v>7</v>
      </c>
    </row>
    <row r="1503" spans="1:7" ht="30" x14ac:dyDescent="0.25">
      <c r="A1503" s="4" t="str">
        <f>HYPERLINK("http://techcrunch.com/2012/08/28/the-samsung-galaxy-s-iii-is-now-available-in-brown-red-black-and-grey/","The Samsung Galaxy S III Is Now Available In Brown, Red, Black And Grey")</f>
        <v>The Samsung Galaxy S III Is Now Available In Brown, Red, Black And Grey</v>
      </c>
      <c r="B1503" s="4" t="str">
        <f>HYPERLINK("http://www.facebook.com/8062627951/posts/323461114415788","Samsung, you're trying too hard.")</f>
        <v>Samsung, you're trying too hard.</v>
      </c>
      <c r="C1503" s="3">
        <v>41149.264374999999</v>
      </c>
      <c r="D1503" s="2">
        <v>159</v>
      </c>
      <c r="E1503" s="2">
        <v>86</v>
      </c>
      <c r="F1503" s="2" t="s">
        <v>7</v>
      </c>
      <c r="G1503" s="2" t="s">
        <v>7</v>
      </c>
    </row>
    <row r="1504" spans="1:7" ht="30" x14ac:dyDescent="0.25">
      <c r="A1504" s="4" t="str">
        <f>HYPERLINK("http://techcrunch.com/2012/08/28/npd-apple-customers-love-the-genius-bar-mostly-because-service-is-free/","NPD: Apple Customers Love The Genius Bar, Mostly Because Service Is Free")</f>
        <v>NPD: Apple Customers Love The Genius Bar, Mostly Because Service Is Free</v>
      </c>
      <c r="B1504" s="4" t="str">
        <f>HYPERLINK("http://www.facebook.com/8062627951/posts/235036993286062","People love the Apple Genius Bar. Do you?")</f>
        <v>People love the Apple Genius Bar. Do you?</v>
      </c>
      <c r="C1504" s="3">
        <v>41149.243437500001</v>
      </c>
      <c r="D1504" s="2">
        <v>72</v>
      </c>
      <c r="E1504" s="2">
        <v>43</v>
      </c>
      <c r="F1504" s="2" t="s">
        <v>8</v>
      </c>
      <c r="G1504" s="2" t="s">
        <v>7</v>
      </c>
    </row>
    <row r="1505" spans="1:7" ht="30" x14ac:dyDescent="0.25">
      <c r="A1505" s="4" t="str">
        <f>HYPERLINK("http://techcrunch.com/2012/08/27/motorolas-droid-razr-m-4g-lte-gets-detailed-ahead-of-official-unveiling/","Motorola’s Droid RAZR M 4G LTE Gets Detailed Ahead Of Official Unveiling")</f>
        <v>Motorola’s Droid RAZR M 4G LTE Gets Detailed Ahead Of Official Unveiling</v>
      </c>
      <c r="B1505" s="4" t="str">
        <f>HYPERLINK("http://www.facebook.com/8062627951/posts/293580377416833","Next week is going to be a busy one for gadget fiends...")</f>
        <v>Next week is going to be a busy one for gadget fiends...</v>
      </c>
      <c r="C1505" s="3">
        <v>41148.855983796297</v>
      </c>
      <c r="D1505" s="2">
        <v>43</v>
      </c>
      <c r="E1505" s="2">
        <v>3</v>
      </c>
      <c r="F1505" s="2" t="s">
        <v>7</v>
      </c>
      <c r="G1505" s="2" t="s">
        <v>7</v>
      </c>
    </row>
    <row r="1506" spans="1:7" ht="30" x14ac:dyDescent="0.25">
      <c r="A1506" s="4" t="str">
        <f>HYPERLINK("http://www.facebook.com/photo.php?fbid=10151213804137952&amp;set=a.114456157951.118433.8062627951&amp;type=1&amp;relevant_count=1","[Photo]")</f>
        <v>[Photo]</v>
      </c>
      <c r="B1506" s="4" t="str">
        <f>HYPERLINK("http://www.facebook.com/8062627951/posts/10151213804242952","Jack Dorsey to keynote at TechCrunch Disrupt SF. http://tcrn.ch/PWAFCo")</f>
        <v>Jack Dorsey to keynote at TechCrunch Disrupt SF. http://tcrn.ch/PWAFCo</v>
      </c>
      <c r="C1506" s="3">
        <v>41148.645254629628</v>
      </c>
      <c r="D1506" s="2">
        <v>212</v>
      </c>
      <c r="E1506" s="2">
        <v>15</v>
      </c>
      <c r="F1506" s="2" t="s">
        <v>7</v>
      </c>
      <c r="G1506" s="2" t="s">
        <v>8</v>
      </c>
    </row>
    <row r="1507" spans="1:7" ht="60" x14ac:dyDescent="0.25">
      <c r="A1507" s="4" t="str">
        <f>HYPERLINK("http://techcrunch.com/2012/08/27/sequoias-alfred-lin-kleiners-aileen-lee-sv-angels-david-lee-greylocks-james-slavet-and-google-ventures-bill-maris-will-be-disrupting-sf/","Sequoia’s Alfred Lin, Kleiner’s Aileen Lee, SV Angel’s David Lee, Greylock’s James Slavet And Google")</f>
        <v>Sequoia’s Alfred Lin, Kleiner’s Aileen Lee, SV Angel’s David Lee, Greylock’s James Slavet And Google</v>
      </c>
      <c r="B1507" s="4" t="str">
        <f>HYPERLINK("http://www.facebook.com/8062627951/posts/360779190665712","We are excited to announce our Disrupt SF panel of leading VCs!   Sequoia's Alfred Lin, Kleiner's Aileen Lee, SV Angel's David Lee, Greylock's James Slavet and Google Ventures’ Bill Maris will all be ...")</f>
        <v>We are excited to announce our Disrupt SF panel of leading VCs!   Sequoia's Alfred Lin, Kleiner's Aileen Lee, SV Angel's David Lee, Greylock's James Slavet and Google Ventures’ Bill Maris will all be ...</v>
      </c>
      <c r="C1507" s="3">
        <v>41148.584143518521</v>
      </c>
      <c r="D1507" s="2">
        <v>24</v>
      </c>
      <c r="E1507" s="2">
        <v>1</v>
      </c>
      <c r="F1507" s="2" t="s">
        <v>7</v>
      </c>
      <c r="G1507" s="2" t="s">
        <v>7</v>
      </c>
    </row>
    <row r="1508" spans="1:7" ht="30" x14ac:dyDescent="0.25">
      <c r="A1508" s="4" t="str">
        <f>HYPERLINK("http://www.facebook.com/photo.php?fbid=10151213473457952&amp;set=a.114456157951.118433.8062627951&amp;type=1&amp;relevant_count=1","[Photo]")</f>
        <v>[Photo]</v>
      </c>
      <c r="B1508" s="4" t="str">
        <f>HYPERLINK("http://www.facebook.com/8062627951/posts/10151213473507952","Brain hacking: scientists extract personal secrets with commercial hardware. Super creepy? http://tcrn.ch/NsK3zE")</f>
        <v>Brain hacking: scientists extract personal secrets with commercial hardware. Super creepy? http://tcrn.ch/NsK3zE</v>
      </c>
      <c r="C1508" s="3">
        <v>41148.533599537041</v>
      </c>
      <c r="D1508" s="2">
        <v>309</v>
      </c>
      <c r="E1508" s="2">
        <v>37</v>
      </c>
      <c r="F1508" s="2" t="s">
        <v>8</v>
      </c>
      <c r="G1508" s="2" t="s">
        <v>8</v>
      </c>
    </row>
    <row r="1509" spans="1:7" ht="30" x14ac:dyDescent="0.25">
      <c r="A1509" s="4" t="str">
        <f>HYPERLINK("http://www.facebook.com/photo.php?fbid=10151213326512952&amp;set=a.114456157951.118433.8062627951&amp;type=1&amp;relevant_count=1","[Photo]")</f>
        <v>[Photo]</v>
      </c>
      <c r="B1509" s="4" t="str">
        <f>HYPERLINK("http://www.facebook.com/8062627951/posts/10151213326562952","The Winklevoss twins buy $18 million L.A. mansion to dive into the SoCal tech scene - http://tcrn.ch/NS6QVh")</f>
        <v>The Winklevoss twins buy $18 million L.A. mansion to dive into the SoCal tech scene - http://tcrn.ch/NS6QVh</v>
      </c>
      <c r="C1509" s="3">
        <v>41148.488194444442</v>
      </c>
      <c r="D1509" s="2">
        <v>339</v>
      </c>
      <c r="E1509" s="2">
        <v>81</v>
      </c>
      <c r="F1509" s="2" t="s">
        <v>7</v>
      </c>
      <c r="G1509" s="2" t="s">
        <v>8</v>
      </c>
    </row>
    <row r="1510" spans="1:7" ht="45" x14ac:dyDescent="0.25">
      <c r="A1510" s="4" t="str">
        <f>HYPERLINK("http://techcrunch.com/2012/08/27/diaspora-founders-hand-project-to-community/","Diaspora Founders To Move On, Handing Over Decentralized Social Network ‘To The Community’")</f>
        <v>Diaspora Founders To Move On, Handing Over Decentralized Social Network ‘To The Community’</v>
      </c>
      <c r="B1510" s="4" t="str">
        <f>HYPERLINK("http://www.facebook.com/8062627951/posts/453745888003448","The Diaspora founders are moving on. Are you surprised?")</f>
        <v>The Diaspora founders are moving on. Are you surprised?</v>
      </c>
      <c r="C1510" s="3">
        <v>41148.452060185184</v>
      </c>
      <c r="D1510" s="2">
        <v>59</v>
      </c>
      <c r="E1510" s="2">
        <v>26</v>
      </c>
      <c r="F1510" s="2" t="s">
        <v>8</v>
      </c>
      <c r="G1510" s="2" t="s">
        <v>7</v>
      </c>
    </row>
    <row r="1511" spans="1:7" ht="30" x14ac:dyDescent="0.25">
      <c r="A1511" s="4" t="str">
        <f>HYPERLINK("http://techcrunch.com/2012/08/27/san-francisco-tech-job-data/","Tech Jobs Have Tripled In San Francisco Since The Start Of 2012")</f>
        <v>Tech Jobs Have Tripled In San Francisco Since The Start Of 2012</v>
      </c>
      <c r="B1511" s="4" t="str">
        <f>HYPERLINK("http://www.facebook.com/8062627951/posts/438974516144486","It's a boom town!")</f>
        <v>It's a boom town!</v>
      </c>
      <c r="C1511" s="3">
        <v>41148.373460648145</v>
      </c>
      <c r="D1511" s="2">
        <v>151</v>
      </c>
      <c r="E1511" s="2">
        <v>9</v>
      </c>
      <c r="F1511" s="2" t="s">
        <v>7</v>
      </c>
      <c r="G1511" s="2" t="s">
        <v>7</v>
      </c>
    </row>
    <row r="1512" spans="1:7" ht="30" x14ac:dyDescent="0.25">
      <c r="A1512" s="4" t="str">
        <f>HYPERLINK("http://techcrunch.com/2012/08/27/google-nexus-7-is-now-available-in-france-germany-and-spain/","Google Nexus 7 Is Now Available in France, Germany And Spain")</f>
        <v>Google Nexus 7 Is Now Available in France, Germany And Spain</v>
      </c>
      <c r="B1512" s="4" t="str">
        <f>HYPERLINK("http://www.facebook.com/8062627951/posts/421788141190227","The Nexus 7 is traveling abroad.")</f>
        <v>The Nexus 7 is traveling abroad.</v>
      </c>
      <c r="C1512" s="3">
        <v>41148.275648148148</v>
      </c>
      <c r="D1512" s="2">
        <v>83</v>
      </c>
      <c r="E1512" s="2">
        <v>9</v>
      </c>
      <c r="F1512" s="2" t="s">
        <v>7</v>
      </c>
      <c r="G1512" s="2" t="s">
        <v>7</v>
      </c>
    </row>
    <row r="1513" spans="1:7" ht="45" x14ac:dyDescent="0.25">
      <c r="A1513" s="4" t="str">
        <f>HYPERLINK("http://techcrunch.com/2012/08/27/appl-record-stock-price/","Apple Stock Opens At Record High Of $680 At A $637B Market Cap After Samsung Patent Win")</f>
        <v>Apple Stock Opens At Record High Of $680 At A $637B Market Cap After Samsung Patent Win</v>
      </c>
      <c r="B1513" s="4" t="str">
        <f>HYPERLINK("http://www.facebook.com/8062627951/posts/469630416395423","Breaking records and taking names.")</f>
        <v>Breaking records and taking names.</v>
      </c>
      <c r="C1513" s="3">
        <v>41148.246087962965</v>
      </c>
      <c r="D1513" s="2">
        <v>120</v>
      </c>
      <c r="E1513" s="2">
        <v>11</v>
      </c>
      <c r="F1513" s="2" t="s">
        <v>7</v>
      </c>
      <c r="G1513" s="2" t="s">
        <v>7</v>
      </c>
    </row>
    <row r="1514" spans="1:7" ht="30" x14ac:dyDescent="0.25">
      <c r="A1514" s="4" t="str">
        <f>HYPERLINK("http://techcrunch.com/2012/08/27/party-rounds-excellent/","When Your Seed Round Is A Party, Few People Have Fun")</f>
        <v>When Your Seed Round Is A Party, Few People Have Fun</v>
      </c>
      <c r="B1514" s="4" t="str">
        <f>HYPERLINK("http://www.facebook.com/8062627951/posts/484062141606407","Would you say no to an alpha investor who comes on strong early on?")</f>
        <v>Would you say no to an alpha investor who comes on strong early on?</v>
      </c>
      <c r="C1514" s="3">
        <v>41148.245162037034</v>
      </c>
      <c r="D1514" s="2">
        <v>26</v>
      </c>
      <c r="E1514" s="2">
        <v>0</v>
      </c>
      <c r="F1514" s="2" t="s">
        <v>8</v>
      </c>
      <c r="G1514" s="2" t="s">
        <v>7</v>
      </c>
    </row>
    <row r="1515" spans="1:7" ht="45" x14ac:dyDescent="0.25">
      <c r="A1515" s="4" t="str">
        <f>HYPERLINK("http://techcrunch.com/2012/08/26/nasty-gal-fashion40m-index-ventures/","Badass LA Fashion Site Nasty Gal Picks Up A Badass $40M From Index Ventures For World Domination | T")</f>
        <v>Badass LA Fashion Site Nasty Gal Picks Up A Badass $40M From Index Ventures For World Domination | T</v>
      </c>
      <c r="B1515" s="4" t="str">
        <f>HYPERLINK("http://www.facebook.com/8062627951/posts/351668671583413","Nasty Gal, a site dedicated to selling “badass”, “unapologetically sexy” female fashion, has picked up a cool $40 million.")</f>
        <v>Nasty Gal, a site dedicated to selling “badass”, “unapologetically sexy” female fashion, has picked up a cool $40 million.</v>
      </c>
      <c r="C1515" s="3">
        <v>41147.798217592594</v>
      </c>
      <c r="D1515" s="2">
        <v>114</v>
      </c>
      <c r="E1515" s="2">
        <v>12</v>
      </c>
      <c r="F1515" s="2" t="s">
        <v>7</v>
      </c>
      <c r="G1515" s="2" t="s">
        <v>7</v>
      </c>
    </row>
    <row r="1516" spans="1:7" ht="30" x14ac:dyDescent="0.25">
      <c r="A1516" s="4" t="str">
        <f>HYPERLINK("http://www.facebook.com/photo.php?fbid=10151211495897952&amp;set=a.114456157951.118433.8062627951&amp;type=1&amp;relevant_count=1","[Photo]")</f>
        <v>[Photo]</v>
      </c>
      <c r="B1516" s="4" t="str">
        <f>HYPERLINK("http://www.facebook.com/8062627951/posts/10151211495922952","The Next Battle for Internet Freedom Could Be Over 3D Printing - http://tcrn.ch/NushpD")</f>
        <v>The Next Battle for Internet Freedom Could Be Over 3D Printing - http://tcrn.ch/NushpD</v>
      </c>
      <c r="C1516" s="3">
        <v>41147.736388888887</v>
      </c>
      <c r="D1516" s="2">
        <v>402</v>
      </c>
      <c r="E1516" s="2">
        <v>11</v>
      </c>
      <c r="F1516" s="2" t="s">
        <v>7</v>
      </c>
      <c r="G1516" s="2" t="s">
        <v>8</v>
      </c>
    </row>
    <row r="1517" spans="1:7" ht="30" x14ac:dyDescent="0.25">
      <c r="A1517" s="4" t="str">
        <f>HYPERLINK("http://techcrunch.com/2012/08/26/late-labs/","Late Labs: A ‘Crowdcoding’ Site Where Developers Trade Code For Equity")</f>
        <v>Late Labs: A ‘Crowdcoding’ Site Where Developers Trade Code For Equity</v>
      </c>
      <c r="B1517" s="4" t="str">
        <f>HYPERLINK("http://www.facebook.com/8062627951/posts/135626963248291","Are you a developer looking for a side project?")</f>
        <v>Are you a developer looking for a side project?</v>
      </c>
      <c r="C1517" s="3">
        <v>41147.644328703704</v>
      </c>
      <c r="D1517" s="2">
        <v>210</v>
      </c>
      <c r="E1517" s="2">
        <v>16</v>
      </c>
      <c r="F1517" s="2" t="s">
        <v>8</v>
      </c>
      <c r="G1517" s="2" t="s">
        <v>7</v>
      </c>
    </row>
    <row r="1518" spans="1:7" ht="30" x14ac:dyDescent="0.25">
      <c r="A1518" s="4" t="str">
        <f>HYPERLINK("http://techcrunch.com/2012/08/26/att-vacation-blackout-further-affirms-next-iphones-september-21-launch-date/","AT&amp;T Vacation Blackout Further Affirms Next iPhone’s September 21 Launch Date")</f>
        <v>AT&amp;T Vacation Blackout Further Affirms Next iPhone’s September 21 Launch Date</v>
      </c>
      <c r="B1518" s="4" t="str">
        <f>HYPERLINK("http://www.facebook.com/8062627951/posts/296804363760568","Are you getting excited?")</f>
        <v>Are you getting excited?</v>
      </c>
      <c r="C1518" s="3">
        <v>41147.577268518522</v>
      </c>
      <c r="D1518" s="2">
        <v>97</v>
      </c>
      <c r="E1518" s="2">
        <v>28</v>
      </c>
      <c r="F1518" s="2" t="s">
        <v>8</v>
      </c>
      <c r="G1518" s="2" t="s">
        <v>7</v>
      </c>
    </row>
    <row r="1519" spans="1:7" ht="30" x14ac:dyDescent="0.25">
      <c r="A1519" s="4" t="str">
        <f>HYPERLINK("http://techcrunch.com/2012/08/26/how-free-apps-can-make-more-money-than-paid-apps/","How Free Apps Can Make More Money Than Paid Apps ")</f>
        <v xml:space="preserve">How Free Apps Can Make More Money Than Paid Apps </v>
      </c>
      <c r="B1519" s="4" t="str">
        <f>HYPERLINK("http://www.facebook.com/8062627951/posts/138093583000872","Did you know free apps could make more money than paid apps? Here's how.")</f>
        <v>Did you know free apps could make more money than paid apps? Here's how.</v>
      </c>
      <c r="C1519" s="3">
        <v>41147.490219907406</v>
      </c>
      <c r="D1519" s="2">
        <v>246</v>
      </c>
      <c r="E1519" s="2">
        <v>8</v>
      </c>
      <c r="F1519" s="2" t="s">
        <v>8</v>
      </c>
      <c r="G1519" s="2" t="s">
        <v>7</v>
      </c>
    </row>
    <row r="1520" spans="1:7" ht="30" x14ac:dyDescent="0.25">
      <c r="A1520" s="4" t="str">
        <f>HYPERLINK("http://www.facebook.com/photo.php?fbid=10151210654692952&amp;set=a.114456157951.118433.8062627951&amp;type=1&amp;relevant_count=1","[Photo]")</f>
        <v>[Photo]</v>
      </c>
      <c r="B1520" s="4" t="str">
        <f>HYPERLINK("http://www.facebook.com/8062627951/posts/10151210654782952","Hip San Francisco coffee shop bans Instagram http://tcrn.ch/QiOo8j")</f>
        <v>Hip San Francisco coffee shop bans Instagram http://tcrn.ch/QiOo8j</v>
      </c>
      <c r="C1520" s="3">
        <v>41147.442060185182</v>
      </c>
      <c r="D1520" s="2">
        <v>1057</v>
      </c>
      <c r="E1520" s="2">
        <v>63</v>
      </c>
      <c r="F1520" s="2" t="s">
        <v>7</v>
      </c>
      <c r="G1520" s="2" t="s">
        <v>8</v>
      </c>
    </row>
    <row r="1521" spans="1:7" ht="30" x14ac:dyDescent="0.25">
      <c r="A1521" s="4" t="str">
        <f>HYPERLINK("http://techcrunch.com/2012/08/25/5-design-tricks-facebook-uses-to-affect-your-privacy-decisions/","5 Design Tricks Facebook Uses To Affect Your Privacy Decisions | TechCrunch")</f>
        <v>5 Design Tricks Facebook Uses To Affect Your Privacy Decisions | TechCrunch</v>
      </c>
      <c r="B1521" s="4" t="str">
        <f>HYPERLINK("http://www.facebook.com/8062627951/posts/102474969904737","Are you okay with Facebook making these changes?")</f>
        <v>Are you okay with Facebook making these changes?</v>
      </c>
      <c r="C1521" s="3">
        <v>41146.812962962962</v>
      </c>
      <c r="D1521" s="2">
        <v>290</v>
      </c>
      <c r="E1521" s="2">
        <v>40</v>
      </c>
      <c r="F1521" s="2" t="s">
        <v>8</v>
      </c>
      <c r="G1521" s="2" t="s">
        <v>7</v>
      </c>
    </row>
    <row r="1522" spans="1:7" ht="45" x14ac:dyDescent="0.25">
      <c r="A1522" s="4" t="str">
        <f>HYPERLINK("http://techcrunch.com/2012/08/25/lyft-san-francisco-launch/","With A San Francisco Launch Imminent, Lyft Is Doubling Its Fleet Of Drivers And Readying An Android.")</f>
        <v>With A San Francisco Launch Imminent, Lyft Is Doubling Its Fleet Of Drivers And Readying An Android.</v>
      </c>
      <c r="B1522" s="4" t="str">
        <f>HYPERLINK("http://www.facebook.com/8062627951/posts/433396563369171","Have you tried out Lyft yet?")</f>
        <v>Have you tried out Lyft yet?</v>
      </c>
      <c r="C1522" s="3">
        <v>41146.628240740742</v>
      </c>
      <c r="D1522" s="2">
        <v>75</v>
      </c>
      <c r="E1522" s="2">
        <v>8</v>
      </c>
      <c r="F1522" s="2" t="s">
        <v>8</v>
      </c>
      <c r="G1522" s="2" t="s">
        <v>7</v>
      </c>
    </row>
    <row r="1523" spans="1:7" ht="30" x14ac:dyDescent="0.25">
      <c r="A1523" s="4" t="str">
        <f>HYPERLINK("http://www.facebook.com/photo.php?fbid=10151208590227952&amp;set=a.114456157951.118433.8062627951&amp;type=1&amp;relevant_count=1","[Photo]")</f>
        <v>[Photo]</v>
      </c>
      <c r="B1523" s="4" t="str">
        <f>HYPERLINK("http://www.facebook.com/8062627951/posts/10151208590272952","All your metadata shall be in water writ - http://tcrn.ch/NnVcS8")</f>
        <v>All your metadata shall be in water writ - http://tcrn.ch/NnVcS8</v>
      </c>
      <c r="C1523" s="3">
        <v>41146.568703703706</v>
      </c>
      <c r="D1523" s="2">
        <v>93</v>
      </c>
      <c r="E1523" s="2">
        <v>0</v>
      </c>
      <c r="F1523" s="2" t="s">
        <v>7</v>
      </c>
      <c r="G1523" s="2" t="s">
        <v>8</v>
      </c>
    </row>
    <row r="1524" spans="1:7" x14ac:dyDescent="0.25">
      <c r="A1524" s="4" t="str">
        <f>HYPERLINK("http://techcrunch.com/2012/08/25/email-tricks-of-the-super-successful/","Email Tricks Of The Super Successful")</f>
        <v>Email Tricks Of The Super Successful</v>
      </c>
      <c r="B1524" s="4" t="str">
        <f>HYPERLINK("http://www.facebook.com/8062627951/posts/309422992488576","Tackle your inbox with these tips")</f>
        <v>Tackle your inbox with these tips</v>
      </c>
      <c r="C1524" s="3">
        <v>41146.508067129631</v>
      </c>
      <c r="D1524" s="2">
        <v>213</v>
      </c>
      <c r="E1524" s="2">
        <v>19</v>
      </c>
      <c r="F1524" s="2" t="s">
        <v>7</v>
      </c>
      <c r="G1524" s="2" t="s">
        <v>7</v>
      </c>
    </row>
    <row r="1525" spans="1:7" ht="45" x14ac:dyDescent="0.25">
      <c r="A1525" s="4" t="str">
        <f>HYPERLINK("http://www.facebook.com/photo.php?fbid=10151208301262952&amp;set=a.114456157951.118433.8062627951&amp;type=1&amp;relevant_count=1","[Photo]")</f>
        <v>[Photo]</v>
      </c>
      <c r="B1525" s="4" t="s">
        <v>87</v>
      </c>
      <c r="C1525" s="3">
        <v>41146.465891203705</v>
      </c>
      <c r="D1525" s="2">
        <v>280</v>
      </c>
      <c r="E1525" s="2">
        <v>42</v>
      </c>
      <c r="F1525" s="2" t="s">
        <v>7</v>
      </c>
      <c r="G1525" s="2" t="s">
        <v>8</v>
      </c>
    </row>
    <row r="1526" spans="1:7" ht="45" x14ac:dyDescent="0.25">
      <c r="A1526" s="4" t="str">
        <f>HYPERLINK("http://techcrunch.com/2012/08/24/apple-wins-patent-ruling-as-jury-finds-samsung-infringes/","Apple Awarded $1.051 Billion In Damages As Jury Finds Samsung Infringed On Design And Software Paten")</f>
        <v>Apple Awarded $1.051 Billion In Damages As Jury Finds Samsung Infringed On Design And Software Paten</v>
      </c>
      <c r="B1526" s="4" t="str">
        <f>HYPERLINK("http://www.facebook.com/8062627951/posts/349981981754776","The jury in the landmark Apple-Samsung trial ruled mostly in favor of Apple, including awarding Apple $1,051,855,000 in damages.   Samsung was granted a total of $0 in damages.")</f>
        <v>The jury in the landmark Apple-Samsung trial ruled mostly in favor of Apple, including awarding Apple $1,051,855,000 in damages.   Samsung was granted a total of $0 in damages.</v>
      </c>
      <c r="C1526" s="3">
        <v>41145.649780092594</v>
      </c>
      <c r="D1526" s="2">
        <v>542</v>
      </c>
      <c r="E1526" s="2">
        <v>111</v>
      </c>
      <c r="F1526" s="2" t="s">
        <v>7</v>
      </c>
      <c r="G1526" s="2" t="s">
        <v>7</v>
      </c>
    </row>
    <row r="1527" spans="1:7" ht="30" x14ac:dyDescent="0.25">
      <c r="A1527" s="4" t="str">
        <f>HYPERLINK("http://techcrunch.com/2012/08/24/apple-wins-patent-ruling-as-jury-finds-samsung-infringes/","Apple Wins Patent Ruling As Jury Finds Samsung Infringes ")</f>
        <v xml:space="preserve">Apple Wins Patent Ruling As Jury Finds Samsung Infringes </v>
      </c>
      <c r="B1527" s="4" t="str">
        <f>HYPERLINK("http://www.facebook.com/8062627951/posts/249746335146229","Apple wins patent ruling.")</f>
        <v>Apple wins patent ruling.</v>
      </c>
      <c r="C1527" s="3">
        <v>41145.619293981479</v>
      </c>
      <c r="D1527" s="2">
        <v>478</v>
      </c>
      <c r="E1527" s="2">
        <v>96</v>
      </c>
      <c r="F1527" s="2" t="s">
        <v>7</v>
      </c>
      <c r="G1527" s="2" t="s">
        <v>7</v>
      </c>
    </row>
    <row r="1528" spans="1:7" ht="30" x14ac:dyDescent="0.25">
      <c r="A1528" s="4" t="str">
        <f>HYPERLINK("http://techcrunch.com/2012/08/24/the-end-is-nigh-for-the-apple-v-samsung-trial/","The End Is Nigh For The Apple v. Samsung Trial ")</f>
        <v xml:space="preserve">The End Is Nigh For The Apple v. Samsung Trial </v>
      </c>
      <c r="B1528" s="4" t="str">
        <f>HYPERLINK("http://www.facebook.com/8062627951/posts/487060874637451","Developing...")</f>
        <v>Developing...</v>
      </c>
      <c r="C1528" s="3">
        <v>41145.606261574074</v>
      </c>
      <c r="D1528" s="2">
        <v>36</v>
      </c>
      <c r="E1528" s="2">
        <v>9</v>
      </c>
      <c r="F1528" s="2" t="s">
        <v>7</v>
      </c>
      <c r="G1528" s="2" t="s">
        <v>7</v>
      </c>
    </row>
    <row r="1529" spans="1:7" ht="30" x14ac:dyDescent="0.25">
      <c r="A1529" s="4" t="str">
        <f>HYPERLINK("http://www.facebook.com/photo.php?fbid=10151206120337952&amp;set=a.114456157951.118433.8062627951&amp;type=1&amp;relevant_count=1","[Photo]")</f>
        <v>[Photo]</v>
      </c>
      <c r="B1529" s="4" t="str">
        <f>HYPERLINK("http://www.facebook.com/8062627951/posts/10151206120397952","See pics of Facebook's huge new engineering office with a tree-lined rooftop garden http://tcrn.ch/TZXXYJ")</f>
        <v>See pics of Facebook's huge new engineering office with a tree-lined rooftop garden http://tcrn.ch/TZXXYJ</v>
      </c>
      <c r="C1529" s="3">
        <v>41145.510428240741</v>
      </c>
      <c r="D1529" s="2">
        <v>782</v>
      </c>
      <c r="E1529" s="2">
        <v>88</v>
      </c>
      <c r="F1529" s="2" t="s">
        <v>7</v>
      </c>
      <c r="G1529" s="2" t="s">
        <v>8</v>
      </c>
    </row>
    <row r="1530" spans="1:7" ht="45" x14ac:dyDescent="0.25">
      <c r="A1530" s="4" t="str">
        <f>HYPERLINK("http://techcrunch.com/2012/08/24/evernote-smart-notebook-moleskine/","Evernote Declares A ‘Cease-Fire’ In Its War With Paper, Partners With Moleskine For Smart Notebooks.")</f>
        <v>Evernote Declares A ‘Cease-Fire’ In Its War With Paper, Partners With Moleskine For Smart Notebooks.</v>
      </c>
      <c r="B1530" s="4" t="str">
        <f>HYPERLINK("http://www.facebook.com/8062627951/posts/414185908638270","What do you think of this partnership?")</f>
        <v>What do you think of this partnership?</v>
      </c>
      <c r="C1530" s="3">
        <v>41145.469513888886</v>
      </c>
      <c r="D1530" s="2">
        <v>86</v>
      </c>
      <c r="E1530" s="2">
        <v>8</v>
      </c>
      <c r="F1530" s="2" t="s">
        <v>8</v>
      </c>
      <c r="G1530" s="2" t="s">
        <v>7</v>
      </c>
    </row>
    <row r="1531" spans="1:7" ht="45" x14ac:dyDescent="0.25">
      <c r="A1531" s="4" t="str">
        <f>HYPERLINK("http://techcrunch.com/2012/08/24/early-bird-gets-the-tequila-worm/","Pro Tip: Buy One Of The Last Disrupt ‘Early Bird’ Tickets Today And Spend The Other $1K On Booze")</f>
        <v>Pro Tip: Buy One Of The Last Disrupt ‘Early Bird’ Tickets Today And Spend The Other $1K On Booze</v>
      </c>
      <c r="B1531" s="4" t="str">
        <f>HYPERLINK("http://www.facebook.com/8062627951/posts/429838517053132","This is your last day to purchase Disrupt SF Early Bird tickets. Act fast and get them while you can.")</f>
        <v>This is your last day to purchase Disrupt SF Early Bird tickets. Act fast and get them while you can.</v>
      </c>
      <c r="C1531" s="3">
        <v>41145.459467592591</v>
      </c>
      <c r="D1531" s="2">
        <v>8</v>
      </c>
      <c r="E1531" s="2">
        <v>2</v>
      </c>
      <c r="F1531" s="2" t="s">
        <v>7</v>
      </c>
      <c r="G1531" s="2" t="s">
        <v>7</v>
      </c>
    </row>
    <row r="1532" spans="1:7" ht="30" x14ac:dyDescent="0.25">
      <c r="A1532" s="4" t="str">
        <f>HYPERLINK("http://techcrunch.com/events/disrupt-sf-2012/student-tickets/","Student Tickets | Disrupt SF 2012|TechCrunch")</f>
        <v>Student Tickets | Disrupt SF 2012|TechCrunch</v>
      </c>
      <c r="B1532" s="4" t="str">
        <f>HYPERLINK("http://www.facebook.com/8062627951/posts/263662253750250","Are you a student who wants to attend Disrupt SF? Opportunities can be found here!")</f>
        <v>Are you a student who wants to attend Disrupt SF? Opportunities can be found here!</v>
      </c>
      <c r="C1532" s="3">
        <v>41145.447175925925</v>
      </c>
      <c r="D1532" s="2">
        <v>15</v>
      </c>
      <c r="E1532" s="2">
        <v>0</v>
      </c>
      <c r="F1532" s="2" t="s">
        <v>8</v>
      </c>
      <c r="G1532" s="2" t="s">
        <v>7</v>
      </c>
    </row>
    <row r="1533" spans="1:7" ht="30" x14ac:dyDescent="0.25">
      <c r="A1533" s="4" t="str">
        <f>HYPERLINK("http://www.facebook.com/photo.php?fbid=10151205846852952&amp;set=a.114456157951.118433.8062627951&amp;type=1&amp;relevant_count=1","[Photo]")</f>
        <v>[Photo]</v>
      </c>
      <c r="B1533" s="4" t="str">
        <f>HYPERLINK("http://www.facebook.com/8062627951/posts/10151205846892952","Hey Amazon employees, stop talking to us - http://tcrn.ch/R7LUEX")</f>
        <v>Hey Amazon employees, stop talking to us - http://tcrn.ch/R7LUEX</v>
      </c>
      <c r="C1533" s="3">
        <v>41145.412662037037</v>
      </c>
      <c r="D1533" s="2">
        <v>41</v>
      </c>
      <c r="E1533" s="2">
        <v>0</v>
      </c>
      <c r="F1533" s="2" t="s">
        <v>7</v>
      </c>
      <c r="G1533" s="2" t="s">
        <v>8</v>
      </c>
    </row>
    <row r="1534" spans="1:7" ht="30" x14ac:dyDescent="0.25">
      <c r="A1534" s="4" t="str">
        <f>HYPERLINK("http://www.facebook.com/photo.php?fbid=10151205784362952&amp;set=a.114456157951.118433.8062627951&amp;type=1&amp;relevant_count=1","[Photo]")</f>
        <v>[Photo]</v>
      </c>
      <c r="B1534" s="4" t="str">
        <f>HYPERLINK("http://www.facebook.com/8062627951/posts/10151205784417952","Giveaway: Three Vizio Co-Stars! Make sure you enter for a chance at winning - http://tcrn.ch/NOIo2E")</f>
        <v>Giveaway: Three Vizio Co-Stars! Make sure you enter for a chance at winning - http://tcrn.ch/NOIo2E</v>
      </c>
      <c r="C1534" s="3">
        <v>41145.392384259256</v>
      </c>
      <c r="D1534" s="2">
        <v>77</v>
      </c>
      <c r="E1534" s="2">
        <v>33</v>
      </c>
      <c r="F1534" s="2" t="s">
        <v>7</v>
      </c>
      <c r="G1534" s="2" t="s">
        <v>8</v>
      </c>
    </row>
    <row r="1535" spans="1:7" ht="30" x14ac:dyDescent="0.25">
      <c r="A1535" s="4" t="str">
        <f>HYPERLINK("http://www.facebook.com/photo.php?fbid=10151205696752952&amp;set=a.114456157951.118433.8062627951&amp;type=1&amp;relevant_count=1","[Photo]")</f>
        <v>[Photo]</v>
      </c>
      <c r="B1535" s="4" t="str">
        <f>HYPERLINK("http://www.facebook.com/8062627951/posts/10151205696797952","Microsoft's new logo is a hop, skip, and straightened character away from Apple's typeface - http://tcrn.ch/P87YnF")</f>
        <v>Microsoft's new logo is a hop, skip, and straightened character away from Apple's typeface - http://tcrn.ch/P87YnF</v>
      </c>
      <c r="C1535" s="3">
        <v>41145.359976851854</v>
      </c>
      <c r="D1535" s="2">
        <v>463</v>
      </c>
      <c r="E1535" s="2">
        <v>45</v>
      </c>
      <c r="F1535" s="2" t="s">
        <v>7</v>
      </c>
      <c r="G1535" s="2" t="s">
        <v>8</v>
      </c>
    </row>
    <row r="1536" spans="1:7" ht="30" x14ac:dyDescent="0.25">
      <c r="A1536" s="4" t="str">
        <f>HYPERLINK("http://techcrunch.com/2012/08/24/rumor-mill-apple-is-two-holding-separate-events-for-the-new-iphone-and-ipad/","Rumor Mill: Apple Is Holding Two Separate Events For The New iPhone And iPad")</f>
        <v>Rumor Mill: Apple Is Holding Two Separate Events For The New iPhone And iPad</v>
      </c>
      <c r="B1536" s="4" t="str">
        <f>HYPERLINK("http://www.facebook.com/8062627951/posts/453805724660357","Apple could hold two events this fall.")</f>
        <v>Apple could hold two events this fall.</v>
      </c>
      <c r="C1536" s="3">
        <v>41145.287268518521</v>
      </c>
      <c r="D1536" s="2">
        <v>72</v>
      </c>
      <c r="E1536" s="2">
        <v>10</v>
      </c>
      <c r="F1536" s="2" t="s">
        <v>7</v>
      </c>
      <c r="G1536" s="2" t="s">
        <v>7</v>
      </c>
    </row>
    <row r="1537" spans="1:7" ht="45" x14ac:dyDescent="0.25">
      <c r="A1537" s="4" t="str">
        <f>HYPERLINK("http://techcrunch.com/2012/08/24/with-a-little-help-from-curiosity-rovio-mobile-teases-angry-birds-space-red-planet/","With A Little Help From Curiosity, Rovio Mobile Teases “Angry Birds Space: Red Planet”")</f>
        <v>With A Little Help From Curiosity, Rovio Mobile Teases “Angry Birds Space: Red Planet”</v>
      </c>
      <c r="B1537" s="4" t="str">
        <f>HYPERLINK("http://www.facebook.com/8062627951/posts/500805703280134","Here comes the next Angry Birds game. [Video]")</f>
        <v>Here comes the next Angry Birds game. [Video]</v>
      </c>
      <c r="C1537" s="3">
        <v>41145.201342592591</v>
      </c>
      <c r="D1537" s="2">
        <v>34</v>
      </c>
      <c r="E1537" s="2">
        <v>6</v>
      </c>
      <c r="F1537" s="2" t="s">
        <v>7</v>
      </c>
      <c r="G1537" s="2" t="s">
        <v>7</v>
      </c>
    </row>
    <row r="1538" spans="1:7" x14ac:dyDescent="0.25">
      <c r="A1538" s="4" t="str">
        <f>HYPERLINK("http://www.facebook.com/photo.php?fbid=10151204430792952&amp;set=a.114456157951.118433.8062627951&amp;type=1&amp;relevant_count=1","[Photo]")</f>
        <v>[Photo]</v>
      </c>
      <c r="B1538" s="4" t="str">
        <f>HYPERLINK("http://www.facebook.com/8062627951/posts/10151204430817952","Siri is the new Clippy - http://tcrn.ch/MPHzJU")</f>
        <v>Siri is the new Clippy - http://tcrn.ch/MPHzJU</v>
      </c>
      <c r="C1538" s="3">
        <v>41144.773020833331</v>
      </c>
      <c r="D1538" s="2">
        <v>629</v>
      </c>
      <c r="E1538" s="2">
        <v>49</v>
      </c>
      <c r="F1538" s="2" t="s">
        <v>7</v>
      </c>
      <c r="G1538" s="2" t="s">
        <v>8</v>
      </c>
    </row>
    <row r="1539" spans="1:7" ht="30" x14ac:dyDescent="0.25">
      <c r="A1539" s="4" t="str">
        <f>HYPERLINK("http://techcrunch.com/2012/08/23/microsoft-logo-critique-brand-new-armin-vit-tctv/","Microsoft’s ‘Meh’ New Logo: Graphic Design Expert Armin Vit Weighs In [TCTV]")</f>
        <v>Microsoft’s ‘Meh’ New Logo: Graphic Design Expert Armin Vit Weighs In [TCTV]</v>
      </c>
      <c r="B1539" s="4" t="str">
        <f>HYPERLINK("http://www.facebook.com/8062627951/posts/400001446726029","[TCTV] Microsoft's new logo = 'meh'")</f>
        <v>[TCTV] Microsoft's new logo = 'meh'</v>
      </c>
      <c r="C1539" s="3">
        <v>41144.745821759258</v>
      </c>
      <c r="D1539" s="2">
        <v>82</v>
      </c>
      <c r="E1539" s="2">
        <v>42</v>
      </c>
      <c r="F1539" s="2" t="s">
        <v>7</v>
      </c>
      <c r="G1539" s="2" t="s">
        <v>7</v>
      </c>
    </row>
    <row r="1540" spans="1:7" ht="30" x14ac:dyDescent="0.25">
      <c r="A1540" s="4" t="str">
        <f>HYPERLINK("http://techcrunch.com/2012/08/23/indias-sms-hoax-panic-could-it-happen-in-the-u-s/","India’s SMS Hoax Panic: Could It Happen In The U.S.?")</f>
        <v>India’s SMS Hoax Panic: Could It Happen In The U.S.?</v>
      </c>
      <c r="B1540" s="4" t="str">
        <f>HYPERLINK("http://www.facebook.com/8062627951/posts/475491192472536","What do you think?")</f>
        <v>What do you think?</v>
      </c>
      <c r="C1540" s="3">
        <v>41144.612604166665</v>
      </c>
      <c r="D1540" s="2">
        <v>29</v>
      </c>
      <c r="E1540" s="2">
        <v>17</v>
      </c>
      <c r="F1540" s="2" t="s">
        <v>8</v>
      </c>
      <c r="G1540" s="2" t="s">
        <v>7</v>
      </c>
    </row>
    <row r="1541" spans="1:7" ht="30" x14ac:dyDescent="0.25">
      <c r="A1541" s="4" t="str">
        <f>HYPERLINK("http://www.facebook.com/photo.php?fbid=10151203862217952&amp;set=a.114456157951.118433.8062627951&amp;type=1&amp;relevant_count=1","[Photo]")</f>
        <v>[Photo]</v>
      </c>
      <c r="B1541" s="4" t="str">
        <f>HYPERLINK("http://www.facebook.com/8062627951/posts/10151203862287952","Now this is how you get people to pay. - http://tcrn.ch/RHaGSH")</f>
        <v>Now this is how you get people to pay. - http://tcrn.ch/RHaGSH</v>
      </c>
      <c r="C1541" s="3">
        <v>41144.547442129631</v>
      </c>
      <c r="D1541" s="2">
        <v>484</v>
      </c>
      <c r="E1541" s="2">
        <v>31</v>
      </c>
      <c r="F1541" s="2" t="s">
        <v>7</v>
      </c>
      <c r="G1541" s="2" t="s">
        <v>8</v>
      </c>
    </row>
    <row r="1542" spans="1:7" ht="45" x14ac:dyDescent="0.25">
      <c r="A1542" s="4" t="str">
        <f>HYPERLINK("http://techcrunch.com/2012/08/23/sony-mobile-to-lay-off-off-1000-people-as-part-of-restructuring/","Sony Mobile To Lay Off 1,000 People, Move HQ To Tokyo From Sweden As Part of Restructuring")</f>
        <v>Sony Mobile To Lay Off 1,000 People, Move HQ To Tokyo From Sweden As Part of Restructuring</v>
      </c>
      <c r="B1542" s="4" t="str">
        <f>HYPERLINK("http://www.facebook.com/8062627951/posts/418121838224268","Yikes.")</f>
        <v>Yikes.</v>
      </c>
      <c r="C1542" s="3">
        <v>41144.507893518516</v>
      </c>
      <c r="D1542" s="2">
        <v>32</v>
      </c>
      <c r="E1542" s="2">
        <v>6</v>
      </c>
      <c r="F1542" s="2" t="s">
        <v>7</v>
      </c>
      <c r="G1542" s="2" t="s">
        <v>7</v>
      </c>
    </row>
    <row r="1543" spans="1:7" ht="30" x14ac:dyDescent="0.25">
      <c r="A1543" s="4" t="str">
        <f>HYPERLINK("http://techcrunch.com/2012/08/23/amazon-to-hold-press-conference-in-santa-monica-on-sept-6/","Amazon To Hold Press Conference In Santa Monica On Sept. 6")</f>
        <v>Amazon To Hold Press Conference In Santa Monica On Sept. 6</v>
      </c>
      <c r="B1543" s="4" t="str">
        <f>HYPERLINK("http://www.facebook.com/8062627951/posts/215757741885186","Any guesses on what Amazon will announce?")</f>
        <v>Any guesses on what Amazon will announce?</v>
      </c>
      <c r="C1543" s="3">
        <v>41144.474942129629</v>
      </c>
      <c r="D1543" s="2">
        <v>100</v>
      </c>
      <c r="E1543" s="2">
        <v>103</v>
      </c>
      <c r="F1543" s="2" t="s">
        <v>8</v>
      </c>
      <c r="G1543" s="2" t="s">
        <v>7</v>
      </c>
    </row>
    <row r="1544" spans="1:7" ht="30" x14ac:dyDescent="0.25">
      <c r="A1544" s="4" t="str">
        <f>HYPERLINK("http://www.facebook.com/photo.php?fbid=10151203546477952&amp;set=a.114456157951.118433.8062627951&amp;type=1&amp;relevant_count=1","[Photo]")</f>
        <v>[Photo]</v>
      </c>
      <c r="B1544" s="4" t="str">
        <f>HYPERLINK("http://www.facebook.com/8062627951/posts/10151203546527952","Would you be richer if Obama or Romney won? What do you think? Politify shows you - http://tcrn.ch/Oaip8A")</f>
        <v>Would you be richer if Obama or Romney won? What do you think? Politify shows you - http://tcrn.ch/Oaip8A</v>
      </c>
      <c r="C1544" s="3">
        <v>41144.445659722223</v>
      </c>
      <c r="D1544" s="2">
        <v>541</v>
      </c>
      <c r="E1544" s="2">
        <v>132</v>
      </c>
      <c r="F1544" s="2" t="s">
        <v>8</v>
      </c>
      <c r="G1544" s="2" t="s">
        <v>8</v>
      </c>
    </row>
    <row r="1545" spans="1:7" ht="45" x14ac:dyDescent="0.25">
      <c r="A1545" s="4" t="str">
        <f>HYPERLINK("http://techcrunch.com/2012/08/23/contest-remix-our-techcrunch-disrupt-music-winner-gets-free-tickets-to-disrupt/","Contest: Remix Our TechCrunch Disrupt Music – Winner Gets Free Tickets To Disrupt")</f>
        <v>Contest: Remix Our TechCrunch Disrupt Music – Winner Gets Free Tickets To Disrupt</v>
      </c>
      <c r="B1545" s="4" t="str">
        <f>HYPERLINK("http://www.facebook.com/8062627951/posts/474583469232860","Start getting creative!")</f>
        <v>Start getting creative!</v>
      </c>
      <c r="C1545" s="3">
        <v>41144.420277777775</v>
      </c>
      <c r="D1545" s="2">
        <v>25</v>
      </c>
      <c r="E1545" s="2">
        <v>2</v>
      </c>
      <c r="F1545" s="2" t="s">
        <v>7</v>
      </c>
      <c r="G1545" s="2" t="s">
        <v>7</v>
      </c>
    </row>
    <row r="1546" spans="1:7" ht="30" x14ac:dyDescent="0.25">
      <c r="A1546" s="4" t="str">
        <f>HYPERLINK("http://www.facebook.com/photo.php?fbid=10151203356147952&amp;set=a.114456157951.118433.8062627951&amp;type=1&amp;relevant_count=1","[Photo]")</f>
        <v>[Photo]</v>
      </c>
      <c r="B1546" s="4" t="str">
        <f>HYPERLINK("http://www.facebook.com/8062627951/posts/10151203356177952","Facebook finally updates its iOS App. Now it's 2X faster - http://tcrn.ch/O5Qq8a")</f>
        <v>Facebook finally updates its iOS App. Now it's 2X faster - http://tcrn.ch/O5Qq8a</v>
      </c>
      <c r="C1546" s="3">
        <v>41144.381747685184</v>
      </c>
      <c r="D1546" s="2">
        <v>468</v>
      </c>
      <c r="E1546" s="2">
        <v>65</v>
      </c>
      <c r="F1546" s="2" t="s">
        <v>7</v>
      </c>
      <c r="G1546" s="2" t="s">
        <v>8</v>
      </c>
    </row>
    <row r="1547" spans="1:7" ht="30" x14ac:dyDescent="0.25">
      <c r="A1547" s="4" t="str">
        <f>HYPERLINK("http://www.facebook.com/photo.php?fbid=10151202997337952&amp;set=a.114456157951.118433.8062627951&amp;type=1&amp;relevant_count=1","[Photo]")</f>
        <v>[Photo]</v>
      </c>
      <c r="B1547" s="4" t="str">
        <f>HYPERLINK("http://www.facebook.com/8062627951/posts/10151202997382952","What do you think of Microsoft's new look? http://t.co/o7Q0BlIl")</f>
        <v>What do you think of Microsoft's new look? http://t.co/o7Q0BlIl</v>
      </c>
      <c r="C1547" s="3">
        <v>41144.266365740739</v>
      </c>
      <c r="D1547" s="2">
        <v>857</v>
      </c>
      <c r="E1547" s="2">
        <v>497</v>
      </c>
      <c r="F1547" s="2" t="s">
        <v>8</v>
      </c>
      <c r="G1547" s="2" t="s">
        <v>8</v>
      </c>
    </row>
    <row r="1548" spans="1:7" ht="30" x14ac:dyDescent="0.25">
      <c r="A1548" s="4" t="str">
        <f>HYPERLINK("http://techcrunch.com/2012/08/23/name-that-tune-songpop-has-now-racked-up-25m-users-4m-of-them-daily/","Name That Tune: SongPop Has Now Racked Up 25M Users, 4M Of Them Daily")</f>
        <v>Name That Tune: SongPop Has Now Racked Up 25M Users, 4M Of Them Daily</v>
      </c>
      <c r="B1548" s="4" t="str">
        <f>HYPERLINK("http://www.facebook.com/8062627951/posts/463653730335155","Are you one of the four million daily players?")</f>
        <v>Are you one of the four million daily players?</v>
      </c>
      <c r="C1548" s="3">
        <v>41144.237523148149</v>
      </c>
      <c r="D1548" s="2">
        <v>63</v>
      </c>
      <c r="E1548" s="2">
        <v>12</v>
      </c>
      <c r="F1548" s="2" t="s">
        <v>8</v>
      </c>
      <c r="G1548" s="2" t="s">
        <v>7</v>
      </c>
    </row>
    <row r="1549" spans="1:7" ht="45" x14ac:dyDescent="0.25">
      <c r="A1549" s="4" t="str">
        <f>HYPERLINK("http://techcrunch.com/2012/08/23/this-video-pits-parts-from-the-unreleased-new-iphone-against-the-iphone-4s-galaxy-s-iii/","This Video Pits Parts From The Unreleased New iPhone Against The iPhone 4S, Galaxy S III | TechCrunc")</f>
        <v>This Video Pits Parts From The Unreleased New iPhone Against The iPhone 4S, Galaxy S III | TechCrunc</v>
      </c>
      <c r="B1549" s="4" t="str">
        <f>HYPERLINK("http://www.facebook.com/8062627951/posts/146003298873367","Here's the new iPhone compared against the iPhone 4S and Samsung Galaxy S III. [VIDEO]")</f>
        <v>Here's the new iPhone compared against the iPhone 4S and Samsung Galaxy S III. [VIDEO]</v>
      </c>
      <c r="C1549" s="3">
        <v>41144.196296296293</v>
      </c>
      <c r="D1549" s="2">
        <v>82</v>
      </c>
      <c r="E1549" s="2">
        <v>12</v>
      </c>
      <c r="F1549" s="2" t="s">
        <v>7</v>
      </c>
      <c r="G1549" s="2" t="s">
        <v>7</v>
      </c>
    </row>
    <row r="1550" spans="1:7" ht="30" x14ac:dyDescent="0.25">
      <c r="A1550" s="4" t="str">
        <f>HYPERLINK("http://www.facebook.com/photo.php?fbid=10151201786487952&amp;set=a.114456157951.118433.8062627951&amp;type=1&amp;relevant_count=1","[Photo]")</f>
        <v>[Photo]</v>
      </c>
      <c r="B1550" s="4" t="str">
        <f>HYPERLINK("http://www.facebook.com/8062627951/posts/10151201786522952","This is most probably the new iPhone cable. Probably. - http://tcrn.ch/Sp7BpC")</f>
        <v>This is most probably the new iPhone cable. Probably. - http://tcrn.ch/Sp7BpC</v>
      </c>
      <c r="C1550" s="3">
        <v>41143.716261574074</v>
      </c>
      <c r="D1550" s="2">
        <v>546</v>
      </c>
      <c r="E1550" s="2">
        <v>142</v>
      </c>
      <c r="F1550" s="2" t="s">
        <v>7</v>
      </c>
      <c r="G1550" s="2" t="s">
        <v>8</v>
      </c>
    </row>
    <row r="1551" spans="1:7" ht="30" x14ac:dyDescent="0.25">
      <c r="A1551" s="4" t="str">
        <f>HYPERLINK("http://www.facebook.com/photo.php?fbid=10151201601192952&amp;set=a.114456157951.118433.8062627951&amp;type=1&amp;relevant_count=1","[Photo]")</f>
        <v>[Photo]</v>
      </c>
      <c r="B1551" s="4" t="str">
        <f>HYPERLINK("http://www.facebook.com/8062627951/posts/10151201601242952","Report: Technology has made the world fat. Who agrees? - http://tcrn.ch/PDbNxq")</f>
        <v>Report: Technology has made the world fat. Who agrees? - http://tcrn.ch/PDbNxq</v>
      </c>
      <c r="C1551" s="3">
        <v>41143.632488425923</v>
      </c>
      <c r="D1551" s="2">
        <v>737</v>
      </c>
      <c r="E1551" s="2">
        <v>192</v>
      </c>
      <c r="F1551" s="2" t="s">
        <v>8</v>
      </c>
      <c r="G1551" s="2" t="s">
        <v>8</v>
      </c>
    </row>
    <row r="1552" spans="1:7" x14ac:dyDescent="0.25">
      <c r="A1552" s="4" t="str">
        <f>HYPERLINK("http://www.facebook.com/photo.php?fbid=10151201550712952&amp;set=a.114456157951.118433.8062627951&amp;type=1&amp;relevant_count=1","[Photo]")</f>
        <v>[Photo]</v>
      </c>
      <c r="B1552" s="4" t="str">
        <f>HYPERLINK("http://www.facebook.com/8062627951/posts/10151201550747952","A picture is now worth $747,000,000. - http://tcrn.ch/OTGaxE")</f>
        <v>A picture is now worth $747,000,000. - http://tcrn.ch/OTGaxE</v>
      </c>
      <c r="C1552" s="3">
        <v>41143.610405092593</v>
      </c>
      <c r="D1552" s="2">
        <v>412</v>
      </c>
      <c r="E1552" s="2">
        <v>37</v>
      </c>
      <c r="F1552" s="2" t="s">
        <v>7</v>
      </c>
      <c r="G1552" s="2" t="s">
        <v>8</v>
      </c>
    </row>
    <row r="1553" spans="1:7" x14ac:dyDescent="0.25">
      <c r="A1553" s="4" t="str">
        <f>HYPERLINK("http://www.facebook.com/photo.php?fbid=10151201398292952&amp;set=a.10151134316772952.498619.8062627951&amp;type=1&amp;relevant_count=1","[Photo]")</f>
        <v>[Photo]</v>
      </c>
      <c r="B1553" s="4" t="str">
        <f>HYPERLINK("http://www.facebook.com/8062627951/posts/10151201398332952","Oh, San Francisco. ")</f>
        <v xml:space="preserve">Oh, San Francisco. </v>
      </c>
      <c r="C1553" s="3">
        <v>41143.554351851853</v>
      </c>
      <c r="D1553" s="2">
        <v>728</v>
      </c>
      <c r="E1553" s="2">
        <v>34</v>
      </c>
      <c r="F1553" s="2" t="s">
        <v>7</v>
      </c>
      <c r="G1553" s="2" t="s">
        <v>8</v>
      </c>
    </row>
    <row r="1554" spans="1:7" ht="45" x14ac:dyDescent="0.25">
      <c r="A1554" s="4" t="str">
        <f>HYPERLINK("http://techcrunch.com/2012/08/22/how-big-is-facebooks-data-2-5-billion-pieces-of-content-and-500-terabytes-ingested-every-day/","How Big Is Facebook’s Data? 2.5 Billion Pieces Of Content And 500+ Terabytes Ingested Every Day ")</f>
        <v xml:space="preserve">How Big Is Facebook’s Data? 2.5 Billion Pieces Of Content And 500+ Terabytes Ingested Every Day </v>
      </c>
      <c r="B1554" s="4" t="str">
        <f>HYPERLINK("http://www.facebook.com/8062627951/posts/350314458385181","Facebook is pulling in 2.7 billion Like actions and 300 million photos per day, among others.")</f>
        <v>Facebook is pulling in 2.7 billion Like actions and 300 million photos per day, among others.</v>
      </c>
      <c r="C1554" s="3">
        <v>41143.531921296293</v>
      </c>
      <c r="D1554" s="2">
        <v>203</v>
      </c>
      <c r="E1554" s="2">
        <v>17</v>
      </c>
      <c r="F1554" s="2" t="s">
        <v>7</v>
      </c>
      <c r="G1554" s="2" t="s">
        <v>7</v>
      </c>
    </row>
    <row r="1555" spans="1:7" x14ac:dyDescent="0.25">
      <c r="A1555" s="4" t="str">
        <f>HYPERLINK("http://techcrunch.com/2012/08/22/techcrunch-disrupt-sf-2012-agenda/","TechCrunch Disrupt SF 2012 Agenda ")</f>
        <v xml:space="preserve">TechCrunch Disrupt SF 2012 Agenda </v>
      </c>
      <c r="B1555" s="4" t="str">
        <f>HYPERLINK("http://www.facebook.com/8062627951/posts/451646581541959","Here's the agenda for Disrupt SF! Excited yet?")</f>
        <v>Here's the agenda for Disrupt SF! Excited yet?</v>
      </c>
      <c r="C1555" s="3">
        <v>41143.503506944442</v>
      </c>
      <c r="D1555" s="2">
        <v>40</v>
      </c>
      <c r="E1555" s="2">
        <v>1</v>
      </c>
      <c r="F1555" s="2" t="s">
        <v>8</v>
      </c>
      <c r="G1555" s="2" t="s">
        <v>7</v>
      </c>
    </row>
    <row r="1556" spans="1:7" ht="30" x14ac:dyDescent="0.25">
      <c r="A1556" s="4" t="str">
        <f>HYPERLINK("http://techcrunch.com/2012/08/22/who-wants-to-be-george-zacharys-apprentice/","Who Wants to be George Zachary’s Apprentice?")</f>
        <v>Who Wants to be George Zachary’s Apprentice?</v>
      </c>
      <c r="B1556" s="4" t="str">
        <f>HYPERLINK("http://www.facebook.com/8062627951/posts/334473259980971","George Zachary is looking for an apprentice to work with him at Charles River Ventures. Think you have what it takes?")</f>
        <v>George Zachary is looking for an apprentice to work with him at Charles River Ventures. Think you have what it takes?</v>
      </c>
      <c r="C1556" s="3">
        <v>41143.46297453704</v>
      </c>
      <c r="D1556" s="2">
        <v>78</v>
      </c>
      <c r="E1556" s="2">
        <v>7</v>
      </c>
      <c r="F1556" s="2" t="s">
        <v>8</v>
      </c>
      <c r="G1556" s="2" t="s">
        <v>7</v>
      </c>
    </row>
    <row r="1557" spans="1:7" x14ac:dyDescent="0.25">
      <c r="A1557" s="4" t="str">
        <f>HYPERLINK("http://www.facebook.com/photo.php?fbid=10151200916552952&amp;set=a.114456157951.118433.8062627951&amp;type=1&amp;relevant_count=1","[Photo]")</f>
        <v>[Photo]</v>
      </c>
      <c r="B1557" s="4" t="str">
        <f>HYPERLINK("http://www.facebook.com/8062627951/posts/10151200916577952","Facebook Launches Search Ads http://tcrn.ch/RD5QG2")</f>
        <v>Facebook Launches Search Ads http://tcrn.ch/RD5QG2</v>
      </c>
      <c r="C1557" s="3">
        <v>41143.392905092594</v>
      </c>
      <c r="D1557" s="2">
        <v>174</v>
      </c>
      <c r="E1557" s="2">
        <v>39</v>
      </c>
      <c r="F1557" s="2" t="s">
        <v>7</v>
      </c>
      <c r="G1557" s="2" t="s">
        <v>8</v>
      </c>
    </row>
    <row r="1558" spans="1:7" ht="30" x14ac:dyDescent="0.25">
      <c r="A1558" s="4" t="str">
        <f>HYPERLINK("http://techcrunch.com/2012/08/22/att-defends-facetime-over-3g-decision-says-it-isnt-violating-net-neutrality/","AT&amp;T Defends FaceTime Over 3G Decision, Says It Isn’t Violating Net Neutrality")</f>
        <v>AT&amp;T Defends FaceTime Over 3G Decision, Says It Isn’t Violating Net Neutrality</v>
      </c>
      <c r="B1558" s="4" t="str">
        <f>HYPERLINK("http://www.facebook.com/8062627951/posts/404303076300642","Seriously, AT&amp;T?")</f>
        <v>Seriously, AT&amp;T?</v>
      </c>
      <c r="C1558" s="3">
        <v>41143.322581018518</v>
      </c>
      <c r="D1558" s="2">
        <v>85</v>
      </c>
      <c r="E1558" s="2">
        <v>39</v>
      </c>
      <c r="F1558" s="2" t="s">
        <v>8</v>
      </c>
      <c r="G1558" s="2" t="s">
        <v>7</v>
      </c>
    </row>
    <row r="1559" spans="1:7" ht="30" x14ac:dyDescent="0.25">
      <c r="A1559" s="4" t="str">
        <f>HYPERLINK("http://techcrunch.com/2012/08/22/youtube-trueview-skippable-ads-mobile/","YouTube Brings Its Skippable Video Ads To Mobile")</f>
        <v>YouTube Brings Its Skippable Video Ads To Mobile</v>
      </c>
      <c r="B1559" s="4" t="str">
        <f>HYPERLINK("http://www.facebook.com/8062627951/posts/357372307670463","Yay! YouTube makes ads skippable on mobile!")</f>
        <v>Yay! YouTube makes ads skippable on mobile!</v>
      </c>
      <c r="C1559" s="3">
        <v>41143.239328703705</v>
      </c>
      <c r="D1559" s="2">
        <v>95</v>
      </c>
      <c r="E1559" s="2">
        <v>11</v>
      </c>
      <c r="F1559" s="2" t="s">
        <v>7</v>
      </c>
      <c r="G1559" s="2" t="s">
        <v>7</v>
      </c>
    </row>
    <row r="1560" spans="1:7" ht="30" x14ac:dyDescent="0.25">
      <c r="A1560" s="4" t="str">
        <f>HYPERLINK("http://techcrunch.com/2012/08/21/ted-reveals-top-20-most-watched-talks-sir-ken-robinson-tops-the-list/","TED Reveals Top 20 Most-Watched Talks, Sir Ken Robinson Tops The List")</f>
        <v>TED Reveals Top 20 Most-Watched Talks, Sir Ken Robinson Tops The List</v>
      </c>
      <c r="B1560" s="4" t="str">
        <f>HYPERLINK("http://www.facebook.com/8062627951/posts/405965056132072","Any guesses on what #2 is?")</f>
        <v>Any guesses on what #2 is?</v>
      </c>
      <c r="C1560" s="3">
        <v>41142.811296296299</v>
      </c>
      <c r="D1560" s="2">
        <v>202</v>
      </c>
      <c r="E1560" s="2">
        <v>15</v>
      </c>
      <c r="F1560" s="2" t="s">
        <v>8</v>
      </c>
      <c r="G1560" s="2" t="s">
        <v>7</v>
      </c>
    </row>
    <row r="1561" spans="1:7" ht="30" x14ac:dyDescent="0.25">
      <c r="A1561" s="4" t="str">
        <f>HYPERLINK("http://techcrunch.com/2012/08/21/best-of-yc-demo-day/","TechCrunch’s Picks: The 10 Best Startups From Y Combinator’s S12 Demo Day")</f>
        <v>TechCrunch’s Picks: The 10 Best Startups From Y Combinator’s S12 Demo Day</v>
      </c>
      <c r="B1561" s="4" t="str">
        <f>HYPERLINK("http://www.facebook.com/8062627951/posts/220588898067264","Here are our favorites. Which stand out to you?")</f>
        <v>Here are our favorites. Which stand out to you?</v>
      </c>
      <c r="C1561" s="3">
        <v>41142.751643518517</v>
      </c>
      <c r="D1561" s="2">
        <v>57</v>
      </c>
      <c r="E1561" s="2">
        <v>6</v>
      </c>
      <c r="F1561" s="2" t="s">
        <v>8</v>
      </c>
      <c r="G1561" s="2" t="s">
        <v>7</v>
      </c>
    </row>
    <row r="1562" spans="1:7" ht="30" x14ac:dyDescent="0.25">
      <c r="A1562" s="4" t="str">
        <f>HYPERLINK("http://techcrunch.com/2012/08/21/yc-funding-slide-demos-summer-2012/","A Notable Absence From Y Combinator’s Latest Demo Day: The Funding Slide")</f>
        <v>A Notable Absence From Y Combinator’s Latest Demo Day: The Funding Slide</v>
      </c>
      <c r="B1562" s="4" t="str">
        <f>HYPERLINK("http://www.facebook.com/8062627951/posts/106668882816244","Do you think other startup accelerators and incubators should ban the funding slide as well?")</f>
        <v>Do you think other startup accelerators and incubators should ban the funding slide as well?</v>
      </c>
      <c r="C1562" s="3">
        <v>41142.685046296298</v>
      </c>
      <c r="D1562" s="2">
        <v>37</v>
      </c>
      <c r="E1562" s="2">
        <v>3</v>
      </c>
      <c r="F1562" s="2" t="s">
        <v>8</v>
      </c>
      <c r="G1562" s="2" t="s">
        <v>7</v>
      </c>
    </row>
    <row r="1563" spans="1:7" ht="45" x14ac:dyDescent="0.25">
      <c r="A1563" s="4" t="str">
        <f>HYPERLINK("http://www.facebook.com/photo.php?fbid=10151199290022952&amp;set=a.114456157951.118433.8062627951&amp;type=1&amp;relevant_count=1","[Photo]")</f>
        <v>[Photo]</v>
      </c>
      <c r="B1563" s="4" t="str">
        <f>HYPERLINK("http://www.facebook.com/8062627951/posts/10151199290057952","Who's ready for a Tesla Museum?    The Oatmeal hits its $850,000 goal to fund a Tesla Museum in less than a week - http://tcrn.ch/NfhBko")</f>
        <v>Who's ready for a Tesla Museum?    The Oatmeal hits its $850,000 goal to fund a Tesla Museum in less than a week - http://tcrn.ch/NfhBko</v>
      </c>
      <c r="C1563" s="3">
        <v>41142.642129629632</v>
      </c>
      <c r="D1563" s="2">
        <v>929</v>
      </c>
      <c r="E1563" s="2">
        <v>36</v>
      </c>
      <c r="F1563" s="2" t="s">
        <v>8</v>
      </c>
      <c r="G1563" s="2" t="s">
        <v>8</v>
      </c>
    </row>
    <row r="1564" spans="1:7" ht="45" x14ac:dyDescent="0.25">
      <c r="A1564" s="4" t="str">
        <f>HYPERLINK("http://techcrunch.com/2012/08/21/yc-demo-day-s12/","Y Combinator S12 Demo Day Batch 1: Meet 9GAG, Double Robotics, Hubchilla, SmartAsset And More")</f>
        <v>Y Combinator S12 Demo Day Batch 1: Meet 9GAG, Double Robotics, Hubchilla, SmartAsset And More</v>
      </c>
      <c r="B1564" s="4" t="str">
        <f>HYPERLINK("http://www.facebook.com/8062627951/posts/455738881115023","Which startup is your favorite out of these?")</f>
        <v>Which startup is your favorite out of these?</v>
      </c>
      <c r="C1564" s="3">
        <v>41142.569687499999</v>
      </c>
      <c r="D1564" s="2">
        <v>41</v>
      </c>
      <c r="E1564" s="2">
        <v>18</v>
      </c>
      <c r="F1564" s="2" t="s">
        <v>8</v>
      </c>
      <c r="G1564" s="2" t="s">
        <v>7</v>
      </c>
    </row>
    <row r="1565" spans="1:7" x14ac:dyDescent="0.25">
      <c r="A1565" s="4" t="str">
        <f>HYPERLINK("http://www.facebook.com/photo.php?fbid=10151199038887952&amp;set=a.10151134316772952.498619.8062627951&amp;type=1&amp;relevant_count=1","[Photo]")</f>
        <v>[Photo]</v>
      </c>
      <c r="B1565" s="4" t="str">
        <f>HYPERLINK("http://www.facebook.com/8062627951/posts/10151199038962952","Create. Destroy. Repeat. ")</f>
        <v xml:space="preserve">Create. Destroy. Repeat. </v>
      </c>
      <c r="C1565" s="3">
        <v>41142.547442129631</v>
      </c>
      <c r="D1565" s="2">
        <v>106</v>
      </c>
      <c r="E1565" s="2">
        <v>3</v>
      </c>
      <c r="F1565" s="2" t="s">
        <v>7</v>
      </c>
      <c r="G1565" s="2" t="s">
        <v>8</v>
      </c>
    </row>
    <row r="1566" spans="1:7" ht="30" x14ac:dyDescent="0.25">
      <c r="A1566" s="4" t="str">
        <f>HYPERLINK("http://www.facebook.com/photo.php?fbid=10151198940702952&amp;set=a.114456157951.118433.8062627951&amp;type=1&amp;relevant_count=1","[Photo]")</f>
        <v>[Photo]</v>
      </c>
      <c r="B1566" s="4" t="str">
        <f>HYPERLINK("http://www.facebook.com/8062627951/posts/10151198940737952","The new iPhone is coming on Friday, September 21. http://t.co/Bp2p8HQJ")</f>
        <v>The new iPhone is coming on Friday, September 21. http://t.co/Bp2p8HQJ</v>
      </c>
      <c r="C1566" s="3">
        <v>41142.512523148151</v>
      </c>
      <c r="D1566" s="2">
        <v>1246</v>
      </c>
      <c r="E1566" s="2">
        <v>97</v>
      </c>
      <c r="F1566" s="2" t="s">
        <v>7</v>
      </c>
      <c r="G1566" s="2" t="s">
        <v>8</v>
      </c>
    </row>
    <row r="1567" spans="1:7" ht="45" x14ac:dyDescent="0.25">
      <c r="A1567" s="4" t="str">
        <f>HYPERLINK("http://www.facebook.com/photo.php?fbid=10151198723252952&amp;set=a.114456157951.118433.8062627951&amp;type=1&amp;relevant_count=1","[Photo]")</f>
        <v>[Photo]</v>
      </c>
      <c r="B1567" s="4" t="str">
        <f>HYPERLINK("http://www.facebook.com/8062627951/posts/10151198723307952","Former presentation exec files lawsuit against Apple, claims Steve Jobs promised him employment for life - http://tcrn.ch/QmE3mg")</f>
        <v>Former presentation exec files lawsuit against Apple, claims Steve Jobs promised him employment for life - http://tcrn.ch/QmE3mg</v>
      </c>
      <c r="C1567" s="3">
        <v>41142.436967592592</v>
      </c>
      <c r="D1567" s="2">
        <v>183</v>
      </c>
      <c r="E1567" s="2">
        <v>54</v>
      </c>
      <c r="F1567" s="2" t="s">
        <v>7</v>
      </c>
      <c r="G1567" s="2" t="s">
        <v>8</v>
      </c>
    </row>
    <row r="1568" spans="1:7" ht="30" x14ac:dyDescent="0.25">
      <c r="A1568" s="4" t="str">
        <f>HYPERLINK("http://techcrunch.com/2012/08/21/5-ways-to-learn-code-from-the-comfort-of-your-own-browser/","5 Ways To Learn Code From The Comfort Of Your Own Browser")</f>
        <v>5 Ways To Learn Code From The Comfort Of Your Own Browser</v>
      </c>
      <c r="B1568" s="4" t="str">
        <f>HYPERLINK("http://www.facebook.com/8062627951/posts/223329694459649","Start learning!")</f>
        <v>Start learning!</v>
      </c>
      <c r="C1568" s="3">
        <v>41142.386157407411</v>
      </c>
      <c r="D1568" s="2">
        <v>230</v>
      </c>
      <c r="E1568" s="2">
        <v>10</v>
      </c>
      <c r="F1568" s="2" t="s">
        <v>7</v>
      </c>
      <c r="G1568" s="2" t="s">
        <v>7</v>
      </c>
    </row>
    <row r="1569" spans="1:7" ht="30" x14ac:dyDescent="0.25">
      <c r="A1569" s="4" t="str">
        <f>HYPERLINK("http://techcrunch.com/2012/08/21/is-this-apples-new-iphone-yeah-sure-why-not/","Is This Apple’s Next iPhone? Yeah, Sure, Why Not")</f>
        <v>Is This Apple’s Next iPhone? Yeah, Sure, Why Not</v>
      </c>
      <c r="B1569" s="4" t="str">
        <f>HYPERLINK("http://www.facebook.com/8062627951/posts/459844000716966","Has Apple lost its edge?")</f>
        <v>Has Apple lost its edge?</v>
      </c>
      <c r="C1569" s="3">
        <v>41142.295960648145</v>
      </c>
      <c r="D1569" s="2">
        <v>102</v>
      </c>
      <c r="E1569" s="2">
        <v>43</v>
      </c>
      <c r="F1569" s="2" t="s">
        <v>8</v>
      </c>
      <c r="G1569" s="2" t="s">
        <v>7</v>
      </c>
    </row>
    <row r="1570" spans="1:7" ht="30" x14ac:dyDescent="0.25">
      <c r="A1570" s="4" t="str">
        <f>HYPERLINK("http://techcrunch.com/2012/08/20/in-this-complex-patent-battle-apple-and-samsung-take-their-marketing-strategies-to-court/","Apple And Samsung Bring Their Marketing Strategies To Court")</f>
        <v>Apple And Samsung Bring Their Marketing Strategies To Court</v>
      </c>
      <c r="B1570" s="4" t="str">
        <f>HYPERLINK("http://www.facebook.com/8062627951/posts/454905917875558","Court? Commercial? There isn't much of a difference with Samsung v Apple.")</f>
        <v>Court? Commercial? There isn't much of a difference with Samsung v Apple.</v>
      </c>
      <c r="C1570" s="3">
        <v>41142.182650462964</v>
      </c>
      <c r="D1570" s="2">
        <v>35</v>
      </c>
      <c r="E1570" s="2">
        <v>12</v>
      </c>
      <c r="F1570" s="2" t="s">
        <v>8</v>
      </c>
      <c r="G1570" s="2" t="s">
        <v>7</v>
      </c>
    </row>
    <row r="1571" spans="1:7" ht="45" x14ac:dyDescent="0.25">
      <c r="A1571" s="4" t="str">
        <f>HYPERLINK("http://techcrunch.com/2012/08/20/apple-is-not-the-most-valuable-company-in-the-history-of-the-world-ibm-won-the-prize-in-1967-with-a-value-of-1-3-trillion/","Apple Is Not The Most Valuable Company In The History Of The World — IBM Won The Prize In 1967 With.")</f>
        <v>Apple Is Not The Most Valuable Company In The History Of The World — IBM Won The Prize In 1967 With.</v>
      </c>
      <c r="B1571" s="4" t="str">
        <f>HYPERLINK("http://www.facebook.com/8062627951/posts/448721348501862","Hey Apple fans...")</f>
        <v>Hey Apple fans...</v>
      </c>
      <c r="C1571" s="3">
        <v>41141.866666666669</v>
      </c>
      <c r="D1571" s="2">
        <v>312</v>
      </c>
      <c r="E1571" s="2">
        <v>27</v>
      </c>
      <c r="F1571" s="2" t="s">
        <v>7</v>
      </c>
      <c r="G1571" s="2" t="s">
        <v>7</v>
      </c>
    </row>
    <row r="1572" spans="1:7" ht="30" x14ac:dyDescent="0.25">
      <c r="A1572" s="4" t="str">
        <f>HYPERLINK("http://www.facebook.com/photo.php?fbid=10151197373187952&amp;set=a.114456157951.118433.8062627951&amp;type=1&amp;relevant_count=1","[Photo]")</f>
        <v>[Photo]</v>
      </c>
      <c r="B1572" s="4" t="str">
        <f>HYPERLINK("http://www.facebook.com/8062627951/posts/10151197373212952","The Zaphat can turn you into a Zombie…sorta - http://tcrn.ch/NXWNsz")</f>
        <v>The Zaphat can turn you into a Zombie…sorta - http://tcrn.ch/NXWNsz</v>
      </c>
      <c r="C1572" s="3">
        <v>41141.814791666664</v>
      </c>
      <c r="D1572" s="2">
        <v>56</v>
      </c>
      <c r="E1572" s="2">
        <v>1</v>
      </c>
      <c r="F1572" s="2" t="s">
        <v>7</v>
      </c>
      <c r="G1572" s="2" t="s">
        <v>8</v>
      </c>
    </row>
    <row r="1573" spans="1:7" ht="30" x14ac:dyDescent="0.25">
      <c r="A1573" s="4" t="str">
        <f>HYPERLINK("http://techcrunch.com/2012/08/20/give-the-money-back-to-the-shareholders/","Apple’s Market Run: Amazing! Magical! Boom! Superlative!")</f>
        <v>Apple’s Market Run: Amazing! Magical! Boom! Superlative!</v>
      </c>
      <c r="B1573" s="4" t="s">
        <v>88</v>
      </c>
      <c r="C1573" s="3">
        <v>41141.66101851852</v>
      </c>
      <c r="D1573" s="2">
        <v>145</v>
      </c>
      <c r="E1573" s="2">
        <v>28</v>
      </c>
      <c r="F1573" s="2" t="s">
        <v>7</v>
      </c>
      <c r="G1573" s="2" t="s">
        <v>7</v>
      </c>
    </row>
    <row r="1574" spans="1:7" ht="30" x14ac:dyDescent="0.25">
      <c r="A1574" s="4" t="str">
        <f>HYPERLINK("http://techcrunch.com/2012/08/20/peter-thiel-sells-majority-of-his-facebook-shares/","Peter Thiel Sells Majority Of His Facebook Shares")</f>
        <v>Peter Thiel Sells Majority Of His Facebook Shares</v>
      </c>
      <c r="B1574" s="4" t="str">
        <f>HYPERLINK("http://www.facebook.com/8062627951/posts/491375944208826","Surprised, or no?")</f>
        <v>Surprised, or no?</v>
      </c>
      <c r="C1574" s="3">
        <v>41141.616481481484</v>
      </c>
      <c r="D1574" s="2">
        <v>194</v>
      </c>
      <c r="E1574" s="2">
        <v>65</v>
      </c>
      <c r="F1574" s="2" t="s">
        <v>8</v>
      </c>
      <c r="G1574" s="2" t="s">
        <v>7</v>
      </c>
    </row>
    <row r="1575" spans="1:7" ht="45" x14ac:dyDescent="0.25">
      <c r="A1575" s="4" t="str">
        <f>HYPERLINK("http://techcrunch.com/2012/08/20/motorolas-new-patent-lawsuit-against-apple-the-details/","Motorola’s New Patent Lawsuit Against Apple: The Details")</f>
        <v>Motorola’s New Patent Lawsuit Against Apple: The Details</v>
      </c>
      <c r="B1575" s="4" t="str">
        <f>HYPERLINK("http://www.facebook.com/8062627951/posts/289827267798960","As expected, the lawsuit is targeting Apple’s iPod Touch, iPhone 3GS, 4 &amp; 4S, iPad 2 and the “new” iPad, as well as the Mac Pro, iMac, Mac mini, and many more.")</f>
        <v>As expected, the lawsuit is targeting Apple’s iPod Touch, iPhone 3GS, 4 &amp; 4S, iPad 2 and the “new” iPad, as well as the Mac Pro, iMac, Mac mini, and many more.</v>
      </c>
      <c r="C1575" s="3">
        <v>41141.545555555553</v>
      </c>
      <c r="D1575" s="2">
        <v>114</v>
      </c>
      <c r="E1575" s="2">
        <v>37</v>
      </c>
      <c r="F1575" s="2" t="s">
        <v>7</v>
      </c>
      <c r="G1575" s="2" t="s">
        <v>7</v>
      </c>
    </row>
    <row r="1576" spans="1:7" ht="30" x14ac:dyDescent="0.25">
      <c r="A1576" s="4" t="str">
        <f>HYPERLINK("http://www.facebook.com/photo.php?fbid=10151196538972952&amp;set=a.114456157951.118433.8062627951&amp;type=1&amp;relevant_count=1","[Photo]")</f>
        <v>[Photo]</v>
      </c>
      <c r="B1576" s="4" t="str">
        <f>HYPERLINK("http://www.facebook.com/8062627951/posts/10151196539067952","FundersClub is redefining venture capital by letting anyone invest in startups - http://tcrn.ch/OsULTx")</f>
        <v>FundersClub is redefining venture capital by letting anyone invest in startups - http://tcrn.ch/OsULTx</v>
      </c>
      <c r="C1576" s="3">
        <v>41141.504074074073</v>
      </c>
      <c r="D1576" s="2">
        <v>219</v>
      </c>
      <c r="E1576" s="2">
        <v>14</v>
      </c>
      <c r="F1576" s="2" t="s">
        <v>7</v>
      </c>
      <c r="G1576" s="2" t="s">
        <v>8</v>
      </c>
    </row>
    <row r="1577" spans="1:7" x14ac:dyDescent="0.25">
      <c r="A1577" s="4" t="str">
        <f>HYPERLINK("http://techcrunch.com/2012/08/20/usability-expert-production-and-multitasking-are-still-best-suited-for-pcs-windows-8-appears-to-ignore-that/","Windows 8 Is “A Cognitive Burden”")</f>
        <v>Windows 8 Is “A Cognitive Burden”</v>
      </c>
      <c r="B1577" s="4" t="str">
        <f>HYPERLINK("http://www.facebook.com/8062627951/posts/432605346790106","What do you think?")</f>
        <v>What do you think?</v>
      </c>
      <c r="C1577" s="3">
        <v>41141.470543981479</v>
      </c>
      <c r="D1577" s="2">
        <v>133</v>
      </c>
      <c r="E1577" s="2">
        <v>61</v>
      </c>
      <c r="F1577" s="2" t="s">
        <v>8</v>
      </c>
      <c r="G1577" s="2" t="s">
        <v>7</v>
      </c>
    </row>
    <row r="1578" spans="1:7" ht="30" x14ac:dyDescent="0.25">
      <c r="A1578" s="4" t="str">
        <f>HYPERLINK("http://www.facebook.com/photo.php?fbid=10151196356782952&amp;set=a.114456157951.118433.8062627951&amp;type=1&amp;relevant_count=1","[Photo]")</f>
        <v>[Photo]</v>
      </c>
      <c r="B1578" s="4" t="str">
        <f>HYPERLINK("http://www.facebook.com/8062627951/posts/10151196356832952","LaunchRock acquires Giftiki, collaborative gifting service to shut down - http://tcrn.ch/QT6WqM")</f>
        <v>LaunchRock acquires Giftiki, collaborative gifting service to shut down - http://tcrn.ch/QT6WqM</v>
      </c>
      <c r="C1578" s="3">
        <v>41141.44259259259</v>
      </c>
      <c r="D1578" s="2">
        <v>35</v>
      </c>
      <c r="E1578" s="2">
        <v>1</v>
      </c>
      <c r="F1578" s="2" t="s">
        <v>7</v>
      </c>
      <c r="G1578" s="2" t="s">
        <v>8</v>
      </c>
    </row>
    <row r="1579" spans="1:7" ht="30" x14ac:dyDescent="0.25">
      <c r="A1579" s="4" t="str">
        <f>HYPERLINK("http://www.facebook.com/photo.php?fbid=10151196293792952&amp;set=a.10151134316772952.498619.8062627951&amp;type=1&amp;relevant_count=1","[Photo]")</f>
        <v>[Photo]</v>
      </c>
      <c r="B1579" s="4" t="str">
        <f>HYPERLINK("http://www.facebook.com/8062627951/posts/10151196293842952","Apple did it and became the most valuable company of all time (picture taken off of MG Siegler's desk) ")</f>
        <v xml:space="preserve">Apple did it and became the most valuable company of all time (picture taken off of MG Siegler's desk) </v>
      </c>
      <c r="C1579" s="3">
        <v>41141.419791666667</v>
      </c>
      <c r="D1579" s="2">
        <v>243</v>
      </c>
      <c r="E1579" s="2">
        <v>24</v>
      </c>
      <c r="F1579" s="2" t="s">
        <v>7</v>
      </c>
      <c r="G1579" s="2" t="s">
        <v>8</v>
      </c>
    </row>
    <row r="1580" spans="1:7" ht="45" x14ac:dyDescent="0.25">
      <c r="A1580" s="4" t="str">
        <f>HYPERLINK("http://techcrunch.com/2012/08/20/apples-market-cap-reaches-621b-now-the-most-valuable-public-company-of-all-time/","Apple’s Market Cap Reaches $621B, Now The Most Valuable Public Company Of All Time")</f>
        <v>Apple’s Market Cap Reaches $621B, Now The Most Valuable Public Company Of All Time</v>
      </c>
      <c r="B1580" s="4" t="str">
        <f>HYPERLINK("http://www.facebook.com/8062627951/posts/412808112101174","Apple is now the most valuable company of all time.")</f>
        <v>Apple is now the most valuable company of all time.</v>
      </c>
      <c r="C1580" s="3">
        <v>41141.380324074074</v>
      </c>
      <c r="D1580" s="2">
        <v>646</v>
      </c>
      <c r="E1580" s="2">
        <v>38</v>
      </c>
      <c r="F1580" s="2" t="s">
        <v>7</v>
      </c>
      <c r="G1580" s="2" t="s">
        <v>7</v>
      </c>
    </row>
    <row r="1581" spans="1:7" ht="30" x14ac:dyDescent="0.25">
      <c r="A1581" s="4" t="str">
        <f>HYPERLINK("http://www.facebook.com/photo.php?fbid=10151195617702952&amp;set=a.114456157951.118433.8062627951&amp;type=1&amp;relevant_count=1","[Photo]")</f>
        <v>[Photo]</v>
      </c>
      <c r="B1581" s="4" t="str">
        <f>HYPERLINK("http://www.facebook.com/8062627951/posts/10151195617742952","Disney adds a bit of nonsensical anti-open source FUD to kid's sitcom - http://tcrn.ch/TOM1ci")</f>
        <v>Disney adds a bit of nonsensical anti-open source FUD to kid's sitcom - http://tcrn.ch/TOM1ci</v>
      </c>
      <c r="C1581" s="3">
        <v>41141.166273148148</v>
      </c>
      <c r="D1581" s="2">
        <v>56</v>
      </c>
      <c r="E1581" s="2">
        <v>12</v>
      </c>
      <c r="F1581" s="2" t="s">
        <v>7</v>
      </c>
      <c r="G1581" s="2" t="s">
        <v>8</v>
      </c>
    </row>
    <row r="1582" spans="1:7" ht="45" x14ac:dyDescent="0.25">
      <c r="A1582" s="4" t="str">
        <f>HYPERLINK("http://techcrunch.com/2012/08/19/sad-sacks/","One Month After Selling To Microsoft For $1.2B, Yammer CEO Predicts End Of Silicon Valley")</f>
        <v>One Month After Selling To Microsoft For $1.2B, Yammer CEO Predicts End Of Silicon Valley</v>
      </c>
      <c r="B1582" s="4" t="s">
        <v>89</v>
      </c>
      <c r="C1582" s="3">
        <v>41140.857499999998</v>
      </c>
      <c r="D1582" s="2">
        <v>242</v>
      </c>
      <c r="E1582" s="2">
        <v>34</v>
      </c>
      <c r="F1582" s="2" t="s">
        <v>7</v>
      </c>
      <c r="G1582" s="2" t="s">
        <v>7</v>
      </c>
    </row>
    <row r="1583" spans="1:7" ht="45" x14ac:dyDescent="0.25">
      <c r="A1583" s="4" t="str">
        <f>HYPERLINK("http://techcrunch.com/2012/08/19/onlive-sold-to-onlive-and-nothing-will-change-heartbreaking-transition-notwithstanding/","OnLive Sold To OnLive And Nothing Will Change, “Heartbreaking Transition” Notwithstanding")</f>
        <v>OnLive Sold To OnLive And Nothing Will Change, “Heartbreaking Transition” Notwithstanding</v>
      </c>
      <c r="B1583" s="4" t="str">
        <f>HYPERLINK("http://www.facebook.com/8062627951/posts/335992076493245","What do you think of all of this?")</f>
        <v>What do you think of all of this?</v>
      </c>
      <c r="C1583" s="3">
        <v>41140.754942129628</v>
      </c>
      <c r="D1583" s="2">
        <v>29</v>
      </c>
      <c r="E1583" s="2">
        <v>15</v>
      </c>
      <c r="F1583" s="2" t="s">
        <v>8</v>
      </c>
      <c r="G1583" s="2" t="s">
        <v>7</v>
      </c>
    </row>
    <row r="1584" spans="1:7" ht="75" x14ac:dyDescent="0.25">
      <c r="A1584" s="4" t="str">
        <f>HYPERLINK("http://techcrunch.com/2012/08/19/culture-clash/","Culture Clash")</f>
        <v>Culture Clash</v>
      </c>
      <c r="B1584" s="4" t="s">
        <v>90</v>
      </c>
      <c r="C1584" s="3">
        <v>41140.645798611113</v>
      </c>
      <c r="D1584" s="2">
        <v>71</v>
      </c>
      <c r="E1584" s="2">
        <v>12</v>
      </c>
      <c r="F1584" s="2" t="s">
        <v>7</v>
      </c>
      <c r="G1584" s="2" t="s">
        <v>7</v>
      </c>
    </row>
    <row r="1585" spans="1:7" ht="30" x14ac:dyDescent="0.25">
      <c r="A1585" s="4" t="str">
        <f>HYPERLINK("http://www.facebook.com/photo.php?fbid=10151194469217952&amp;set=a.114456157951.118433.8062627951&amp;type=1&amp;relevant_count=1","[Photo]")</f>
        <v>[Photo]</v>
      </c>
      <c r="B1585" s="4" t="str">
        <f>HYPERLINK("http://www.facebook.com/8062627951/posts/10151194469282952","These wild iPhone cases are a DIYer’s dream - http://tcrn.ch/NTZE5C")</f>
        <v>These wild iPhone cases are a DIYer’s dream - http://tcrn.ch/NTZE5C</v>
      </c>
      <c r="C1585" s="3">
        <v>41140.593622685185</v>
      </c>
      <c r="D1585" s="2">
        <v>231</v>
      </c>
      <c r="E1585" s="2">
        <v>7</v>
      </c>
      <c r="F1585" s="2" t="s">
        <v>7</v>
      </c>
      <c r="G1585" s="2" t="s">
        <v>8</v>
      </c>
    </row>
    <row r="1586" spans="1:7" ht="30" x14ac:dyDescent="0.25">
      <c r="A1586" s="4" t="str">
        <f>HYPERLINK("http://techcrunch.com/2012/08/18/hey-guys-remember-when-you-used-to-care-about-flash/","Hey, Guys, Remember When You Used To Care About Flash?")</f>
        <v>Hey, Guys, Remember When You Used To Care About Flash?</v>
      </c>
      <c r="B1586" s="4" t="str">
        <f>HYPERLINK("http://www.facebook.com/8062627951/posts/148125928659011","Anyone?")</f>
        <v>Anyone?</v>
      </c>
      <c r="C1586" s="3">
        <v>41140.505949074075</v>
      </c>
      <c r="D1586" s="2">
        <v>98</v>
      </c>
      <c r="E1586" s="2">
        <v>26</v>
      </c>
      <c r="F1586" s="2" t="s">
        <v>8</v>
      </c>
      <c r="G1586" s="2" t="s">
        <v>7</v>
      </c>
    </row>
    <row r="1587" spans="1:7" ht="45" x14ac:dyDescent="0.25">
      <c r="A1587" s="4" t="str">
        <f>HYPERLINK("http://techcrunch.com/2012/08/19/how-to-structure-a-marketplace/","How To Structure A Marketplace ")</f>
        <v xml:space="preserve">How To Structure A Marketplace </v>
      </c>
      <c r="B1587" s="4" t="s">
        <v>91</v>
      </c>
      <c r="C1587" s="3">
        <v>41140.463206018518</v>
      </c>
      <c r="D1587" s="2">
        <v>83</v>
      </c>
      <c r="E1587" s="2">
        <v>0</v>
      </c>
      <c r="F1587" s="2" t="s">
        <v>7</v>
      </c>
      <c r="G1587" s="2" t="s">
        <v>7</v>
      </c>
    </row>
    <row r="1588" spans="1:7" ht="30" x14ac:dyDescent="0.25">
      <c r="A1588" s="4" t="str">
        <f>HYPERLINK("http://www.facebook.com/photo.php?fbid=10151193963592952&amp;set=a.114456157951.118433.8062627951&amp;type=1&amp;relevant_count=1","[Photo]")</f>
        <v>[Photo]</v>
      </c>
      <c r="B1588" s="4" t="str">
        <f>HYPERLINK("http://www.facebook.com/8062627951/posts/10151193963667952","The 7 habits of highly effective mediocre entrepreneurs - http://tcrn.ch/PvWdFR    Are you one of them?")</f>
        <v>The 7 habits of highly effective mediocre entrepreneurs - http://tcrn.ch/PvWdFR    Are you one of them?</v>
      </c>
      <c r="C1588" s="3">
        <v>41140.411782407406</v>
      </c>
      <c r="D1588" s="2">
        <v>338</v>
      </c>
      <c r="E1588" s="2">
        <v>10</v>
      </c>
      <c r="F1588" s="2" t="s">
        <v>8</v>
      </c>
      <c r="G1588" s="2" t="s">
        <v>8</v>
      </c>
    </row>
    <row r="1589" spans="1:7" x14ac:dyDescent="0.25">
      <c r="A1589" s="4" t="str">
        <f>HYPERLINK("http://www.facebook.com/photo.php?fbid=10151192917312952&amp;set=a.10151134316772952.498619.8062627951&amp;type=1&amp;relevant_count=1","[Photo]")</f>
        <v>[Photo]</v>
      </c>
      <c r="B1589" s="4" t="str">
        <f>HYPERLINK("http://www.facebook.com/8062627951/posts/10151192917352952","Box full of startup shirts. Anyone want one? ")</f>
        <v xml:space="preserve">Box full of startup shirts. Anyone want one? </v>
      </c>
      <c r="C1589" s="3">
        <v>41139.889097222222</v>
      </c>
      <c r="D1589" s="2">
        <v>449</v>
      </c>
      <c r="E1589" s="2">
        <v>224</v>
      </c>
      <c r="F1589" s="2" t="s">
        <v>8</v>
      </c>
      <c r="G1589" s="2" t="s">
        <v>8</v>
      </c>
    </row>
    <row r="1590" spans="1:7" ht="60" x14ac:dyDescent="0.25">
      <c r="A1590" s="4" t="str">
        <f>HYPERLINK("http://techcrunch.com/2012/08/18/motorolas-patent-lawsuit-against-apple-targets-siri-location-reminders-email-notifications-more/","Motorola’s Patent Lawsuit Against Apple Goes After Siri, Location Reminders, Email Notifications &amp; M")</f>
        <v>Motorola’s Patent Lawsuit Against Apple Goes After Siri, Location Reminders, Email Notifications &amp; M</v>
      </c>
      <c r="B1590" s="4" t="str">
        <f>HYPERLINK("http://www.facebook.com/8062627951/posts/422240797822645","We have now learned that the lawsuit accuses Apple of infringing on seven of Motorola’s patents.  These patents involve location reminders, email notifications, video playback and Siri, the flagship f...")</f>
        <v>We have now learned that the lawsuit accuses Apple of infringing on seven of Motorola’s patents.  These patents involve location reminders, email notifications, video playback and Siri, the flagship f...</v>
      </c>
      <c r="C1590" s="3">
        <v>41139.759606481479</v>
      </c>
      <c r="D1590" s="2">
        <v>204</v>
      </c>
      <c r="E1590" s="2">
        <v>47</v>
      </c>
      <c r="F1590" s="2" t="s">
        <v>7</v>
      </c>
      <c r="G1590" s="2" t="s">
        <v>7</v>
      </c>
    </row>
    <row r="1591" spans="1:7" ht="45" x14ac:dyDescent="0.25">
      <c r="A1591" s="4" t="str">
        <f>HYPERLINK("http://techcrunch.com/2012/08/18/infinite-scroll-the-webs-slot-machine/","Infinite Scroll: The Web’s Slot Machine ")</f>
        <v xml:space="preserve">Infinite Scroll: The Web’s Slot Machine </v>
      </c>
      <c r="B1591" s="4" t="s">
        <v>92</v>
      </c>
      <c r="C1591" s="3">
        <v>41139.699814814812</v>
      </c>
      <c r="D1591" s="2">
        <v>191</v>
      </c>
      <c r="E1591" s="2">
        <v>11</v>
      </c>
      <c r="F1591" s="2" t="s">
        <v>7</v>
      </c>
      <c r="G1591" s="2" t="s">
        <v>7</v>
      </c>
    </row>
    <row r="1592" spans="1:7" ht="30" x14ac:dyDescent="0.25">
      <c r="A1592" s="4" t="str">
        <f>HYPERLINK("http://www.facebook.com/photo.php?fbid=10151192223547952&amp;set=a.114456157951.118433.8062627951&amp;type=1&amp;relevant_count=1","[Photo]")</f>
        <v>[Photo]</v>
      </c>
      <c r="B1592" s="4" t="str">
        <f>HYPERLINK("http://www.facebook.com/8062627951/posts/10151192223572952","Feast Your Ears On Fresh Jams From Musicians You Love At Hipset http://tcrn.ch/NRf22R")</f>
        <v>Feast Your Ears On Fresh Jams From Musicians You Love At Hipset http://tcrn.ch/NRf22R</v>
      </c>
      <c r="C1592" s="3">
        <v>41139.54954861111</v>
      </c>
      <c r="D1592" s="2">
        <v>83</v>
      </c>
      <c r="E1592" s="2">
        <v>8</v>
      </c>
      <c r="F1592" s="2" t="s">
        <v>7</v>
      </c>
      <c r="G1592" s="2" t="s">
        <v>8</v>
      </c>
    </row>
    <row r="1593" spans="1:7" x14ac:dyDescent="0.25">
      <c r="A1593" s="4" t="str">
        <f>HYPERLINK("http://techcrunch.com/2012/08/18/how-instacart-hacked-yc/","How Instacart Hacked YC  | TechCrunch")</f>
        <v>How Instacart Hacked YC  | TechCrunch</v>
      </c>
      <c r="B1593" s="4" t="str">
        <f>HYPERLINK("http://www.facebook.com/8062627951/posts/508778365805031","A great story of hustle.")</f>
        <v>A great story of hustle.</v>
      </c>
      <c r="C1593" s="3">
        <v>41139.515694444446</v>
      </c>
      <c r="D1593" s="2">
        <v>125</v>
      </c>
      <c r="E1593" s="2">
        <v>7</v>
      </c>
      <c r="F1593" s="2" t="s">
        <v>7</v>
      </c>
      <c r="G1593" s="2" t="s">
        <v>7</v>
      </c>
    </row>
    <row r="1594" spans="1:7" ht="30" x14ac:dyDescent="0.25">
      <c r="A1594" s="4" t="str">
        <f>HYPERLINK("http://techcrunch.com/2012/08/18/payment-data-is-more-valuable-than-payment-fees/","Payment Data Is More Valuable Than Payment Fees")</f>
        <v>Payment Data Is More Valuable Than Payment Fees</v>
      </c>
      <c r="B1594" s="4" t="str">
        <f>HYPERLINK("http://www.facebook.com/8062627951/posts/396892520364462","Do you agree?")</f>
        <v>Do you agree?</v>
      </c>
      <c r="C1594" s="3">
        <v>41139.438159722224</v>
      </c>
      <c r="D1594" s="2">
        <v>107</v>
      </c>
      <c r="E1594" s="2">
        <v>10</v>
      </c>
      <c r="F1594" s="2" t="s">
        <v>8</v>
      </c>
      <c r="G1594" s="2" t="s">
        <v>7</v>
      </c>
    </row>
    <row r="1595" spans="1:7" ht="45" x14ac:dyDescent="0.25">
      <c r="A1595" s="4" t="str">
        <f>HYPERLINK("http://techcrunch.com/2012/08/17/marissa-mayers-30-days-in/","Marissa Mayer’s First 30 Days")</f>
        <v>Marissa Mayer’s First 30 Days</v>
      </c>
      <c r="B1595" s="4" t="str">
        <f>HYPERLINK("http://www.facebook.com/8062627951/posts/353222614755667","Do you think Marissa Mayer has what it takes? (A look inside of Yahoo by a former Yahoo employee, who is now a TechCrunch employee)")</f>
        <v>Do you think Marissa Mayer has what it takes? (A look inside of Yahoo by a former Yahoo employee, who is now a TechCrunch employee)</v>
      </c>
      <c r="C1595" s="3">
        <v>41138.910104166665</v>
      </c>
      <c r="D1595" s="2">
        <v>165</v>
      </c>
      <c r="E1595" s="2">
        <v>27</v>
      </c>
      <c r="F1595" s="2" t="s">
        <v>8</v>
      </c>
      <c r="G1595" s="2" t="s">
        <v>7</v>
      </c>
    </row>
    <row r="1596" spans="1:7" ht="45" x14ac:dyDescent="0.25">
      <c r="A1596" s="4" t="str">
        <f>HYPERLINK("http://techcrunch.com/2012/08/17/google-files-new-patent-lawsuit-against-apple-seeks-to-block-iphone-ipad-mac-imports-to-u-s/","Google Files New Patent Lawsuit Against Apple, Seeks To Block iPhone, iPad &amp; Mac Imports To U.S. ")</f>
        <v xml:space="preserve">Google Files New Patent Lawsuit Against Apple, Seeks To Block iPhone, iPad &amp; Mac Imports To U.S. </v>
      </c>
      <c r="B1596" s="4" t="str">
        <f>HYPERLINK("http://www.facebook.com/8062627951/posts/498984986795941","What do you think about Google's lawsuit against Apple?")</f>
        <v>What do you think about Google's lawsuit against Apple?</v>
      </c>
      <c r="C1596" s="3">
        <v>41138.872696759259</v>
      </c>
      <c r="D1596" s="2">
        <v>270</v>
      </c>
      <c r="E1596" s="2">
        <v>113</v>
      </c>
      <c r="F1596" s="2" t="s">
        <v>8</v>
      </c>
      <c r="G1596" s="2" t="s">
        <v>7</v>
      </c>
    </row>
    <row r="1597" spans="1:7" ht="30" x14ac:dyDescent="0.25">
      <c r="A1597" s="4" t="str">
        <f>HYPERLINK("http://www.facebook.com/photo.php?fbid=10151190152152952&amp;set=a.114456157951.118433.8062627951&amp;type=1&amp;relevant_count=1","[Photo]")</f>
        <v>[Photo]</v>
      </c>
      <c r="B1597" s="4" t="str">
        <f>HYPERLINK("http://www.facebook.com/8062627951/posts/10151190152197952","Source: OnLive found a buyer and cleaned house to reduce liability prior to acquisition - http://tcrn.ch/P3MnZj")</f>
        <v>Source: OnLive found a buyer and cleaned house to reduce liability prior to acquisition - http://tcrn.ch/P3MnZj</v>
      </c>
      <c r="C1597" s="3">
        <v>41138.584363425929</v>
      </c>
      <c r="D1597" s="2">
        <v>80</v>
      </c>
      <c r="E1597" s="2">
        <v>12</v>
      </c>
      <c r="F1597" s="2" t="s">
        <v>7</v>
      </c>
      <c r="G1597" s="2" t="s">
        <v>8</v>
      </c>
    </row>
    <row r="1598" spans="1:7" ht="45" x14ac:dyDescent="0.25">
      <c r="A1598" s="4" t="str">
        <f>HYPERLINK("http://techcrunch.com/2012/08/17/att-on-facetime-over-3g-free-for-mobile-share-users-unavailable-for-everyone-else/","AT&amp;T On FaceTime Over 3G: Free For Mobile Share Users, Unavailable For Everyone Else")</f>
        <v>AT&amp;T On FaceTime Over 3G: Free For Mobile Share Users, Unavailable For Everyone Else</v>
      </c>
      <c r="B1598" s="4" t="str">
        <f>HYPERLINK("http://www.facebook.com/8062627951/posts/353643028046209","Don't want AT&amp;T's shared data plan? Then you can't use FaceTime over 3G.")</f>
        <v>Don't want AT&amp;T's shared data plan? Then you can't use FaceTime over 3G.</v>
      </c>
      <c r="C1598" s="3">
        <v>41138.561296296299</v>
      </c>
      <c r="D1598" s="2">
        <v>34</v>
      </c>
      <c r="E1598" s="2">
        <v>17</v>
      </c>
      <c r="F1598" s="2" t="s">
        <v>8</v>
      </c>
      <c r="G1598" s="2" t="s">
        <v>7</v>
      </c>
    </row>
    <row r="1599" spans="1:7" ht="60" x14ac:dyDescent="0.25">
      <c r="A1599" s="4" t="str">
        <f>HYPERLINK("http://techcrunch.com/2012/08/17/team-brain/","The Team Brain: Beyond Email, Meetings, and Middle Management")</f>
        <v>The Team Brain: Beyond Email, Meetings, and Middle Management</v>
      </c>
      <c r="B1599" s="4" t="s">
        <v>93</v>
      </c>
      <c r="C1599" s="3">
        <v>41138.517314814817</v>
      </c>
      <c r="D1599" s="2">
        <v>46</v>
      </c>
      <c r="E1599" s="2">
        <v>2</v>
      </c>
      <c r="F1599" s="2" t="s">
        <v>7</v>
      </c>
      <c r="G1599" s="2" t="s">
        <v>7</v>
      </c>
    </row>
    <row r="1600" spans="1:7" ht="30" x14ac:dyDescent="0.25">
      <c r="A1600" s="4" t="str">
        <f>HYPERLINK("http://www.facebook.com/photo.php?fbid=10151189822982952&amp;set=a.114456157951.118433.8062627951&amp;type=1&amp;relevant_count=1","[Photo]")</f>
        <v>[Photo]</v>
      </c>
      <c r="B1600" s="4" t="str">
        <f>HYPERLINK("http://www.facebook.com/8062627951/posts/10151189823072952","Hey startups, does your startup pitch suck? Call PitchPhone and practice - http://tcrn.ch/R78CAW")</f>
        <v>Hey startups, does your startup pitch suck? Call PitchPhone and practice - http://tcrn.ch/R78CAW</v>
      </c>
      <c r="C1600" s="3">
        <v>41138.474131944444</v>
      </c>
      <c r="D1600" s="2">
        <v>480</v>
      </c>
      <c r="E1600" s="2">
        <v>17</v>
      </c>
      <c r="F1600" s="2" t="s">
        <v>8</v>
      </c>
      <c r="G1600" s="2" t="s">
        <v>8</v>
      </c>
    </row>
    <row r="1601" spans="1:7" ht="30" x14ac:dyDescent="0.25">
      <c r="A1601" s="4" t="str">
        <f>HYPERLINK("http://www.facebook.com/photo.php?fbid=10151189587942952&amp;set=a.114456157951.118433.8062627951&amp;type=1&amp;relevant_count=1","[Photo]")</f>
        <v>[Photo]</v>
      </c>
      <c r="B1601" s="4" t="str">
        <f>HYPERLINK("http://www.facebook.com/8062627951/posts/10151189587992952","Perfect: Steve Jobs' stolen iPad ended up with Kenny the Clown - http://tcrn.ch/N9510c")</f>
        <v>Perfect: Steve Jobs' stolen iPad ended up with Kenny the Clown - http://tcrn.ch/N9510c</v>
      </c>
      <c r="C1601" s="3">
        <v>41138.401805555557</v>
      </c>
      <c r="D1601" s="2">
        <v>102</v>
      </c>
      <c r="E1601" s="2">
        <v>14</v>
      </c>
      <c r="F1601" s="2" t="s">
        <v>7</v>
      </c>
      <c r="G1601" s="2" t="s">
        <v>8</v>
      </c>
    </row>
    <row r="1602" spans="1:7" ht="30" x14ac:dyDescent="0.25">
      <c r="A1602" s="4" t="str">
        <f>HYPERLINK("http://techcrunch.com/2012/08/17/giveaway-four-free-disrupt-sf-tickets-t-shirts-skullcandy-earbuds-datanerd/","Giveaway: Four Free Disrupt SF Tickets, T-Shirts &amp; Skullcandy Earbuds #DataNerd")</f>
        <v>Giveaway: Four Free Disrupt SF Tickets, T-Shirts &amp; Skullcandy Earbuds #DataNerd</v>
      </c>
      <c r="B1602" s="4" t="str">
        <f>HYPERLINK("http://www.facebook.com/8062627951/posts/271874702927534","We are giving away lots today. Make sure you take a look and enter!")</f>
        <v>We are giving away lots today. Make sure you take a look and enter!</v>
      </c>
      <c r="C1602" s="3">
        <v>41138.397650462961</v>
      </c>
      <c r="D1602" s="2">
        <v>35</v>
      </c>
      <c r="E1602" s="2">
        <v>0</v>
      </c>
      <c r="F1602" s="2" t="s">
        <v>7</v>
      </c>
      <c r="G1602" s="2" t="s">
        <v>7</v>
      </c>
    </row>
    <row r="1603" spans="1:7" ht="30" x14ac:dyDescent="0.25">
      <c r="A1603" s="4" t="str">
        <f>HYPERLINK("http://techcrunch.com/2012/08/17/facebooks-stock-price-plunges-in-early-trading-a-day-after-the-lockup-expired/","Facebook’s Stock Price Plunges In Early Trading A Day After The Lockup Expired")</f>
        <v>Facebook’s Stock Price Plunges In Early Trading A Day After The Lockup Expired</v>
      </c>
      <c r="B1603" s="4" t="str">
        <f>HYPERLINK("http://www.facebook.com/8062627951/posts/427199443983882","Look out below!")</f>
        <v>Look out below!</v>
      </c>
      <c r="C1603" s="3">
        <v>41138.300740740742</v>
      </c>
      <c r="D1603" s="2">
        <v>51</v>
      </c>
      <c r="E1603" s="2">
        <v>12</v>
      </c>
      <c r="F1603" s="2" t="s">
        <v>7</v>
      </c>
      <c r="G1603" s="2" t="s">
        <v>7</v>
      </c>
    </row>
    <row r="1604" spans="1:7" ht="30" x14ac:dyDescent="0.25">
      <c r="A1604" s="4" t="str">
        <f>HYPERLINK("http://techcrunch.com/2012/08/17/color-changing-soft-robots-will-someday-simulate-the-crawlers-of-the-deep/","Color-Changing Soft Robots Will Someday Simulate The Crawlers Of The Deep")</f>
        <v>Color-Changing Soft Robots Will Someday Simulate The Crawlers Of The Deep</v>
      </c>
      <c r="B1604" s="4" t="str">
        <f>HYPERLINK("http://www.facebook.com/8062627951/posts/276190339152679","Science! In action!")</f>
        <v>Science! In action!</v>
      </c>
      <c r="C1604" s="3">
        <v>41138.273576388892</v>
      </c>
      <c r="D1604" s="2">
        <v>31</v>
      </c>
      <c r="E1604" s="2">
        <v>1</v>
      </c>
      <c r="F1604" s="2" t="s">
        <v>7</v>
      </c>
      <c r="G1604" s="2" t="s">
        <v>7</v>
      </c>
    </row>
    <row r="1605" spans="1:7" ht="30" x14ac:dyDescent="0.25">
      <c r="A1605" s="4" t="str">
        <f>HYPERLINK("http://techcrunch.com/2012/08/17/windows-rt-tablets-up-to-300-less-than-win-8-tabs-says-lenovo-exec/","Windows RT Tablets Up To $300 Less Than Win 8 Tabs, Says Lenovo Exec")</f>
        <v>Windows RT Tablets Up To $300 Less Than Win 8 Tabs, Says Lenovo Exec</v>
      </c>
      <c r="B1605" s="4" t="str">
        <f>HYPERLINK("http://www.facebook.com/8062627951/posts/461651537200525","Windows RT tablets look to be less expensive than the iPad. Do they stand a chance?")</f>
        <v>Windows RT tablets look to be less expensive than the iPad. Do they stand a chance?</v>
      </c>
      <c r="C1605" s="3">
        <v>41138.231979166667</v>
      </c>
      <c r="D1605" s="2">
        <v>97</v>
      </c>
      <c r="E1605" s="2">
        <v>37</v>
      </c>
      <c r="F1605" s="2" t="s">
        <v>8</v>
      </c>
      <c r="G1605" s="2" t="s">
        <v>7</v>
      </c>
    </row>
    <row r="1606" spans="1:7" ht="30" x14ac:dyDescent="0.25">
      <c r="A1606" s="4" t="str">
        <f>HYPERLINK("http://techcrunch.com/2012/08/17/ihave50dollars-is-an-app-net-for-people-with-50/","IHave50Dollars Is An App.net For People With $50")</f>
        <v>IHave50Dollars Is An App.net For People With $50</v>
      </c>
      <c r="B1606" s="4" t="str">
        <f>HYPERLINK("http://www.facebook.com/8062627951/posts/365429793525915","Do you have $50?")</f>
        <v>Do you have $50?</v>
      </c>
      <c r="C1606" s="3">
        <v>41138.207083333335</v>
      </c>
      <c r="D1606" s="2">
        <v>49</v>
      </c>
      <c r="E1606" s="2">
        <v>5</v>
      </c>
      <c r="F1606" s="2" t="s">
        <v>8</v>
      </c>
      <c r="G1606" s="2" t="s">
        <v>7</v>
      </c>
    </row>
    <row r="1607" spans="1:7" ht="30" x14ac:dyDescent="0.25">
      <c r="A1607" s="4" t="str">
        <f>HYPERLINK("http://techcrunch.com/2012/08/16/profile-photo-privacy/","Facebook Now Gives You Privacy Control Over Each Of Your Old Profile Photos")</f>
        <v>Facebook Now Gives You Privacy Control Over Each Of Your Old Profile Photos</v>
      </c>
      <c r="B1607" s="4" t="str">
        <f>HYPERLINK("http://www.facebook.com/8062627951/posts/353825138025420","It's a big day for Facebook photo privacy.")</f>
        <v>It's a big day for Facebook photo privacy.</v>
      </c>
      <c r="C1607" s="3">
        <v>41137.785266203704</v>
      </c>
      <c r="D1607" s="2">
        <v>247</v>
      </c>
      <c r="E1607" s="2">
        <v>17</v>
      </c>
      <c r="F1607" s="2" t="s">
        <v>7</v>
      </c>
      <c r="G1607" s="2" t="s">
        <v>7</v>
      </c>
    </row>
    <row r="1608" spans="1:7" ht="45" x14ac:dyDescent="0.25">
      <c r="A1608" s="4" t="str">
        <f>HYPERLINK("http://techcrunch.com/2012/08/16/twitter-gives-developers-6-months-to-properly-display-tweet-use-new-authentication-and-rate-limts/","Twitter Gives Devs 6 Months To Display Tweets Properly, Use New Authentication and Rate Limits")</f>
        <v>Twitter Gives Devs 6 Months To Display Tweets Properly, Use New Authentication and Rate Limits</v>
      </c>
      <c r="B1608" s="4" t="str">
        <f>HYPERLINK("http://www.facebook.com/8062627951/posts/198631693600580","Devs, better pay attention to this.")</f>
        <v>Devs, better pay attention to this.</v>
      </c>
      <c r="C1608" s="3">
        <v>41137.689687500002</v>
      </c>
      <c r="D1608" s="2">
        <v>87</v>
      </c>
      <c r="E1608" s="2">
        <v>10</v>
      </c>
      <c r="F1608" s="2" t="s">
        <v>7</v>
      </c>
      <c r="G1608" s="2" t="s">
        <v>7</v>
      </c>
    </row>
    <row r="1609" spans="1:7" ht="30" x14ac:dyDescent="0.25">
      <c r="A1609" s="4" t="str">
        <f>HYPERLINK("http://www.facebook.com/photo.php?fbid=10151187755377952&amp;set=a.114456157951.118433.8062627951&amp;type=1&amp;relevant_count=1","[Photo]")</f>
        <v>[Photo]</v>
      </c>
      <c r="B1609" s="4" t="str">
        <f>HYPERLINK("http://www.facebook.com/8062627951/posts/10151187755412952","Tablets join the long race to the bottom... http://tcrn.ch/NGcy8Z")</f>
        <v>Tablets join the long race to the bottom... http://tcrn.ch/NGcy8Z</v>
      </c>
      <c r="C1609" s="3">
        <v>41137.590567129628</v>
      </c>
      <c r="D1609" s="2">
        <v>159</v>
      </c>
      <c r="E1609" s="2">
        <v>30</v>
      </c>
      <c r="F1609" s="2" t="s">
        <v>7</v>
      </c>
      <c r="G1609" s="2" t="s">
        <v>8</v>
      </c>
    </row>
    <row r="1610" spans="1:7" ht="30" x14ac:dyDescent="0.25">
      <c r="A1610" s="4" t="str">
        <f>HYPERLINK("http://techcrunch.com/2012/08/16/house-director-and-twitter-angel-investor-greg-yaitanes-to-disrupt-sf/","‘House’ Director and Twitter Angel Investor Greg Yaitanes To Disrupt SF")</f>
        <v>‘House’ Director and Twitter Angel Investor Greg Yaitanes To Disrupt SF</v>
      </c>
      <c r="B1610" s="4" t="str">
        <f>HYPERLINK("http://www.facebook.com/8062627951/posts/264592126992180","We are excited to have director &amp; angel investor Greg Yaitanes join us for Disrupt SF this year!")</f>
        <v>We are excited to have director &amp; angel investor Greg Yaitanes join us for Disrupt SF this year!</v>
      </c>
      <c r="C1610" s="3">
        <v>41137.573842592596</v>
      </c>
      <c r="D1610" s="2">
        <v>22</v>
      </c>
      <c r="E1610" s="2">
        <v>1</v>
      </c>
      <c r="F1610" s="2" t="s">
        <v>7</v>
      </c>
      <c r="G1610" s="2" t="s">
        <v>7</v>
      </c>
    </row>
    <row r="1611" spans="1:7" ht="30" x14ac:dyDescent="0.25">
      <c r="A1611" s="4" t="str">
        <f>HYPERLINK("http://www.facebook.com/photo.php?fbid=10151187600262952&amp;set=a.114456157951.118433.8062627951&amp;type=1&amp;relevant_count=1","[Photo]")</f>
        <v>[Photo]</v>
      </c>
      <c r="B1611" s="4" t="str">
        <f>HYPERLINK("http://www.facebook.com/8062627951/posts/10151187600292952","Hipstamatic out of film? Camera app lays off engineers and others - http://tcrn.ch/Poi1Dc")</f>
        <v>Hipstamatic out of film? Camera app lays off engineers and others - http://tcrn.ch/Poi1Dc</v>
      </c>
      <c r="C1611" s="3">
        <v>41137.538854166669</v>
      </c>
      <c r="D1611" s="2">
        <v>59</v>
      </c>
      <c r="E1611" s="2">
        <v>18</v>
      </c>
      <c r="F1611" s="2" t="s">
        <v>8</v>
      </c>
      <c r="G1611" s="2" t="s">
        <v>8</v>
      </c>
    </row>
    <row r="1612" spans="1:7" ht="30" x14ac:dyDescent="0.25">
      <c r="A1612" s="4" t="str">
        <f>HYPERLINK("http://www.facebook.com/photo.php?fbid=10151187481067952&amp;set=a.114456157951.118433.8062627951&amp;type=1&amp;relevant_count=1","[Photo]")</f>
        <v>[Photo]</v>
      </c>
      <c r="B1612" s="4" t="str">
        <f>HYPERLINK("http://www.facebook.com/8062627951/posts/10151187481107952","Ignore Wall Street and stay the course, Facebook. Even if your share price crashes - http://tcrn.ch/MAVBz0")</f>
        <v>Ignore Wall Street and stay the course, Facebook. Even if your share price crashes - http://tcrn.ch/MAVBz0</v>
      </c>
      <c r="C1612" s="3">
        <v>41137.494976851849</v>
      </c>
      <c r="D1612" s="2">
        <v>185</v>
      </c>
      <c r="E1612" s="2">
        <v>18</v>
      </c>
      <c r="F1612" s="2" t="s">
        <v>7</v>
      </c>
      <c r="G1612" s="2" t="s">
        <v>8</v>
      </c>
    </row>
    <row r="1613" spans="1:7" ht="30" x14ac:dyDescent="0.25">
      <c r="A1613" s="4" t="str">
        <f>HYPERLINK("http://techcrunch.com/2012/08/16/square-debuts-monthly-pricing-option-for-small-businesses-drops-swiping-fees/","Square Debuts Monthly Pricing Option For Small Businesses With Zero Swiping Fees")</f>
        <v>Square Debuts Monthly Pricing Option For Small Businesses With Zero Swiping Fees</v>
      </c>
      <c r="B1613" s="4" t="str">
        <f>HYPERLINK("http://www.facebook.com/8062627951/posts/388825934518561","Game changer?")</f>
        <v>Game changer?</v>
      </c>
      <c r="C1613" s="3">
        <v>41137.441388888888</v>
      </c>
      <c r="D1613" s="2">
        <v>297</v>
      </c>
      <c r="E1613" s="2">
        <v>15</v>
      </c>
      <c r="F1613" s="2" t="s">
        <v>8</v>
      </c>
      <c r="G1613" s="2" t="s">
        <v>7</v>
      </c>
    </row>
    <row r="1614" spans="1:7" ht="30" x14ac:dyDescent="0.25">
      <c r="A1614" s="4" t="str">
        <f>HYPERLINK("http://techcrunch.com/2012/08/16/facebook-stock-dips-below-20-for-the-first-time/","Unlike: Facebook Stock Hits New Low")</f>
        <v>Unlike: Facebook Stock Hits New Low</v>
      </c>
      <c r="B1614" s="4" t="str">
        <f>HYPERLINK("http://www.facebook.com/8062627951/posts/196611593802112","Facebook's stock is trading once again under the $20 price point, hitting a new 52-week low of $19.69.")</f>
        <v>Facebook's stock is trading once again under the $20 price point, hitting a new 52-week low of $19.69.</v>
      </c>
      <c r="C1614" s="3">
        <v>41137.426226851851</v>
      </c>
      <c r="D1614" s="2">
        <v>142</v>
      </c>
      <c r="E1614" s="2">
        <v>50</v>
      </c>
      <c r="F1614" s="2" t="s">
        <v>7</v>
      </c>
      <c r="G1614" s="2" t="s">
        <v>7</v>
      </c>
    </row>
    <row r="1615" spans="1:7" ht="45" x14ac:dyDescent="0.25">
      <c r="A1615" s="4" t="str">
        <f>HYPERLINK("http://techcrunch.com/2012/08/16/instagram-3-0-bets-big-on-geolocation-with-photo-maps-letting-you-showcase-the-story-behind-your-photos/","Instagram 3.0 Bets Big On Geolocation With Photo Maps, Letting You Showcase The Story Behind Your Ph")</f>
        <v>Instagram 3.0 Bets Big On Geolocation With Photo Maps, Letting You Showcase The Story Behind Your Ph</v>
      </c>
      <c r="B1615" s="4" t="str">
        <f>HYPERLINK("http://www.facebook.com/8062627951/posts/455514527802128","Instagram is growing up.")</f>
        <v>Instagram is growing up.</v>
      </c>
      <c r="C1615" s="3">
        <v>41137.34097222222</v>
      </c>
      <c r="D1615" s="2">
        <v>120</v>
      </c>
      <c r="E1615" s="2">
        <v>7</v>
      </c>
      <c r="F1615" s="2" t="s">
        <v>7</v>
      </c>
      <c r="G1615" s="2" t="s">
        <v>7</v>
      </c>
    </row>
    <row r="1616" spans="1:7" ht="30" x14ac:dyDescent="0.25">
      <c r="A1616" s="4" t="str">
        <f>HYPERLINK("http://techcrunch.com/2012/08/16/does-jack-dorsey-want-to-be-just-like-steve-jobs/","Why Does Jack Dorsey Want To Be Just Like Steve Jobs?")</f>
        <v>Why Does Jack Dorsey Want To Be Just Like Steve Jobs?</v>
      </c>
      <c r="B1616" s="4" t="str">
        <f>HYPERLINK("http://www.facebook.com/8062627951/posts/274248999355805","Good question. Any ideas?")</f>
        <v>Good question. Any ideas?</v>
      </c>
      <c r="C1616" s="3">
        <v>41137.310486111113</v>
      </c>
      <c r="D1616" s="2">
        <v>79</v>
      </c>
      <c r="E1616" s="2">
        <v>39</v>
      </c>
      <c r="F1616" s="2" t="s">
        <v>8</v>
      </c>
      <c r="G1616" s="2" t="s">
        <v>7</v>
      </c>
    </row>
    <row r="1617" spans="1:7" ht="30" x14ac:dyDescent="0.25">
      <c r="A1617" s="4" t="str">
        <f>HYPERLINK("http://www.facebook.com/photo.php?fbid=10151186720602952&amp;set=a.114456157951.118433.8062627951&amp;type=1&amp;relevant_count=1","[Photo]")</f>
        <v>[Photo]</v>
      </c>
      <c r="B1617" s="4" t="str">
        <f>HYPERLINK("http://www.facebook.com/8062627951/posts/10151186720657952","Why is Apple talking to the cable monsters? Because that's where the content is. http://t.co/1PDBWRXe")</f>
        <v>Why is Apple talking to the cable monsters? Because that's where the content is. http://t.co/1PDBWRXe</v>
      </c>
      <c r="C1617" s="3">
        <v>41137.214490740742</v>
      </c>
      <c r="D1617" s="2">
        <v>344</v>
      </c>
      <c r="E1617" s="2">
        <v>34</v>
      </c>
      <c r="F1617" s="2" t="s">
        <v>8</v>
      </c>
      <c r="G1617" s="2" t="s">
        <v>8</v>
      </c>
    </row>
    <row r="1618" spans="1:7" ht="45" x14ac:dyDescent="0.25">
      <c r="A1618" s="4" t="str">
        <f>HYPERLINK("http://techcrunch.com/2012/08/15/yes-apple-is-in-discussions-with-cable-operators-and-everyone-has-known-this-for-months/","Yes, Apple Is In Discussions With Cable Operators, And Everyone Has Known This For Months")</f>
        <v>Yes, Apple Is In Discussions With Cable Operators, And Everyone Has Known This For Months</v>
      </c>
      <c r="B1618" s="4" t="str">
        <f>HYPERLINK("http://www.facebook.com/8062627951/posts/155722154551989","August Journalism, anyone?")</f>
        <v>August Journalism, anyone?</v>
      </c>
      <c r="C1618" s="3">
        <v>41136.905150462961</v>
      </c>
      <c r="D1618" s="2">
        <v>61</v>
      </c>
      <c r="E1618" s="2">
        <v>6</v>
      </c>
      <c r="F1618" s="2" t="s">
        <v>8</v>
      </c>
      <c r="G1618" s="2" t="s">
        <v>7</v>
      </c>
    </row>
    <row r="1619" spans="1:7" ht="45" x14ac:dyDescent="0.25">
      <c r="A1619" s="4" t="str">
        <f>HYPERLINK("http://techcrunch.com/2012/08/15/natural-motion/","A $12-Million-A-Month iOS Game? NaturalMotion Has It With CSR Racing")</f>
        <v>A $12-Million-A-Month iOS Game? NaturalMotion Has It With CSR Racing</v>
      </c>
      <c r="B1619" s="4" t="str">
        <f>HYPERLINK("http://www.facebook.com/8062627951/posts/343834295705362","Now comes a new high point from Benchmark Capital-backed NaturalMotion, which said its highly hyped title CSR Racing passed $12 million in monthly revenue.")</f>
        <v>Now comes a new high point from Benchmark Capital-backed NaturalMotion, which said its highly hyped title CSR Racing passed $12 million in monthly revenue.</v>
      </c>
      <c r="C1619" s="3">
        <v>41136.798819444448</v>
      </c>
      <c r="D1619" s="2">
        <v>66</v>
      </c>
      <c r="E1619" s="2">
        <v>9</v>
      </c>
      <c r="F1619" s="2" t="s">
        <v>7</v>
      </c>
      <c r="G1619" s="2" t="s">
        <v>7</v>
      </c>
    </row>
    <row r="1620" spans="1:7" ht="45" x14ac:dyDescent="0.25">
      <c r="A1620" s="4" t="str">
        <f>HYPERLINK("http://www.facebook.com/photo.php?fbid=10151185619377952&amp;set=a.114456157951.118433.8062627951&amp;type=1&amp;relevant_count=1","[Photo]")</f>
        <v>[Photo]</v>
      </c>
      <c r="B1620" s="4" t="str">
        <f>HYPERLINK("http://www.facebook.com/8062627951/posts/10151185619412952","According to Fab, one startup is taking the imitation a bit too far. Fab is suing flash sales site TouchofModern for alleged trademark infringement - http://tcrn.ch/Pq5UUb")</f>
        <v>According to Fab, one startup is taking the imitation a bit too far. Fab is suing flash sales site TouchofModern for alleged trademark infringement - http://tcrn.ch/Pq5UUb</v>
      </c>
      <c r="C1620" s="3">
        <v>41136.666967592595</v>
      </c>
      <c r="D1620" s="2">
        <v>108</v>
      </c>
      <c r="E1620" s="2">
        <v>18</v>
      </c>
      <c r="F1620" s="2" t="s">
        <v>7</v>
      </c>
      <c r="G1620" s="2" t="s">
        <v>8</v>
      </c>
    </row>
    <row r="1621" spans="1:7" ht="45" x14ac:dyDescent="0.25">
      <c r="A1621" s="4" t="str">
        <f>HYPERLINK("http://techcrunch.com/2012/08/15/google-maps-now-features-schedules-for-more-than-1-million-transit-stops-worldwide/","Google Maps Now Features Schedules For More Than 1 Million Transit Stops Worldwide")</f>
        <v>Google Maps Now Features Schedules For More Than 1 Million Transit Stops Worldwide</v>
      </c>
      <c r="B1621" s="4" t="str">
        <f>HYPERLINK("http://www.facebook.com/8062627951/posts/410459632345984","Google Maps now features public transit schedules for more than 500 cities &amp; 1 million transit stops worldwide.")</f>
        <v>Google Maps now features public transit schedules for more than 500 cities &amp; 1 million transit stops worldwide.</v>
      </c>
      <c r="C1621" s="3">
        <v>41136.613043981481</v>
      </c>
      <c r="D1621" s="2">
        <v>355</v>
      </c>
      <c r="E1621" s="2">
        <v>13</v>
      </c>
      <c r="F1621" s="2" t="s">
        <v>7</v>
      </c>
      <c r="G1621" s="2" t="s">
        <v>7</v>
      </c>
    </row>
    <row r="1622" spans="1:7" ht="30" x14ac:dyDescent="0.25">
      <c r="A1622" s="4" t="str">
        <f>HYPERLINK("http://techcrunch.com/2012/08/15/coastermatic-turns-your-instagram-pictures-into-coasters/","Coastermatic Turns Your Instagram Pictures Into Coasters")</f>
        <v>Coastermatic Turns Your Instagram Pictures Into Coasters</v>
      </c>
      <c r="B1622" s="4" t="str">
        <f>HYPERLINK("http://www.facebook.com/8062627951/posts/358681767541159","Seriously, check this out.")</f>
        <v>Seriously, check this out.</v>
      </c>
      <c r="C1622" s="3">
        <v>41136.550497685188</v>
      </c>
      <c r="D1622" s="2">
        <v>81</v>
      </c>
      <c r="E1622" s="2">
        <v>2</v>
      </c>
      <c r="F1622" s="2" t="s">
        <v>7</v>
      </c>
      <c r="G1622" s="2" t="s">
        <v>7</v>
      </c>
    </row>
    <row r="1623" spans="1:7" ht="30" x14ac:dyDescent="0.25">
      <c r="A1623" s="4" t="str">
        <f>HYPERLINK("http://www.facebook.com/photo.php?fbid=10151185306662952&amp;set=a.114456157951.118433.8062627951&amp;type=1&amp;relevant_count=1","[Photo]")</f>
        <v>[Photo]</v>
      </c>
      <c r="B1623" s="4" t="str">
        <f>HYPERLINK("http://www.facebook.com/8062627951/posts/10151185306757952","It's Shark Week. Act accordingly. http://instagram.com/p/OXG5YPuvWL/")</f>
        <v>It's Shark Week. Act accordingly. http://instagram.com/p/OXG5YPuvWL/</v>
      </c>
      <c r="C1623" s="3">
        <v>41136.544560185182</v>
      </c>
      <c r="D1623" s="2">
        <v>247</v>
      </c>
      <c r="E1623" s="2">
        <v>9</v>
      </c>
      <c r="F1623" s="2" t="s">
        <v>7</v>
      </c>
      <c r="G1623" s="2" t="s">
        <v>8</v>
      </c>
    </row>
    <row r="1624" spans="1:7" ht="30" x14ac:dyDescent="0.25">
      <c r="A1624" s="4" t="str">
        <f>HYPERLINK("http://www.facebook.com/photo.php?fbid=10151185136172952&amp;set=a.114456157951.118433.8062627951&amp;type=1&amp;relevant_count=1","[Photo]")</f>
        <v>[Photo]</v>
      </c>
      <c r="B1624" s="4" t="str">
        <f>HYPERLINK("http://www.facebook.com/8062627951/posts/10151185136197952","The Invisible Bike Helmet: An Airbag On The Go http://tcrn.ch/SnZLIw")</f>
        <v>The Invisible Bike Helmet: An Airbag On The Go http://tcrn.ch/SnZLIw</v>
      </c>
      <c r="C1624" s="3">
        <v>41136.4843287037</v>
      </c>
      <c r="D1624" s="2">
        <v>591</v>
      </c>
      <c r="E1624" s="2">
        <v>76</v>
      </c>
      <c r="F1624" s="2" t="s">
        <v>7</v>
      </c>
      <c r="G1624" s="2" t="s">
        <v>8</v>
      </c>
    </row>
    <row r="1625" spans="1:7" ht="45" x14ac:dyDescent="0.25">
      <c r="A1625" s="4" t="str">
        <f>HYPERLINK("http://techcrunch.com/2012/08/15/hope-for-flickr-marissa-mayer-joins-photo-sharing-site-reportedly-doubles-team/","Hope For Flickr? Marissa Mayer Joins Photo-Sharing Site, Reportedly Doubles Team")</f>
        <v>Hope For Flickr? Marissa Mayer Joins Photo-Sharing Site, Reportedly Doubles Team</v>
      </c>
      <c r="B1625" s="4" t="str">
        <f>HYPERLINK("http://www.facebook.com/8062627951/posts/272549482858446","Could this mean there's hope for Flickr?")</f>
        <v>Could this mean there's hope for Flickr?</v>
      </c>
      <c r="C1625" s="3">
        <v>41136.458009259259</v>
      </c>
      <c r="D1625" s="2">
        <v>109</v>
      </c>
      <c r="E1625" s="2">
        <v>15</v>
      </c>
      <c r="F1625" s="2" t="s">
        <v>8</v>
      </c>
      <c r="G1625" s="2" t="s">
        <v>7</v>
      </c>
    </row>
    <row r="1626" spans="1:7" ht="30" x14ac:dyDescent="0.25">
      <c r="A1626" s="4" t="str">
        <f>HYPERLINK("http://www.facebook.com/photo.php?fbid=10151184978602952&amp;set=a.114456157951.118433.8062627951&amp;type=1&amp;relevant_count=1","[Photo]")</f>
        <v>[Photo]</v>
      </c>
      <c r="B1626" s="4" t="str">
        <f>HYPERLINK("http://www.facebook.com/8062627951/posts/10151184978647952","YC-backed viaCycle is a Zipcar for bikes and is coming to San Francisco soon! http://tcrn.ch/PkGGsl")</f>
        <v>YC-backed viaCycle is a Zipcar for bikes and is coming to San Francisco soon! http://tcrn.ch/PkGGsl</v>
      </c>
      <c r="C1626" s="3">
        <v>41136.42292824074</v>
      </c>
      <c r="D1626" s="2">
        <v>321</v>
      </c>
      <c r="E1626" s="2">
        <v>27</v>
      </c>
      <c r="F1626" s="2" t="s">
        <v>7</v>
      </c>
      <c r="G1626" s="2" t="s">
        <v>8</v>
      </c>
    </row>
    <row r="1627" spans="1:7" ht="45" x14ac:dyDescent="0.25">
      <c r="A1627" s="4" t="str">
        <f>HYPERLINK("http://techcrunch.com/2012/08/15/why-all-schools-need-ipads-ending-texass-bizarre-control-over-national-history-textbooks/","Why All Schools Need iPads: Ending Texas’s Bizarre Control Over National History Textbooks")</f>
        <v>Why All Schools Need iPads: Ending Texas’s Bizarre Control Over National History Textbooks</v>
      </c>
      <c r="B1627" s="4" t="str">
        <f>HYPERLINK("http://www.facebook.com/8062627951/posts/433183493391329","Do you believe all schools should have iPads?")</f>
        <v>Do you believe all schools should have iPads?</v>
      </c>
      <c r="C1627" s="3">
        <v>41136.395462962966</v>
      </c>
      <c r="D1627" s="2">
        <v>153</v>
      </c>
      <c r="E1627" s="2">
        <v>52</v>
      </c>
      <c r="F1627" s="2" t="s">
        <v>8</v>
      </c>
      <c r="G1627" s="2" t="s">
        <v>7</v>
      </c>
    </row>
    <row r="1628" spans="1:7" ht="45" x14ac:dyDescent="0.25">
      <c r="A1628" s="4" t="str">
        <f>HYPERLINK("http://techcrunch.com/2012/08/15/walmart-target-7-11-and-other-retailers-are-teaming-up-on-mobile-wallet/","Walmart, Target, 7-11 And Other Retailers Are Teaming Up On Mobile Wallet")</f>
        <v>Walmart, Target, 7-11 And Other Retailers Are Teaming Up On Mobile Wallet</v>
      </c>
      <c r="B1628" s="4" t="str">
        <f>HYPERLINK("http://www.facebook.com/8062627951/posts/457605794273925","The effort between some of the biggest retailers to launch their own mobile payments network is set to be announced later today.")</f>
        <v>The effort between some of the biggest retailers to launch their own mobile payments network is set to be announced later today.</v>
      </c>
      <c r="C1628" s="3">
        <v>41136.341828703706</v>
      </c>
      <c r="D1628" s="2">
        <v>76</v>
      </c>
      <c r="E1628" s="2">
        <v>3</v>
      </c>
      <c r="F1628" s="2" t="s">
        <v>7</v>
      </c>
      <c r="G1628" s="2" t="s">
        <v>7</v>
      </c>
    </row>
    <row r="1629" spans="1:7" ht="30" x14ac:dyDescent="0.25">
      <c r="A1629" s="4" t="str">
        <f>HYPERLINK("http://techcrunch.com/2012/08/15/samsung-galaxy-note-10-1-review/","Samsung Galaxy Note 10.1 Review: So Close To Greatness")</f>
        <v>Samsung Galaxy Note 10.1 Review: So Close To Greatness</v>
      </c>
      <c r="B1629" s="4" t="str">
        <f>HYPERLINK("http://www.facebook.com/8062627951/posts/143965005744650","iPad killer? Not really, but it's still a nice tablet.")</f>
        <v>iPad killer? Not really, but it's still a nice tablet.</v>
      </c>
      <c r="C1629" s="3">
        <v>41136.295486111114</v>
      </c>
      <c r="D1629" s="2">
        <v>107</v>
      </c>
      <c r="E1629" s="2">
        <v>16</v>
      </c>
      <c r="F1629" s="2" t="s">
        <v>8</v>
      </c>
      <c r="G1629" s="2" t="s">
        <v>7</v>
      </c>
    </row>
    <row r="1630" spans="1:7" x14ac:dyDescent="0.25">
      <c r="A1630" s="4" t="str">
        <f>HYPERLINK("http://www.facebook.com/photo.php?fbid=10151184559102952&amp;set=a.114456157951.118433.8062627951&amp;type=1&amp;relevant_count=1","[Photo]")</f>
        <v>[Photo]</v>
      </c>
      <c r="B1630" s="4" t="str">
        <f>HYPERLINK("http://www.facebook.com/8062627951/posts/10151184559152952","People still believe in Nokia. Do you?  http://tcrn.ch/PkiGFN")</f>
        <v>People still believe in Nokia. Do you?  http://tcrn.ch/PkiGFN</v>
      </c>
      <c r="C1630" s="3">
        <v>41136.258333333331</v>
      </c>
      <c r="D1630" s="2">
        <v>379</v>
      </c>
      <c r="E1630" s="2">
        <v>177</v>
      </c>
      <c r="F1630" s="2" t="s">
        <v>8</v>
      </c>
      <c r="G1630" s="2" t="s">
        <v>8</v>
      </c>
    </row>
    <row r="1631" spans="1:7" ht="30" x14ac:dyDescent="0.25">
      <c r="A1631" s="4" t="str">
        <f>HYPERLINK("http://www.facebook.com/photo.php?fbid=10151183910812952&amp;set=a.114456157951.118433.8062627951&amp;type=1&amp;relevant_count=1","[Photo]")</f>
        <v>[Photo]</v>
      </c>
      <c r="B1631" s="4" t="str">
        <f>HYPERLINK("http://www.facebook.com/8062627951/posts/10151183910832952","Office politics really is about actual offices... http://tcrn.ch/NBbWTT")</f>
        <v>Office politics really is about actual offices... http://tcrn.ch/NBbWTT</v>
      </c>
      <c r="C1631" s="3">
        <v>41135.912430555552</v>
      </c>
      <c r="D1631" s="2">
        <v>130</v>
      </c>
      <c r="E1631" s="2">
        <v>23</v>
      </c>
      <c r="F1631" s="2" t="s">
        <v>7</v>
      </c>
      <c r="G1631" s="2" t="s">
        <v>8</v>
      </c>
    </row>
    <row r="1632" spans="1:7" ht="30" x14ac:dyDescent="0.25">
      <c r="A1632" s="4" t="str">
        <f>HYPERLINK("http://www.facebook.com/photo.php?fbid=10151183665962952&amp;set=a.114456157951.118433.8062627951&amp;type=1&amp;relevant_count=1","[Photo]")</f>
        <v>[Photo]</v>
      </c>
      <c r="B1632" s="4" t="str">
        <f>HYPERLINK("http://www.facebook.com/8062627951/posts/10151183666022952","Pinterest finally releases iPad and Android apps. Get 'em here  http://tcrn.ch/OXjTAv")</f>
        <v>Pinterest finally releases iPad and Android apps. Get 'em here  http://tcrn.ch/OXjTAv</v>
      </c>
      <c r="C1632" s="3">
        <v>41135.781909722224</v>
      </c>
      <c r="D1632" s="2">
        <v>355</v>
      </c>
      <c r="E1632" s="2">
        <v>22</v>
      </c>
      <c r="F1632" s="2" t="s">
        <v>7</v>
      </c>
      <c r="G1632" s="2" t="s">
        <v>8</v>
      </c>
    </row>
    <row r="1633" spans="1:7" ht="45" x14ac:dyDescent="0.25">
      <c r="A1633" s="4" t="str">
        <f>HYPERLINK("http://techcrunch.com/2012/08/14/medium-publishing/","Twitter Co-Founders Preview Medium, Their Publishing Platform That Gives Anyone An Audience ")</f>
        <v xml:space="preserve">Twitter Co-Founders Preview Medium, Their Publishing Platform That Gives Anyone An Audience </v>
      </c>
      <c r="B1633" s="4" t="str">
        <f>HYPERLINK("http://www.facebook.com/8062627951/posts/436582503046978","What are your initial thoughts on Medium?")</f>
        <v>What are your initial thoughts on Medium?</v>
      </c>
      <c r="C1633" s="3">
        <v>41135.735150462962</v>
      </c>
      <c r="D1633" s="2">
        <v>89</v>
      </c>
      <c r="E1633" s="2">
        <v>15</v>
      </c>
      <c r="F1633" s="2" t="s">
        <v>8</v>
      </c>
      <c r="G1633" s="2" t="s">
        <v>7</v>
      </c>
    </row>
    <row r="1634" spans="1:7" x14ac:dyDescent="0.25">
      <c r="A1634" s="4" t="str">
        <f>HYPERLINK("http://techcrunch.com/2012/08/14/six-really-useful-apps-for-nyc/","Six Really Useful Apps For NYC")</f>
        <v>Six Really Useful Apps For NYC</v>
      </c>
      <c r="B1634" s="4" t="str">
        <f>HYPERLINK("http://www.facebook.com/8062627951/posts/480768081936184","New Yorkers, do you agree? Which are your fav?")</f>
        <v>New Yorkers, do you agree? Which are your fav?</v>
      </c>
      <c r="C1634" s="3">
        <v>41135.660497685189</v>
      </c>
      <c r="D1634" s="2">
        <v>51</v>
      </c>
      <c r="E1634" s="2">
        <v>9</v>
      </c>
      <c r="F1634" s="2" t="s">
        <v>8</v>
      </c>
      <c r="G1634" s="2" t="s">
        <v>7</v>
      </c>
    </row>
    <row r="1635" spans="1:7" ht="45" x14ac:dyDescent="0.25">
      <c r="A1635" s="4" t="str">
        <f>HYPERLINK("http://www.facebook.com/photo.php?fbid=10151183252492952&amp;set=a.114456157951.118433.8062627951&amp;type=1&amp;relevant_count=1","[Photo]")</f>
        <v>[Photo]</v>
      </c>
      <c r="B1635" s="4" t="str">
        <f>HYPERLINK("http://www.facebook.com/8062627951/posts/10151183252557952","You never know what could happen. Police bust prostitutes using an Airbnb apartment in Stockholm - http://tcrn.ch/QybNxo")</f>
        <v>You never know what could happen. Police bust prostitutes using an Airbnb apartment in Stockholm - http://tcrn.ch/QybNxo</v>
      </c>
      <c r="C1635" s="3">
        <v>41135.611597222225</v>
      </c>
      <c r="D1635" s="2">
        <v>87</v>
      </c>
      <c r="E1635" s="2">
        <v>23</v>
      </c>
      <c r="F1635" s="2" t="s">
        <v>7</v>
      </c>
      <c r="G1635" s="2" t="s">
        <v>8</v>
      </c>
    </row>
    <row r="1636" spans="1:7" ht="30" x14ac:dyDescent="0.25">
      <c r="A1636" s="4" t="str">
        <f>HYPERLINK("http://www.facebook.com/photo.php?fbid=10151183179287952&amp;set=a.114456157951.118433.8062627951&amp;type=1&amp;relevant_count=1","[Photo]")</f>
        <v>[Photo]</v>
      </c>
      <c r="B1636" s="4" t="str">
        <f>HYPERLINK("http://www.facebook.com/8062627951/posts/10151183179362952","So much for opting in. The new Facebook ads let Pages show feed posts to non-fans http://tcrn.ch/QznHad")</f>
        <v>So much for opting in. The new Facebook ads let Pages show feed posts to non-fans http://tcrn.ch/QznHad</v>
      </c>
      <c r="C1636" s="3">
        <v>41135.584131944444</v>
      </c>
      <c r="D1636" s="2">
        <v>90</v>
      </c>
      <c r="E1636" s="2">
        <v>29</v>
      </c>
      <c r="F1636" s="2" t="s">
        <v>7</v>
      </c>
      <c r="G1636" s="2" t="s">
        <v>8</v>
      </c>
    </row>
    <row r="1637" spans="1:7" ht="30" x14ac:dyDescent="0.25">
      <c r="A1637" s="4" t="str">
        <f>HYPERLINK("http://techcrunch.com/2012/08/14/uber-c-and-d-boston/","Uber Hit With Cease And Desist In Boston, Promises To Continue “Full Speed Ahead”")</f>
        <v>Uber Hit With Cease And Desist In Boston, Promises To Continue “Full Speed Ahead”</v>
      </c>
      <c r="B1637" s="4" t="str">
        <f>HYPERLINK("http://www.facebook.com/8062627951/posts/427459250633830","Uber is facing heat from yet another city.")</f>
        <v>Uber is facing heat from yet another city.</v>
      </c>
      <c r="C1637" s="3">
        <v>41135.569733796299</v>
      </c>
      <c r="D1637" s="2">
        <v>37</v>
      </c>
      <c r="E1637" s="2">
        <v>10</v>
      </c>
      <c r="F1637" s="2" t="s">
        <v>7</v>
      </c>
      <c r="G1637" s="2" t="s">
        <v>7</v>
      </c>
    </row>
    <row r="1638" spans="1:7" ht="45" x14ac:dyDescent="0.25">
      <c r="A1638" s="4" t="str">
        <f>HYPERLINK("http://www.facebook.com/photo.php?fbid=10151182961472952&amp;set=a.114456157951.118433.8062627951&amp;type=1&amp;relevant_count=1","[Photo]")</f>
        <v>[Photo]</v>
      </c>
      <c r="B1638" s="4" t="str">
        <f>HYPERLINK("http://www.facebook.com/8062627951/posts/10151182961532952","Bad news for Bieber? Klout unveils redesign and a scoring system that looks at real world influence - http://tcrn.ch/OrPmih    What do you think of it?")</f>
        <v>Bad news for Bieber? Klout unveils redesign and a scoring system that looks at real world influence - http://tcrn.ch/OrPmih    What do you think of it?</v>
      </c>
      <c r="C1638" s="3">
        <v>41135.500740740739</v>
      </c>
      <c r="D1638" s="2">
        <v>71</v>
      </c>
      <c r="E1638" s="2">
        <v>22</v>
      </c>
      <c r="F1638" s="2" t="s">
        <v>8</v>
      </c>
      <c r="G1638" s="2" t="s">
        <v>8</v>
      </c>
    </row>
    <row r="1639" spans="1:7" ht="45" x14ac:dyDescent="0.25">
      <c r="A1639" s="4" t="str">
        <f>HYPERLINK("http://techcrunch.com/2012/08/14/social-entrepreneurship-super-duo-biz-stone-and-evan-williams-to-join-us-at-disrupt-sf/","Social Entrepreneurship Super Duo, Biz Stone And Evan Williams, To Join Us At Disrupt SF")</f>
        <v>Social Entrepreneurship Super Duo, Biz Stone And Evan Williams, To Join Us At Disrupt SF</v>
      </c>
      <c r="B1639" s="4" t="str">
        <f>HYPERLINK("http://www.facebook.com/8062627951/posts/530466453635133","The Twitter duo are back. We are pleased to have Twitter co-founders Biz Stone and Evan Williams join us for Disrupt SF!")</f>
        <v>The Twitter duo are back. We are pleased to have Twitter co-founders Biz Stone and Evan Williams join us for Disrupt SF!</v>
      </c>
      <c r="C1639" s="3">
        <v>41135.446122685185</v>
      </c>
      <c r="D1639" s="2">
        <v>31</v>
      </c>
      <c r="E1639" s="2">
        <v>1</v>
      </c>
      <c r="F1639" s="2" t="s">
        <v>7</v>
      </c>
      <c r="G1639" s="2" t="s">
        <v>7</v>
      </c>
    </row>
    <row r="1640" spans="1:7" ht="30" x14ac:dyDescent="0.25">
      <c r="A1640" s="4" t="str">
        <f>HYPERLINK("http://techcrunch.com/2012/08/14/khan-academy-launches-the-future-of-computer-science-education/","Khan Academy Launches The Future of Computer Science Education")</f>
        <v>Khan Academy Launches The Future of Computer Science Education</v>
      </c>
      <c r="B1640" s="4" t="str">
        <f>HYPERLINK("http://www.facebook.com/8062627951/posts/460938793939614","Share this with the young children in your life. Computer Science education just got more awesome.")</f>
        <v>Share this with the young children in your life. Computer Science education just got more awesome.</v>
      </c>
      <c r="C1640" s="3">
        <v>41135.414583333331</v>
      </c>
      <c r="D1640" s="2">
        <v>424</v>
      </c>
      <c r="E1640" s="2">
        <v>12</v>
      </c>
      <c r="F1640" s="2" t="s">
        <v>7</v>
      </c>
      <c r="G1640" s="2" t="s">
        <v>7</v>
      </c>
    </row>
    <row r="1641" spans="1:7" ht="30" x14ac:dyDescent="0.25">
      <c r="A1641" s="4" t="str">
        <f>HYPERLINK("http://techcrunch.com/2012/08/14/steve-jobs-palo-alto-home-burglarized/","The Late Steve Jobs’ Palo Alto Home Burglarized ")</f>
        <v xml:space="preserve">The Late Steve Jobs’ Palo Alto Home Burglarized </v>
      </c>
      <c r="B1641" s="4" t="str">
        <f>HYPERLINK("http://www.facebook.com/8062627951/posts/214868498640271","More than $60,000 worth of personal items and computers were stolen from the late Steve Jobs' home.")</f>
        <v>More than $60,000 worth of personal items and computers were stolen from the late Steve Jobs' home.</v>
      </c>
      <c r="C1641" s="3">
        <v>41135.390509259261</v>
      </c>
      <c r="D1641" s="2">
        <v>79</v>
      </c>
      <c r="E1641" s="2">
        <v>52</v>
      </c>
      <c r="F1641" s="2" t="s">
        <v>7</v>
      </c>
      <c r="G1641" s="2" t="s">
        <v>7</v>
      </c>
    </row>
    <row r="1642" spans="1:7" ht="30" x14ac:dyDescent="0.25">
      <c r="A1642" s="4" t="str">
        <f>HYPERLINK("http://techcrunch.com/2012/08/14/apple-is-creating-an-e-waste-problem/","Apple Is Creating An E-Waste Problem")</f>
        <v>Apple Is Creating An E-Waste Problem</v>
      </c>
      <c r="B1642" s="4" t="str">
        <f>HYPERLINK("http://www.facebook.com/8062627951/posts/108689002613253","There are a lot of Dock Connector things that will soon be old news. That's a problem.")</f>
        <v>There are a lot of Dock Connector things that will soon be old news. That's a problem.</v>
      </c>
      <c r="C1642" s="3">
        <v>41135.290729166663</v>
      </c>
      <c r="D1642" s="2">
        <v>83</v>
      </c>
      <c r="E1642" s="2">
        <v>15</v>
      </c>
      <c r="F1642" s="2" t="s">
        <v>7</v>
      </c>
      <c r="G1642" s="2" t="s">
        <v>7</v>
      </c>
    </row>
    <row r="1643" spans="1:7" ht="45" x14ac:dyDescent="0.25">
      <c r="A1643" s="4" t="str">
        <f>HYPERLINK("http://techcrunch.com/2012/08/14/ask-ziggy-siri-for-windows-phone-closes-5-million-funding-round-to-expand-to-ios-android/","Ask Ziggy, Siri For Windows Phone, Closes $5 Million Funding Round To Expand To iOS, Android")</f>
        <v>Ask Ziggy, Siri For Windows Phone, Closes $5 Million Funding Round To Expand To iOS, Android</v>
      </c>
      <c r="B1643" s="4" t="str">
        <f>HYPERLINK("http://www.facebook.com/8062627951/posts/277212825721300","Ziggy, are you more accurate than Siri?")</f>
        <v>Ziggy, are you more accurate than Siri?</v>
      </c>
      <c r="C1643" s="3">
        <v>41135.257731481484</v>
      </c>
      <c r="D1643" s="2">
        <v>46</v>
      </c>
      <c r="E1643" s="2">
        <v>13</v>
      </c>
      <c r="F1643" s="2" t="s">
        <v>8</v>
      </c>
      <c r="G1643" s="2" t="s">
        <v>7</v>
      </c>
    </row>
    <row r="1644" spans="1:7" x14ac:dyDescent="0.25">
      <c r="A1644" s="4" t="str">
        <f>HYPERLINK("http://techcrunch.com/2012/08/14/android-is-winning/","Android Is Winning")</f>
        <v>Android Is Winning</v>
      </c>
      <c r="B1644" s="4" t="str">
        <f>HYPERLINK("http://www.facebook.com/8062627951/posts/334007570026295","Keep it civil, fanboys.")</f>
        <v>Keep it civil, fanboys.</v>
      </c>
      <c r="C1644" s="3">
        <v>41135.217037037037</v>
      </c>
      <c r="D1644" s="2">
        <v>387</v>
      </c>
      <c r="E1644" s="2">
        <v>109</v>
      </c>
      <c r="F1644" s="2" t="s">
        <v>7</v>
      </c>
      <c r="G1644" s="2" t="s">
        <v>7</v>
      </c>
    </row>
    <row r="1645" spans="1:7" ht="45" x14ac:dyDescent="0.25">
      <c r="A1645" s="4" t="str">
        <f>HYPERLINK("http://techcrunch.com/2012/08/13/cakestyle-funding/","CakeStyle Raises $1M To Bring Handpicked Women’s Fashion To Your Doorstep")</f>
        <v>CakeStyle Raises $1M To Bring Handpicked Women’s Fashion To Your Doorstep</v>
      </c>
      <c r="B1645" s="4" t="str">
        <f>HYPERLINK("http://www.facebook.com/8062627951/posts/452280098150568","CakeStyle, a startup that delivers stylist-curated shipments of women’s fashion, announced that it has raised $1 million in seed funding.")</f>
        <v>CakeStyle, a startup that delivers stylist-curated shipments of women’s fashion, announced that it has raised $1 million in seed funding.</v>
      </c>
      <c r="C1645" s="3">
        <v>41134.793310185189</v>
      </c>
      <c r="D1645" s="2">
        <v>43</v>
      </c>
      <c r="E1645" s="2">
        <v>1</v>
      </c>
      <c r="F1645" s="2" t="s">
        <v>7</v>
      </c>
      <c r="G1645" s="2" t="s">
        <v>7</v>
      </c>
    </row>
    <row r="1646" spans="1:7" ht="30" x14ac:dyDescent="0.25">
      <c r="A1646" s="4" t="str">
        <f>HYPERLINK("http://techcrunch.com/2012/08/13/mac-app-boom-makes-your-speakers-go-up-to-11/","Mac App Boom Makes Your Speakers Go Up To 11")</f>
        <v>Mac App Boom Makes Your Speakers Go Up To 11</v>
      </c>
      <c r="B1646" s="4" t="str">
        <f>HYPERLINK("http://www.facebook.com/8062627951/posts/142362629237887","Do you like your music loud?")</f>
        <v>Do you like your music loud?</v>
      </c>
      <c r="C1646" s="3">
        <v>41134.659872685188</v>
      </c>
      <c r="D1646" s="2">
        <v>116</v>
      </c>
      <c r="E1646" s="2">
        <v>18</v>
      </c>
      <c r="F1646" s="2" t="s">
        <v>8</v>
      </c>
      <c r="G1646" s="2" t="s">
        <v>7</v>
      </c>
    </row>
    <row r="1647" spans="1:7" ht="45" x14ac:dyDescent="0.25">
      <c r="A1647" s="4" t="str">
        <f>HYPERLINK("http://techcrunch.com/2012/08/13/talkin-bout-a-revolution-the-all-star-enterprise-panel-at-disrupt/","Talkin’ Bout A Revolution: The All-Star Enterprise Panel At Disrupt")</f>
        <v>Talkin’ Bout A Revolution: The All-Star Enterprise Panel At Disrupt</v>
      </c>
      <c r="B1647" s="4" t="str">
        <f>HYPERLINK("http://www.facebook.com/8062627951/posts/444849582226894","Companies like Cloudera, Box, Asana, and Okta are all leading the way in this new era of enterprise computing. Here's your chance to see them onstage at Disrupt SF!")</f>
        <v>Companies like Cloudera, Box, Asana, and Okta are all leading the way in this new era of enterprise computing. Here's your chance to see them onstage at Disrupt SF!</v>
      </c>
      <c r="C1647" s="3">
        <v>41134.623773148145</v>
      </c>
      <c r="D1647" s="2">
        <v>64</v>
      </c>
      <c r="E1647" s="2">
        <v>4</v>
      </c>
      <c r="F1647" s="2" t="s">
        <v>7</v>
      </c>
      <c r="G1647" s="2" t="s">
        <v>7</v>
      </c>
    </row>
    <row r="1648" spans="1:7" ht="30" x14ac:dyDescent="0.25">
      <c r="A1648" s="4" t="str">
        <f>HYPERLINK("http://www.facebook.com/photo.php?fbid=10151180865347952&amp;set=a.114456157951.118433.8062627951&amp;type=1&amp;relevant_count=1","[Photo]")</f>
        <v>[Photo]</v>
      </c>
      <c r="B1648" s="4" t="str">
        <f>HYPERLINK("http://www.facebook.com/8062627951/posts/10151180865422952","Back To School: The Best Ultrathin Notebook - http://tcrn.ch/MY0TQt")</f>
        <v>Back To School: The Best Ultrathin Notebook - http://tcrn.ch/MY0TQt</v>
      </c>
      <c r="C1648" s="3">
        <v>41134.558078703703</v>
      </c>
      <c r="D1648" s="2">
        <v>73</v>
      </c>
      <c r="E1648" s="2">
        <v>14</v>
      </c>
      <c r="F1648" s="2" t="s">
        <v>7</v>
      </c>
      <c r="G1648" s="2" t="s">
        <v>8</v>
      </c>
    </row>
    <row r="1649" spans="1:7" ht="60" x14ac:dyDescent="0.25">
      <c r="A1649" s="4" t="str">
        <f>HYPERLINK("http://techcrunch.com/2012/08/13/the-power-of-html5javascript-a-gameboy-color-emulator-in-your-browser/","The Power Of HTML5/Javascript: A GameBoy Color Emulator In Your Browser ")</f>
        <v xml:space="preserve">The Power Of HTML5/Javascript: A GameBoy Color Emulator In Your Browser </v>
      </c>
      <c r="B1649" s="4" t="s">
        <v>94</v>
      </c>
      <c r="C1649" s="3">
        <v>41134.531215277777</v>
      </c>
      <c r="D1649" s="2">
        <v>152</v>
      </c>
      <c r="E1649" s="2">
        <v>7</v>
      </c>
      <c r="F1649" s="2" t="s">
        <v>8</v>
      </c>
      <c r="G1649" s="2" t="s">
        <v>7</v>
      </c>
    </row>
    <row r="1650" spans="1:7" ht="30" x14ac:dyDescent="0.25">
      <c r="A1650" s="4" t="str">
        <f>HYPERLINK("http://www.facebook.com/photo.php?fbid=10151180517207952&amp;set=a.114456157951.118433.8062627951&amp;type=1&amp;relevant_count=1","[Photo]")</f>
        <v>[Photo]</v>
      </c>
      <c r="B1650" s="4" t="str">
        <f>HYPERLINK("http://www.facebook.com/8062627951/posts/10151180517247952","Facebook finally lets you announce that you're having a baby - http://tcrn.ch/QXzXWo")</f>
        <v>Facebook finally lets you announce that you're having a baby - http://tcrn.ch/QXzXWo</v>
      </c>
      <c r="C1650" s="3">
        <v>41134.44259259259</v>
      </c>
      <c r="D1650" s="2">
        <v>734</v>
      </c>
      <c r="E1650" s="2">
        <v>125</v>
      </c>
      <c r="F1650" s="2" t="s">
        <v>7</v>
      </c>
      <c r="G1650" s="2" t="s">
        <v>8</v>
      </c>
    </row>
    <row r="1651" spans="1:7" ht="45" x14ac:dyDescent="0.25">
      <c r="A1651" s="4" t="str">
        <f>HYPERLINK("http://techcrunch.com/2012/08/13/author-fights-for-his-book-on-the-internet-after-slacking-student-pleads-for-a-quick-summary/","Author Fights For His Book On The Internet After Slacking Student Pleads For A Quick Summary.")</f>
        <v>Author Fights For His Book On The Internet After Slacking Student Pleads For A Quick Summary.</v>
      </c>
      <c r="B1651" s="4" t="str">
        <f>HYPERLINK("http://www.facebook.com/8062627951/posts/244825458972553","You never know who you'll meet on the internet...")</f>
        <v>You never know who you'll meet on the internet...</v>
      </c>
      <c r="C1651" s="3">
        <v>41134.426122685189</v>
      </c>
      <c r="D1651" s="2">
        <v>140</v>
      </c>
      <c r="E1651" s="2">
        <v>4</v>
      </c>
      <c r="F1651" s="2" t="s">
        <v>7</v>
      </c>
      <c r="G1651" s="2" t="s">
        <v>7</v>
      </c>
    </row>
    <row r="1652" spans="1:7" ht="45" x14ac:dyDescent="0.25">
      <c r="A1652" s="4" t="str">
        <f>HYPERLINK("http://www.facebook.com/photo.php?fbid=10151180369007952&amp;set=a.114456157951.118433.8062627951&amp;type=1&amp;relevant_count=1","[Photo]")</f>
        <v>[Photo]</v>
      </c>
      <c r="B1652" s="4" t="str">
        <f>HYPERLINK("http://www.facebook.com/8062627951/posts/10151180369042952","Mobile 'personal shopping assistant' Swirl exits stealth with 30K stores signed on and $6M in backing - http://tcrn.ch/MTDcic")</f>
        <v>Mobile 'personal shopping assistant' Swirl exits stealth with 30K stores signed on and $6M in backing - http://tcrn.ch/MTDcic</v>
      </c>
      <c r="C1652" s="3">
        <v>41134.38921296296</v>
      </c>
      <c r="D1652" s="2">
        <v>88</v>
      </c>
      <c r="E1652" s="2">
        <v>5</v>
      </c>
      <c r="F1652" s="2" t="s">
        <v>7</v>
      </c>
      <c r="G1652" s="2" t="s">
        <v>8</v>
      </c>
    </row>
    <row r="1653" spans="1:7" ht="30" x14ac:dyDescent="0.25">
      <c r="A1653" s="4" t="str">
        <f>HYPERLINK("http://techcrunch.com/2012/08/13/exclusive-cory-booker-coming-to-disrupt-sf-50-alpha-invites-available-for-waywire/","Cory Booker Coming To Disrupt SF, 50 Alpha Invites Available For #waywire")</f>
        <v>Cory Booker Coming To Disrupt SF, 50 Alpha Invites Available For #waywire</v>
      </c>
      <c r="B1653" s="4" t="str">
        <f>HYPERLINK("http://www.facebook.com/8062627951/posts/109623279184974","Newark Mayor Cory Booker to join us for Disrupt SF!")</f>
        <v>Newark Mayor Cory Booker to join us for Disrupt SF!</v>
      </c>
      <c r="C1653" s="3">
        <v>41134.345960648148</v>
      </c>
      <c r="D1653" s="2">
        <v>20</v>
      </c>
      <c r="E1653" s="2">
        <v>2</v>
      </c>
      <c r="F1653" s="2" t="s">
        <v>7</v>
      </c>
      <c r="G1653" s="2" t="s">
        <v>7</v>
      </c>
    </row>
    <row r="1654" spans="1:7" ht="30" x14ac:dyDescent="0.25">
      <c r="A1654" s="4" t="str">
        <f>HYPERLINK("http://techcrunch.com/2012/08/13/iphones-are-on-sale-everywhere-but-its-a-horrible-time-to-buy/","iPhones Are On Sale Everywhere, But It’s A Horrible Time To Buy")</f>
        <v>iPhones Are On Sale Everywhere, But It’s A Horrible Time To Buy</v>
      </c>
      <c r="B1654" s="4" t="str">
        <f>HYPERLINK("http://www.facebook.com/8062627951/posts/516457178371156","SCAM ALERT!")</f>
        <v>SCAM ALERT!</v>
      </c>
      <c r="C1654" s="3">
        <v>41134.314131944448</v>
      </c>
      <c r="D1654" s="2">
        <v>76</v>
      </c>
      <c r="E1654" s="2">
        <v>13</v>
      </c>
      <c r="F1654" s="2" t="s">
        <v>7</v>
      </c>
      <c r="G1654" s="2" t="s">
        <v>7</v>
      </c>
    </row>
    <row r="1655" spans="1:7" ht="45" x14ac:dyDescent="0.25">
      <c r="A1655" s="4" t="str">
        <f>HYPERLINK("http://techcrunch.com/2012/08/13/meet-the-double-a-teleconferencing-robot-with-an-ipad-for-a-face/","Meet The Double, A YC-Backed Teleconferencing Robot With An iPad For A Face")</f>
        <v>Meet The Double, A YC-Backed Teleconferencing Robot With An iPad For A Face</v>
      </c>
      <c r="B1655" s="4" t="str">
        <f>HYPERLINK("http://www.facebook.com/8062627951/posts/269574369819303","I for one welcome our robotic iPad overlords.")</f>
        <v>I for one welcome our robotic iPad overlords.</v>
      </c>
      <c r="C1655" s="3">
        <v>41134.289502314816</v>
      </c>
      <c r="D1655" s="2">
        <v>28</v>
      </c>
      <c r="E1655" s="2">
        <v>6</v>
      </c>
      <c r="F1655" s="2" t="s">
        <v>7</v>
      </c>
      <c r="G1655" s="2" t="s">
        <v>7</v>
      </c>
    </row>
    <row r="1656" spans="1:7" ht="45" x14ac:dyDescent="0.25">
      <c r="A1656" s="4" t="str">
        <f>HYPERLINK("http://techcrunch.com/2012/08/13/goodbye-moto-google-will-send-out-4000-motorola-pink-slips-starting-today-cuts-will-be-across-the-board/","Goodbye Moto: Google Will Send Out 4,000 Motorola Pink Slips Starting Today, Part Of Bigger Overhaul")</f>
        <v>Goodbye Moto: Google Will Send Out 4,000 Motorola Pink Slips Starting Today, Part Of Bigger Overhaul</v>
      </c>
      <c r="B1656" s="4" t="str">
        <f>HYPERLINK("http://www.facebook.com/8062627951/posts/458001677565120","Big changes often mean big layoffs.")</f>
        <v>Big changes often mean big layoffs.</v>
      </c>
      <c r="C1656" s="3">
        <v>41134.225034722222</v>
      </c>
      <c r="D1656" s="2">
        <v>63</v>
      </c>
      <c r="E1656" s="2">
        <v>19</v>
      </c>
      <c r="F1656" s="2" t="s">
        <v>7</v>
      </c>
      <c r="G1656" s="2" t="s">
        <v>7</v>
      </c>
    </row>
    <row r="1657" spans="1:7" ht="30" x14ac:dyDescent="0.25">
      <c r="A1657" s="4" t="str">
        <f>HYPERLINK("http://www.facebook.com/photo.php?fbid=10151179165412952&amp;set=a.114456157951.118433.8062627951&amp;type=1&amp;relevant_count=1","[Photo]")</f>
        <v>[Photo]</v>
      </c>
      <c r="B1657" s="4" t="str">
        <f>HYPERLINK("http://www.facebook.com/8062627951/posts/10151179165442952","Business Lessons From Olympic Innovators - http://tcrn.ch/QVbAIM")</f>
        <v>Business Lessons From Olympic Innovators - http://tcrn.ch/QVbAIM</v>
      </c>
      <c r="C1657" s="3">
        <v>41133.808125000003</v>
      </c>
      <c r="D1657" s="2">
        <v>68</v>
      </c>
      <c r="E1657" s="2">
        <v>4</v>
      </c>
      <c r="F1657" s="2" t="s">
        <v>7</v>
      </c>
      <c r="G1657" s="2" t="s">
        <v>8</v>
      </c>
    </row>
    <row r="1658" spans="1:7" ht="45" x14ac:dyDescent="0.25">
      <c r="A1658" s="4" t="str">
        <f>HYPERLINK("http://techcrunch.com/2012/08/12/yc-backed-himom-helps-your-parents-keep-up-with-your-life-one-postcard-at-a-time-and-without-facebook/","YC-Backed HiMom Helps Your Parents Keep Up With Your Life, One Postcard At A Time")</f>
        <v>YC-Backed HiMom Helps Your Parents Keep Up With Your Life, One Postcard At A Time</v>
      </c>
      <c r="B1658" s="4" t="str">
        <f>HYPERLINK("http://www.facebook.com/8062627951/posts/159334064203596","Keep in touch with HiMom")</f>
        <v>Keep in touch with HiMom</v>
      </c>
      <c r="C1658" s="3">
        <v>41133.623773148145</v>
      </c>
      <c r="D1658" s="2">
        <v>31</v>
      </c>
      <c r="E1658" s="2">
        <v>3</v>
      </c>
      <c r="F1658" s="2" t="s">
        <v>7</v>
      </c>
      <c r="G1658" s="2" t="s">
        <v>7</v>
      </c>
    </row>
    <row r="1659" spans="1:7" x14ac:dyDescent="0.25">
      <c r="A1659" s="4" t="str">
        <f>HYPERLINK("http://www.facebook.com/photo.php?fbid=10151178439592952&amp;set=a.114456157951.118433.8062627951&amp;type=1&amp;relevant_count=1","[Photo]")</f>
        <v>[Photo]</v>
      </c>
      <c r="B1659" s="4" t="str">
        <f>HYPERLINK("http://www.facebook.com/8062627951/posts/10151178439637952","How Google+ Punk'd The Oatmeal http://tcrn.ch/RExNdR")</f>
        <v>How Google+ Punk'd The Oatmeal http://tcrn.ch/RExNdR</v>
      </c>
      <c r="C1659" s="3">
        <v>41133.527187500003</v>
      </c>
      <c r="D1659" s="2">
        <v>189</v>
      </c>
      <c r="E1659" s="2">
        <v>19</v>
      </c>
      <c r="F1659" s="2" t="s">
        <v>7</v>
      </c>
      <c r="G1659" s="2" t="s">
        <v>8</v>
      </c>
    </row>
    <row r="1660" spans="1:7" ht="30" x14ac:dyDescent="0.25">
      <c r="A1660" s="4" t="str">
        <f>HYPERLINK("http://techcrunch.com/2012/08/12/app-net-reaches-its-500k-funding-goal-with-38-hours-to-spare/","App.net Reaches Its $500k Funding Goal With 38 Hours To Spare")</f>
        <v>App.net Reaches Its $500k Funding Goal With 38 Hours To Spare</v>
      </c>
      <c r="B1660" s="4" t="str">
        <f>HYPERLINK("http://www.facebook.com/8062627951/posts/503901026290102","Success! And now for the hard part.")</f>
        <v>Success! And now for the hard part.</v>
      </c>
      <c r="C1660" s="3">
        <v>41133.46670138889</v>
      </c>
      <c r="D1660" s="2">
        <v>86</v>
      </c>
      <c r="E1660" s="2">
        <v>15</v>
      </c>
      <c r="F1660" s="2" t="s">
        <v>7</v>
      </c>
      <c r="G1660" s="2" t="s">
        <v>7</v>
      </c>
    </row>
    <row r="1661" spans="1:7" ht="30" x14ac:dyDescent="0.25">
      <c r="A1661" s="4" t="str">
        <f>HYPERLINK("http://techcrunch.com/2012/08/12/how-something-youve-never-heard-of-is-changing-your-world/","How Something You’ve Never Heard Of Is Changing Your World")</f>
        <v>How Something You’ve Never Heard Of Is Changing Your World</v>
      </c>
      <c r="B1661" s="4" t="str">
        <f>HYPERLINK("http://www.facebook.com/8062627951/posts/392074254179850","The future.")</f>
        <v>The future.</v>
      </c>
      <c r="C1661" s="3">
        <v>41133.267337962963</v>
      </c>
      <c r="D1661" s="2">
        <v>118</v>
      </c>
      <c r="E1661" s="2">
        <v>4</v>
      </c>
      <c r="F1661" s="2" t="s">
        <v>7</v>
      </c>
      <c r="G1661" s="2" t="s">
        <v>7</v>
      </c>
    </row>
    <row r="1662" spans="1:7" ht="30" x14ac:dyDescent="0.25">
      <c r="A1662" s="4" t="str">
        <f>HYPERLINK("http://techcrunch.com/2012/08/11/techcrunch-makers-inside-the-thermovape-factory/","TechCrunch Makers: Inside The Thermovape Factory | TechCrunch")</f>
        <v>TechCrunch Makers: Inside The Thermovape Factory | TechCrunch</v>
      </c>
      <c r="B1662" s="4" t="str">
        <f>HYPERLINK("http://www.facebook.com/8062627951/posts/217713308355343","A fascinating look inside a Bay Area vaporizer factory. [VIDEO]")</f>
        <v>A fascinating look inside a Bay Area vaporizer factory. [VIDEO]</v>
      </c>
      <c r="C1662" s="3">
        <v>41132.583518518521</v>
      </c>
      <c r="D1662" s="2">
        <v>26</v>
      </c>
      <c r="E1662" s="2">
        <v>4</v>
      </c>
      <c r="F1662" s="2" t="s">
        <v>7</v>
      </c>
      <c r="G1662" s="2" t="s">
        <v>7</v>
      </c>
    </row>
    <row r="1663" spans="1:7" ht="30" x14ac:dyDescent="0.25">
      <c r="A1663" s="4" t="str">
        <f>HYPERLINK("http://techcrunch.com/2012/08/11/dejamor-keeps-your-sex-life-sexy-every-month/","Dejamor Keeps Your Sex Life Sexy Every Month")</f>
        <v>Dejamor Keeps Your Sex Life Sexy Every Month</v>
      </c>
      <c r="B1663" s="4" t="str">
        <f>HYPERLINK("http://www.facebook.com/8062627951/posts/188712004595875","Lovers of the world, fear not.")</f>
        <v>Lovers of the world, fear not.</v>
      </c>
      <c r="C1663" s="3">
        <v>41132.445798611108</v>
      </c>
      <c r="D1663" s="2">
        <v>37</v>
      </c>
      <c r="E1663" s="2">
        <v>15</v>
      </c>
      <c r="F1663" s="2" t="s">
        <v>7</v>
      </c>
      <c r="G1663" s="2" t="s">
        <v>7</v>
      </c>
    </row>
    <row r="1664" spans="1:7" x14ac:dyDescent="0.25">
      <c r="A1664" s="4" t="str">
        <f>HYPERLINK("http://techcrunch.com/2012/08/11/analysis-web-3-0-the-mobile-era/","Web 3.0: The Mobile Era")</f>
        <v>Web 3.0: The Mobile Era</v>
      </c>
      <c r="B1664" s="4" t="str">
        <f>HYPERLINK("http://www.facebook.com/8062627951/posts/145581638913819","Are you ready for Web 3.0?")</f>
        <v>Are you ready for Web 3.0?</v>
      </c>
      <c r="C1664" s="3">
        <v>41132.309328703705</v>
      </c>
      <c r="D1664" s="2">
        <v>248</v>
      </c>
      <c r="E1664" s="2">
        <v>13</v>
      </c>
      <c r="F1664" s="2" t="s">
        <v>8</v>
      </c>
      <c r="G1664" s="2" t="s">
        <v>7</v>
      </c>
    </row>
    <row r="1665" spans="1:7" ht="75" x14ac:dyDescent="0.25">
      <c r="A1665" s="4" t="str">
        <f>HYPERLINK("http://techcrunch.com/2012/08/11/in-defense-of-the-high-frequency-hackers/","In Defense Of The High-Frequency Hackers")</f>
        <v>In Defense Of The High-Frequency Hackers</v>
      </c>
      <c r="B1665" s="4" t="s">
        <v>95</v>
      </c>
      <c r="C1665" s="3">
        <v>41132.25271990741</v>
      </c>
      <c r="D1665" s="2">
        <v>106</v>
      </c>
      <c r="E1665" s="2">
        <v>27</v>
      </c>
      <c r="F1665" s="2" t="s">
        <v>7</v>
      </c>
      <c r="G1665" s="2" t="s">
        <v>7</v>
      </c>
    </row>
    <row r="1666" spans="1:7" x14ac:dyDescent="0.25">
      <c r="A1666" s="4" t="str">
        <f>HYPERLINK("http://techcrunch.com/2012/08/10/this-49-quadcopter-flips-dips-and-floats/","This $49 Quadcopter Flips, Dips, And Floats")</f>
        <v>This $49 Quadcopter Flips, Dips, And Floats</v>
      </c>
      <c r="B1666" s="4" t="str">
        <f>HYPERLINK("http://www.facebook.com/8062627951/posts/143979149076473","For your future Christmas shopping list perhaps.")</f>
        <v>For your future Christmas shopping list perhaps.</v>
      </c>
      <c r="C1666" s="3">
        <v>41131.675023148149</v>
      </c>
      <c r="D1666" s="2">
        <v>106</v>
      </c>
      <c r="E1666" s="2">
        <v>6</v>
      </c>
      <c r="F1666" s="2" t="s">
        <v>7</v>
      </c>
      <c r="G1666" s="2" t="s">
        <v>7</v>
      </c>
    </row>
    <row r="1667" spans="1:7" ht="45" x14ac:dyDescent="0.25">
      <c r="A1667" s="4" t="str">
        <f>HYPERLINK("http://techcrunch.com/2012/08/10/the-leaks-keep-coming-new-images-reportedly-show-new-iphones-tiny-dock-connector/?grcc=33333Z98ZtrendingZ0Z0Z0Z0Z0&amp;grcc2=19faf2d78a075a89fbf7b7a6d655794f%7E13446365338...","The “Leaks” Keep Coming: New Images Reportedly Show New iPhone’s Tiny Dock Connector")</f>
        <v>The “Leaks” Keep Coming: New Images Reportedly Show New iPhone’s Tiny Dock Connector</v>
      </c>
      <c r="B1667" s="4" t="str">
        <f>HYPERLINK("http://www.facebook.com/8062627951/posts/264442493667276","More leaks.")</f>
        <v>More leaks.</v>
      </c>
      <c r="C1667" s="3">
        <v>41131.589965277781</v>
      </c>
      <c r="D1667" s="2">
        <v>47</v>
      </c>
      <c r="E1667" s="2">
        <v>14</v>
      </c>
      <c r="F1667" s="2" t="s">
        <v>7</v>
      </c>
      <c r="G1667" s="2" t="s">
        <v>7</v>
      </c>
    </row>
    <row r="1668" spans="1:7" ht="30" x14ac:dyDescent="0.25">
      <c r="A1668" s="4" t="str">
        <f>HYPERLINK("http://techcrunch.com/2012/08/09/working-at-zynga/","One Horrifying Account Of Working At Zynga")</f>
        <v>One Horrifying Account Of Working At Zynga</v>
      </c>
      <c r="B1668" s="4" t="str">
        <f>HYPERLINK("http://www.facebook.com/8062627951/posts/121451848000567","He wanted to get rich quick...")</f>
        <v>He wanted to get rich quick...</v>
      </c>
      <c r="C1668" s="3">
        <v>41131.519085648149</v>
      </c>
      <c r="D1668" s="2">
        <v>121</v>
      </c>
      <c r="E1668" s="2">
        <v>35</v>
      </c>
      <c r="F1668" s="2" t="s">
        <v>7</v>
      </c>
      <c r="G1668" s="2" t="s">
        <v>7</v>
      </c>
    </row>
    <row r="1669" spans="1:7" ht="60" x14ac:dyDescent="0.25">
      <c r="A1669" s="4" t="str">
        <f>HYPERLINK("http://techcrunch.com/2012/08/10/harvard-researchers-find-a-creative-way-to-make-incentives-work/","Harvard Researchers Find A Creative Way To Make Incentives Work")</f>
        <v>Harvard Researchers Find A Creative Way To Make Incentives Work</v>
      </c>
      <c r="B1669" s="4" t="s">
        <v>96</v>
      </c>
      <c r="C1669" s="3">
        <v>41131.486400462964</v>
      </c>
      <c r="D1669" s="2">
        <v>80</v>
      </c>
      <c r="E1669" s="2">
        <v>29</v>
      </c>
      <c r="F1669" s="2" t="s">
        <v>8</v>
      </c>
      <c r="G1669" s="2" t="s">
        <v>7</v>
      </c>
    </row>
    <row r="1670" spans="1:7" ht="30" x14ac:dyDescent="0.25">
      <c r="A1670" s="4" t="str">
        <f>HYPERLINK("http://www.facebook.com/photo.php?fbid=10151174014577952&amp;set=a.114456157951.118433.8062627951&amp;type=1&amp;relevant_count=1","[Photo]")</f>
        <v>[Photo]</v>
      </c>
      <c r="B1670" s="4" t="str">
        <f>HYPERLINK("http://www.facebook.com/8062627951/posts/10151174014622952","TechCrunch giveaway: Phosphor watch and a free ticket to Disrupt SF - http://tcrn.ch/Mn3g3T")</f>
        <v>TechCrunch giveaway: Phosphor watch and a free ticket to Disrupt SF - http://tcrn.ch/Mn3g3T</v>
      </c>
      <c r="C1670" s="3">
        <v>41131.460659722223</v>
      </c>
      <c r="D1670" s="2">
        <v>238</v>
      </c>
      <c r="E1670" s="2">
        <v>37</v>
      </c>
      <c r="F1670" s="2" t="s">
        <v>7</v>
      </c>
      <c r="G1670" s="2" t="s">
        <v>8</v>
      </c>
    </row>
    <row r="1671" spans="1:7" ht="45" x14ac:dyDescent="0.25">
      <c r="A1671" s="4" t="str">
        <f>HYPERLINK("http://techcrunch.com/2012/08/10/facedeals-check-in-on-facebook-with-facial-recognition-creepy-or-awesome/","Facedeals: Check-In On Facebook With Facial Recognition. Creepy or Awesome?")</f>
        <v>Facedeals: Check-In On Facebook With Facial Recognition. Creepy or Awesome?</v>
      </c>
      <c r="B1671" s="4" t="str">
        <f>HYPERLINK("http://www.facebook.com/8062627951/posts/140360846105295","Now you can check-in to a location on Facebook through facial recognition scanning. What do you think: creepy or awesome?")</f>
        <v>Now you can check-in to a location on Facebook through facial recognition scanning. What do you think: creepy or awesome?</v>
      </c>
      <c r="C1671" s="3">
        <v>41131.438807870371</v>
      </c>
      <c r="D1671" s="2">
        <v>102</v>
      </c>
      <c r="E1671" s="2">
        <v>97</v>
      </c>
      <c r="F1671" s="2" t="s">
        <v>8</v>
      </c>
      <c r="G1671" s="2" t="s">
        <v>7</v>
      </c>
    </row>
    <row r="1672" spans="1:7" ht="60" x14ac:dyDescent="0.25">
      <c r="A1672" s="4" t="str">
        <f>HYPERLINK("http://techcrunch.com/2012/08/10/this-apple-commercial-was-too-self-congratulatory-to-run/","This Apple Commercial Was Too Self-Congratulatory To Run")</f>
        <v>This Apple Commercial Was Too Self-Congratulatory To Run</v>
      </c>
      <c r="B1672" s="4" t="s">
        <v>97</v>
      </c>
      <c r="C1672" s="3">
        <v>41131.266504629632</v>
      </c>
      <c r="D1672" s="2">
        <v>60</v>
      </c>
      <c r="E1672" s="2">
        <v>8</v>
      </c>
      <c r="F1672" s="2" t="s">
        <v>7</v>
      </c>
      <c r="G1672" s="2" t="s">
        <v>7</v>
      </c>
    </row>
    <row r="1673" spans="1:7" ht="30" x14ac:dyDescent="0.25">
      <c r="A1673" s="4" t="str">
        <f>HYPERLINK("http://techcrunch.com/2012/08/10/craigslist-improves-its-images-inline-photos-appearing-alongside-listings/","Craigslist Improves Its Image(s): Inline Photos Appearing Alongside Listings")</f>
        <v>Craigslist Improves Its Image(s): Inline Photos Appearing Alongside Listings</v>
      </c>
      <c r="B1673" s="4" t="str">
        <f>HYPERLINK("http://www.facebook.com/8062627951/posts/441317035912353","Finally!")</f>
        <v>Finally!</v>
      </c>
      <c r="C1673" s="3">
        <v>41131.190081018518</v>
      </c>
      <c r="D1673" s="2">
        <v>48</v>
      </c>
      <c r="E1673" s="2">
        <v>7</v>
      </c>
      <c r="F1673" s="2" t="s">
        <v>7</v>
      </c>
      <c r="G1673" s="2" t="s">
        <v>7</v>
      </c>
    </row>
    <row r="1674" spans="1:7" ht="45" x14ac:dyDescent="0.25">
      <c r="A1674" s="4" t="str">
        <f>HYPERLINK("http://techcrunch.com/2012/08/09/ibm-sniffing-at-rims-enterprise-unit/","The Kicking Of RIM’s Tires Continues, As IBM Reportedly Considers Its Enterprise Unit")</f>
        <v>The Kicking Of RIM’s Tires Continues, As IBM Reportedly Considers Its Enterprise Unit</v>
      </c>
      <c r="B1674" s="4" t="str">
        <f>HYPERLINK("http://www.facebook.com/8062627951/posts/388013304597715","IBM and RIM?")</f>
        <v>IBM and RIM?</v>
      </c>
      <c r="C1674" s="3">
        <v>41131.166724537034</v>
      </c>
      <c r="D1674" s="2">
        <v>36</v>
      </c>
      <c r="E1674" s="2">
        <v>10</v>
      </c>
      <c r="F1674" s="2" t="s">
        <v>8</v>
      </c>
      <c r="G1674" s="2" t="s">
        <v>7</v>
      </c>
    </row>
    <row r="1675" spans="1:7" ht="30" x14ac:dyDescent="0.25">
      <c r="A1675" s="4" t="str">
        <f>HYPERLINK("http://www.facebook.com/photo.php?fbid=10151172477642952&amp;set=a.114456157951.118433.8062627951&amp;type=1&amp;relevant_count=1","[Photo]")</f>
        <v>[Photo]</v>
      </c>
      <c r="B1675" s="4" t="str">
        <f>HYPERLINK("http://www.facebook.com/8062627951/posts/10151172477677952","Divorce, alcoholism, weeks away from home -- One Horrifying Account Of Working At Zynga http://t.co/HzYZqfgf")</f>
        <v>Divorce, alcoholism, weeks away from home -- One Horrifying Account Of Working At Zynga http://t.co/HzYZqfgf</v>
      </c>
      <c r="C1675" s="3">
        <v>41130.732418981483</v>
      </c>
      <c r="D1675" s="2">
        <v>222</v>
      </c>
      <c r="E1675" s="2">
        <v>50</v>
      </c>
      <c r="F1675" s="2" t="s">
        <v>7</v>
      </c>
      <c r="G1675" s="2" t="s">
        <v>8</v>
      </c>
    </row>
    <row r="1676" spans="1:7" ht="30" x14ac:dyDescent="0.25">
      <c r="A1676" s="4" t="str">
        <f>HYPERLINK("http://techcrunch.com/2012/08/09/y-combinators-vastrm-promises-the-perfect-fitting-polo/","Y Combinator’s Vastrm Promises The Perfect Fitting Polo ")</f>
        <v xml:space="preserve">Y Combinator’s Vastrm Promises The Perfect Fitting Polo </v>
      </c>
      <c r="B1676" s="4" t="str">
        <f>HYPERLINK("http://www.facebook.com/8062627951/posts/195283010601745","Why not? For those of you who want a perfect fitting polo.")</f>
        <v>Why not? For those of you who want a perfect fitting polo.</v>
      </c>
      <c r="C1676" s="3">
        <v>41130.704039351855</v>
      </c>
      <c r="D1676" s="2">
        <v>34</v>
      </c>
      <c r="E1676" s="2">
        <v>4</v>
      </c>
      <c r="F1676" s="2" t="s">
        <v>8</v>
      </c>
      <c r="G1676" s="2" t="s">
        <v>7</v>
      </c>
    </row>
    <row r="1677" spans="1:7" ht="30" x14ac:dyDescent="0.25">
      <c r="A1677" s="4" t="str">
        <f>HYPERLINK("http://techcrunch.com/2012/08/09/back-to-school-5-apps-that-will-make-you-fall-even-more-in-love-with-your-phone/","Back To School: 5 Apps That Will Make You Fall (Even More) In Love With Your Phone")</f>
        <v>Back To School: 5 Apps That Will Make You Fall (Even More) In Love With Your Phone</v>
      </c>
      <c r="B1677" s="4" t="str">
        <f>HYPERLINK("http://www.facebook.com/8062627951/posts/370227389712369","Which apps do you love the most?")</f>
        <v>Which apps do you love the most?</v>
      </c>
      <c r="C1677" s="3">
        <v>41130.60900462963</v>
      </c>
      <c r="D1677" s="2">
        <v>18</v>
      </c>
      <c r="E1677" s="2">
        <v>4</v>
      </c>
      <c r="F1677" s="2" t="s">
        <v>8</v>
      </c>
      <c r="G1677" s="2" t="s">
        <v>7</v>
      </c>
    </row>
    <row r="1678" spans="1:7" ht="30" x14ac:dyDescent="0.25">
      <c r="A1678" s="4" t="str">
        <f>HYPERLINK("http://techcrunch.com/2012/08/09/techcrunch-disrupt-sf-hackathon-judges-announced/?utm_source=dlvr.it&amp;utm_medium=twitter","TechCrunch Disrupt SF Hackathon – Judges Announced")</f>
        <v>TechCrunch Disrupt SF Hackathon – Judges Announced</v>
      </c>
      <c r="B1678" s="4" t="str">
        <f>HYPERLINK("http://www.facebook.com/8062627951/posts/404994476233358","Hackers, act fast and go get your tickets!")</f>
        <v>Hackers, act fast and go get your tickets!</v>
      </c>
      <c r="C1678" s="3">
        <v>41130.590613425928</v>
      </c>
      <c r="D1678" s="2">
        <v>25</v>
      </c>
      <c r="E1678" s="2">
        <v>2</v>
      </c>
      <c r="F1678" s="2" t="s">
        <v>7</v>
      </c>
      <c r="G1678" s="2" t="s">
        <v>7</v>
      </c>
    </row>
    <row r="1679" spans="1:7" ht="30" x14ac:dyDescent="0.25">
      <c r="A1679" s="4" t="str">
        <f>HYPERLINK("http://www.facebook.com/photo.php?fbid=10151172009512952&amp;set=a.114456157951.118433.8062627951&amp;type=1&amp;relevant_count=1","[Photo]")</f>
        <v>[Photo]</v>
      </c>
      <c r="B1679" s="4" t="str">
        <f>HYPERLINK("http://www.facebook.com/8062627951/posts/10151172009577952","Snailmail photos to friends with Facebook’s new postcards feature - http://tcrn.ch/TkX5O9")</f>
        <v>Snailmail photos to friends with Facebook’s new postcards feature - http://tcrn.ch/TkX5O9</v>
      </c>
      <c r="C1679" s="3">
        <v>41130.549930555557</v>
      </c>
      <c r="D1679" s="2">
        <v>124</v>
      </c>
      <c r="E1679" s="2">
        <v>19</v>
      </c>
      <c r="F1679" s="2" t="s">
        <v>7</v>
      </c>
      <c r="G1679" s="2" t="s">
        <v>8</v>
      </c>
    </row>
    <row r="1680" spans="1:7" x14ac:dyDescent="0.25">
      <c r="A1680" s="4" t="str">
        <f>HYPERLINK("http://www.facebook.com/photo.php?fbid=10151171957622952&amp;set=a.10151134316772952.498619.8062627951&amp;type=1&amp;relevant_count=1","[Photo]")</f>
        <v>[Photo]</v>
      </c>
      <c r="B1680" s="4" t="str">
        <f>HYPERLINK("http://www.facebook.com/8062627951/posts/10151171957717952","AOL sent us green sunglasses. Ha. ")</f>
        <v xml:space="preserve">AOL sent us green sunglasses. Ha. </v>
      </c>
      <c r="C1680" s="3">
        <v>41130.531759259262</v>
      </c>
      <c r="D1680" s="2">
        <v>117</v>
      </c>
      <c r="E1680" s="2">
        <v>36</v>
      </c>
      <c r="F1680" s="2" t="s">
        <v>7</v>
      </c>
      <c r="G1680" s="2" t="s">
        <v>8</v>
      </c>
    </row>
    <row r="1681" spans="1:7" ht="30" x14ac:dyDescent="0.25">
      <c r="A1681" s="4" t="str">
        <f>HYPERLINK("http://techcrunch.com/2012/08/09/exclusive-area-woman-reads-newspaper/","EXCLUSIVE: Area Woman Reads Newspaper")</f>
        <v>EXCLUSIVE: Area Woman Reads Newspaper</v>
      </c>
      <c r="B1681" s="4" t="str">
        <f>HYPERLINK("http://www.facebook.com/8062627951/posts/302206493210003","Dis-rup-tion.")</f>
        <v>Dis-rup-tion.</v>
      </c>
      <c r="C1681" s="3">
        <v>41130.507962962962</v>
      </c>
      <c r="D1681" s="2">
        <v>114</v>
      </c>
      <c r="E1681" s="2">
        <v>21</v>
      </c>
      <c r="F1681" s="2" t="s">
        <v>7</v>
      </c>
      <c r="G1681" s="2" t="s">
        <v>7</v>
      </c>
    </row>
    <row r="1682" spans="1:7" ht="30" x14ac:dyDescent="0.25">
      <c r="A1682" s="4" t="str">
        <f>HYPERLINK("http://techcrunch.com/2012/08/09/the-hovis-eco-is-a-robot-that-can-dance-do-martial-arts/","The Hovis Eco Is A Robot That Can Dance, Do Martial Arts")</f>
        <v>The Hovis Eco Is A Robot That Can Dance, Do Martial Arts</v>
      </c>
      <c r="B1682" s="4" t="str">
        <f>HYPERLINK("http://www.facebook.com/8062627951/posts/217913768334757","Who doesn't love robots that dance?")</f>
        <v>Who doesn't love robots that dance?</v>
      </c>
      <c r="C1682" s="3">
        <v>41130.465127314812</v>
      </c>
      <c r="D1682" s="2">
        <v>22</v>
      </c>
      <c r="E1682" s="2">
        <v>5</v>
      </c>
      <c r="F1682" s="2" t="s">
        <v>8</v>
      </c>
      <c r="G1682" s="2" t="s">
        <v>7</v>
      </c>
    </row>
    <row r="1683" spans="1:7" ht="30" x14ac:dyDescent="0.25">
      <c r="A1683" s="4" t="str">
        <f>HYPERLINK("http://techcrunch.com/2012/08/09/4moms-raises-20-million-for-its-gadgetized-baby-gear/","4moms Raises $20 Million For Its Gadgetized Baby Gear")</f>
        <v>4moms Raises $20 Million For Its Gadgetized Baby Gear</v>
      </c>
      <c r="B1683" s="4" t="str">
        <f>HYPERLINK("http://www.facebook.com/8062627951/posts/338980542860121","Robotic baby gear FTW!")</f>
        <v>Robotic baby gear FTW!</v>
      </c>
      <c r="C1683" s="3">
        <v>41130.379895833335</v>
      </c>
      <c r="D1683" s="2">
        <v>51</v>
      </c>
      <c r="E1683" s="2">
        <v>1</v>
      </c>
      <c r="F1683" s="2" t="s">
        <v>7</v>
      </c>
      <c r="G1683" s="2" t="s">
        <v>7</v>
      </c>
    </row>
    <row r="1684" spans="1:7" ht="45" x14ac:dyDescent="0.25">
      <c r="A1684" s="4" t="str">
        <f>HYPERLINK("http://techcrunch.com/2012/08/09/founder-stories-aereos-chet-kanojia-urges-entrepreneurs-to-go-for-the-difficult-problems-tctv/","(Founder Stories) Aereo’s Chet Kanojia Urges Entrepreneurs To “Go For The Difficult Problems” [TCTV]")</f>
        <v>(Founder Stories) Aereo’s Chet Kanojia Urges Entrepreneurs To “Go For The Difficult Problems” [TCTV]</v>
      </c>
      <c r="B1684" s="4" t="str">
        <f>HYPERLINK("http://www.facebook.com/8062627951/posts/403274366401669","Go big or go home, amirite? [Video]")</f>
        <v>Go big or go home, amirite? [Video]</v>
      </c>
      <c r="C1684" s="3">
        <v>41130.323819444442</v>
      </c>
      <c r="D1684" s="2">
        <v>21</v>
      </c>
      <c r="E1684" s="2">
        <v>5</v>
      </c>
      <c r="F1684" s="2" t="s">
        <v>8</v>
      </c>
      <c r="G1684" s="2" t="s">
        <v>7</v>
      </c>
    </row>
    <row r="1685" spans="1:7" ht="45" x14ac:dyDescent="0.25">
      <c r="A1685" s="4" t="str">
        <f>HYPERLINK("http://techcrunch.com/2012/08/09/fanboys-grab-your-credit-cards-original-factory-sealed-iphone-goes-up-on-ebay-for-10000/","Fanboys, Grab Your Credit Cards: Original Factory-Sealed iPhone Goes Up On eBay For $10,000")</f>
        <v>Fanboys, Grab Your Credit Cards: Original Factory-Sealed iPhone Goes Up On eBay For $10,000</v>
      </c>
      <c r="B1685" s="4" t="str">
        <f>HYPERLINK("http://www.facebook.com/8062627951/posts/183195131813507","Anyone have $10,000 lying around?")</f>
        <v>Anyone have $10,000 lying around?</v>
      </c>
      <c r="C1685" s="3">
        <v>41130.295520833337</v>
      </c>
      <c r="D1685" s="2">
        <v>92</v>
      </c>
      <c r="E1685" s="2">
        <v>73</v>
      </c>
      <c r="F1685" s="2" t="s">
        <v>8</v>
      </c>
      <c r="G1685" s="2" t="s">
        <v>7</v>
      </c>
    </row>
    <row r="1686" spans="1:7" x14ac:dyDescent="0.25">
      <c r="A1686" s="4" t="str">
        <f>HYPERLINK("http://techcrunch.com/2012/08/09/offbeatr-is-a-kickstarter-for-your-fantasies/","Offbeatr Is A Kickstarter For Your Fantasies")</f>
        <v>Offbeatr Is A Kickstarter For Your Fantasies</v>
      </c>
      <c r="B1686" s="4" t="str">
        <f>HYPERLINK("http://www.facebook.com/8062627951/posts/156679297803027","More like for your *naughty* fantasies.")</f>
        <v>More like for your *naughty* fantasies.</v>
      </c>
      <c r="C1686" s="3">
        <v>41130.264456018522</v>
      </c>
      <c r="D1686" s="2">
        <v>22</v>
      </c>
      <c r="E1686" s="2">
        <v>1</v>
      </c>
      <c r="F1686" s="2" t="s">
        <v>7</v>
      </c>
      <c r="G1686" s="2" t="s">
        <v>7</v>
      </c>
    </row>
    <row r="1687" spans="1:7" x14ac:dyDescent="0.25">
      <c r="A1687" s="4" t="str">
        <f>HYPERLINK("http://techcrunch.com/2012/08/08/disrupt-eats-san-francisco/","Disrupt Eats San Francisco | TechCrunch")</f>
        <v>Disrupt Eats San Francisco | TechCrunch</v>
      </c>
      <c r="B1687" s="4" t="str">
        <f>HYPERLINK("http://www.facebook.com/8062627951/posts/447089268655777","You excited yet?")</f>
        <v>You excited yet?</v>
      </c>
      <c r="C1687" s="3">
        <v>41130.240937499999</v>
      </c>
      <c r="D1687" s="2">
        <v>15</v>
      </c>
      <c r="E1687" s="2">
        <v>0</v>
      </c>
      <c r="F1687" s="2" t="s">
        <v>8</v>
      </c>
      <c r="G1687" s="2" t="s">
        <v>7</v>
      </c>
    </row>
    <row r="1688" spans="1:7" x14ac:dyDescent="0.25">
      <c r="A1688" s="4" t="str">
        <f>HYPERLINK("http://www.facebook.com/photo.php?fbid=10151170325152952&amp;set=a.10151134316772952.498619.8062627951&amp;type=1&amp;relevant_count=1","[Photo]")</f>
        <v>[Photo]</v>
      </c>
      <c r="B1688" s="4" t="str">
        <f>HYPERLINK("http://www.facebook.com/8062627951/posts/10151170325212952","Some of the TC team at our summer party at August Capital! ")</f>
        <v xml:space="preserve">Some of the TC team at our summer party at August Capital! </v>
      </c>
      <c r="C1688" s="3">
        <v>41129.782129629632</v>
      </c>
      <c r="D1688" s="2">
        <v>105</v>
      </c>
      <c r="E1688" s="2">
        <v>15</v>
      </c>
      <c r="F1688" s="2" t="s">
        <v>7</v>
      </c>
      <c r="G1688" s="2" t="s">
        <v>8</v>
      </c>
    </row>
    <row r="1689" spans="1:7" ht="30" x14ac:dyDescent="0.25">
      <c r="A1689" s="4" t="str">
        <f>HYPERLINK("http://www.facebook.com/photo.php?fbid=10151170134412952&amp;set=a.114456157951.118433.8062627951&amp;type=1&amp;relevant_count=1","[Photo]")</f>
        <v>[Photo]</v>
      </c>
      <c r="B1689" s="4" t="str">
        <f>HYPERLINK("http://www.facebook.com/8062627951/posts/10151170134462952","Calling all crafty-types: Pinterest finally opens sign ups to the public http://t.co/TBj4LguA")</f>
        <v>Calling all crafty-types: Pinterest finally opens sign ups to the public http://t.co/TBj4LguA</v>
      </c>
      <c r="C1689" s="3">
        <v>41129.701539351852</v>
      </c>
      <c r="D1689" s="2">
        <v>176</v>
      </c>
      <c r="E1689" s="2">
        <v>22</v>
      </c>
      <c r="F1689" s="2" t="s">
        <v>7</v>
      </c>
      <c r="G1689" s="2" t="s">
        <v>8</v>
      </c>
    </row>
    <row r="1690" spans="1:7" ht="45" x14ac:dyDescent="0.25">
      <c r="A1690" s="4" t="str">
        <f>HYPERLINK("http://techcrunch.com/2012/08/08/sikh-entrepreneurs-raise-over-100000-in-48-hours-for-wisconsin-shooting-victims/","Sikh Entrepreneurs Raise Over $100,000 In 48 Hours For Wisconsin Shooting Victims")</f>
        <v>Sikh Entrepreneurs Raise Over $100,000 In 48 Hours For Wisconsin Shooting Victims</v>
      </c>
      <c r="B1690" s="4" t="s">
        <v>98</v>
      </c>
      <c r="C1690" s="3">
        <v>41129.677615740744</v>
      </c>
      <c r="D1690" s="2">
        <v>256</v>
      </c>
      <c r="E1690" s="2">
        <v>5</v>
      </c>
      <c r="F1690" s="2" t="s">
        <v>7</v>
      </c>
      <c r="G1690" s="2" t="s">
        <v>7</v>
      </c>
    </row>
    <row r="1691" spans="1:7" ht="30" x14ac:dyDescent="0.25">
      <c r="A1691" s="4" t="str">
        <f>HYPERLINK("http://www.facebook.com/photo.php?fbid=10151169937447952&amp;set=a.114456157951.118433.8062627951&amp;type=1&amp;relevant_count=1","[Photo]")</f>
        <v>[Photo]</v>
      </c>
      <c r="B1691" s="4" t="str">
        <f>HYPERLINK("http://www.facebook.com/8062627951/posts/10151169937492952","YC-backed TapIn.tv launches to bring instantaneous live video streaming to the iPhone - http://tcrn.ch/OQ9ppi")</f>
        <v>YC-backed TapIn.tv launches to bring instantaneous live video streaming to the iPhone - http://tcrn.ch/OQ9ppi</v>
      </c>
      <c r="C1691" s="3">
        <v>41129.612395833334</v>
      </c>
      <c r="D1691" s="2">
        <v>115</v>
      </c>
      <c r="E1691" s="2">
        <v>11</v>
      </c>
      <c r="F1691" s="2" t="s">
        <v>7</v>
      </c>
      <c r="G1691" s="2" t="s">
        <v>8</v>
      </c>
    </row>
    <row r="1692" spans="1:7" ht="45" x14ac:dyDescent="0.25">
      <c r="A1692" s="4" t="str">
        <f>HYPERLINK("http://techcrunch.com/2012/08/08/coo-john-schappert-leaves-zynga/","Following Reorg That Stripped Him Of Responsibility, COO John Schappert Leaves Zynga")</f>
        <v>Following Reorg That Stripped Him Of Responsibility, COO John Schappert Leaves Zynga</v>
      </c>
      <c r="B1692" s="4" t="str">
        <f>HYPERLINK("http://www.facebook.com/8062627951/posts/194138924050523","Zynga just announced that chief operating officer John Schappert is leaving the social gaming giant and its board of directors.")</f>
        <v>Zynga just announced that chief operating officer John Schappert is leaving the social gaming giant and its board of directors.</v>
      </c>
      <c r="C1692" s="3">
        <v>41129.591886574075</v>
      </c>
      <c r="D1692" s="2">
        <v>32</v>
      </c>
      <c r="E1692" s="2">
        <v>11</v>
      </c>
      <c r="F1692" s="2" t="s">
        <v>7</v>
      </c>
      <c r="G1692" s="2" t="s">
        <v>7</v>
      </c>
    </row>
    <row r="1693" spans="1:7" ht="30" x14ac:dyDescent="0.25">
      <c r="A1693" s="4" t="str">
        <f>HYPERLINK("http://www.facebook.com/photo.php?fbid=10151169467402952&amp;set=a.114456157951.118433.8062627951&amp;type=1&amp;relevant_count=1","[Photo]")</f>
        <v>[Photo]</v>
      </c>
      <c r="B1693" s="4" t="str">
        <f>HYPERLINK("http://www.facebook.com/8062627951/posts/10151169467477952","Luxury brands are going where the rich kids are: Instagram - http://tcrn.ch/OZVmgh")</f>
        <v>Luxury brands are going where the rich kids are: Instagram - http://tcrn.ch/OZVmgh</v>
      </c>
      <c r="C1693" s="3">
        <v>41129.441284722219</v>
      </c>
      <c r="D1693" s="2">
        <v>146</v>
      </c>
      <c r="E1693" s="2">
        <v>21</v>
      </c>
      <c r="F1693" s="2" t="s">
        <v>7</v>
      </c>
      <c r="G1693" s="2" t="s">
        <v>8</v>
      </c>
    </row>
    <row r="1694" spans="1:7" ht="30" x14ac:dyDescent="0.25">
      <c r="A1694" s="4" t="str">
        <f>HYPERLINK("http://techcrunch.com/2012/08/08/grid-launch/","YC-Backed Grid Reinvents The Spreadsheet For The Tablet Age ")</f>
        <v xml:space="preserve">YC-Backed Grid Reinvents The Spreadsheet For The Tablet Age </v>
      </c>
      <c r="B1694" s="4" t="str">
        <f>HYPERLINK("http://www.facebook.com/8062627951/posts/346764672070939","Amazing.")</f>
        <v>Amazing.</v>
      </c>
      <c r="C1694" s="3">
        <v>41129.401504629626</v>
      </c>
      <c r="D1694" s="2">
        <v>94</v>
      </c>
      <c r="E1694" s="2">
        <v>8</v>
      </c>
      <c r="F1694" s="2" t="s">
        <v>7</v>
      </c>
      <c r="G1694" s="2" t="s">
        <v>7</v>
      </c>
    </row>
    <row r="1695" spans="1:7" ht="45" x14ac:dyDescent="0.25">
      <c r="A1695" s="4" t="str">
        <f>HYPERLINK("http://techcrunch.com/2012/08/08/wake-up-and-smell-the-coffee-square-could-be-at-the-epicenter-of-the-seismic-change-away-from-cash/","Square’s Starbucks Deal Puts It At The Epicenter Of ‘Seismic Change’ Away From Cash")</f>
        <v>Square’s Starbucks Deal Puts It At The Epicenter Of ‘Seismic Change’ Away From Cash</v>
      </c>
      <c r="B1695" s="4" t="str">
        <f>HYPERLINK("http://www.facebook.com/8062627951/posts/266957363419540","This deal is only the tip of the iceberg.")</f>
        <v>This deal is only the tip of the iceberg.</v>
      </c>
      <c r="C1695" s="3">
        <v>41129.390428240738</v>
      </c>
      <c r="D1695" s="2">
        <v>119</v>
      </c>
      <c r="E1695" s="2">
        <v>4</v>
      </c>
      <c r="F1695" s="2" t="s">
        <v>7</v>
      </c>
      <c r="G1695" s="2" t="s">
        <v>7</v>
      </c>
    </row>
    <row r="1696" spans="1:7" ht="45" x14ac:dyDescent="0.25">
      <c r="A1696" s="4" t="str">
        <f>HYPERLINK("http://techcrunch.com/2012/08/08/a-bunch-of-guys-in-a-room-building-a-phone-what-the-iphone-document-says-about-samsung/","A Bunch Of People In A Room Building A Phone: What The iPhone Document Says About Samsung")</f>
        <v>A Bunch Of People In A Room Building A Phone: What The iPhone Document Says About Samsung</v>
      </c>
      <c r="B1696" s="4" t="str">
        <f>HYPERLINK("http://www.facebook.com/8062627951/posts/510426795638010","Damning evidence or just smart business?")</f>
        <v>Damning evidence or just smart business?</v>
      </c>
      <c r="C1696" s="3">
        <v>41129.329861111109</v>
      </c>
      <c r="D1696" s="2">
        <v>63</v>
      </c>
      <c r="E1696" s="2">
        <v>16</v>
      </c>
      <c r="F1696" s="2" t="s">
        <v>8</v>
      </c>
      <c r="G1696" s="2" t="s">
        <v>7</v>
      </c>
    </row>
    <row r="1697" spans="1:7" ht="30" x14ac:dyDescent="0.25">
      <c r="A1697" s="4" t="str">
        <f>HYPERLINK("http://techcrunch.com/2012/08/08/conan-obrien-breaks-down-the-applesamsung-trial-video/","Conan O’Brien Breaks Down The Apple/Samsung Trial [VIDEO]")</f>
        <v>Conan O’Brien Breaks Down The Apple/Samsung Trial [VIDEO]</v>
      </c>
      <c r="B1697" s="4" t="str">
        <f>HYPERLINK("http://www.facebook.com/8062627951/posts/337101703043677","Nails it!")</f>
        <v>Nails it!</v>
      </c>
      <c r="C1697" s="3">
        <v>41129.214224537034</v>
      </c>
      <c r="D1697" s="2">
        <v>157</v>
      </c>
      <c r="E1697" s="2">
        <v>10</v>
      </c>
      <c r="F1697" s="2" t="s">
        <v>7</v>
      </c>
      <c r="G1697" s="2" t="s">
        <v>7</v>
      </c>
    </row>
    <row r="1698" spans="1:7" ht="45" x14ac:dyDescent="0.25">
      <c r="A1698" s="4" t="str">
        <f>HYPERLINK("http://techcrunch.com/2012/08/07/square-partnershi/","Square Partners With Starbucks, Raises $25M For Series D; Howard Schultz Joins The Board | TechCrunc")</f>
        <v>Square Partners With Starbucks, Raises $25M For Series D; Howard Schultz Joins The Board | TechCrunc</v>
      </c>
      <c r="B1698" s="4" t="str">
        <f>HYPERLINK("http://www.facebook.com/8062627951/posts/465798233438745","You'll soon be able to pay for your Starbucks coffee with Square.")</f>
        <v>You'll soon be able to pay for your Starbucks coffee with Square.</v>
      </c>
      <c r="C1698" s="3">
        <v>41128.870208333334</v>
      </c>
      <c r="D1698" s="2">
        <v>260</v>
      </c>
      <c r="E1698" s="2">
        <v>16</v>
      </c>
      <c r="F1698" s="2" t="s">
        <v>7</v>
      </c>
      <c r="G1698" s="2" t="s">
        <v>7</v>
      </c>
    </row>
    <row r="1699" spans="1:7" x14ac:dyDescent="0.25">
      <c r="A1699" s="4" t="str">
        <f>HYPERLINK("http://www.facebook.com/photo.php?fbid=10151167987547952&amp;set=a.10151134316772952.498619.8062627951&amp;type=1&amp;relevant_count=1","[Photo]")</f>
        <v>[Photo]</v>
      </c>
      <c r="B1699" s="4" t="str">
        <f>HYPERLINK("http://www.facebook.com/8062627951/posts/10151167987607952","Disrupt SF on taxis in San Francisco. ")</f>
        <v xml:space="preserve">Disrupt SF on taxis in San Francisco. </v>
      </c>
      <c r="C1699" s="3">
        <v>41128.753483796296</v>
      </c>
      <c r="D1699" s="2">
        <v>104</v>
      </c>
      <c r="E1699" s="2">
        <v>7</v>
      </c>
      <c r="F1699" s="2" t="s">
        <v>7</v>
      </c>
      <c r="G1699" s="2" t="s">
        <v>8</v>
      </c>
    </row>
    <row r="1700" spans="1:7" ht="30" x14ac:dyDescent="0.25">
      <c r="A1700" s="4" t="str">
        <f>HYPERLINK("http://techcrunch.com/2012/08/07/easel-a-web-app-for-web-design/","Meet Easel, A YC-Backed Web App For Making Web Design Simpler ")</f>
        <v xml:space="preserve">Meet Easel, A YC-Backed Web App For Making Web Design Simpler </v>
      </c>
      <c r="B1700" s="4" t="str">
        <f>HYPERLINK("http://www.facebook.com/8062627951/posts/347396532008813","In-browser web design app, Easel, has just launched. What do you think of it?")</f>
        <v>In-browser web design app, Easel, has just launched. What do you think of it?</v>
      </c>
      <c r="C1700" s="3">
        <v>41128.60429398148</v>
      </c>
      <c r="D1700" s="2">
        <v>163</v>
      </c>
      <c r="E1700" s="2">
        <v>12</v>
      </c>
      <c r="F1700" s="2" t="s">
        <v>8</v>
      </c>
      <c r="G1700" s="2" t="s">
        <v>7</v>
      </c>
    </row>
    <row r="1701" spans="1:7" ht="30" x14ac:dyDescent="0.25">
      <c r="A1701" s="4" t="str">
        <f>HYPERLINK("http://techcrunch.com/2012/08/07/startup-ceo-and-tech-comedianmagician-aaron-levie-joins-us-at-disrupt/","Box CEO And Tech Comedian/Magician Aaron Levie Joins Us At Disrupt")</f>
        <v>Box CEO And Tech Comedian/Magician Aaron Levie Joins Us At Disrupt</v>
      </c>
      <c r="B1701" s="4" t="str">
        <f>HYPERLINK("http://www.facebook.com/8062627951/posts/132858703522958","We are incredibly excited to have Aaron Levie join us for Disrupt SF in September!")</f>
        <v>We are incredibly excited to have Aaron Levie join us for Disrupt SF in September!</v>
      </c>
      <c r="C1701" s="3">
        <v>41128.587557870371</v>
      </c>
      <c r="D1701" s="2">
        <v>17</v>
      </c>
      <c r="E1701" s="2">
        <v>1</v>
      </c>
      <c r="F1701" s="2" t="s">
        <v>7</v>
      </c>
      <c r="G1701" s="2" t="s">
        <v>7</v>
      </c>
    </row>
    <row r="1702" spans="1:7" ht="45" x14ac:dyDescent="0.25">
      <c r="A1702" s="4" t="str">
        <f>HYPERLINK("http://tcrn.ch/N0OS2x","Facebook Unveils First Non-Social Mobile Ad Unit, Allowing Developers To Buy Clicks To App Stores")</f>
        <v>Facebook Unveils First Non-Social Mobile Ad Unit, Allowing Developers To Buy Clicks To App Stores</v>
      </c>
      <c r="B1702" s="4" t="str">
        <f>HYPERLINK("http://www.facebook.com/8062627951/posts/469943199690217","Facebook gets more aggressive about making money on mobile.")</f>
        <v>Facebook gets more aggressive about making money on mobile.</v>
      </c>
      <c r="C1702" s="3">
        <v>41128.558171296296</v>
      </c>
      <c r="D1702" s="2">
        <v>86</v>
      </c>
      <c r="E1702" s="2">
        <v>10</v>
      </c>
      <c r="F1702" s="2" t="s">
        <v>7</v>
      </c>
      <c r="G1702" s="2" t="s">
        <v>7</v>
      </c>
    </row>
    <row r="1703" spans="1:7" ht="30" x14ac:dyDescent="0.25">
      <c r="A1703" s="4" t="str">
        <f>HYPERLINK("http://www.facebook.com/photo.php?fbid=10151167477667952&amp;set=a.114456157951.118433.8062627951&amp;type=1&amp;relevant_count=1","[Photo]")</f>
        <v>[Photo]</v>
      </c>
      <c r="B1703" s="4" t="str">
        <f>HYPERLINK("http://www.facebook.com/8062627951/posts/10151167477722952","Here's the new mobile ads Facebook is going to stick in your news feed http://tcrn.ch/N0OS2x")</f>
        <v>Here's the new mobile ads Facebook is going to stick in your news feed http://tcrn.ch/N0OS2x</v>
      </c>
      <c r="C1703" s="3">
        <v>41128.549120370371</v>
      </c>
      <c r="D1703" s="2">
        <v>30</v>
      </c>
      <c r="E1703" s="2">
        <v>28</v>
      </c>
      <c r="F1703" s="2" t="s">
        <v>7</v>
      </c>
      <c r="G1703" s="2" t="s">
        <v>8</v>
      </c>
    </row>
    <row r="1704" spans="1:7" ht="30" x14ac:dyDescent="0.25">
      <c r="A1704" s="4" t="str">
        <f>HYPERLINK("http://techcrunch.com/2012/08/07/back-to-school-2012-five-gadgets-to-keep-you-sane-in-your-new-dorm-room/","Back To School 2012: Five Gadgets To Keep You Sane In Your New Dorm Room")</f>
        <v>Back To School 2012: Five Gadgets To Keep You Sane In Your New Dorm Room</v>
      </c>
      <c r="B1704" s="4" t="str">
        <f>HYPERLINK("http://www.facebook.com/8062627951/posts/459140264116376","College kids, make sure you get these!")</f>
        <v>College kids, make sure you get these!</v>
      </c>
      <c r="C1704" s="3">
        <v>41128.510231481479</v>
      </c>
      <c r="D1704" s="2">
        <v>35</v>
      </c>
      <c r="E1704" s="2">
        <v>6</v>
      </c>
      <c r="F1704" s="2" t="s">
        <v>7</v>
      </c>
      <c r="G1704" s="2" t="s">
        <v>7</v>
      </c>
    </row>
    <row r="1705" spans="1:7" ht="45" x14ac:dyDescent="0.25">
      <c r="A1705" s="4" t="str">
        <f>HYPERLINK("http://www.facebook.com/photo.php?fbid=10151167195917952&amp;set=a.114456157951.118433.8062627951&amp;type=1&amp;relevant_count=1","[Photo]")</f>
        <v>[Photo]</v>
      </c>
      <c r="B1705" s="4" t="str">
        <f>HYPERLINK("http://www.facebook.com/8062627951/posts/10151167195947952","Google’s self-driving cars complete 300k miles without accidents, deemed ready for commuting - http://tcrn.ch/TcQwgD")</f>
        <v>Google’s self-driving cars complete 300k miles without accidents, deemed ready for commuting - http://tcrn.ch/TcQwgD</v>
      </c>
      <c r="C1705" s="3">
        <v>41128.450578703705</v>
      </c>
      <c r="D1705" s="2">
        <v>2346</v>
      </c>
      <c r="E1705" s="2">
        <v>154</v>
      </c>
      <c r="F1705" s="2" t="s">
        <v>7</v>
      </c>
      <c r="G1705" s="2" t="s">
        <v>8</v>
      </c>
    </row>
    <row r="1706" spans="1:7" ht="45" x14ac:dyDescent="0.25">
      <c r="A1706" s="4" t="str">
        <f>HYPERLINK("http://techcrunch.com/2012/08/07/joel-klein-sal-khan-and-sebastian-thrun-on-inventing-the-future-of-education-at-disrupt-sf/","Joel Klein, Sal Khan and Sebastian Thrun on Inventing the Future of Education, at Disrupt SF")</f>
        <v>Joel Klein, Sal Khan and Sebastian Thrun on Inventing the Future of Education, at Disrupt SF</v>
      </c>
      <c r="B1706" s="4" t="str">
        <f>HYPERLINK("http://www.facebook.com/8062627951/posts/120277898117599","Three trailblazing figures in educational technology will be showcasing the future of learning at Disrupt SF. Get your tickets!")</f>
        <v>Three trailblazing figures in educational technology will be showcasing the future of learning at Disrupt SF. Get your tickets!</v>
      </c>
      <c r="C1706" s="3">
        <v>41128.419699074075</v>
      </c>
      <c r="D1706" s="2">
        <v>62</v>
      </c>
      <c r="E1706" s="2">
        <v>2</v>
      </c>
      <c r="F1706" s="2" t="s">
        <v>7</v>
      </c>
      <c r="G1706" s="2" t="s">
        <v>7</v>
      </c>
    </row>
    <row r="1707" spans="1:7" ht="45" x14ac:dyDescent="0.25">
      <c r="A1707" s="4" t="str">
        <f>HYPERLINK("http://techcrunch.com/2012/08/07/500-startups-mexican-vc/?grcc=33333Z98ZtrendingZ0Z0Z0Z0Z0&amp;grcc2=3848fad0516fc9951e16c86afd2f1386%7E1344361595305%7Efca4fa8af1286d8a77f26033fdeed202%7E2aaeee0387d6f44ce...","Seeking World Domination, 500 Startups Snaps Up LatAm Startup Accelerator Mexican.VC ")</f>
        <v xml:space="preserve">Seeking World Domination, 500 Startups Snaps Up LatAm Startup Accelerator Mexican.VC </v>
      </c>
      <c r="B1707" s="4" t="str">
        <f>HYPERLINK("http://www.facebook.com/8062627951/posts/429398047103348","500 Startups has snapped up the Latin America startup accelerator Mexican.VC.")</f>
        <v>500 Startups has snapped up the Latin America startup accelerator Mexican.VC.</v>
      </c>
      <c r="C1707" s="3">
        <v>41128.408564814818</v>
      </c>
      <c r="D1707" s="2">
        <v>39</v>
      </c>
      <c r="E1707" s="2">
        <v>2</v>
      </c>
      <c r="F1707" s="2" t="s">
        <v>7</v>
      </c>
      <c r="G1707" s="2" t="s">
        <v>7</v>
      </c>
    </row>
    <row r="1708" spans="1:7" ht="30" x14ac:dyDescent="0.25">
      <c r="A1708" s="4" t="str">
        <f>HYPERLINK("http://techcrunch.com/2012/08/07/what-would-happen-if-your-digital-life-was-destroyed/","What Would Happen If Your Digital Life Was Destroyed?")</f>
        <v>What Would Happen If Your Digital Life Was Destroyed?</v>
      </c>
      <c r="B1708" s="4" t="str">
        <f>HYPERLINK("http://www.facebook.com/8062627951/posts/513645391985562","A reminder to everyone... always, always back up.")</f>
        <v>A reminder to everyone... always, always back up.</v>
      </c>
      <c r="C1708" s="3">
        <v>41128.369479166664</v>
      </c>
      <c r="D1708" s="2">
        <v>163</v>
      </c>
      <c r="E1708" s="2">
        <v>38</v>
      </c>
      <c r="F1708" s="2" t="s">
        <v>7</v>
      </c>
      <c r="G1708" s="2" t="s">
        <v>7</v>
      </c>
    </row>
    <row r="1709" spans="1:7" ht="30" x14ac:dyDescent="0.25">
      <c r="A1709" s="4" t="str">
        <f>HYPERLINK("http://www.facebook.com/photo.php?fbid=10151165792882952&amp;set=a.114456157951.118433.8062627951&amp;type=1&amp;relevant_count=1","[Photo]")</f>
        <v>[Photo]</v>
      </c>
      <c r="B1709" s="4" t="str">
        <f>HYPERLINK("http://www.facebook.com/8062627951/posts/10151165792917952","The Google-free iPhone - http://tcrn.ch/O1ZGdV    Two down. One to go.")</f>
        <v>The Google-free iPhone - http://tcrn.ch/O1ZGdV    Two down. One to go.</v>
      </c>
      <c r="C1709" s="3">
        <v>41127.793576388889</v>
      </c>
      <c r="D1709" s="2">
        <v>551</v>
      </c>
      <c r="E1709" s="2">
        <v>70</v>
      </c>
      <c r="F1709" s="2" t="s">
        <v>7</v>
      </c>
      <c r="G1709" s="2" t="s">
        <v>8</v>
      </c>
    </row>
    <row r="1710" spans="1:7" ht="30" x14ac:dyDescent="0.25">
      <c r="A1710" s="4" t="str">
        <f>HYPERLINK("http://techcrunch.com/2012/08/06/google-doodle-pays-subtle-homage-to-mars-rover-curiosity/","Google Doodle Pays Subtle Homage To Mars Rover Curiosity")</f>
        <v>Google Doodle Pays Subtle Homage To Mars Rover Curiosity</v>
      </c>
      <c r="B1710" s="4" t="str">
        <f>HYPERLINK("http://www.facebook.com/8062627951/posts/213791975416467","Did anyone else notice it?")</f>
        <v>Did anyone else notice it?</v>
      </c>
      <c r="C1710" s="3">
        <v>41127.662118055552</v>
      </c>
      <c r="D1710" s="2">
        <v>189</v>
      </c>
      <c r="E1710" s="2">
        <v>15</v>
      </c>
      <c r="F1710" s="2" t="s">
        <v>8</v>
      </c>
      <c r="G1710" s="2" t="s">
        <v>7</v>
      </c>
    </row>
    <row r="1711" spans="1:7" x14ac:dyDescent="0.25">
      <c r="A1711" s="4" t="str">
        <f>HYPERLINK("http://www.facebook.com/photo.php?fbid=10151165447027952&amp;set=a.10151134316772952.498619.8062627951&amp;type=1&amp;relevant_count=1","[Photo]")</f>
        <v>[Photo]</v>
      </c>
      <c r="B1711" s="4" t="str">
        <f>HYPERLINK("http://www.facebook.com/8062627951/posts/10151165447072952","Looks like somebody's got a case of the Mondays ")</f>
        <v xml:space="preserve">Looks like somebody's got a case of the Mondays </v>
      </c>
      <c r="C1711" s="3">
        <v>41127.65347222222</v>
      </c>
      <c r="D1711" s="2">
        <v>131</v>
      </c>
      <c r="E1711" s="2">
        <v>8</v>
      </c>
      <c r="F1711" s="2" t="s">
        <v>7</v>
      </c>
      <c r="G1711" s="2" t="s">
        <v>8</v>
      </c>
    </row>
    <row r="1712" spans="1:7" ht="45" x14ac:dyDescent="0.25">
      <c r="A1712" s="4" t="str">
        <f>HYPERLINK("http://techcrunch.com/2012/08/06/surprise-apples-design-expert-testifies-that-most-galaxy-devices-infringe-apple-patents-trade-dress/","Surprise! Apple’s Design Expert Testifies That Most Galaxy Devices Infringe Apple Patents, Trade Dre")</f>
        <v>Surprise! Apple’s Design Expert Testifies That Most Galaxy Devices Infringe Apple Patents, Trade Dre</v>
      </c>
      <c r="B1712" s="4" t="str">
        <f>HYPERLINK("http://www.facebook.com/8062627951/posts/386321908099977","Apple’s expert witness has essentially confirmed everything Apple has asserted against Samsung in relation to design patents... so far.")</f>
        <v>Apple’s expert witness has essentially confirmed everything Apple has asserted against Samsung in relation to design patents... so far.</v>
      </c>
      <c r="C1712" s="3">
        <v>41127.590543981481</v>
      </c>
      <c r="D1712" s="2">
        <v>61</v>
      </c>
      <c r="E1712" s="2">
        <v>34</v>
      </c>
      <c r="F1712" s="2" t="s">
        <v>7</v>
      </c>
      <c r="G1712" s="2" t="s">
        <v>7</v>
      </c>
    </row>
    <row r="1713" spans="1:7" ht="30" x14ac:dyDescent="0.25">
      <c r="A1713" s="4" t="str">
        <f>HYPERLINK("http://www.facebook.com/photo.php?fbid=10151165076212952&amp;set=a.114456157951.118433.8062627951&amp;type=1&amp;relevant_count=1","[Photo]")</f>
        <v>[Photo]</v>
      </c>
      <c r="B1713" s="4" t="str">
        <f>HYPERLINK("http://www.facebook.com/8062627951/posts/10151165076337952","Google Slaps $100M Golden Handcuffs On Wildfire To Retain Employees After $350M Acquisition http://tcrn.ch/OULNza")</f>
        <v>Google Slaps $100M Golden Handcuffs On Wildfire To Retain Employees After $350M Acquisition http://tcrn.ch/OULNza</v>
      </c>
      <c r="C1713" s="3">
        <v>41127.519907407404</v>
      </c>
      <c r="D1713" s="2">
        <v>190</v>
      </c>
      <c r="E1713" s="2">
        <v>10</v>
      </c>
      <c r="F1713" s="2" t="s">
        <v>7</v>
      </c>
      <c r="G1713" s="2" t="s">
        <v>8</v>
      </c>
    </row>
    <row r="1714" spans="1:7" ht="45" x14ac:dyDescent="0.25">
      <c r="A1714" s="4" t="str">
        <f>HYPERLINK("http://techcrunch.com/2012/08/06/youtube-app-removed-from-ios-6-because-apples-licensing-agreement-is-over/","YouTube App Removed From iOS 6 Because Apple’s Licensing Agreement Is Over")</f>
        <v>YouTube App Removed From iOS 6 Because Apple’s Licensing Agreement Is Over</v>
      </c>
      <c r="B1714" s="4" t="str">
        <f>HYPERLINK("http://www.facebook.com/8062627951/posts/341772675907503","Slowly but surely, it seems as though Apple’s mobile OS is being stripped of search giant Google’s influence.")</f>
        <v>Slowly but surely, it seems as though Apple’s mobile OS is being stripped of search giant Google’s influence.</v>
      </c>
      <c r="C1714" s="3">
        <v>41127.472939814812</v>
      </c>
      <c r="D1714" s="2">
        <v>144</v>
      </c>
      <c r="E1714" s="2">
        <v>57</v>
      </c>
      <c r="F1714" s="2" t="s">
        <v>7</v>
      </c>
      <c r="G1714" s="2" t="s">
        <v>7</v>
      </c>
    </row>
    <row r="1715" spans="1:7" ht="45" x14ac:dyDescent="0.25">
      <c r="A1715" s="4" t="str">
        <f>HYPERLINK("http://www.facebook.com/photo.php?fbid=10151164828222952&amp;set=a.114456157951.118433.8062627951&amp;type=1&amp;relevant_count=1","[Photo]")</f>
        <v>[Photo]</v>
      </c>
      <c r="B1715" s="4" t="str">
        <f>HYPERLINK("http://www.facebook.com/8062627951/posts/10151164828287952","We test the iCache Geode Mobile Wallet, a card that clones your credit cards. Would you want one? - http://tcrn.ch/RNQGII")</f>
        <v>We test the iCache Geode Mobile Wallet, a card that clones your credit cards. Would you want one? - http://tcrn.ch/RNQGII</v>
      </c>
      <c r="C1715" s="3">
        <v>41127.434664351851</v>
      </c>
      <c r="D1715" s="2">
        <v>191</v>
      </c>
      <c r="E1715" s="2">
        <v>38</v>
      </c>
      <c r="F1715" s="2" t="s">
        <v>8</v>
      </c>
      <c r="G1715" s="2" t="s">
        <v>8</v>
      </c>
    </row>
    <row r="1716" spans="1:7" ht="30" x14ac:dyDescent="0.25">
      <c r="A1716" s="4" t="str">
        <f>HYPERLINK("http://www.facebook.com/photo.php?fbid=10151164683097952&amp;set=a.114456157951.118433.8062627951&amp;type=1&amp;relevant_count=1","[Photo]")</f>
        <v>[Photo]</v>
      </c>
      <c r="B1716" s="4" t="str">
        <f>HYPERLINK("http://www.facebook.com/8062627951/posts/10151164683132952","Inside Funny or Die's viral video machine - http://tcrn.ch/Rt3YhV")</f>
        <v>Inside Funny or Die's viral video machine - http://tcrn.ch/Rt3YhV</v>
      </c>
      <c r="C1716" s="3">
        <v>41127.382696759261</v>
      </c>
      <c r="D1716" s="2">
        <v>85</v>
      </c>
      <c r="E1716" s="2">
        <v>8</v>
      </c>
      <c r="F1716" s="2" t="s">
        <v>7</v>
      </c>
      <c r="G1716" s="2" t="s">
        <v>8</v>
      </c>
    </row>
    <row r="1717" spans="1:7" ht="30" x14ac:dyDescent="0.25">
      <c r="A1717" s="4" t="str">
        <f>HYPERLINK("http://techcrunch.com/2012/08/06/time-warnerbleacher-report-deal-gets-ftc-nod-price-reportedly-under-200/","Update: It’s Done. Time Warner Buys Bleacher Report, Price Reportedly $175M")</f>
        <v>Update: It’s Done. Time Warner Buys Bleacher Report, Price Reportedly $175M</v>
      </c>
      <c r="B1717" s="4" t="str">
        <f>HYPERLINK("http://www.facebook.com/8062627951/posts/398754186840757","TBS has confirmed that it has bought Bleacher Report.")</f>
        <v>TBS has confirmed that it has bought Bleacher Report.</v>
      </c>
      <c r="C1717" s="3">
        <v>41127.373993055553</v>
      </c>
      <c r="D1717" s="2">
        <v>43</v>
      </c>
      <c r="E1717" s="2">
        <v>4</v>
      </c>
      <c r="F1717" s="2" t="s">
        <v>7</v>
      </c>
      <c r="G1717" s="2" t="s">
        <v>7</v>
      </c>
    </row>
    <row r="1718" spans="1:7" ht="45" x14ac:dyDescent="0.25">
      <c r="A1718" s="4" t="str">
        <f>HYPERLINK("http://techcrunch.com/2012/08/06/no-more-boring-resumes-seelio-lets-college-students-showcase-their-work-helps-employers-find-them/","No More Boring Resumes: Seelio Lets College Students Showcase Their Work &amp; Helps Employers Find Them")</f>
        <v>No More Boring Resumes: Seelio Lets College Students Showcase Their Work &amp; Helps Employers Find Them</v>
      </c>
      <c r="B1718" s="4" t="str">
        <f>HYPERLINK("http://www.facebook.com/8062627951/posts/504138572946289","No more resumes - Seelio wants to offer college students a better way to showcase their work via online portfolios.")</f>
        <v>No more resumes - Seelio wants to offer college students a better way to showcase their work via online portfolios.</v>
      </c>
      <c r="C1718" s="3">
        <v>41127.355590277781</v>
      </c>
      <c r="D1718" s="2">
        <v>136</v>
      </c>
      <c r="E1718" s="2">
        <v>3</v>
      </c>
      <c r="F1718" s="2" t="s">
        <v>7</v>
      </c>
      <c r="G1718" s="2" t="s">
        <v>7</v>
      </c>
    </row>
    <row r="1719" spans="1:7" ht="30" x14ac:dyDescent="0.25">
      <c r="A1719" s="4" t="str">
        <f>HYPERLINK("http://techcrunch.com/2012/08/05/first-time-startup-entrepreneurs-stop-fucking-around/","First-Time Startup Entrepreneurs: Stop Fucking Around")</f>
        <v>First-Time Startup Entrepreneurs: Stop Fucking Around</v>
      </c>
      <c r="B1719" s="4" t="str">
        <f>HYPERLINK("http://www.facebook.com/8062627951/posts/331797196909652","A special post for all of those new entrepreneurs out there.")</f>
        <v>A special post for all of those new entrepreneurs out there.</v>
      </c>
      <c r="C1719" s="3">
        <v>41126.99145833333</v>
      </c>
      <c r="D1719" s="2">
        <v>238</v>
      </c>
      <c r="E1719" s="2">
        <v>17</v>
      </c>
      <c r="F1719" s="2" t="s">
        <v>7</v>
      </c>
      <c r="G1719" s="2" t="s">
        <v>7</v>
      </c>
    </row>
    <row r="1720" spans="1:7" ht="75" x14ac:dyDescent="0.25">
      <c r="A1720" s="4" t="str">
        <f>HYPERLINK("http://techcrunch.com/2012/08/05/you-know-whats-cooler-than-a-billion-dollars-a-billion-users/","You Know What’s Cooler Than A Billion Dollars? A Billion Users.")</f>
        <v>You Know What’s Cooler Than A Billion Dollars? A Billion Users.</v>
      </c>
      <c r="B1720" s="4" t="s">
        <v>99</v>
      </c>
      <c r="C1720" s="3">
        <v>41126.969027777777</v>
      </c>
      <c r="D1720" s="2">
        <v>162</v>
      </c>
      <c r="E1720" s="2">
        <v>17</v>
      </c>
      <c r="F1720" s="2" t="s">
        <v>7</v>
      </c>
      <c r="G1720" s="2" t="s">
        <v>7</v>
      </c>
    </row>
    <row r="1721" spans="1:7" ht="45" x14ac:dyDescent="0.25">
      <c r="A1721" s="4" t="str">
        <f>HYPERLINK("http://techcrunch.com/2012/08/05/the-case-for-curiosity-why-you-should-stay-up-and-watch-the-mars-rover-landing/","The Case For ‘Curiosity’: Why You Should Stay Up And Watch The Mars Rover Landing")</f>
        <v>The Case For ‘Curiosity’: Why You Should Stay Up And Watch The Mars Rover Landing</v>
      </c>
      <c r="B1721" s="4" t="str">
        <f>HYPERLINK("http://www.facebook.com/8062627951/posts/381801391886241","We have officially landed on Mars!")</f>
        <v>We have officially landed on Mars!</v>
      </c>
      <c r="C1721" s="3">
        <v>41126.907372685186</v>
      </c>
      <c r="D1721" s="2">
        <v>1197</v>
      </c>
      <c r="E1721" s="2">
        <v>38</v>
      </c>
      <c r="F1721" s="2" t="s">
        <v>7</v>
      </c>
      <c r="G1721" s="2" t="s">
        <v>7</v>
      </c>
    </row>
    <row r="1722" spans="1:7" ht="30" x14ac:dyDescent="0.25">
      <c r="A1722" s="4" t="str">
        <f>HYPERLINK("http://www.facebook.com/photo.php?fbid=10151163222802952&amp;set=a.114456157951.118433.8062627951&amp;type=1&amp;relevant_count=1","[Photo]")</f>
        <v>[Photo]</v>
      </c>
      <c r="B1722" s="4" t="str">
        <f>HYPERLINK("http://www.facebook.com/8062627951/posts/10151163222867952","The Nexus Q was such a mess, postponing its launch was Google's only option - http://tcrn.ch/OJLUeN")</f>
        <v>The Nexus Q was such a mess, postponing its launch was Google's only option - http://tcrn.ch/OJLUeN</v>
      </c>
      <c r="C1722" s="3">
        <v>41126.69090277778</v>
      </c>
      <c r="D1722" s="2">
        <v>116</v>
      </c>
      <c r="E1722" s="2">
        <v>41</v>
      </c>
      <c r="F1722" s="2" t="s">
        <v>7</v>
      </c>
      <c r="G1722" s="2" t="s">
        <v>8</v>
      </c>
    </row>
    <row r="1723" spans="1:7" ht="30" x14ac:dyDescent="0.25">
      <c r="A1723" s="4" t="str">
        <f>HYPERLINK("http://www.facebook.com/photo.php?fbid=10151162673597952&amp;set=a.114456157951.118433.8062627951&amp;type=1&amp;relevant_count=1","[Photo]")</f>
        <v>[Photo]</v>
      </c>
      <c r="B1723" s="4" t="str">
        <f>HYPERLINK("http://www.facebook.com/8062627951/posts/10151162673657952","The case for ‘curiosity’: Why you should stay up and watch the Mars rover landing - http://tcrn.ch/ODVbYo")</f>
        <v>The case for ‘curiosity’: Why you should stay up and watch the Mars rover landing - http://tcrn.ch/ODVbYo</v>
      </c>
      <c r="C1723" s="3">
        <v>41126.484479166669</v>
      </c>
      <c r="D1723" s="2">
        <v>600</v>
      </c>
      <c r="E1723" s="2">
        <v>33</v>
      </c>
      <c r="F1723" s="2" t="s">
        <v>7</v>
      </c>
      <c r="G1723" s="2" t="s">
        <v>8</v>
      </c>
    </row>
    <row r="1724" spans="1:7" ht="30" x14ac:dyDescent="0.25">
      <c r="A1724" s="4" t="str">
        <f>HYPERLINK("http://techcrunch.com/2012/08/05/ebay-is-launching-a-same-day-shipping-service-called-ebay-now/","eBay Is Launching A Same-Day Shipping Service Called eBay Now")</f>
        <v>eBay Is Launching A Same-Day Shipping Service Called eBay Now</v>
      </c>
      <c r="B1724" s="4" t="str">
        <f>HYPERLINK("http://www.facebook.com/8062627951/posts/255768977875987","The Rise Of Convenience Tech")</f>
        <v>The Rise Of Convenience Tech</v>
      </c>
      <c r="C1724" s="3">
        <v>41126.483252314814</v>
      </c>
      <c r="D1724" s="2">
        <v>176</v>
      </c>
      <c r="E1724" s="2">
        <v>17</v>
      </c>
      <c r="F1724" s="2" t="s">
        <v>7</v>
      </c>
      <c r="G1724" s="2" t="s">
        <v>7</v>
      </c>
    </row>
    <row r="1725" spans="1:7" ht="60" x14ac:dyDescent="0.25">
      <c r="A1725" s="4" t="str">
        <f>HYPERLINK("http://techcrunch.com/2012/08/04/zyngapocalypse-now-and-what-comes-next/","Zyngapocalypse Now (And What Comes Next?)")</f>
        <v>Zyngapocalypse Now (And What Comes Next?)</v>
      </c>
      <c r="B1725" s="4" t="s">
        <v>100</v>
      </c>
      <c r="C1725" s="3">
        <v>41125.97619212963</v>
      </c>
      <c r="D1725" s="2">
        <v>128</v>
      </c>
      <c r="E1725" s="2">
        <v>22</v>
      </c>
      <c r="F1725" s="2" t="s">
        <v>7</v>
      </c>
      <c r="G1725" s="2" t="s">
        <v>7</v>
      </c>
    </row>
    <row r="1726" spans="1:7" ht="30" x14ac:dyDescent="0.25">
      <c r="A1726" s="4" t="str">
        <f>HYPERLINK("http://techcrunch.com/2012/08/04/5-reasons-why-the-enterprise-is-not-so-boring-after-all/","5 Reasons Why The Enterprise Is Not So Boring After All")</f>
        <v>5 Reasons Why The Enterprise Is Not So Boring After All</v>
      </c>
      <c r="B1726" s="4" t="str">
        <f>HYPERLINK("http://www.facebook.com/8062627951/posts/414831958553391","Can you guess one of the reasons?")</f>
        <v>Can you guess one of the reasons?</v>
      </c>
      <c r="C1726" s="3">
        <v>41125.781018518515</v>
      </c>
      <c r="D1726" s="2">
        <v>35</v>
      </c>
      <c r="E1726" s="2">
        <v>6</v>
      </c>
      <c r="F1726" s="2" t="s">
        <v>8</v>
      </c>
      <c r="G1726" s="2" t="s">
        <v>7</v>
      </c>
    </row>
    <row r="1727" spans="1:7" ht="30" x14ac:dyDescent="0.25">
      <c r="A1727" s="4" t="str">
        <f>HYPERLINK("http://www.facebook.com/photo.php?fbid=10151161058677952&amp;set=a.114456157951.118433.8062627951&amp;type=1&amp;relevant_count=1","[Photo]")</f>
        <v>[Photo]</v>
      </c>
      <c r="B1727" s="4" t="str">
        <f>HYPERLINK("http://www.facebook.com/8062627951/posts/10151161058702952","Unbaby.me? Unfriend.me Instead - http://tcrn.ch/MFUWsG    So, who DOESN'T mind seeing pictures of friends' babies?")</f>
        <v>Unbaby.me? Unfriend.me Instead - http://tcrn.ch/MFUWsG    So, who DOESN'T mind seeing pictures of friends' babies?</v>
      </c>
      <c r="C1727" s="3">
        <v>41125.719525462962</v>
      </c>
      <c r="D1727" s="2">
        <v>273</v>
      </c>
      <c r="E1727" s="2">
        <v>49</v>
      </c>
      <c r="F1727" s="2" t="s">
        <v>8</v>
      </c>
      <c r="G1727" s="2" t="s">
        <v>8</v>
      </c>
    </row>
    <row r="1728" spans="1:7" ht="30" x14ac:dyDescent="0.25">
      <c r="A1728" s="4" t="str">
        <f>HYPERLINK("http://techcrunch.com/2012/08/04/unbaby-me-yes-please/","Unbaby.me? Yes, Please.")</f>
        <v>Unbaby.me? Yes, Please.</v>
      </c>
      <c r="B1728" s="4" t="str">
        <f>HYPERLINK("http://www.facebook.com/8062627951/posts/174347286032713","Annoyed with seeing your friends post pictures of their babies? This may be for you.")</f>
        <v>Annoyed with seeing your friends post pictures of their babies? This may be for you.</v>
      </c>
      <c r="C1728" s="3">
        <v>41125.686342592591</v>
      </c>
      <c r="D1728" s="2">
        <v>277</v>
      </c>
      <c r="E1728" s="2">
        <v>45</v>
      </c>
      <c r="F1728" s="2" t="s">
        <v>8</v>
      </c>
      <c r="G1728" s="2" t="s">
        <v>7</v>
      </c>
    </row>
    <row r="1729" spans="1:7" ht="30" x14ac:dyDescent="0.25">
      <c r="A1729" s="4" t="str">
        <f>HYPERLINK("http://techcrunch.com/2012/08/04/grum-inside-the-takedown-of-one-of-the-worlds-biggest-spam-networks/","Grum: Inside The Takedown Of One Of The World’s Biggest Spam Networks")</f>
        <v>Grum: Inside The Takedown Of One Of The World’s Biggest Spam Networks</v>
      </c>
      <c r="B1729" s="4" t="s">
        <v>101</v>
      </c>
      <c r="C1729" s="3">
        <v>41125.460740740738</v>
      </c>
      <c r="D1729" s="2">
        <v>111</v>
      </c>
      <c r="E1729" s="2">
        <v>5</v>
      </c>
      <c r="F1729" s="2" t="s">
        <v>7</v>
      </c>
      <c r="G1729" s="2" t="s">
        <v>7</v>
      </c>
    </row>
    <row r="1730" spans="1:7" ht="45" x14ac:dyDescent="0.25">
      <c r="A1730" s="4" t="str">
        <f>HYPERLINK("http://techcrunch.com/2012/08/04/dear-yahoo-i-redesigned-your-website-and-took-out-512240-pixels-of-banner-ads/","Dear Yahoo, I Redesigned Your Website (And Took Out 512,240 Pixels Of Banner Ads)")</f>
        <v>Dear Yahoo, I Redesigned Your Website (And Took Out 512,240 Pixels Of Banner Ads)</v>
      </c>
      <c r="B1730" s="4" t="str">
        <f>HYPERLINK("http://www.facebook.com/8062627951/posts/210346439092352","Note to Yahoo..")</f>
        <v>Note to Yahoo..</v>
      </c>
      <c r="C1730" s="3">
        <v>41125.434236111112</v>
      </c>
      <c r="D1730" s="2">
        <v>338</v>
      </c>
      <c r="E1730" s="2">
        <v>23</v>
      </c>
      <c r="F1730" s="2" t="s">
        <v>7</v>
      </c>
      <c r="G1730" s="2" t="s">
        <v>7</v>
      </c>
    </row>
    <row r="1731" spans="1:7" x14ac:dyDescent="0.25">
      <c r="A1731" s="4" t="str">
        <f>HYPERLINK("http://www.facebook.com/photo.php?fbid=10151159035607952&amp;set=a.10151134316772952.498619.8062627951&amp;type=1&amp;relevant_count=1","[Photo]")</f>
        <v>[Photo]</v>
      </c>
      <c r="B1731" s="4" t="str">
        <f>HYPERLINK("http://www.facebook.com/8062627951/posts/10151159035677952","Summer party ")</f>
        <v xml:space="preserve">Summer party </v>
      </c>
      <c r="C1731" s="3">
        <v>41124.77480324074</v>
      </c>
      <c r="D1731" s="2">
        <v>64</v>
      </c>
      <c r="E1731" s="2">
        <v>13</v>
      </c>
      <c r="F1731" s="2" t="s">
        <v>7</v>
      </c>
      <c r="G1731" s="2" t="s">
        <v>8</v>
      </c>
    </row>
    <row r="1732" spans="1:7" ht="30" x14ac:dyDescent="0.25">
      <c r="A1732" s="4" t="str">
        <f>HYPERLINK("http://techcrunch.com/2012/08/03/230-million-people-played-games-on-facebook-com-in-the-last-30-days/","230 Million People Played Games On Facebook.com In The Last 30 Days")</f>
        <v>230 Million People Played Games On Facebook.com In The Last 30 Days</v>
      </c>
      <c r="B1732" s="4" t="str">
        <f>HYPERLINK("http://www.facebook.com/8062627951/posts/143238322481150","Be honest.. were you one of them?")</f>
        <v>Be honest.. were you one of them?</v>
      </c>
      <c r="C1732" s="3">
        <v>41124.605312500003</v>
      </c>
      <c r="D1732" s="2">
        <v>113</v>
      </c>
      <c r="E1732" s="2">
        <v>140</v>
      </c>
      <c r="F1732" s="2" t="s">
        <v>8</v>
      </c>
      <c r="G1732" s="2" t="s">
        <v>7</v>
      </c>
    </row>
    <row r="1733" spans="1:7" ht="30" x14ac:dyDescent="0.25">
      <c r="A1733" s="4" t="str">
        <f>HYPERLINK("http://techcrunch.com/2012/08/03/facebook-doubles-release-speed-will-roll-new-code-twice-a-day/","Facebook Doubles Release Speed, Will Roll New Code Twice A Day")</f>
        <v>Facebook Doubles Release Speed, Will Roll New Code Twice A Day</v>
      </c>
      <c r="B1733" s="4" t="str">
        <f>HYPERLINK("http://www.facebook.com/8062627951/posts/255304994588030","That's a lot of code.")</f>
        <v>That's a lot of code.</v>
      </c>
      <c r="C1733" s="3">
        <v>41124.579270833332</v>
      </c>
      <c r="D1733" s="2">
        <v>163</v>
      </c>
      <c r="E1733" s="2">
        <v>35</v>
      </c>
      <c r="F1733" s="2" t="s">
        <v>7</v>
      </c>
      <c r="G1733" s="2" t="s">
        <v>7</v>
      </c>
    </row>
    <row r="1734" spans="1:7" ht="30" x14ac:dyDescent="0.25">
      <c r="A1734" s="4" t="str">
        <f>HYPERLINK("http://www.facebook.com/photo.php?fbid=10151158515457952&amp;set=a.114456157951.118433.8062627951&amp;type=1&amp;relevant_count=1","[Photo]")</f>
        <v>[Photo]</v>
      </c>
      <c r="B1734" s="4" t="str">
        <f>HYPERLINK("http://www.facebook.com/8062627951/posts/10151158515527952","Full house at the Fox Theater for the CrunchUp - http://tcrn.ch/NXRNWF")</f>
        <v>Full house at the Fox Theater for the CrunchUp - http://tcrn.ch/NXRNWF</v>
      </c>
      <c r="C1734" s="3">
        <v>41124.544039351851</v>
      </c>
      <c r="D1734" s="2">
        <v>484</v>
      </c>
      <c r="E1734" s="2">
        <v>97</v>
      </c>
      <c r="F1734" s="2" t="s">
        <v>7</v>
      </c>
      <c r="G1734" s="2" t="s">
        <v>8</v>
      </c>
    </row>
    <row r="1735" spans="1:7" ht="30" x14ac:dyDescent="0.25">
      <c r="A1735" s="4" t="str">
        <f>HYPERLINK("http://techcrunch.com/2012/08/03/live-now-watch-techcrunchs-facebook-ecosystem-crunchup/","Live Now: Watch TechCrunch’s Facebook Ecosystem CrunchUp")</f>
        <v>Live Now: Watch TechCrunch’s Facebook Ecosystem CrunchUp</v>
      </c>
      <c r="B1735" s="4" t="str">
        <f>HYPERLINK("http://www.facebook.com/8062627951/posts/420330988012731","Make sure to tune in soon for our Facebook Ecosystem CrunchUp!")</f>
        <v>Make sure to tune in soon for our Facebook Ecosystem CrunchUp!</v>
      </c>
      <c r="C1735" s="3">
        <v>41124.502372685187</v>
      </c>
      <c r="D1735" s="2">
        <v>35</v>
      </c>
      <c r="E1735" s="2">
        <v>2</v>
      </c>
      <c r="F1735" s="2" t="s">
        <v>7</v>
      </c>
      <c r="G1735" s="2" t="s">
        <v>7</v>
      </c>
    </row>
    <row r="1736" spans="1:7" ht="45" x14ac:dyDescent="0.25">
      <c r="A1736" s="4" t="str">
        <f>HYPERLINK("http://techcrunch.com/2012/08/03/electronic-arts-sues-zynga-says-the-ville-is-an-unmistakable-copy-of-the-sims/","Electronic Arts Sues Zynga, Says The Ville Is An “Unmistakable Copy” Of The Sims. Zynga: EA Doesn’t.")</f>
        <v>Electronic Arts Sues Zynga, Says The Ville Is An “Unmistakable Copy” Of The Sims. Zynga: EA Doesn’t.</v>
      </c>
      <c r="B1736" s="4" t="str">
        <f>HYPERLINK("http://www.facebook.com/8062627951/posts/270120853101551","Electronic Arts is suing Zynga for copyright infringement.")</f>
        <v>Electronic Arts is suing Zynga for copyright infringement.</v>
      </c>
      <c r="C1736" s="3">
        <v>41124.43959490741</v>
      </c>
      <c r="D1736" s="2">
        <v>97</v>
      </c>
      <c r="E1736" s="2">
        <v>27</v>
      </c>
      <c r="F1736" s="2" t="s">
        <v>7</v>
      </c>
      <c r="G1736" s="2" t="s">
        <v>7</v>
      </c>
    </row>
    <row r="1737" spans="1:7" ht="30" x14ac:dyDescent="0.25">
      <c r="A1737" s="4" t="str">
        <f>HYPERLINK("http://www.facebook.com/photo.php?fbid=10151158123972952&amp;set=a.10151134316772952.498619.8062627951&amp;type=1&amp;relevant_count=1","[Photo]")</f>
        <v>[Photo]</v>
      </c>
      <c r="B1737" s="4" t="str">
        <f>HYPERLINK("http://www.facebook.com/8062627951/posts/10151158124007952","Getting ready for the CrunchUp. Make sure to tune in at 1pm PT! ")</f>
        <v xml:space="preserve">Getting ready for the CrunchUp. Make sure to tune in at 1pm PT! </v>
      </c>
      <c r="C1737" s="3">
        <v>41124.389398148145</v>
      </c>
      <c r="D1737" s="2">
        <v>127</v>
      </c>
      <c r="E1737" s="2">
        <v>8</v>
      </c>
      <c r="F1737" s="2" t="s">
        <v>7</v>
      </c>
      <c r="G1737" s="2" t="s">
        <v>8</v>
      </c>
    </row>
    <row r="1738" spans="1:7" ht="30" x14ac:dyDescent="0.25">
      <c r="A1738" s="4" t="str">
        <f>HYPERLINK("http://techcrunch.com/2012/08/02/zucks-karmas-bitch/","Dear Facebook, It Could Really Be This Simple")</f>
        <v>Dear Facebook, It Could Really Be This Simple</v>
      </c>
      <c r="B1738" s="4" t="str">
        <f>HYPERLINK("http://www.facebook.com/8062627951/posts/394382397283206","What kind of advice would you give to Facebook?")</f>
        <v>What kind of advice would you give to Facebook?</v>
      </c>
      <c r="C1738" s="3">
        <v>41124.330740740741</v>
      </c>
      <c r="D1738" s="2">
        <v>79</v>
      </c>
      <c r="E1738" s="2">
        <v>48</v>
      </c>
      <c r="F1738" s="2" t="s">
        <v>8</v>
      </c>
      <c r="G1738" s="2" t="s">
        <v>7</v>
      </c>
    </row>
    <row r="1739" spans="1:7" ht="30" x14ac:dyDescent="0.25">
      <c r="A1739" s="4" t="str">
        <f>HYPERLINK("http://www.facebook.com/photo.php?fbid=10151157056612952&amp;set=a.114456157951.118433.8062627951&amp;type=1&amp;relevant_count=1","[Photo]")</f>
        <v>[Photo]</v>
      </c>
      <c r="B1739" s="4" t="str">
        <f>HYPERLINK("http://www.facebook.com/8062627951/posts/10151157056642952","The Platform Ecosystem Wars: Rome is burning - http://tcrn.ch/MgarpJ")</f>
        <v>The Platform Ecosystem Wars: Rome is burning - http://tcrn.ch/MgarpJ</v>
      </c>
      <c r="C1739" s="3">
        <v>41123.868310185186</v>
      </c>
      <c r="D1739" s="2">
        <v>99</v>
      </c>
      <c r="E1739" s="2">
        <v>1</v>
      </c>
      <c r="F1739" s="2" t="s">
        <v>7</v>
      </c>
      <c r="G1739" s="2" t="s">
        <v>8</v>
      </c>
    </row>
    <row r="1740" spans="1:7" ht="30" x14ac:dyDescent="0.25">
      <c r="A1740" s="4" t="str">
        <f>HYPERLINK("http://t.co/EUks0ahB","How Facebook Could Save Its Shattered Share Price")</f>
        <v>How Facebook Could Save Its Shattered Share Price</v>
      </c>
      <c r="B1740" s="4" t="str">
        <f>HYPERLINK("http://www.facebook.com/8062627951/posts/452590558107921","Now at half its IPO price, this is officially a crisis.")</f>
        <v>Now at half its IPO price, this is officially a crisis.</v>
      </c>
      <c r="C1740" s="3">
        <v>41123.7106712963</v>
      </c>
      <c r="D1740" s="2">
        <v>88</v>
      </c>
      <c r="E1740" s="2">
        <v>37</v>
      </c>
      <c r="F1740" s="2" t="s">
        <v>7</v>
      </c>
      <c r="G1740" s="2" t="s">
        <v>7</v>
      </c>
    </row>
    <row r="1741" spans="1:7" x14ac:dyDescent="0.25">
      <c r="A1741" s="4" t="str">
        <f>HYPERLINK("http://www.facebook.com/photo.php?fbid=10151156539532952&amp;set=a.10151134316772952.498619.8062627951&amp;type=1&amp;relevant_count=1","[Photo]")</f>
        <v>[Photo]</v>
      </c>
      <c r="B1741" s="4" t="str">
        <f>HYPERLINK("http://www.facebook.com/8062627951/posts/10151156539602952","Filming the next episode of Makers ")</f>
        <v xml:space="preserve">Filming the next episode of Makers </v>
      </c>
      <c r="C1741" s="3">
        <v>41123.634918981479</v>
      </c>
      <c r="D1741" s="2">
        <v>44</v>
      </c>
      <c r="E1741" s="2">
        <v>2</v>
      </c>
      <c r="F1741" s="2" t="s">
        <v>7</v>
      </c>
      <c r="G1741" s="2" t="s">
        <v>8</v>
      </c>
    </row>
    <row r="1742" spans="1:7" ht="45" x14ac:dyDescent="0.25">
      <c r="A1742" s="4" t="str">
        <f>HYPERLINK("http://techcrunch.com/2012/08/02/hacker-posts-hilarious-offensive-messages-from-seven-mlb-teams-facebook-pages/","Hacker Posts Hilarious, Offensive Messages From Seven MLB Teams’ Facebook Pages")</f>
        <v>Hacker Posts Hilarious, Offensive Messages From Seven MLB Teams’ Facebook Pages</v>
      </c>
      <c r="B1742" s="4" t="str">
        <f>HYPERLINK("http://www.facebook.com/8062627951/posts/349405858470464","Oops!")</f>
        <v>Oops!</v>
      </c>
      <c r="C1742" s="3">
        <v>41123.600370370368</v>
      </c>
      <c r="D1742" s="2">
        <v>133</v>
      </c>
      <c r="E1742" s="2">
        <v>5</v>
      </c>
      <c r="F1742" s="2" t="s">
        <v>7</v>
      </c>
      <c r="G1742" s="2" t="s">
        <v>7</v>
      </c>
    </row>
    <row r="1743" spans="1:7" ht="45" x14ac:dyDescent="0.25">
      <c r="A1743" s="4" t="str">
        <f>HYPERLINK("http://techcrunch.com/2012/08/02/apple-lawyer-asks-judge-for-legal-win-in-wake-of-samsungs-questionable-info-leak/","Apple Lawyer Asks Judge For Legal Win In Wake Of Samsung’s Questionable Info Leak")</f>
        <v>Apple Lawyer Asks Judge For Legal Win In Wake Of Samsung’s Questionable Info Leak</v>
      </c>
      <c r="B1743" s="4" t="str">
        <f>HYPERLINK("http://www.facebook.com/8062627951/posts/222709767851038","Now what do you think of the trial?")</f>
        <v>Now what do you think of the trial?</v>
      </c>
      <c r="C1743" s="3">
        <v>41123.553333333337</v>
      </c>
      <c r="D1743" s="2">
        <v>45</v>
      </c>
      <c r="E1743" s="2">
        <v>28</v>
      </c>
      <c r="F1743" s="2" t="s">
        <v>8</v>
      </c>
      <c r="G1743" s="2" t="s">
        <v>7</v>
      </c>
    </row>
    <row r="1744" spans="1:7" ht="30" x14ac:dyDescent="0.25">
      <c r="A1744" s="4" t="str">
        <f>HYPERLINK("http://www.facebook.com/photo.php?fbid=10151156114957952&amp;set=a.114456157951.118433.8062627951&amp;type=1&amp;relevant_count=1","[Photo]")</f>
        <v>[Photo]</v>
      </c>
      <c r="B1744" s="4" t="str">
        <f>HYPERLINK("http://www.facebook.com/8062627951/posts/10151156115027952","Chick-fil-A is actually popular.. how social media distorts your view of the world - http://tcrn.ch/RdPySL")</f>
        <v>Chick-fil-A is actually popular.. how social media distorts your view of the world - http://tcrn.ch/RdPySL</v>
      </c>
      <c r="C1744" s="3">
        <v>41123.475844907407</v>
      </c>
      <c r="D1744" s="2">
        <v>182</v>
      </c>
      <c r="E1744" s="2">
        <v>35</v>
      </c>
      <c r="F1744" s="2" t="s">
        <v>7</v>
      </c>
      <c r="G1744" s="2" t="s">
        <v>8</v>
      </c>
    </row>
    <row r="1745" spans="1:7" ht="45" x14ac:dyDescent="0.25">
      <c r="A1745" s="4" t="str">
        <f>HYPERLINK("http://techcrunch.com/2012/08/02/come-hear-from-silicon-valley-legend-reid-hoffman-at-disrupt-sf-this-september/","Come Hear From Silicon Valley Legend Reid Hoffman At Disrupt SF This September")</f>
        <v>Come Hear From Silicon Valley Legend Reid Hoffman At Disrupt SF This September</v>
      </c>
      <c r="B1745" s="4" t="str">
        <f>HYPERLINK("http://www.facebook.com/8062627951/posts/472187642799792","We are incredibly excited to have Reid Hoffman join this year's lineup for Disrupt SF!")</f>
        <v>We are incredibly excited to have Reid Hoffman join this year's lineup for Disrupt SF!</v>
      </c>
      <c r="C1745" s="3">
        <v>41123.437696759262</v>
      </c>
      <c r="D1745" s="2">
        <v>30</v>
      </c>
      <c r="E1745" s="2">
        <v>2</v>
      </c>
      <c r="F1745" s="2" t="s">
        <v>7</v>
      </c>
      <c r="G1745" s="2" t="s">
        <v>7</v>
      </c>
    </row>
    <row r="1746" spans="1:7" ht="30" x14ac:dyDescent="0.25">
      <c r="A1746" s="4" t="str">
        <f>HYPERLINK("http://www.facebook.com/photo.php?fbid=10151155971707952&amp;set=a.114456157951.118433.8062627951&amp;type=1&amp;relevant_count=1","[Photo]")</f>
        <v>[Photo]</v>
      </c>
      <c r="B1746" s="4" t="str">
        <f>HYPERLINK("http://www.facebook.com/8062627951/posts/10151155971772952","Facebook drops below $20: Worth less than what MSFT offered for Yahoo in 2008? - http://tcrn.ch/MTg7fa")</f>
        <v>Facebook drops below $20: Worth less than what MSFT offered for Yahoo in 2008? - http://tcrn.ch/MTg7fa</v>
      </c>
      <c r="C1746" s="3">
        <v>41123.422222222223</v>
      </c>
      <c r="D1746" s="2">
        <v>324</v>
      </c>
      <c r="E1746" s="2">
        <v>61</v>
      </c>
      <c r="F1746" s="2" t="s">
        <v>8</v>
      </c>
      <c r="G1746" s="2" t="s">
        <v>8</v>
      </c>
    </row>
    <row r="1747" spans="1:7" ht="30" x14ac:dyDescent="0.25">
      <c r="A1747" s="4" t="str">
        <f>HYPERLINK("http://techcrunch.com/2012/08/02/techcrunch-giveaway-a-nest-thermostat-plus-free-ticket-to-disrupt-sf-tcdisrupt/","TechCrunch Giveaway: A Nest Thermostat Plus Free Ticket To Disrupt SF #TCDisrupt")</f>
        <v>TechCrunch Giveaway: A Nest Thermostat Plus Free Ticket To Disrupt SF #TCDisrupt</v>
      </c>
      <c r="B1747" s="4" t="str">
        <f>HYPERLINK("http://www.facebook.com/8062627951/posts/215748465217871","We are giving away a Nest and a free ticket to Disrupt SF. Make sure to enter for a chance to win.")</f>
        <v>We are giving away a Nest and a free ticket to Disrupt SF. Make sure to enter for a chance to win.</v>
      </c>
      <c r="C1747" s="3">
        <v>41123.40184027778</v>
      </c>
      <c r="D1747" s="2">
        <v>79</v>
      </c>
      <c r="E1747" s="2">
        <v>22</v>
      </c>
      <c r="F1747" s="2" t="s">
        <v>7</v>
      </c>
      <c r="G1747" s="2" t="s">
        <v>7</v>
      </c>
    </row>
    <row r="1748" spans="1:7" ht="45" x14ac:dyDescent="0.25">
      <c r="A1748" s="4" t="str">
        <f>HYPERLINK("http://techcrunch.tumblr.com/post/28561281266/the-startup-ceo-starter-kit-by-carl-the-startup","The Startup CEO Starter Kit")</f>
        <v>The Startup CEO Starter Kit</v>
      </c>
      <c r="B1748" s="4" t="s">
        <v>102</v>
      </c>
      <c r="C1748" s="3">
        <v>41123.355833333335</v>
      </c>
      <c r="D1748" s="2">
        <v>202</v>
      </c>
      <c r="E1748" s="2">
        <v>10</v>
      </c>
      <c r="F1748" s="2" t="s">
        <v>7</v>
      </c>
      <c r="G1748" s="2" t="s">
        <v>7</v>
      </c>
    </row>
    <row r="1749" spans="1:7" ht="30" x14ac:dyDescent="0.25">
      <c r="A1749" s="4" t="str">
        <f>HYPERLINK("http://techcrunch.com/2012/08/02/gasp-rim-ceo-details-potential-options-for-licensing-bb10/?grcc=33333Z98ZtrendingZ0Z0Z0Z0Z0&amp;grcc2=9c9f310e324fc6c02d7908d55ed5132c%7E1343923942843%7Efca4fa8af1286d8a77...","GASP! RIM CEO Details Potential Options For Licensing BB10")</f>
        <v>GASP! RIM CEO Details Potential Options For Licensing BB10</v>
      </c>
      <c r="B1749" s="4" t="str">
        <f>HYPERLINK("http://www.facebook.com/8062627951/posts/406491976074156","RIM is in trouble and is finally listening to reason.")</f>
        <v>RIM is in trouble and is finally listening to reason.</v>
      </c>
      <c r="C1749" s="3">
        <v>41123.342916666668</v>
      </c>
      <c r="D1749" s="2">
        <v>73</v>
      </c>
      <c r="E1749" s="2">
        <v>14</v>
      </c>
      <c r="F1749" s="2" t="s">
        <v>7</v>
      </c>
      <c r="G1749" s="2" t="s">
        <v>7</v>
      </c>
    </row>
    <row r="1750" spans="1:7" ht="30" x14ac:dyDescent="0.25">
      <c r="A1750" s="4" t="str">
        <f>HYPERLINK("http://www.facebook.com/photo.php?fbid=10151154400747952&amp;set=a.114456157951.118433.8062627951&amp;type=1&amp;relevant_count=1","[Photo]")</f>
        <v>[Photo]</v>
      </c>
      <c r="B1750" s="4" t="str">
        <f>HYPERLINK("http://www.facebook.com/8062627951/posts/10151154400832952","As long time employees depart, meet the future leaders of Facebook - http://tcrn.ch/RakN0X")</f>
        <v>As long time employees depart, meet the future leaders of Facebook - http://tcrn.ch/RakN0X</v>
      </c>
      <c r="C1750" s="3">
        <v>41122.695347222223</v>
      </c>
      <c r="D1750" s="2">
        <v>30</v>
      </c>
      <c r="E1750" s="2">
        <v>10</v>
      </c>
      <c r="F1750" s="2" t="s">
        <v>7</v>
      </c>
      <c r="G1750" s="2" t="s">
        <v>8</v>
      </c>
    </row>
    <row r="1751" spans="1:7" ht="30" x14ac:dyDescent="0.25">
      <c r="A1751" s="4" t="str">
        <f>HYPERLINK("http://www.facebook.com/photo.php?fbid=10151154206427952&amp;set=a.10151134316772952.498619.8062627951&amp;type=1&amp;relevant_count=1","[Photo]")</f>
        <v>[Photo]</v>
      </c>
      <c r="B1751" s="4" t="str">
        <f>HYPERLINK("http://www.facebook.com/8062627951/posts/10151154206452952","Our East Coast Editor John Biggs vs. our Mobile Editor Matt Burns.  ")</f>
        <v xml:space="preserve">Our East Coast Editor John Biggs vs. our Mobile Editor Matt Burns.  </v>
      </c>
      <c r="C1751" s="3">
        <v>41122.616932870369</v>
      </c>
      <c r="D1751" s="2">
        <v>79</v>
      </c>
      <c r="E1751" s="2">
        <v>26</v>
      </c>
      <c r="F1751" s="2" t="s">
        <v>7</v>
      </c>
      <c r="G1751" s="2" t="s">
        <v>8</v>
      </c>
    </row>
    <row r="1752" spans="1:7" ht="60" x14ac:dyDescent="0.25">
      <c r="A1752" s="4" t="str">
        <f>HYPERLINK("http://techcrunch.com/2012/08/01/branchout-akqa-facebook/","CEOs Of BranchOut and Top Ad Agency AKQA Will Drop Knowledge On You At Friday’s Facebook Ecosystem C")</f>
        <v>CEOs Of BranchOut and Top Ad Agency AKQA Will Drop Knowledge On You At Friday’s Facebook Ecosystem C</v>
      </c>
      <c r="B1752" s="4" t="str">
        <f>HYPERLINK("http://www.facebook.com/8062627951/posts/368986783171495","We are pleased to announce that Rick Marini and Tom Bedecarré will join us for Friday's CrunchUp!  Rick Marini- founder and CEO of BranchOut, the most popular Facebook-based professional networking to...")</f>
        <v>We are pleased to announce that Rick Marini and Tom Bedecarré will join us for Friday's CrunchUp!  Rick Marini- founder and CEO of BranchOut, the most popular Facebook-based professional networking to...</v>
      </c>
      <c r="C1752" s="3">
        <v>41122.545694444445</v>
      </c>
      <c r="D1752" s="2">
        <v>23</v>
      </c>
      <c r="E1752" s="2">
        <v>4</v>
      </c>
      <c r="F1752" s="2" t="s">
        <v>7</v>
      </c>
      <c r="G1752" s="2" t="s">
        <v>7</v>
      </c>
    </row>
    <row r="1753" spans="1:7" ht="45" x14ac:dyDescent="0.25">
      <c r="A1753" s="4" t="str">
        <f>HYPERLINK("http://www.facebook.com/photo.php?fbid=10151153930782952&amp;set=a.114456157951.118433.8062627951&amp;type=1&amp;relevant_count=1","[Photo]")</f>
        <v>[Photo]</v>
      </c>
      <c r="B1753" s="4" t="str">
        <f>HYPERLINK("http://www.facebook.com/8062627951/posts/10151153930807952","A French t-shirt company has brazenly picked a fight with one of the world's fiercest hacker groups: Anonymous - http://tcrn.ch/QsaUK0")</f>
        <v>A French t-shirt company has brazenly picked a fight with one of the world's fiercest hacker groups: Anonymous - http://tcrn.ch/QsaUK0</v>
      </c>
      <c r="C1753" s="3">
        <v>41122.521909722222</v>
      </c>
      <c r="D1753" s="2">
        <v>370</v>
      </c>
      <c r="E1753" s="2">
        <v>57</v>
      </c>
      <c r="F1753" s="2" t="s">
        <v>7</v>
      </c>
      <c r="G1753" s="2" t="s">
        <v>8</v>
      </c>
    </row>
    <row r="1754" spans="1:7" ht="30" x14ac:dyDescent="0.25">
      <c r="A1754" s="4" t="str">
        <f>HYPERLINK("http://techcrunch.com/2012/08/01/google-plus-on-hold/","Rumor: Google Puts A Hold On New Google+ Acquisitions")</f>
        <v>Rumor: Google Puts A Hold On New Google+ Acquisitions</v>
      </c>
      <c r="B1754" s="4" t="str">
        <f>HYPERLINK("http://www.facebook.com/8062627951/posts/342104139209058","Could this mean Google+ isn't doing well?")</f>
        <v>Could this mean Google+ isn't doing well?</v>
      </c>
      <c r="C1754" s="3">
        <v>41122.49931712963</v>
      </c>
      <c r="D1754" s="2">
        <v>106</v>
      </c>
      <c r="E1754" s="2">
        <v>62</v>
      </c>
      <c r="F1754" s="2" t="s">
        <v>8</v>
      </c>
      <c r="G1754" s="2" t="s">
        <v>7</v>
      </c>
    </row>
    <row r="1755" spans="1:7" ht="45" x14ac:dyDescent="0.25">
      <c r="A1755" s="4" t="str">
        <f>HYPERLINK("http://techcrunch.com/2012/08/01/google-wallet-all-credit-debit-cards/","Google Wallet’s Huge Upgrade Adds Support For All Credit/Debit Cards, Remote Disable Feature")</f>
        <v>Google Wallet’s Huge Upgrade Adds Support For All Credit/Debit Cards, Remote Disable Feature</v>
      </c>
      <c r="B1755" s="4" t="str">
        <f>HYPERLINK("http://www.facebook.com/8062627951/posts/418545981515681","Get ready, Google Wallet gets a huge upgrade.")</f>
        <v>Get ready, Google Wallet gets a huge upgrade.</v>
      </c>
      <c r="C1755" s="3">
        <v>41122.457962962966</v>
      </c>
      <c r="D1755" s="2">
        <v>189</v>
      </c>
      <c r="E1755" s="2">
        <v>13</v>
      </c>
      <c r="F1755" s="2" t="s">
        <v>7</v>
      </c>
      <c r="G1755" s="2" t="s">
        <v>7</v>
      </c>
    </row>
    <row r="1756" spans="1:7" ht="45" x14ac:dyDescent="0.25">
      <c r="A1756" s="4" t="str">
        <f>HYPERLINK("http://techcrunch.com/2012/08/01/getting-married-wedding-party-collects-photos-from-guests-phones-to-create-beautiful-online-albums/","Getting Married? Wedding Party Collects Photos From Guests’ Phones To Create Beautiful Online Albums")</f>
        <v>Getting Married? Wedding Party Collects Photos From Guests’ Phones To Create Beautiful Online Albums</v>
      </c>
      <c r="B1756" s="4" t="str">
        <f>HYPERLINK("http://www.facebook.com/8062627951/posts/388957134491948","Know someone who's about to tie the knot?")</f>
        <v>Know someone who's about to tie the knot?</v>
      </c>
      <c r="C1756" s="3">
        <v>41122.40215277778</v>
      </c>
      <c r="D1756" s="2">
        <v>174</v>
      </c>
      <c r="E1756" s="2">
        <v>14</v>
      </c>
      <c r="F1756" s="2" t="s">
        <v>8</v>
      </c>
      <c r="G1756" s="2" t="s">
        <v>7</v>
      </c>
    </row>
    <row r="1757" spans="1:7" ht="30" x14ac:dyDescent="0.25">
      <c r="A1757" s="4" t="str">
        <f>HYPERLINK("http://www.facebook.com/photo.php?fbid=10151153500017952&amp;set=a.114456157951.118433.8062627951&amp;type=1&amp;relevant_count=1","[Photo]")</f>
        <v>[Photo]</v>
      </c>
      <c r="B1757" s="4" t="str">
        <f>HYPERLINK("http://www.facebook.com/8062627951/posts/10151153500062952","Microsoft officially signs off on Windows 8 and releases it to manufacturers - http://tcrn.ch/MZg8wx")</f>
        <v>Microsoft officially signs off on Windows 8 and releases it to manufacturers - http://tcrn.ch/MZg8wx</v>
      </c>
      <c r="C1757" s="3">
        <v>41122.370150462964</v>
      </c>
      <c r="D1757" s="2">
        <v>645</v>
      </c>
      <c r="E1757" s="2">
        <v>73</v>
      </c>
      <c r="F1757" s="2" t="s">
        <v>7</v>
      </c>
      <c r="G1757" s="2" t="s">
        <v>8</v>
      </c>
    </row>
    <row r="1758" spans="1:7" ht="30" x14ac:dyDescent="0.25">
      <c r="A1758" s="4" t="str">
        <f>HYPERLINK("http://techcrunch.com/2012/08/01/eat-the-rich-the-app-economys-middle-class-is-booming-and-so-is-the-poor/","Eat The Rich: The App Economy’s Middle Class Is Booming…And So Is The Poor")</f>
        <v>Eat The Rich: The App Economy’s Middle Class Is Booming…And So Is The Poor</v>
      </c>
      <c r="B1758" s="4" t="str">
        <f>HYPERLINK("http://www.facebook.com/8062627951/posts/156885511115728","The richer are getting richer, but so are the middle class and the poor. And those last two are gaining fast.")</f>
        <v>The richer are getting richer, but so are the middle class and the poor. And those last two are gaining fast.</v>
      </c>
      <c r="C1758" s="3">
        <v>41122.350254629629</v>
      </c>
      <c r="D1758" s="2">
        <v>85</v>
      </c>
      <c r="E1758" s="2">
        <v>10</v>
      </c>
      <c r="F1758" s="2" t="s">
        <v>7</v>
      </c>
      <c r="G1758" s="2" t="s">
        <v>7</v>
      </c>
    </row>
    <row r="1759" spans="1:7" ht="45" x14ac:dyDescent="0.25">
      <c r="A1759" s="4" t="str">
        <f>HYPERLINK("http://techcrunch.com/2012/07/31/the-new-digg-arrives-ahead-of-schedule/","The New Digg Arrives Ahead Of Schedule, Features Tight Facebook And Twitter Integration")</f>
        <v>The New Digg Arrives Ahead Of Schedule, Features Tight Facebook And Twitter Integration</v>
      </c>
      <c r="B1759" s="4" t="str">
        <f>HYPERLINK("http://www.facebook.com/8062627951/posts/440671515985391","What are your thoughts on the new Digg?")</f>
        <v>What are your thoughts on the new Digg?</v>
      </c>
      <c r="C1759" s="3">
        <v>41121.935416666667</v>
      </c>
      <c r="D1759" s="2">
        <v>42</v>
      </c>
      <c r="E1759" s="2">
        <v>25</v>
      </c>
      <c r="F1759" s="2" t="s">
        <v>8</v>
      </c>
      <c r="G1759" s="2" t="s">
        <v>7</v>
      </c>
    </row>
    <row r="1760" spans="1:7" ht="45" x14ac:dyDescent="0.25">
      <c r="A1760" s="4" t="str">
        <f>HYPERLINK("http://techcrunch.com/2012/07/31/facebook-mobile-only/","Facebook Better Get Mobile Quick. 102M People Accessed Solely From Mobile In June, Up 23% Since Q2 ")</f>
        <v xml:space="preserve">Facebook Better Get Mobile Quick. 102M People Accessed Solely From Mobile In June, Up 23% Since Q2 </v>
      </c>
      <c r="B1760" s="4" t="str">
        <f>HYPERLINK("http://www.facebook.com/8062627951/posts/394378570611901","If Facebook can't make more money on mobile, it's all over.")</f>
        <v>If Facebook can't make more money on mobile, it's all over.</v>
      </c>
      <c r="C1760" s="3">
        <v>41121.777349537035</v>
      </c>
      <c r="D1760" s="2">
        <v>220</v>
      </c>
      <c r="E1760" s="2">
        <v>35</v>
      </c>
      <c r="F1760" s="2" t="s">
        <v>7</v>
      </c>
      <c r="G1760" s="2" t="s">
        <v>7</v>
      </c>
    </row>
    <row r="1761" spans="1:7" ht="30" x14ac:dyDescent="0.25">
      <c r="A1761" s="4" t="str">
        <f>HYPERLINK("http://techcrunch.com/2012/07/31/dropbox-admits-user-accounts-were-hijacked-adds-new-security-features/","Dropbox Admits User Accounts Were Hijacked, Adds New Security Features")</f>
        <v>Dropbox Admits User Accounts Were Hijacked, Adds New Security Features</v>
      </c>
      <c r="B1761" s="4" t="str">
        <f>HYPERLINK("http://www.facebook.com/8062627951/posts/419025401466667","Like if you think sites aren't doing enough to protect us.")</f>
        <v>Like if you think sites aren't doing enough to protect us.</v>
      </c>
      <c r="C1761" s="3">
        <v>41121.678587962961</v>
      </c>
      <c r="D1761" s="2">
        <v>383</v>
      </c>
      <c r="E1761" s="2">
        <v>21</v>
      </c>
      <c r="F1761" s="2" t="s">
        <v>7</v>
      </c>
      <c r="G1761" s="2" t="s">
        <v>7</v>
      </c>
    </row>
    <row r="1762" spans="1:7" ht="60" x14ac:dyDescent="0.25">
      <c r="A1762" s="4" t="str">
        <f>HYPERLINK("http://www.facebook.com/photo.php?fbid=10151151911137952&amp;set=a.114456157951.118433.8062627951&amp;type=1&amp;relevant_count=1","[Photo]")</f>
        <v>[Photo]</v>
      </c>
      <c r="B1762" s="4" t="str">
        <f>HYPERLINK("http://www.facebook.com/8062627951/posts/10151151911182952","We’re having a party, and there will be a tiger, a monkey and Snoop Lion (not really) - http://tcrn.ch/OAm8d7    Come party with TechCrunch writers and editors and a gaggle of other VIP Valley peeps w...")</f>
        <v>We’re having a party, and there will be a tiger, a monkey and Snoop Lion (not really) - http://tcrn.ch/OAm8d7    Come party with TechCrunch writers and editors and a gaggle of other VIP Valley peeps w...</v>
      </c>
      <c r="C1762" s="3">
        <v>41121.659837962965</v>
      </c>
      <c r="D1762" s="2">
        <v>117</v>
      </c>
      <c r="E1762" s="2">
        <v>18</v>
      </c>
      <c r="F1762" s="2" t="s">
        <v>7</v>
      </c>
      <c r="G1762" s="2" t="s">
        <v>8</v>
      </c>
    </row>
    <row r="1763" spans="1:7" ht="30" x14ac:dyDescent="0.25">
      <c r="A1763" s="4" t="str">
        <f>HYPERLINK("http://www.facebook.com/photo.php?fbid=10151151845012952&amp;set=a.114456157951.118433.8062627951&amp;type=1&amp;relevant_count=1","[Photo]")</f>
        <v>[Photo]</v>
      </c>
      <c r="B1763" s="4" t="str">
        <f>HYPERLINK("http://www.facebook.com/8062627951/posts/10151151845057952","Verizon can no longer charge for tethering, FCC declares - http://tcrn.ch/OkTgYu")</f>
        <v>Verizon can no longer charge for tethering, FCC declares - http://tcrn.ch/OkTgYu</v>
      </c>
      <c r="C1763" s="3">
        <v>41121.629675925928</v>
      </c>
      <c r="D1763" s="2">
        <v>529</v>
      </c>
      <c r="E1763" s="2">
        <v>44</v>
      </c>
      <c r="F1763" s="2" t="s">
        <v>7</v>
      </c>
      <c r="G1763" s="2" t="s">
        <v>8</v>
      </c>
    </row>
    <row r="1764" spans="1:7" ht="30" x14ac:dyDescent="0.25">
      <c r="A1764" s="4" t="str">
        <f>HYPERLINK("http://www.facebook.com/photo.php?fbid=10151151741232952&amp;set=a.114456157951.118433.8062627951&amp;type=1&amp;relevant_count=1","[Photo]")</f>
        <v>[Photo]</v>
      </c>
      <c r="B1764" s="4" t="str">
        <f>HYPERLINK("http://www.facebook.com/8062627951/posts/10151151741287952","Apple lawyer outs internal Samsung documents that claim the iPhone is “easy to copy” - http://tcrn.ch/OzyHc2")</f>
        <v>Apple lawyer outs internal Samsung documents that claim the iPhone is “easy to copy” - http://tcrn.ch/OzyHc2</v>
      </c>
      <c r="C1764" s="3">
        <v>41121.592870370368</v>
      </c>
      <c r="D1764" s="2">
        <v>1020</v>
      </c>
      <c r="E1764" s="2">
        <v>196</v>
      </c>
      <c r="F1764" s="2" t="s">
        <v>7</v>
      </c>
      <c r="G1764" s="2" t="s">
        <v>8</v>
      </c>
    </row>
    <row r="1765" spans="1:7" ht="45" x14ac:dyDescent="0.25">
      <c r="A1765" s="4" t="str">
        <f>HYPERLINK("http://techcrunch.com/2012/07/31/zynga-and-bump-delve-into-their-social-mobile-future-this-friday-at-the-facebook-ecosystem-crunchup/","Zynga And Bump Delve Into Their Social-Mobile Future This Friday At The Facebook Ecosystem CrunchUp.")</f>
        <v>Zynga And Bump Delve Into Their Social-Mobile Future This Friday At The Facebook Ecosystem CrunchUp.</v>
      </c>
      <c r="B1765" s="4" t="str">
        <f>HYPERLINK("http://www.facebook.com/8062627951/posts/270721719708095","The CrunchUp is this Friday. Get your tickets soon!")</f>
        <v>The CrunchUp is this Friday. Get your tickets soon!</v>
      </c>
      <c r="C1765" s="3">
        <v>41121.524467592593</v>
      </c>
      <c r="D1765" s="2">
        <v>17</v>
      </c>
      <c r="E1765" s="2">
        <v>0</v>
      </c>
      <c r="F1765" s="2" t="s">
        <v>7</v>
      </c>
      <c r="G1765" s="2" t="s">
        <v>7</v>
      </c>
    </row>
    <row r="1766" spans="1:7" x14ac:dyDescent="0.25">
      <c r="A1766" s="4" t="str">
        <f>HYPERLINK("http://www.facebook.com/photo.php?fbid=10151151407297952&amp;set=a.10151134316772952.498619.8062627951&amp;type=1&amp;relevant_count=1","[Photo]")</f>
        <v>[Photo]</v>
      </c>
      <c r="B1766" s="4" t="str">
        <f>HYPERLINK("http://www.facebook.com/8062627951/posts/10151151407337952","Who remembers the CrunchPad? ")</f>
        <v xml:space="preserve">Who remembers the CrunchPad? </v>
      </c>
      <c r="C1766" s="3">
        <v>41121.471851851849</v>
      </c>
      <c r="D1766" s="2">
        <v>52</v>
      </c>
      <c r="E1766" s="2">
        <v>8</v>
      </c>
      <c r="F1766" s="2" t="s">
        <v>8</v>
      </c>
      <c r="G1766" s="2" t="s">
        <v>8</v>
      </c>
    </row>
    <row r="1767" spans="1:7" x14ac:dyDescent="0.25">
      <c r="A1767" s="4" t="str">
        <f>HYPERLINK("http://techcrunch.com/2012/07/31/google-acquires-wildfire/","Google Acquires Social Marketer Wildfire")</f>
        <v>Google Acquires Social Marketer Wildfire</v>
      </c>
      <c r="B1767" s="4" t="str">
        <f>HYPERLINK("http://www.facebook.com/8062627951/posts/351675184910621","How many of you have used Wildfire before?")</f>
        <v>How many of you have used Wildfire before?</v>
      </c>
      <c r="C1767" s="3">
        <v>41121.438310185185</v>
      </c>
      <c r="D1767" s="2">
        <v>225</v>
      </c>
      <c r="E1767" s="2">
        <v>37</v>
      </c>
      <c r="F1767" s="2" t="s">
        <v>8</v>
      </c>
      <c r="G1767" s="2" t="s">
        <v>7</v>
      </c>
    </row>
    <row r="1768" spans="1:7" x14ac:dyDescent="0.25">
      <c r="A1768" s="4" t="str">
        <f>HYPERLINK("http://www.facebook.com/photo.php?fbid=10151151227612952&amp;set=a.10151134316772952.498619.8062627951&amp;type=1&amp;relevant_count=1","[Photo]")</f>
        <v>[Photo]</v>
      </c>
      <c r="B1768" s="4" t="str">
        <f>HYPERLINK("http://www.facebook.com/8062627951/posts/10151151227652952","Early Disrupt SF planning. ")</f>
        <v xml:space="preserve">Early Disrupt SF planning. </v>
      </c>
      <c r="C1768" s="3">
        <v>41121.399444444447</v>
      </c>
      <c r="D1768" s="2">
        <v>107</v>
      </c>
      <c r="E1768" s="2">
        <v>12</v>
      </c>
      <c r="F1768" s="2" t="s">
        <v>7</v>
      </c>
      <c r="G1768" s="2" t="s">
        <v>8</v>
      </c>
    </row>
    <row r="1769" spans="1:7" ht="30" x14ac:dyDescent="0.25">
      <c r="A1769" s="4" t="str">
        <f>HYPERLINK("http://techcrunch.com/2012/07/31/ms-outlook-2012/","Microsoft Reboots Mail Service, Calls It Outlook; Attacks Clutter, Adds Social")</f>
        <v>Microsoft Reboots Mail Service, Calls It Outlook; Attacks Clutter, Adds Social</v>
      </c>
      <c r="B1769" s="4" t="str">
        <f>HYPERLINK("http://www.facebook.com/8062627951/posts/365903413479538","Microsoft releases a preview of its upcoming mail client reboot, Outlook.")</f>
        <v>Microsoft releases a preview of its upcoming mail client reboot, Outlook.</v>
      </c>
      <c r="C1769" s="3">
        <v>41121.376122685186</v>
      </c>
      <c r="D1769" s="2">
        <v>119</v>
      </c>
      <c r="E1769" s="2">
        <v>21</v>
      </c>
      <c r="F1769" s="2" t="s">
        <v>7</v>
      </c>
      <c r="G1769" s="2" t="s">
        <v>7</v>
      </c>
    </row>
    <row r="1770" spans="1:7" ht="45" x14ac:dyDescent="0.25">
      <c r="A1770" s="4" t="str">
        <f>HYPERLINK("http://techcrunch.com/2012/07/31/nbcfail-would-twitter-delete-gagas-account-if-she-linked-to-an-email/","NBCFail: Would Twitter Delete Gaga’s Account If She Linked To An Email? | TechCrunch")</f>
        <v>NBCFail: Would Twitter Delete Gaga’s Account If She Linked To An Email? | TechCrunch</v>
      </c>
      <c r="B1770" s="4" t="str">
        <f>HYPERLINK("http://www.facebook.com/8062627951/posts/324381967655970","Rules are rules -- except for celebrities.")</f>
        <v>Rules are rules -- except for celebrities.</v>
      </c>
      <c r="C1770" s="3">
        <v>41121.308738425927</v>
      </c>
      <c r="D1770" s="2">
        <v>87</v>
      </c>
      <c r="E1770" s="2">
        <v>19</v>
      </c>
      <c r="F1770" s="2" t="s">
        <v>7</v>
      </c>
      <c r="G1770" s="2" t="s">
        <v>7</v>
      </c>
    </row>
    <row r="1771" spans="1:7" ht="30" x14ac:dyDescent="0.25">
      <c r="A1771" s="4" t="str">
        <f>HYPERLINK("http://techcrunch.com/2012/07/31/techcrunch-makers-georgia-techs-musical-robots/","TechCrunch Makers: Georgia Tech’s Musical Robots  | TechCrunch")</f>
        <v>TechCrunch Makers: Georgia Tech’s Musical Robots  | TechCrunch</v>
      </c>
      <c r="B1771" s="4" t="str">
        <f>HYPERLINK("http://www.facebook.com/8062627951/posts/101630729986191","The only thing better than a robot is a dancing robot.")</f>
        <v>The only thing better than a robot is a dancing robot.</v>
      </c>
      <c r="C1771" s="3">
        <v>41121.276134259257</v>
      </c>
      <c r="D1771" s="2">
        <v>55</v>
      </c>
      <c r="E1771" s="2">
        <v>3</v>
      </c>
      <c r="F1771" s="2" t="s">
        <v>7</v>
      </c>
      <c r="G1771" s="2" t="s">
        <v>7</v>
      </c>
    </row>
    <row r="1772" spans="1:7" ht="30" x14ac:dyDescent="0.25">
      <c r="A1772" s="4" t="str">
        <f>HYPERLINK("http://techcrunch.com/2012/07/31/russian-carrier-on-apples-high-iphone-pricing-theyre-in-dictatorship-mode/","Russian Carrier On Apple’s High iPhone Pricing: “They’re In Dictatorship Mode”")</f>
        <v>Russian Carrier On Apple’s High iPhone Pricing: “They’re In Dictatorship Mode”</v>
      </c>
      <c r="B1772" s="4" t="str">
        <f>HYPERLINK("http://www.facebook.com/8062627951/posts/213400545452061","In Russia, iPhone buys you!")</f>
        <v>In Russia, iPhone buys you!</v>
      </c>
      <c r="C1772" s="3">
        <v>41121.241516203707</v>
      </c>
      <c r="D1772" s="2">
        <v>91</v>
      </c>
      <c r="E1772" s="2">
        <v>8</v>
      </c>
      <c r="F1772" s="2" t="s">
        <v>7</v>
      </c>
      <c r="G1772" s="2" t="s">
        <v>7</v>
      </c>
    </row>
    <row r="1773" spans="1:7" ht="30" x14ac:dyDescent="0.25">
      <c r="A1773" s="4" t="str">
        <f>HYPERLINK("http://techcrunch.com/2012/07/31/spotify-radio-android/","Spotify Finally Launches Free Mobile Radio For US-Based Android Devices")</f>
        <v>Spotify Finally Launches Free Mobile Radio For US-Based Android Devices</v>
      </c>
      <c r="B1773" s="4" t="str">
        <f>HYPERLINK("http://www.facebook.com/8062627951/posts/330771903681314","Go get yourself some free Spotify!")</f>
        <v>Go get yourself some free Spotify!</v>
      </c>
      <c r="C1773" s="3">
        <v>41121.169178240743</v>
      </c>
      <c r="D1773" s="2">
        <v>82</v>
      </c>
      <c r="E1773" s="2">
        <v>5</v>
      </c>
      <c r="F1773" s="2" t="s">
        <v>7</v>
      </c>
      <c r="G1773" s="2" t="s">
        <v>7</v>
      </c>
    </row>
    <row r="1774" spans="1:7" ht="45" x14ac:dyDescent="0.25">
      <c r="A1774" s="4" t="str">
        <f>HYPERLINK("http://techcrunch.com/2012/07/30/twitter-clickable-ticker-symbols/","Twitter Launches Clickable Stock Symbols, StockTwits’ Howard Lindzon Says “Hey, We Already Do That!”")</f>
        <v>Twitter Launches Clickable Stock Symbols, StockTwits’ Howard Lindzon Says “Hey, We Already Do That!”</v>
      </c>
      <c r="B1774" s="4" t="str">
        <f>HYPERLINK("http://www.facebook.com/8062627951/posts/154780074646448","This may seem simple and straightforward at first glance, but could actually have big implications.")</f>
        <v>This may seem simple and straightforward at first glance, but could actually have big implications.</v>
      </c>
      <c r="C1774" s="3">
        <v>41120.910266203704</v>
      </c>
      <c r="D1774" s="2">
        <v>52</v>
      </c>
      <c r="E1774" s="2">
        <v>10</v>
      </c>
      <c r="F1774" s="2" t="s">
        <v>7</v>
      </c>
      <c r="G1774" s="2" t="s">
        <v>7</v>
      </c>
    </row>
    <row r="1775" spans="1:7" ht="30" x14ac:dyDescent="0.25">
      <c r="A1775" s="4" t="str">
        <f>HYPERLINK("http://techcrunch.com/2012/07/30/godaddy-ceo-steps-down-scott-wagner-named-interim-ceo/","GoDaddy CEO Steps Down, Scott Wagner Named Interim CEO")</f>
        <v>GoDaddy CEO Steps Down, Scott Wagner Named Interim CEO</v>
      </c>
      <c r="B1775" s="4" t="str">
        <f>HYPERLINK("http://www.facebook.com/8062627951/posts/347496301992056","GoDaddy CEO Warren Adelman has stepped down after less than two months on the job.")</f>
        <v>GoDaddy CEO Warren Adelman has stepped down after less than two months on the job.</v>
      </c>
      <c r="C1775" s="3">
        <v>41120.681770833333</v>
      </c>
      <c r="D1775" s="2">
        <v>62</v>
      </c>
      <c r="E1775" s="2">
        <v>25</v>
      </c>
      <c r="F1775" s="2" t="s">
        <v>7</v>
      </c>
      <c r="G1775" s="2" t="s">
        <v>7</v>
      </c>
    </row>
    <row r="1776" spans="1:7" ht="75" x14ac:dyDescent="0.25">
      <c r="A1776" s="4" t="str">
        <f>HYPERLINK("http://www.facebook.com/photo.php?fbid=10151149678137952&amp;set=a.114456157951.118433.8062627951&amp;type=1&amp;relevant_count=1","[Photo]")</f>
        <v>[Photo]</v>
      </c>
      <c r="B1776" s="4" t="s">
        <v>103</v>
      </c>
      <c r="C1776" s="3">
        <v>41120.655659722222</v>
      </c>
      <c r="D1776" s="2">
        <v>321</v>
      </c>
      <c r="E1776" s="2">
        <v>64</v>
      </c>
      <c r="F1776" s="2" t="s">
        <v>7</v>
      </c>
      <c r="G1776" s="2" t="s">
        <v>8</v>
      </c>
    </row>
    <row r="1777" spans="1:7" ht="30" x14ac:dyDescent="0.25">
      <c r="A1777" s="4" t="str">
        <f>HYPERLINK("http://techcrunch.com/2012/07/30/switch-to-timeline/","Still Protesting? Facebook Will Soon Force You To Switch To Timeline")</f>
        <v>Still Protesting? Facebook Will Soon Force You To Switch To Timeline</v>
      </c>
      <c r="B1777" s="4" t="str">
        <f>HYPERLINK("http://www.facebook.com/8062627951/posts/347272148686889","The future's coming, embrace it.")</f>
        <v>The future's coming, embrace it.</v>
      </c>
      <c r="C1777" s="3">
        <v>41120.622164351851</v>
      </c>
      <c r="D1777" s="2">
        <v>149</v>
      </c>
      <c r="E1777" s="2">
        <v>51</v>
      </c>
      <c r="F1777" s="2" t="s">
        <v>7</v>
      </c>
      <c r="G1777" s="2" t="s">
        <v>7</v>
      </c>
    </row>
    <row r="1778" spans="1:7" ht="45" x14ac:dyDescent="0.25">
      <c r="A1778" s="4" t="str">
        <f>HYPERLINK("http://techcrunch.com/2012/07/30/this-fridays-facebook-ecosystem-crunchup-come-learn-whats-working-from-airbnb-and-songpop/","This Friday’s Facebook Ecosystem CrunchUp: Come Learn What’s Working From AirBnB And SongPop")</f>
        <v>This Friday’s Facebook Ecosystem CrunchUp: Come Learn What’s Working From AirBnB And SongPop</v>
      </c>
      <c r="B1778" s="4" t="str">
        <f>HYPERLINK("http://www.facebook.com/8062627951/posts/269028059873188","The CrunchUp! It's this Friday!")</f>
        <v>The CrunchUp! It's this Friday!</v>
      </c>
      <c r="C1778" s="3">
        <v>41120.581145833334</v>
      </c>
      <c r="D1778" s="2">
        <v>21</v>
      </c>
      <c r="E1778" s="2">
        <v>1</v>
      </c>
      <c r="F1778" s="2" t="s">
        <v>7</v>
      </c>
      <c r="G1778" s="2" t="s">
        <v>7</v>
      </c>
    </row>
    <row r="1779" spans="1:7" ht="45" x14ac:dyDescent="0.25">
      <c r="A1779" s="4" t="str">
        <f>HYPERLINK("http://techcrunch.com/2012/07/30/stop-me-if-youve-heard-this-one-before-olympic-athlete-kicked-out-of-games-for-tweet/","Stop Me If You’ve Heard This One Before: Olympic Athlete Kicked Out Of Games For Tweet")</f>
        <v>Stop Me If You’ve Heard This One Before: Olympic Athlete Kicked Out Of Games For Tweet</v>
      </c>
      <c r="B1779" s="4" t="str">
        <f>HYPERLINK("http://www.facebook.com/8062627951/posts/346835922063349","And it happened again...")</f>
        <v>And it happened again...</v>
      </c>
      <c r="C1779" s="3">
        <v>41120.549398148149</v>
      </c>
      <c r="D1779" s="2">
        <v>104</v>
      </c>
      <c r="E1779" s="2">
        <v>25</v>
      </c>
      <c r="F1779" s="2" t="s">
        <v>7</v>
      </c>
      <c r="G1779" s="2" t="s">
        <v>7</v>
      </c>
    </row>
    <row r="1780" spans="1:7" ht="45" x14ac:dyDescent="0.25">
      <c r="A1780" s="4" t="str">
        <f>HYPERLINK("http://techcrunch.com/2012/07/30/critic-of-nbc-olympics-coverage-has-twitter-account-suspended-for-posting-execs-email/","Critic Of NBC Olympics Coverage Has Twitter Account Suspended for Posting Exec’s Email")</f>
        <v>Critic Of NBC Olympics Coverage Has Twitter Account Suspended for Posting Exec’s Email</v>
      </c>
      <c r="B1780" s="4" t="str">
        <f>HYPERLINK("http://www.facebook.com/8062627951/posts/478169922195251","Yikes.")</f>
        <v>Yikes.</v>
      </c>
      <c r="C1780" s="3">
        <v>41120.512800925928</v>
      </c>
      <c r="D1780" s="2">
        <v>67</v>
      </c>
      <c r="E1780" s="2">
        <v>33</v>
      </c>
      <c r="F1780" s="2" t="s">
        <v>7</v>
      </c>
      <c r="G1780" s="2" t="s">
        <v>7</v>
      </c>
    </row>
    <row r="1781" spans="1:7" x14ac:dyDescent="0.25">
      <c r="A1781" s="4" t="str">
        <f>HYPERLINK("http://techcrunch.com/2012/07/30/distracted-walking-injuries-quadruple/","Distracted Walking Injuries ‘Quadruple’")</f>
        <v>Distracted Walking Injuries ‘Quadruple’</v>
      </c>
      <c r="B1781" s="4" t="str">
        <f>HYPERLINK("http://www.facebook.com/8062627951/posts/466530290038509","Don't read this while walking")</f>
        <v>Don't read this while walking</v>
      </c>
      <c r="C1781" s="3">
        <v>41120.477071759262</v>
      </c>
      <c r="D1781" s="2">
        <v>47</v>
      </c>
      <c r="E1781" s="2">
        <v>10</v>
      </c>
      <c r="F1781" s="2" t="s">
        <v>7</v>
      </c>
      <c r="G1781" s="2" t="s">
        <v>7</v>
      </c>
    </row>
    <row r="1782" spans="1:7" ht="45" x14ac:dyDescent="0.25">
      <c r="A1782" s="4" t="str">
        <f>HYPERLINK("http://techcrunch.com/2012/07/30/facebook-photos-timeline/","Facebook Timeline Photos Redesign Lets You Blow Up Favorites 4X Larger, Shows Tagged Shots First ")</f>
        <v xml:space="preserve">Facebook Timeline Photos Redesign Lets You Blow Up Favorites 4X Larger, Shows Tagged Shots First </v>
      </c>
      <c r="B1782" s="4" t="str">
        <f>HYPERLINK("http://www.facebook.com/8062627951/posts/271314086306846","Show off your best smiles, not your double chins")</f>
        <v>Show off your best smiles, not your double chins</v>
      </c>
      <c r="C1782" s="3">
        <v>41120.439895833333</v>
      </c>
      <c r="D1782" s="2">
        <v>95</v>
      </c>
      <c r="E1782" s="2">
        <v>7</v>
      </c>
      <c r="F1782" s="2" t="s">
        <v>7</v>
      </c>
      <c r="G1782" s="2" t="s">
        <v>7</v>
      </c>
    </row>
    <row r="1783" spans="1:7" x14ac:dyDescent="0.25">
      <c r="A1783" s="4" t="str">
        <f>HYPERLINK("http://techcrunch.com/2012/07/30/the-best-gym-for-startups-crossfit/","The Best Gym For Startups: CrossFit")</f>
        <v>The Best Gym For Startups: CrossFit</v>
      </c>
      <c r="B1783" s="4" t="str">
        <f>HYPERLINK("http://www.facebook.com/8062627951/posts/272306362874326","Startups with six-packs")</f>
        <v>Startups with six-packs</v>
      </c>
      <c r="C1783" s="3">
        <v>41120.434421296297</v>
      </c>
      <c r="D1783" s="2">
        <v>228</v>
      </c>
      <c r="E1783" s="2">
        <v>22</v>
      </c>
      <c r="F1783" s="2" t="s">
        <v>7</v>
      </c>
      <c r="G1783" s="2" t="s">
        <v>7</v>
      </c>
    </row>
    <row r="1784" spans="1:7" ht="30" x14ac:dyDescent="0.25">
      <c r="A1784" s="4" t="str">
        <f>HYPERLINK("http://techcrunch.com/2012/07/30/hey-google-i-dont-care-about-hangouts-i-just-want-to-read-my-email/","Hey Google! I Don’t Care About Hangouts, I Just Want To Read My Email")</f>
        <v>Hey Google! I Don’t Care About Hangouts, I Just Want To Read My Email</v>
      </c>
      <c r="B1784" s="4" t="str">
        <f>HYPERLINK("http://www.facebook.com/8062627951/posts/268871243214755","Who agrees?")</f>
        <v>Who agrees?</v>
      </c>
      <c r="C1784" s="3">
        <v>41120.392754629633</v>
      </c>
      <c r="D1784" s="2">
        <v>844</v>
      </c>
      <c r="E1784" s="2">
        <v>158</v>
      </c>
      <c r="F1784" s="2" t="s">
        <v>8</v>
      </c>
      <c r="G1784" s="2" t="s">
        <v>7</v>
      </c>
    </row>
    <row r="1785" spans="1:7" ht="45" x14ac:dyDescent="0.25">
      <c r="A1785" s="4" t="str">
        <f>HYPERLINK("http://techcrunch.com/2012/07/30/digg-v1-ahead-of-relaunch/","The New Digg Is Launching On Wednesday: Will Be “Beautiful, Image-Friendly, And Ad-Free”")</f>
        <v>The New Digg Is Launching On Wednesday: Will Be “Beautiful, Image-Friendly, And Ad-Free”</v>
      </c>
      <c r="B1785" s="4" t="str">
        <f>HYPERLINK("http://www.facebook.com/8062627951/posts/271499119632691","Here comes the new Digg!")</f>
        <v>Here comes the new Digg!</v>
      </c>
      <c r="C1785" s="3">
        <v>41120.360625000001</v>
      </c>
      <c r="D1785" s="2">
        <v>62</v>
      </c>
      <c r="E1785" s="2">
        <v>14</v>
      </c>
      <c r="F1785" s="2" t="s">
        <v>7</v>
      </c>
      <c r="G1785" s="2" t="s">
        <v>7</v>
      </c>
    </row>
    <row r="1786" spans="1:7" ht="30" x14ac:dyDescent="0.25">
      <c r="A1786" s="4" t="str">
        <f>HYPERLINK("http://techcrunch.com/2012/07/30/real-life-japanese-mech-robot-fires-bbs-with-a-smile/","Real Life Japanese Mech Robot Fires BBs With A Smile")</f>
        <v>Real Life Japanese Mech Robot Fires BBs With A Smile</v>
      </c>
      <c r="B1786" s="4" t="str">
        <f>HYPERLINK("http://www.facebook.com/8062627951/posts/137904043017165","It's a mech. In real life. And it's awesome.")</f>
        <v>It's a mech. In real life. And it's awesome.</v>
      </c>
      <c r="C1786" s="3">
        <v>41120.310393518521</v>
      </c>
      <c r="D1786" s="2">
        <v>144</v>
      </c>
      <c r="E1786" s="2">
        <v>12</v>
      </c>
      <c r="F1786" s="2" t="s">
        <v>7</v>
      </c>
      <c r="G1786" s="2" t="s">
        <v>7</v>
      </c>
    </row>
    <row r="1787" spans="1:7" ht="30" x14ac:dyDescent="0.25">
      <c r="A1787" s="4" t="str">
        <f>HYPERLINK("http://techcrunch.com/2012/07/30/leaked-iphone-5-images-and-video-seem-to-confirm-everything-we-expect/","Leaked iPhone 5 Images And Video Seem To Confirm Everything We Expect")</f>
        <v>Leaked iPhone 5 Images And Video Seem To Confirm Everything We Expect</v>
      </c>
      <c r="B1787" s="4" t="str">
        <f>HYPERLINK("http://www.facebook.com/8062627951/posts/417208144991410","Another day, another iPhone 5 leak.")</f>
        <v>Another day, another iPhone 5 leak.</v>
      </c>
      <c r="C1787" s="3">
        <v>41120.218842592592</v>
      </c>
      <c r="D1787" s="2">
        <v>286</v>
      </c>
      <c r="E1787" s="2">
        <v>38</v>
      </c>
      <c r="F1787" s="2" t="s">
        <v>7</v>
      </c>
      <c r="G1787" s="2" t="s">
        <v>7</v>
      </c>
    </row>
    <row r="1788" spans="1:7" ht="45" x14ac:dyDescent="0.25">
      <c r="A1788" s="4" t="str">
        <f>HYPERLINK("http://techcrunch.com/2012/07/29/inside-jobs/","Inside jOBS: TechCrunch Goes To The Movies")</f>
        <v>Inside jOBS: TechCrunch Goes To The Movies</v>
      </c>
      <c r="B1788" s="4" t="str">
        <f>HYPERLINK("http://www.facebook.com/8062627951/posts/389674874429362","TechCrunch writer Rip Empson gives an insider look at the upcoming Steve Jobs movie staring Ashton Kutcher -- because he's in the movie!")</f>
        <v>TechCrunch writer Rip Empson gives an insider look at the upcoming Steve Jobs movie staring Ashton Kutcher -- because he's in the movie!</v>
      </c>
      <c r="C1788" s="3">
        <v>41120.193784722222</v>
      </c>
      <c r="D1788" s="2">
        <v>37</v>
      </c>
      <c r="E1788" s="2">
        <v>2</v>
      </c>
      <c r="F1788" s="2" t="s">
        <v>7</v>
      </c>
      <c r="G1788" s="2" t="s">
        <v>7</v>
      </c>
    </row>
    <row r="1789" spans="1:7" ht="60" x14ac:dyDescent="0.25">
      <c r="A1789" s="4" t="str">
        <f>HYPERLINK("http://techcrunch.com/2012/07/29/the-first-company-to-build-your-identity-into-your-phone-wins-the-next-decade/","The First Company To Build Your Identity Into Your Phone Wins The Next Decade")</f>
        <v>The First Company To Build Your Identity Into Your Phone Wins The Next Decade</v>
      </c>
      <c r="B1789" s="4" t="s">
        <v>104</v>
      </c>
      <c r="C1789" s="3">
        <v>41119.751400462963</v>
      </c>
      <c r="D1789" s="2">
        <v>87</v>
      </c>
      <c r="E1789" s="2">
        <v>7</v>
      </c>
      <c r="F1789" s="2" t="s">
        <v>7</v>
      </c>
      <c r="G1789" s="2" t="s">
        <v>7</v>
      </c>
    </row>
    <row r="1790" spans="1:7" ht="30" x14ac:dyDescent="0.25">
      <c r="A1790" s="4" t="str">
        <f>HYPERLINK("http://techcrunch.com/2012/07/29/the-paradox-of-vc-seed-investing/","The Paradox Of VC Seed Investing | TechCrunch")</f>
        <v>The Paradox Of VC Seed Investing | TechCrunch</v>
      </c>
      <c r="B1790" s="4" t="str">
        <f>HYPERLINK("http://www.facebook.com/8062627951/posts/481007358585664","Sometimes you have to bet big.")</f>
        <v>Sometimes you have to bet big.</v>
      </c>
      <c r="C1790" s="3">
        <v>41119.651828703703</v>
      </c>
      <c r="D1790" s="2">
        <v>74</v>
      </c>
      <c r="E1790" s="2">
        <v>3</v>
      </c>
      <c r="F1790" s="2" t="s">
        <v>7</v>
      </c>
      <c r="G1790" s="2" t="s">
        <v>7</v>
      </c>
    </row>
    <row r="1791" spans="1:7" ht="45" x14ac:dyDescent="0.25">
      <c r="A1791" s="4" t="str">
        <f>HYPERLINK("http://techcrunch.com/2012/07/29/kc-google-fiber-threshold-20-percent/","Google Fiber: 20% Of Kansas City, MO Neighborhoods Have Already Met Their Sign-Up Goals | TechCrunch")</f>
        <v>Google Fiber: 20% Of Kansas City, MO Neighborhoods Have Already Met Their Sign-Up Goals | TechCrunch</v>
      </c>
      <c r="B1791" s="4" t="str">
        <f>HYPERLINK("http://www.facebook.com/8062627951/posts/255511307899525","Ready for Google Fiber?")</f>
        <v>Ready for Google Fiber?</v>
      </c>
      <c r="C1791" s="3">
        <v>41119.615104166667</v>
      </c>
      <c r="D1791" s="2">
        <v>246</v>
      </c>
      <c r="E1791" s="2">
        <v>27</v>
      </c>
      <c r="F1791" s="2" t="s">
        <v>8</v>
      </c>
      <c r="G1791" s="2" t="s">
        <v>7</v>
      </c>
    </row>
    <row r="1792" spans="1:7" ht="30" x14ac:dyDescent="0.25">
      <c r="A1792" s="4" t="str">
        <f>HYPERLINK("http://techcrunch.com/2012/07/29/surprisingly-good-evidence-that-real-name-policies-fail-to-improve-comments/","Surprisingly Good Evidence That Real Name Policies Fail To Improve Comments")</f>
        <v>Surprisingly Good Evidence That Real Name Policies Fail To Improve Comments</v>
      </c>
      <c r="B1792" s="4" t="str">
        <f>HYPERLINK("http://www.facebook.com/8062627951/posts/505535989460866","Think real names should be mandatory?")</f>
        <v>Think real names should be mandatory?</v>
      </c>
      <c r="C1792" s="3">
        <v>41119.422384259262</v>
      </c>
      <c r="D1792" s="2">
        <v>69</v>
      </c>
      <c r="E1792" s="2">
        <v>21</v>
      </c>
      <c r="F1792" s="2" t="s">
        <v>8</v>
      </c>
      <c r="G1792" s="2" t="s">
        <v>7</v>
      </c>
    </row>
    <row r="1793" spans="1:7" x14ac:dyDescent="0.25">
      <c r="A1793" s="4" t="str">
        <f>HYPERLINK("http://techcrunch.com/2012/07/29/fly-or-die-google-nexus-7/","Fly Or Die: Google Nexus 7")</f>
        <v>Fly Or Die: Google Nexus 7</v>
      </c>
      <c r="B1793" s="4" t="str">
        <f>HYPERLINK("http://www.facebook.com/8062627951/posts/288925144548681","Will the Nexus 7 earn a fly or a die?")</f>
        <v>Will the Nexus 7 earn a fly or a die?</v>
      </c>
      <c r="C1793" s="3">
        <v>41119.261747685188</v>
      </c>
      <c r="D1793" s="2">
        <v>66</v>
      </c>
      <c r="E1793" s="2">
        <v>33</v>
      </c>
      <c r="F1793" s="2" t="s">
        <v>8</v>
      </c>
      <c r="G1793" s="2" t="s">
        <v>7</v>
      </c>
    </row>
    <row r="1794" spans="1:7" ht="30" x14ac:dyDescent="0.25">
      <c r="A1794" s="4" t="str">
        <f>HYPERLINK("http://techcrunch.com/2012/07/28/google-fiber-devils-advocate-bitches/","Let’s Not Get Too Excited About Google Fiber… Yet")</f>
        <v>Let’s Not Get Too Excited About Google Fiber… Yet</v>
      </c>
      <c r="B1794" s="4" t="str">
        <f>HYPERLINK("http://www.facebook.com/8062627951/posts/328235007271382","Settle down, everyone.")</f>
        <v>Settle down, everyone.</v>
      </c>
      <c r="C1794" s="3">
        <v>41118.690266203703</v>
      </c>
      <c r="D1794" s="2">
        <v>105</v>
      </c>
      <c r="E1794" s="2">
        <v>25</v>
      </c>
      <c r="F1794" s="2" t="s">
        <v>7</v>
      </c>
      <c r="G1794" s="2" t="s">
        <v>7</v>
      </c>
    </row>
    <row r="1795" spans="1:7" ht="30" x14ac:dyDescent="0.25">
      <c r="A1795" s="4" t="str">
        <f>HYPERLINK("http://techcrunch.com/2012/07/28/please-dont-watch-nbc-tonight-or-any-night/","Please Don’t Watch NBC Tonight. Or Any Night.")</f>
        <v>Please Don’t Watch NBC Tonight. Or Any Night.</v>
      </c>
      <c r="B1795" s="4" t="str">
        <f>HYPERLINK("http://www.facebook.com/8062627951/posts/467376106613876","Come on NBC.")</f>
        <v>Come on NBC.</v>
      </c>
      <c r="C1795" s="3">
        <v>41118.549421296295</v>
      </c>
      <c r="D1795" s="2">
        <v>595</v>
      </c>
      <c r="E1795" s="2">
        <v>94</v>
      </c>
      <c r="F1795" s="2" t="s">
        <v>7</v>
      </c>
      <c r="G1795" s="2" t="s">
        <v>7</v>
      </c>
    </row>
    <row r="1796" spans="1:7" ht="30" x14ac:dyDescent="0.25">
      <c r="A1796" s="4" t="str">
        <f>HYPERLINK("http://techcrunch.com/2012/07/27/nbc-olympic-opening-ceremony/?grcc=33333Z98ZtrendingZ0Z0Z0Z0Z0&amp;grcc2=d0bd7e520a4217d4ebf2f03e803c9202%7E1343505771262%7Efca4fa8af1286d8a77f26033fdeed202%7E2aaeee0387d6...","NBCOlympics’ Opening Ceremony Tape Delay: Stupid, Stupid, Stupid")</f>
        <v>NBCOlympics’ Opening Ceremony Tape Delay: Stupid, Stupid, Stupid</v>
      </c>
      <c r="B1796" s="4" t="str">
        <f>HYPERLINK("http://www.facebook.com/8062627951/posts/391641017549826","What did you think of the 2012 Olympics Opening Ceremony?")</f>
        <v>What did you think of the 2012 Olympics Opening Ceremony?</v>
      </c>
      <c r="C1796" s="3">
        <v>41118.502986111111</v>
      </c>
      <c r="D1796" s="2">
        <v>154</v>
      </c>
      <c r="E1796" s="2">
        <v>74</v>
      </c>
      <c r="F1796" s="2" t="s">
        <v>8</v>
      </c>
      <c r="G1796" s="2" t="s">
        <v>7</v>
      </c>
    </row>
    <row r="1797" spans="1:7" ht="60" x14ac:dyDescent="0.25">
      <c r="A1797" s="4" t="str">
        <f>HYPERLINK("http://techcrunch.com/2012/07/28/not-that-kind-of-filthy-get-your-mind-out-of-the-gutter/","In Praise Of Quick And Filthy")</f>
        <v>In Praise Of Quick And Filthy</v>
      </c>
      <c r="B1797" s="4" t="s">
        <v>105</v>
      </c>
      <c r="C1797" s="3">
        <v>41118.257210648146</v>
      </c>
      <c r="D1797" s="2">
        <v>189</v>
      </c>
      <c r="E1797" s="2">
        <v>35</v>
      </c>
      <c r="F1797" s="2" t="s">
        <v>7</v>
      </c>
      <c r="G1797" s="2" t="s">
        <v>7</v>
      </c>
    </row>
    <row r="1798" spans="1:7" x14ac:dyDescent="0.25">
      <c r="A1798" s="4" t="str">
        <f>HYPERLINK("http://techcrunch.com/2012/07/27/fornicating-under-consent-of-the-king/","Yo Forbes, Fuck You")</f>
        <v>Yo Forbes, Fuck You</v>
      </c>
      <c r="B1798" s="4" t="str">
        <f>HYPERLINK("http://www.facebook.com/8062627951/posts/258715680906895","Fuck")</f>
        <v>Fuck</v>
      </c>
      <c r="C1798" s="3">
        <v>41117.687118055554</v>
      </c>
      <c r="D1798" s="2">
        <v>377</v>
      </c>
      <c r="E1798" s="2">
        <v>134</v>
      </c>
      <c r="F1798" s="2" t="s">
        <v>7</v>
      </c>
      <c r="G1798" s="2" t="s">
        <v>7</v>
      </c>
    </row>
    <row r="1799" spans="1:7" ht="45" x14ac:dyDescent="0.25">
      <c r="A1799" s="4" t="str">
        <f>HYPERLINK("http://techcrunch.com/2012/07/27/boink-box/","Boink Box Launches A “Birchbox For Adult Toys,” Looks To Liven Up Your Sex Life For $45 A Month")</f>
        <v>Boink Box Launches A “Birchbox For Adult Toys,” Looks To Liven Up Your Sex Life For $45 A Month</v>
      </c>
      <c r="B1799" s="4" t="str">
        <f>HYPERLINK("http://www.facebook.com/8062627951/posts/506132902735637","Boink Box is like Birchbox but for sex toys. Obviously.")</f>
        <v>Boink Box is like Birchbox but for sex toys. Obviously.</v>
      </c>
      <c r="C1799" s="3">
        <v>41117.536550925928</v>
      </c>
      <c r="D1799" s="2">
        <v>54</v>
      </c>
      <c r="E1799" s="2">
        <v>8</v>
      </c>
      <c r="F1799" s="2" t="s">
        <v>7</v>
      </c>
      <c r="G1799" s="2" t="s">
        <v>7</v>
      </c>
    </row>
    <row r="1800" spans="1:7" x14ac:dyDescent="0.25">
      <c r="A1800" s="4" t="str">
        <f>HYPERLINK("http://www.facebook.com/photo.php?fbid=10151142285747952&amp;set=a.10151134316772952.498619.8062627951&amp;type=1&amp;relevant_count=1","[Photo]")</f>
        <v>[Photo]</v>
      </c>
      <c r="B1800" s="4" t="str">
        <f>HYPERLINK("http://www.facebook.com/8062627951/posts/10151142285942952","There is no space people.  ")</f>
        <v xml:space="preserve">There is no space people.  </v>
      </c>
      <c r="C1800" s="3">
        <v>41117.35528935185</v>
      </c>
      <c r="D1800" s="2">
        <v>537</v>
      </c>
      <c r="E1800" s="2">
        <v>38</v>
      </c>
      <c r="F1800" s="2" t="s">
        <v>7</v>
      </c>
      <c r="G1800" s="2" t="s">
        <v>8</v>
      </c>
    </row>
    <row r="1801" spans="1:7" ht="45" x14ac:dyDescent="0.25">
      <c r="A1801" s="4" t="str">
        <f>HYPERLINK("http://techcrunch.com/2012/07/27/this-vision-of-the-future-includes-eyeball-embedded-ar-hackable-humans-and-gamified-everything/","This Vision Of The Future Includes Eyeball-Embedded AR, Hackable Humans, And Gamified Everything")</f>
        <v>This Vision Of The Future Includes Eyeball-Embedded AR, Hackable Humans, And Gamified Everything</v>
      </c>
      <c r="B1801" s="4" t="str">
        <f>HYPERLINK("http://www.facebook.com/8062627951/posts/340931952657330","Technology... in your eyeball.")</f>
        <v>Technology... in your eyeball.</v>
      </c>
      <c r="C1801" s="3">
        <v>41117.338449074072</v>
      </c>
      <c r="D1801" s="2">
        <v>193</v>
      </c>
      <c r="E1801" s="2">
        <v>27</v>
      </c>
      <c r="F1801" s="2" t="s">
        <v>7</v>
      </c>
      <c r="G1801" s="2" t="s">
        <v>7</v>
      </c>
    </row>
    <row r="1802" spans="1:7" ht="30" x14ac:dyDescent="0.25">
      <c r="A1802" s="4" t="str">
        <f>HYPERLINK("http://techcrunch.com/2012/07/27/giveaway-nexus-7-free-disrupt-ticket/","TechCrunch Giveaway: Nexus 7 Plus Free Ticket To Disrupt SF #TCDisrupt")</f>
        <v>TechCrunch Giveaway: Nexus 7 Plus Free Ticket To Disrupt SF #TCDisrupt</v>
      </c>
      <c r="B1802" s="4" t="str">
        <f>HYPERLINK("http://www.facebook.com/8062627951/posts/393481024048373","Make sure you enter.")</f>
        <v>Make sure you enter.</v>
      </c>
      <c r="C1802" s="3">
        <v>41117.291192129633</v>
      </c>
      <c r="D1802" s="2">
        <v>64</v>
      </c>
      <c r="E1802" s="2">
        <v>39</v>
      </c>
      <c r="F1802" s="2" t="s">
        <v>7</v>
      </c>
      <c r="G1802" s="2" t="s">
        <v>7</v>
      </c>
    </row>
    <row r="1803" spans="1:7" ht="30" x14ac:dyDescent="0.25">
      <c r="A1803" s="4" t="str">
        <f>HYPERLINK("http://techcrunch.com/2012/07/27/chinese-case-maker-reveals-potential-iphone-5-design/","Chinese Case Maker Reveals Potential iPhone 5 Design | TechCrunch")</f>
        <v>Chinese Case Maker Reveals Potential iPhone 5 Design | TechCrunch</v>
      </c>
      <c r="B1803" s="4" t="str">
        <f>HYPERLINK("http://www.facebook.com/8062627951/posts/225414820913960","This could be the best look at the next iPhone yet.")</f>
        <v>This could be the best look at the next iPhone yet.</v>
      </c>
      <c r="C1803" s="3">
        <v>41117.236886574072</v>
      </c>
      <c r="D1803" s="2">
        <v>41</v>
      </c>
      <c r="E1803" s="2">
        <v>10</v>
      </c>
      <c r="F1803" s="2" t="s">
        <v>7</v>
      </c>
      <c r="G1803" s="2" t="s">
        <v>7</v>
      </c>
    </row>
    <row r="1804" spans="1:7" ht="45" x14ac:dyDescent="0.25">
      <c r="A1804" s="4" t="str">
        <f>HYPERLINK("http://techcrunch.com/2012/07/27/ft-digital-subscribers-now-outnumber-print-for-first-time/","Financial Times: Our Digital Subscribers Now Outnumber Print, And Digital Is Half Of The FT’s Revenu")</f>
        <v>Financial Times: Our Digital Subscribers Now Outnumber Print, And Digital Is Half Of The FT’s Revenu</v>
      </c>
      <c r="B1804" s="4" t="str">
        <f>HYPERLINK("http://www.facebook.com/8062627951/posts/449350175096685","It's fun to watch old media.")</f>
        <v>It's fun to watch old media.</v>
      </c>
      <c r="C1804" s="3">
        <v>41117.173321759263</v>
      </c>
      <c r="D1804" s="2">
        <v>50</v>
      </c>
      <c r="E1804" s="2">
        <v>4</v>
      </c>
      <c r="F1804" s="2" t="s">
        <v>7</v>
      </c>
      <c r="G1804" s="2" t="s">
        <v>7</v>
      </c>
    </row>
    <row r="1805" spans="1:7" ht="45" x14ac:dyDescent="0.25">
      <c r="A1805" s="4" t="str">
        <f>HYPERLINK("http://techcrunch.com/2012/07/26/behold-early-iphone-and-ipad-prototypes/","Behold, Early iPhone and iPad Prototypes")</f>
        <v>Behold, Early iPhone and iPad Prototypes</v>
      </c>
      <c r="B1805" s="4" t="str">
        <f>HYPERLINK("http://www.facebook.com/8062627951/posts/503429859671856","Forget about the iPhone 5 leaks. Here are a bunch of pics of early iPhone and iPad prototypes including an iPad with a kickstand.")</f>
        <v>Forget about the iPhone 5 leaks. Here are a bunch of pics of early iPhone and iPad prototypes including an iPad with a kickstand.</v>
      </c>
      <c r="C1805" s="3">
        <v>41116.819421296299</v>
      </c>
      <c r="D1805" s="2">
        <v>107</v>
      </c>
      <c r="E1805" s="2">
        <v>20</v>
      </c>
      <c r="F1805" s="2" t="s">
        <v>7</v>
      </c>
      <c r="G1805" s="2" t="s">
        <v>7</v>
      </c>
    </row>
    <row r="1806" spans="1:7" ht="30" x14ac:dyDescent="0.25">
      <c r="A1806" s="4" t="str">
        <f>HYPERLINK("http://techcrunch.com/2012/07/26/kevin-rose-is-ready-to-disrupt-san-francisco/","Kevin Rose Is Ready To Disrupt San Francisco")</f>
        <v>Kevin Rose Is Ready To Disrupt San Francisco</v>
      </c>
      <c r="B1806" s="4" t="str">
        <f>HYPERLINK("http://www.facebook.com/8062627951/posts/129075687234303","Kevin Rose is the latest speaker announced for Disrupt SF. Get your tickets!")</f>
        <v>Kevin Rose is the latest speaker announced for Disrupt SF. Get your tickets!</v>
      </c>
      <c r="C1806" s="3">
        <v>41116.710057870368</v>
      </c>
      <c r="D1806" s="2">
        <v>33</v>
      </c>
      <c r="E1806" s="2">
        <v>3</v>
      </c>
      <c r="F1806" s="2" t="s">
        <v>7</v>
      </c>
      <c r="G1806" s="2" t="s">
        <v>7</v>
      </c>
    </row>
    <row r="1807" spans="1:7" ht="30" x14ac:dyDescent="0.25">
      <c r="A1807" s="4" t="str">
        <f>HYPERLINK("http://techcrunch.com/2012/07/26/introducing-office-hours-and-happy-hour-with-facebook-at-this-years-crunchup/","Introducing Office Hours And Happy Hour With Facebook At This Year’s Crunchup")</f>
        <v>Introducing Office Hours And Happy Hour With Facebook At This Year’s Crunchup</v>
      </c>
      <c r="B1807" s="4" t="str">
        <f>HYPERLINK("http://www.facebook.com/8062627951/posts/426553077387186","Following our Crunchup will be an official Office Hours and Happy Hour with Facebook. Grab your tickets while you can.")</f>
        <v>Following our Crunchup will be an official Office Hours and Happy Hour with Facebook. Grab your tickets while you can.</v>
      </c>
      <c r="C1807" s="3">
        <v>41116.639965277776</v>
      </c>
      <c r="D1807" s="2">
        <v>20</v>
      </c>
      <c r="E1807" s="2">
        <v>0</v>
      </c>
      <c r="F1807" s="2" t="s">
        <v>7</v>
      </c>
      <c r="G1807" s="2" t="s">
        <v>7</v>
      </c>
    </row>
    <row r="1808" spans="1:7" ht="45" x14ac:dyDescent="0.25">
      <c r="A1808" s="4" t="str">
        <f>HYPERLINK("http://techcrunch.com/2012/07/26/zuck-on-facebooks-mobile-experience-it-gets-better-but-we-probably-wont-make-our-own-phone/","Zuck On Facebook’s Mobile Experience: It Gets Better (But We Probably Won’t Make Our Own Phone)")</f>
        <v>Zuck On Facebook’s Mobile Experience: It Gets Better (But We Probably Won’t Make Our Own Phone)</v>
      </c>
      <c r="B1808" s="4" t="str">
        <f>HYPERLINK("http://www.facebook.com/8062627951/posts/470883169597793","Looks like there will be no Facebook phone. Were you hoping for one?")</f>
        <v>Looks like there will be no Facebook phone. Were you hoping for one?</v>
      </c>
      <c r="C1808" s="3">
        <v>41116.61309027778</v>
      </c>
      <c r="D1808" s="2">
        <v>73</v>
      </c>
      <c r="E1808" s="2">
        <v>43</v>
      </c>
      <c r="F1808" s="2" t="s">
        <v>8</v>
      </c>
      <c r="G1808" s="2" t="s">
        <v>7</v>
      </c>
    </row>
    <row r="1809" spans="1:7" ht="45" x14ac:dyDescent="0.25">
      <c r="A1809" s="4" t="str">
        <f>HYPERLINK("http://techcrunch.com/2012/07/26/cern-scientist-talks-about-higgs-boson-particle-colliders-and-end-of-the-world/","CERN Scientist Talks About Higgs Boson, Particle Colliders And End Of The World")</f>
        <v>CERN Scientist Talks About Higgs Boson, Particle Colliders And End Of The World</v>
      </c>
      <c r="B1809" s="4" t="s">
        <v>106</v>
      </c>
      <c r="C1809" s="3">
        <v>41116.572280092594</v>
      </c>
      <c r="D1809" s="2">
        <v>108</v>
      </c>
      <c r="E1809" s="2">
        <v>11</v>
      </c>
      <c r="F1809" s="2" t="s">
        <v>7</v>
      </c>
      <c r="G1809" s="2" t="s">
        <v>7</v>
      </c>
    </row>
    <row r="1810" spans="1:7" ht="45" x14ac:dyDescent="0.25">
      <c r="A1810" s="4" t="str">
        <f>HYPERLINK("http://techcrunch.com/2012/07/26/facebook-q2-2012/","Facebook’s First Post-IPO Earnings, In Line With Estimates: Q2 Revenue $1.18 Billion, $295 Million..")</f>
        <v>Facebook’s First Post-IPO Earnings, In Line With Estimates: Q2 Revenue $1.18 Billion, $295 Million..</v>
      </c>
      <c r="B1810" s="4" t="str">
        <f>HYPERLINK("http://www.facebook.com/8062627951/posts/356430711092583","Facebook has announced its financial results from the second fiscal quarter of 2012:")</f>
        <v>Facebook has announced its financial results from the second fiscal quarter of 2012:</v>
      </c>
      <c r="C1810" s="3">
        <v>41116.512662037036</v>
      </c>
      <c r="D1810" s="2">
        <v>67</v>
      </c>
      <c r="E1810" s="2">
        <v>6</v>
      </c>
      <c r="F1810" s="2" t="s">
        <v>7</v>
      </c>
      <c r="G1810" s="2" t="s">
        <v>7</v>
      </c>
    </row>
    <row r="1811" spans="1:7" ht="30" x14ac:dyDescent="0.25">
      <c r="A1811" s="4" t="str">
        <f>HYPERLINK("http://techcrunch.com/2012/07/26/no-api-for-you-twitter-shuts-off-find-friends-feature-for-instagram/","No API For You: Twitter Shuts Off “Find Friends” Feature For Instagram")</f>
        <v>No API For You: Twitter Shuts Off “Find Friends” Feature For Instagram</v>
      </c>
      <c r="B1811" s="4" t="str">
        <f>HYPERLINK("http://www.facebook.com/8062627951/posts/414444568601617","Ouch.")</f>
        <v>Ouch.</v>
      </c>
      <c r="C1811" s="3">
        <v>41116.507430555554</v>
      </c>
      <c r="D1811" s="2">
        <v>56</v>
      </c>
      <c r="E1811" s="2">
        <v>12</v>
      </c>
      <c r="F1811" s="2" t="s">
        <v>7</v>
      </c>
      <c r="G1811" s="2" t="s">
        <v>7</v>
      </c>
    </row>
    <row r="1812" spans="1:7" ht="45" x14ac:dyDescent="0.25">
      <c r="A1812" s="4" t="str">
        <f>HYPERLINK("http://techcrunch.com/2012/07/26/search-in-cursive-google-now-lets-you-hand-write-search-queries-on-phones-and-tablets/","Search In Cursive: Google Now Lets You Hand-Write Search Queries On Phones And Tablets")</f>
        <v>Search In Cursive: Google Now Lets You Hand-Write Search Queries On Phones And Tablets</v>
      </c>
      <c r="B1812" s="4" t="str">
        <f>HYPERLINK("http://www.facebook.com/8062627951/posts/264852863619766","Better start brushing up on your cursive.")</f>
        <v>Better start brushing up on your cursive.</v>
      </c>
      <c r="C1812" s="3">
        <v>41116.447916666664</v>
      </c>
      <c r="D1812" s="2">
        <v>145</v>
      </c>
      <c r="E1812" s="2">
        <v>10</v>
      </c>
      <c r="F1812" s="2" t="s">
        <v>7</v>
      </c>
      <c r="G1812" s="2" t="s">
        <v>7</v>
      </c>
    </row>
    <row r="1813" spans="1:7" ht="45" x14ac:dyDescent="0.25">
      <c r="A1813" s="4" t="str">
        <f>HYPERLINK("http://techcrunch.com/2012/07/26/google-details-its-1-gigabit-fiber-network-in-kansas-city-will-come-with-tv-service-1tb-of-cloud-storage-nexus-7/","Google Details Its 1 Gigabit Fiber Network In Kansas City, Will Come With TV Service, 1TB Of Cloud S")</f>
        <v>Google Details Its 1 Gigabit Fiber Network In Kansas City, Will Come With TV Service, 1TB Of Cloud S</v>
      </c>
      <c r="B1813" s="4" t="str">
        <f>HYPERLINK("http://www.facebook.com/8062627951/posts/163008633834448","Google officially launches its 1 gigabit residential fiber network in Kansas City.")</f>
        <v>Google officially launches its 1 gigabit residential fiber network in Kansas City.</v>
      </c>
      <c r="C1813" s="3">
        <v>41116.400636574072</v>
      </c>
      <c r="D1813" s="2">
        <v>341</v>
      </c>
      <c r="E1813" s="2">
        <v>22</v>
      </c>
      <c r="F1813" s="2" t="s">
        <v>7</v>
      </c>
      <c r="G1813" s="2" t="s">
        <v>7</v>
      </c>
    </row>
    <row r="1814" spans="1:7" ht="30" x14ac:dyDescent="0.25">
      <c r="A1814" s="4" t="str">
        <f>HYPERLINK("http://techcrunch.com/2012/07/26/communication-breakdown-twitter-is-down-again/","Communication Breakdown: Twitter Is Down, Again")</f>
        <v>Communication Breakdown: Twitter Is Down, Again</v>
      </c>
      <c r="B1814" s="4" t="str">
        <f>HYPERLINK("http://www.facebook.com/8062627951/posts/348723948540836","First Google Talk, now it's Twitter's turn to crash.  *more crickets*")</f>
        <v>First Google Talk, now it's Twitter's turn to crash.  *more crickets*</v>
      </c>
      <c r="C1814" s="3">
        <v>41116.332974537036</v>
      </c>
      <c r="D1814" s="2">
        <v>213</v>
      </c>
      <c r="E1814" s="2">
        <v>39</v>
      </c>
      <c r="F1814" s="2" t="s">
        <v>7</v>
      </c>
      <c r="G1814" s="2" t="s">
        <v>7</v>
      </c>
    </row>
    <row r="1815" spans="1:7" x14ac:dyDescent="0.25">
      <c r="A1815" s="4" t="str">
        <f>HYPERLINK("http://techcrunch.com/2012/07/26/report-rich-people-prefer-ithings/","Report: Rich People Prefer iThings")</f>
        <v>Report: Rich People Prefer iThings</v>
      </c>
      <c r="B1815" s="4" t="str">
        <f>HYPERLINK("http://www.facebook.com/8062627951/posts/451725278194684","So does this mean poor people prefer Android devices...")</f>
        <v>So does this mean poor people prefer Android devices...</v>
      </c>
      <c r="C1815" s="3">
        <v>41116.29011574074</v>
      </c>
      <c r="D1815" s="2">
        <v>157</v>
      </c>
      <c r="E1815" s="2">
        <v>67</v>
      </c>
      <c r="F1815" s="2" t="s">
        <v>7</v>
      </c>
      <c r="G1815" s="2" t="s">
        <v>7</v>
      </c>
    </row>
    <row r="1816" spans="1:7" ht="30" x14ac:dyDescent="0.25">
      <c r="A1816" s="4" t="str">
        <f>HYPERLINK("http://techcrunch.com/2012/07/26/google-talk-is-down-worldwide-outage-since-650-am-edt/","Google Talk Is Down: Worldwide Outage Since 6:50 AM EDT")</f>
        <v>Google Talk Is Down: Worldwide Outage Since 6:50 AM EDT</v>
      </c>
      <c r="B1816" s="4" t="str">
        <f>HYPERLINK("http://www.facebook.com/8062627951/posts/403253819722155","*crickets*")</f>
        <v>*crickets*</v>
      </c>
      <c r="C1816" s="3">
        <v>41116.228854166664</v>
      </c>
      <c r="D1816" s="2">
        <v>143</v>
      </c>
      <c r="E1816" s="2">
        <v>52</v>
      </c>
      <c r="F1816" s="2" t="s">
        <v>7</v>
      </c>
      <c r="G1816" s="2" t="s">
        <v>7</v>
      </c>
    </row>
    <row r="1817" spans="1:7" ht="45" x14ac:dyDescent="0.25">
      <c r="A1817" s="4" t="str">
        <f>HYPERLINK("http://techcrunch.com/2012/07/26/bump-flock/","Bump’s New App Flock Creates Shared Photo Albums With Friends Without Interrupting Your Life")</f>
        <v>Bump’s New App Flock Creates Shared Photo Albums With Friends Without Interrupting Your Life</v>
      </c>
      <c r="B1817" s="4" t="str">
        <f>HYPERLINK("http://www.facebook.com/8062627951/posts/378027318929530","Experience the moment, auto-share your photos later.")</f>
        <v>Experience the moment, auto-share your photos later.</v>
      </c>
      <c r="C1817" s="3">
        <v>41116.20003472222</v>
      </c>
      <c r="D1817" s="2">
        <v>41</v>
      </c>
      <c r="E1817" s="2">
        <v>6</v>
      </c>
      <c r="F1817" s="2" t="s">
        <v>7</v>
      </c>
      <c r="G1817" s="2" t="s">
        <v>7</v>
      </c>
    </row>
    <row r="1818" spans="1:7" ht="45" x14ac:dyDescent="0.25">
      <c r="A1818" s="4" t="str">
        <f>HYPERLINK("http://techcrunch.com/2012/07/25/roku-45-million-news-corp-bskyb/","Roku Becomes Pay TV’s Streaming Box Of Choice, Raises $45 Million From News Corp, BSkyB, And Others.")</f>
        <v>Roku Becomes Pay TV’s Streaming Box Of Choice, Raises $45 Million From News Corp, BSkyB, And Others.</v>
      </c>
      <c r="B1818" s="4" t="str">
        <f>HYPERLINK("http://www.facebook.com/8062627951/posts/478350872177386","Who owns a Roku?")</f>
        <v>Who owns a Roku?</v>
      </c>
      <c r="C1818" s="3">
        <v>41116.165497685186</v>
      </c>
      <c r="D1818" s="2">
        <v>52</v>
      </c>
      <c r="E1818" s="2">
        <v>14</v>
      </c>
      <c r="F1818" s="2" t="s">
        <v>8</v>
      </c>
      <c r="G1818" s="2" t="s">
        <v>7</v>
      </c>
    </row>
    <row r="1819" spans="1:7" ht="30" x14ac:dyDescent="0.25">
      <c r="A1819" s="4" t="str">
        <f>HYPERLINK("http://techcrunch.com/2012/07/25/stay-focused-and-keep-shipping-what-is-facebook-thinking-with-its-phone-folly/","Stay Focused And Keep Shipping: What Is Facebook Thinking With Its Phone Folly?")</f>
        <v>Stay Focused And Keep Shipping: What Is Facebook Thinking With Its Phone Folly?</v>
      </c>
      <c r="B1819" s="4" t="str">
        <f>HYPERLINK("http://www.facebook.com/8062627951/posts/140056569466738","Facebook keeps shipping. But they need to stay focused...")</f>
        <v>Facebook keeps shipping. But they need to stay focused...</v>
      </c>
      <c r="C1819" s="3">
        <v>41115.936932870369</v>
      </c>
      <c r="D1819" s="2">
        <v>38</v>
      </c>
      <c r="E1819" s="2">
        <v>4</v>
      </c>
      <c r="F1819" s="2" t="s">
        <v>7</v>
      </c>
      <c r="G1819" s="2" t="s">
        <v>7</v>
      </c>
    </row>
    <row r="1820" spans="1:7" ht="45" x14ac:dyDescent="0.25">
      <c r="A1820" s="4" t="str">
        <f>HYPERLINK("http://techcrunch.com/2012/07/25/path-debuts-version-2-5-bigger-photos-and-videos-book-and-movie-sharing-new-nudge-feature/","Path Debuts Version 2.5: Bigger Photos And Videos, Book And Movie Sharing, New ‘Nudge’ Feature")</f>
        <v>Path Debuts Version 2.5: Bigger Photos And Videos, Book And Movie Sharing, New ‘Nudge’ Feature</v>
      </c>
      <c r="B1820" s="4" t="str">
        <f>HYPERLINK("http://www.facebook.com/8062627951/posts/334717829945416","Path is rolling out the latest update to its app: Path Version 2.5")</f>
        <v>Path is rolling out the latest update to its app: Path Version 2.5</v>
      </c>
      <c r="C1820" s="3">
        <v>41115.838472222225</v>
      </c>
      <c r="D1820" s="2">
        <v>48</v>
      </c>
      <c r="E1820" s="2">
        <v>4</v>
      </c>
      <c r="F1820" s="2" t="s">
        <v>7</v>
      </c>
      <c r="G1820" s="2" t="s">
        <v>7</v>
      </c>
    </row>
    <row r="1821" spans="1:7" ht="30" x14ac:dyDescent="0.25">
      <c r="A1821" s="4" t="str">
        <f>HYPERLINK("http://techcrunch.com/2012/07/25/greek-athlete-kicked-off-olympic-team-for-tweet/","Greek Athlete Kicked Off Olympic Team For Tweet")</f>
        <v>Greek Athlete Kicked Off Olympic Team For Tweet</v>
      </c>
      <c r="B1821" s="4" t="str">
        <f>HYPERLINK("http://www.facebook.com/8062627951/posts/415868195125720","Did she go too far?")</f>
        <v>Did she go too far?</v>
      </c>
      <c r="C1821" s="3">
        <v>41115.814664351848</v>
      </c>
      <c r="D1821" s="2">
        <v>119</v>
      </c>
      <c r="E1821" s="2">
        <v>163</v>
      </c>
      <c r="F1821" s="2" t="s">
        <v>8</v>
      </c>
      <c r="G1821" s="2" t="s">
        <v>7</v>
      </c>
    </row>
    <row r="1822" spans="1:7" x14ac:dyDescent="0.25">
      <c r="A1822" s="4" t="str">
        <f>HYPERLINK("http://www.facebook.com/photo.php?fbid=10151138664447952&amp;set=a.10151134316772952.498619.8062627951&amp;type=1&amp;relevant_count=1","[Photo]")</f>
        <v>[Photo]</v>
      </c>
      <c r="B1822" s="4" t="str">
        <f>HYPERLINK("http://www.facebook.com/8062627951/posts/10151138664497952","An old Apple II at the office. What should we do with it? ")</f>
        <v xml:space="preserve">An old Apple II at the office. What should we do with it? </v>
      </c>
      <c r="C1822" s="3">
        <v>41115.652685185189</v>
      </c>
      <c r="D1822" s="2">
        <v>1467</v>
      </c>
      <c r="E1822" s="2">
        <v>661</v>
      </c>
      <c r="F1822" s="2" t="s">
        <v>8</v>
      </c>
      <c r="G1822" s="2" t="s">
        <v>8</v>
      </c>
    </row>
    <row r="1823" spans="1:7" ht="60" x14ac:dyDescent="0.25">
      <c r="A1823" s="4" t="str">
        <f>HYPERLINK("http://techcrunch.com/2012/07/25/paths-dave-morin-and-benchmark-capitals-matt-cohler-will-join-us-at-disrupt-sf/","Path’s Dave Morin and Benchmark Capital’s Matt Cohler Will Join Us At Disrupt SF!")</f>
        <v>Path’s Dave Morin and Benchmark Capital’s Matt Cohler Will Join Us At Disrupt SF!</v>
      </c>
      <c r="B1823" s="4" t="str">
        <f>HYPERLINK("http://www.facebook.com/8062627951/posts/469787849706066","We are very excited to announce that Path's Dave Morin and Benchmark Capital's Matt Cohler will be at Disrupt SF! Also, check the post for an amazing gif featuring our very own John Biggs.   Have you ...")</f>
        <v>We are very excited to announce that Path's Dave Morin and Benchmark Capital's Matt Cohler will be at Disrupt SF! Also, check the post for an amazing gif featuring our very own John Biggs.   Have you ...</v>
      </c>
      <c r="C1823" s="3">
        <v>41115.617708333331</v>
      </c>
      <c r="D1823" s="2">
        <v>22</v>
      </c>
      <c r="E1823" s="2">
        <v>2</v>
      </c>
      <c r="F1823" s="2" t="s">
        <v>8</v>
      </c>
      <c r="G1823" s="2" t="s">
        <v>7</v>
      </c>
    </row>
    <row r="1824" spans="1:7" ht="45" x14ac:dyDescent="0.25">
      <c r="A1824" s="4" t="str">
        <f>HYPERLINK("http://techcrunch.com/2012/07/25/booshaka/","You’ve Got Facebook Fans, Now What? Booshaka Raises $1M To Ensure Your Posts Earn You Money")</f>
        <v>You’ve Got Facebook Fans, Now What? Booshaka Raises $1M To Ensure Your Posts Earn You Money</v>
      </c>
      <c r="B1824" s="4" t="str">
        <f>HYPERLINK("http://www.facebook.com/8062627951/posts/261517607296857","Without Booshaka, only 16% of fans see each post.")</f>
        <v>Without Booshaka, only 16% of fans see each post.</v>
      </c>
      <c r="C1824" s="3">
        <v>41115.567569444444</v>
      </c>
      <c r="D1824" s="2">
        <v>56</v>
      </c>
      <c r="E1824" s="2">
        <v>6</v>
      </c>
      <c r="F1824" s="2" t="s">
        <v>7</v>
      </c>
      <c r="G1824" s="2" t="s">
        <v>7</v>
      </c>
    </row>
    <row r="1825" spans="1:7" ht="45" x14ac:dyDescent="0.25">
      <c r="A1825" s="4" t="str">
        <f>HYPERLINK("http://techcrunch.com/2012/07/25/zynga-earnings-q2/","Zynga Falls Short Of Analyst Estimates For Q2: $332M In Revenue, Bookings Decline From Last Quarter")</f>
        <v>Zynga Falls Short Of Analyst Estimates For Q2: $332M In Revenue, Bookings Decline From Last Quarter</v>
      </c>
      <c r="B1825" s="4" t="str">
        <f>HYPERLINK("http://www.facebook.com/8062627951/posts/408714049165504","Zynga falls short. Do you still play Zynga games?")</f>
        <v>Zynga falls short. Do you still play Zynga games?</v>
      </c>
      <c r="C1825" s="3">
        <v>41115.553344907406</v>
      </c>
      <c r="D1825" s="2">
        <v>26</v>
      </c>
      <c r="E1825" s="2">
        <v>29</v>
      </c>
      <c r="F1825" s="2" t="s">
        <v>8</v>
      </c>
      <c r="G1825" s="2" t="s">
        <v>7</v>
      </c>
    </row>
    <row r="1826" spans="1:7" ht="30" x14ac:dyDescent="0.25">
      <c r="A1826" s="4" t="str">
        <f>HYPERLINK("http://www.facebook.com/photo.php?fbid=10151138317027952&amp;set=a.114456157951.118433.8062627951&amp;type=1&amp;relevant_count=1","[Photo]")</f>
        <v>[Photo]</v>
      </c>
      <c r="B1826" s="4" t="str">
        <f>HYPERLINK("http://www.facebook.com/8062627951/posts/10151138317087952","Hardware Startups, we can't wait to have you join us at Disrupt SF. Get your tickets now. - http://tcrn.ch/NK1yYz")</f>
        <v>Hardware Startups, we can't wait to have you join us at Disrupt SF. Get your tickets now. - http://tcrn.ch/NK1yYz</v>
      </c>
      <c r="C1826" s="3">
        <v>41115.516817129632</v>
      </c>
      <c r="D1826" s="2">
        <v>68</v>
      </c>
      <c r="E1826" s="2">
        <v>11</v>
      </c>
      <c r="F1826" s="2" t="s">
        <v>7</v>
      </c>
      <c r="G1826" s="2" t="s">
        <v>8</v>
      </c>
    </row>
    <row r="1827" spans="1:7" ht="30" x14ac:dyDescent="0.25">
      <c r="A1827" s="4" t="str">
        <f>HYPERLINK("http://techcrunch.com/2012/07/25/paul-graham-y-combinator-companies-have-raised-over-1-billion/","Paul Graham: Y Combinator Companies Have Raised Over $1 Billion")</f>
        <v>Paul Graham: Y Combinator Companies Have Raised Over $1 Billion</v>
      </c>
      <c r="B1827" s="4" t="str">
        <f>HYPERLINK("http://www.facebook.com/8062627951/posts/388633897857026","Amazing.")</f>
        <v>Amazing.</v>
      </c>
      <c r="C1827" s="3">
        <v>41115.487442129626</v>
      </c>
      <c r="D1827" s="2">
        <v>82</v>
      </c>
      <c r="E1827" s="2">
        <v>4</v>
      </c>
      <c r="F1827" s="2" t="s">
        <v>7</v>
      </c>
      <c r="G1827" s="2" t="s">
        <v>7</v>
      </c>
    </row>
    <row r="1828" spans="1:7" ht="30" x14ac:dyDescent="0.25">
      <c r="A1828" s="4" t="str">
        <f>HYPERLINK("http://techcrunch.com/2012/07/25/apple-safari-for-windows-ends/","Did Apple Just Quietly End Development Of Safari For Windows?")</f>
        <v>Did Apple Just Quietly End Development Of Safari For Windows?</v>
      </c>
      <c r="B1828" s="4" t="str">
        <f>HYPERLINK("http://www.facebook.com/8062627951/posts/335456879874755","Hmmmm.")</f>
        <v>Hmmmm.</v>
      </c>
      <c r="C1828" s="3">
        <v>41115.441168981481</v>
      </c>
      <c r="D1828" s="2">
        <v>72</v>
      </c>
      <c r="E1828" s="2">
        <v>40</v>
      </c>
      <c r="F1828" s="2" t="s">
        <v>7</v>
      </c>
      <c r="G1828" s="2" t="s">
        <v>7</v>
      </c>
    </row>
    <row r="1829" spans="1:7" ht="45" x14ac:dyDescent="0.25">
      <c r="A1829" s="4" t="str">
        <f>HYPERLINK("http://techcrunch.com/2012/07/25/no-wi-fi-please-were-british-olympics-will-ban-personal-hotspots/","No Wi-Fi, Please, We’re British: Olympics Will Ban Personal Hotspots")</f>
        <v>No Wi-Fi, Please, We’re British: Olympics Will Ban Personal Hotspots</v>
      </c>
      <c r="B1829" s="4" t="str">
        <f>HYPERLINK("http://www.facebook.com/8062627951/posts/180346412097192","As if the rules at the 2012 London Olympics didn’t sound draconian enough, the organization has banned personal Wi-Fi hotspots from the games.")</f>
        <v>As if the rules at the 2012 London Olympics didn’t sound draconian enough, the organization has banned personal Wi-Fi hotspots from the games.</v>
      </c>
      <c r="C1829" s="3">
        <v>41115.368344907409</v>
      </c>
      <c r="D1829" s="2">
        <v>70</v>
      </c>
      <c r="E1829" s="2">
        <v>26</v>
      </c>
      <c r="F1829" s="2" t="s">
        <v>7</v>
      </c>
      <c r="G1829" s="2" t="s">
        <v>7</v>
      </c>
    </row>
    <row r="1830" spans="1:7" ht="30" x14ac:dyDescent="0.25">
      <c r="A1830" s="4" t="str">
        <f>HYPERLINK("http://techcrunch.com/2012/07/25/google-sec-filing-details-why-it-paid-12-4-billion-for-motorola/","Google SEC Filing Details Why It Paid $12.4 Billion For Motorola | TechCrunch")</f>
        <v>Google SEC Filing Details Why It Paid $12.4 Billion For Motorola | TechCrunch</v>
      </c>
      <c r="B1830" s="4" t="str">
        <f>HYPERLINK("http://www.facebook.com/8062627951/posts/267655696681414","Was Motorola worth the price?")</f>
        <v>Was Motorola worth the price?</v>
      </c>
      <c r="C1830" s="3">
        <v>41115.280914351853</v>
      </c>
      <c r="D1830" s="2">
        <v>34</v>
      </c>
      <c r="E1830" s="2">
        <v>8</v>
      </c>
      <c r="F1830" s="2" t="s">
        <v>8</v>
      </c>
      <c r="G1830" s="2" t="s">
        <v>7</v>
      </c>
    </row>
    <row r="1831" spans="1:7" ht="45" x14ac:dyDescent="0.25">
      <c r="A1831" s="4" t="str">
        <f>HYPERLINK("http://techcrunch.com/2012/07/25/google-gets-scientific-adds-a-voice-enabled-34-button-calculator-to-desktop-and-mobile-search/","Google Gets Scientific, Adds A Voice-Enabled 34-Button Calculator To Desktop And Mobile Search | Tec")</f>
        <v>Google Gets Scientific, Adds A Voice-Enabled 34-Button Calculator To Desktop And Mobile Search | Tec</v>
      </c>
      <c r="B1831" s="4" t="str">
        <f>HYPERLINK("http://www.facebook.com/8062627951/posts/412765715428092","Google wants to do your math homework for you.")</f>
        <v>Google wants to do your math homework for you.</v>
      </c>
      <c r="C1831" s="3">
        <v>41115.241180555553</v>
      </c>
      <c r="D1831" s="2">
        <v>195</v>
      </c>
      <c r="E1831" s="2">
        <v>5</v>
      </c>
      <c r="F1831" s="2" t="s">
        <v>7</v>
      </c>
      <c r="G1831" s="2" t="s">
        <v>7</v>
      </c>
    </row>
    <row r="1832" spans="1:7" ht="45" x14ac:dyDescent="0.25">
      <c r="A1832" s="4" t="str">
        <f>HYPERLINK("http://techcrunch.com/2012/07/25/os-x-mountain-lion-review/","OS X Mountain Lion: Quick, Familiar, Cheap, And Drenched In iOS Goodness | TechCrunch")</f>
        <v>OS X Mountain Lion: Quick, Familiar, Cheap, And Drenched In iOS Goodness | TechCrunch</v>
      </c>
      <c r="B1832" s="4" t="str">
        <f>HYPERLINK("http://www.facebook.com/8062627951/posts/500631309963355","Are you upgrading to Mountain Lion?")</f>
        <v>Are you upgrading to Mountain Lion?</v>
      </c>
      <c r="C1832" s="3">
        <v>41115.211828703701</v>
      </c>
      <c r="D1832" s="2">
        <v>176</v>
      </c>
      <c r="E1832" s="2">
        <v>54</v>
      </c>
      <c r="F1832" s="2" t="s">
        <v>8</v>
      </c>
      <c r="G1832" s="2" t="s">
        <v>7</v>
      </c>
    </row>
    <row r="1833" spans="1:7" ht="30" x14ac:dyDescent="0.25">
      <c r="A1833" s="4" t="str">
        <f>HYPERLINK("http://techcrunch.com/2012/07/24/facebook-opens-first-international-engineering-office-in-london/","Facebook Opens First International Engineering Office In London")</f>
        <v>Facebook Opens First International Engineering Office In London</v>
      </c>
      <c r="B1833" s="4" t="str">
        <f>HYPERLINK("http://www.facebook.com/8062627951/posts/400237663374486","Facebook goes to London.")</f>
        <v>Facebook goes to London.</v>
      </c>
      <c r="C1833" s="3">
        <v>41114.878668981481</v>
      </c>
      <c r="D1833" s="2">
        <v>165</v>
      </c>
      <c r="E1833" s="2">
        <v>7</v>
      </c>
      <c r="F1833" s="2" t="s">
        <v>7</v>
      </c>
      <c r="G1833" s="2" t="s">
        <v>7</v>
      </c>
    </row>
    <row r="1834" spans="1:7" x14ac:dyDescent="0.25">
      <c r="A1834" s="4" t="str">
        <f>HYPERLINK("http://techcrunch.com/2012/07/24/the-onion-totally-hearts-techcrunch/","The Onion Totally Hearts TechCrunch")</f>
        <v>The Onion Totally Hearts TechCrunch</v>
      </c>
      <c r="B1834" s="4" t="str">
        <f>HYPERLINK("http://www.facebook.com/8062627951/posts/242048295916056","YES.")</f>
        <v>YES.</v>
      </c>
      <c r="C1834" s="3">
        <v>41114.705601851849</v>
      </c>
      <c r="D1834" s="2">
        <v>49</v>
      </c>
      <c r="E1834" s="2">
        <v>1</v>
      </c>
      <c r="F1834" s="2" t="s">
        <v>7</v>
      </c>
      <c r="G1834" s="2" t="s">
        <v>7</v>
      </c>
    </row>
    <row r="1835" spans="1:7" ht="30" x14ac:dyDescent="0.25">
      <c r="A1835" s="4" t="str">
        <f>HYPERLINK("http://www.facebook.com/photo.php?fbid=10151136623862952&amp;set=a.114456157951.118433.8062627951&amp;type=1&amp;relevant_count=1","[Photo]")</f>
        <v>[Photo]</v>
      </c>
      <c r="B1835" s="4" t="str">
        <f>HYPERLINK("http://www.facebook.com/8062627951/posts/10151136623892952","With Apple's numbers, timing is everything....  http://tcrn.ch/NIR8s6")</f>
        <v>With Apple's numbers, timing is everything....  http://tcrn.ch/NIR8s6</v>
      </c>
      <c r="C1835" s="3">
        <v>41114.691747685189</v>
      </c>
      <c r="D1835" s="2">
        <v>115</v>
      </c>
      <c r="E1835" s="2">
        <v>10</v>
      </c>
      <c r="F1835" s="2" t="s">
        <v>7</v>
      </c>
      <c r="G1835" s="2" t="s">
        <v>8</v>
      </c>
    </row>
    <row r="1836" spans="1:7" ht="30" x14ac:dyDescent="0.25">
      <c r="A1836" s="4" t="str">
        <f>HYPERLINK("http://www.facebook.com/photo.php?fbid=10151136589002952&amp;set=a.10151134316772952.498619.8062627951&amp;type=1&amp;relevant_count=1","[Photo]")</f>
        <v>[Photo]</v>
      </c>
      <c r="B1836" s="4" t="str">
        <f>HYPERLINK("http://www.facebook.com/8062627951/posts/10151136589032952","Our Managing Editor Peter Ha crushing through some Startup Battlefield applications. ")</f>
        <v xml:space="preserve">Our Managing Editor Peter Ha crushing through some Startup Battlefield applications. </v>
      </c>
      <c r="C1836" s="3">
        <v>41114.676134259258</v>
      </c>
      <c r="D1836" s="2">
        <v>155</v>
      </c>
      <c r="E1836" s="2">
        <v>16</v>
      </c>
      <c r="F1836" s="2" t="s">
        <v>7</v>
      </c>
      <c r="G1836" s="2" t="s">
        <v>8</v>
      </c>
    </row>
    <row r="1837" spans="1:7" ht="45" x14ac:dyDescent="0.25">
      <c r="A1837" s="4" t="str">
        <f>HYPERLINK("http://techcrunch.com/2012/07/24/apple-reports-disappointing-mac-sales-despite-retina-macbook-release-4-million-units-sold-in-q3-2012/","Apple Reports Disappointing Mac Sales Despite Retina MacBook Release: 4 Million Units Sold In Q3 201")</f>
        <v>Apple Reports Disappointing Mac Sales Despite Retina MacBook Release: 4 Million Units Sold In Q3 201</v>
      </c>
      <c r="B1837" s="4" t="str">
        <f>HYPERLINK("http://www.facebook.com/8062627951/posts/385987848122849","Surprised?")</f>
        <v>Surprised?</v>
      </c>
      <c r="C1837" s="3">
        <v>41114.581423611111</v>
      </c>
      <c r="D1837" s="2">
        <v>39</v>
      </c>
      <c r="E1837" s="2">
        <v>39</v>
      </c>
      <c r="F1837" s="2" t="s">
        <v>8</v>
      </c>
      <c r="G1837" s="2" t="s">
        <v>7</v>
      </c>
    </row>
    <row r="1838" spans="1:7" ht="30" x14ac:dyDescent="0.25">
      <c r="A1838" s="4" t="str">
        <f>HYPERLINK("http://www.facebook.com/photo.php?fbid=10151136265687952&amp;set=a.114456157951.118433.8062627951&amp;type=1&amp;relevant_count=1","[Photo]")</f>
        <v>[Photo]</v>
      </c>
      <c r="B1838" s="4" t="str">
        <f>HYPERLINK("http://www.facebook.com/8062627951/posts/10151136265742952","Apple to release Mountain Lion on July 25 - http://tcrn.ch/QhOy0F")</f>
        <v>Apple to release Mountain Lion on July 25 - http://tcrn.ch/QhOy0F</v>
      </c>
      <c r="C1838" s="3">
        <v>41114.542812500003</v>
      </c>
      <c r="D1838" s="2">
        <v>301</v>
      </c>
      <c r="E1838" s="2">
        <v>15</v>
      </c>
      <c r="F1838" s="2" t="s">
        <v>7</v>
      </c>
      <c r="G1838" s="2" t="s">
        <v>8</v>
      </c>
    </row>
    <row r="1839" spans="1:7" x14ac:dyDescent="0.25">
      <c r="A1839" s="4" t="str">
        <f>HYPERLINK("http://techcrunch.com/2012/07/24/could-romney-really-ban-porn/","Could Romney Really Ban Porn?")</f>
        <v>Could Romney Really Ban Porn?</v>
      </c>
      <c r="B1839" s="4" t="str">
        <f>HYPERLINK("http://www.facebook.com/8062627951/posts/349415018470241","What do you think?")</f>
        <v>What do you think?</v>
      </c>
      <c r="C1839" s="3">
        <v>41114.524155092593</v>
      </c>
      <c r="D1839" s="2">
        <v>57</v>
      </c>
      <c r="E1839" s="2">
        <v>89</v>
      </c>
      <c r="F1839" s="2" t="s">
        <v>8</v>
      </c>
      <c r="G1839" s="2" t="s">
        <v>7</v>
      </c>
    </row>
    <row r="1840" spans="1:7" ht="30" x14ac:dyDescent="0.25">
      <c r="A1840" s="4" t="str">
        <f>HYPERLINK("http://techcrunch.com/2012/07/24/jessica-alba-and-brian-lee-are-coming-to-sf-disrupt/","Jessica Alba And Brian Lee Are Coming To SF Disrupt! ")</f>
        <v xml:space="preserve">Jessica Alba And Brian Lee Are Coming To SF Disrupt! </v>
      </c>
      <c r="B1840" s="4" t="str">
        <f>HYPERLINK("http://www.facebook.com/8062627951/posts/163059503830035","Jessica Alba and Brian Lee will be joining us for Disrupt SF.  Get your tickets now!")</f>
        <v>Jessica Alba and Brian Lee will be joining us for Disrupt SF.  Get your tickets now!</v>
      </c>
      <c r="C1840" s="3">
        <v>41114.469965277778</v>
      </c>
      <c r="D1840" s="2">
        <v>31</v>
      </c>
      <c r="E1840" s="2">
        <v>1</v>
      </c>
      <c r="F1840" s="2" t="s">
        <v>7</v>
      </c>
      <c r="G1840" s="2" t="s">
        <v>7</v>
      </c>
    </row>
    <row r="1841" spans="1:7" ht="30" x14ac:dyDescent="0.25">
      <c r="A1841" s="4" t="str">
        <f>HYPERLINK("http://techcrunch.com/2012/07/24/august-capital-summer-party-final-round-of-tickets-released/","August Capital Summer Party Final Round of Tickets Released")</f>
        <v>August Capital Summer Party Final Round of Tickets Released</v>
      </c>
      <c r="B1841" s="4" t="str">
        <f>HYPERLINK("http://www.facebook.com/8062627951/posts/425767770795839","Get them while you can!")</f>
        <v>Get them while you can!</v>
      </c>
      <c r="C1841" s="3">
        <v>41114.437407407408</v>
      </c>
      <c r="D1841" s="2">
        <v>10</v>
      </c>
      <c r="E1841" s="2">
        <v>0</v>
      </c>
      <c r="F1841" s="2" t="s">
        <v>7</v>
      </c>
      <c r="G1841" s="2" t="s">
        <v>7</v>
      </c>
    </row>
    <row r="1842" spans="1:7" ht="30" x14ac:dyDescent="0.25">
      <c r="A1842" s="4" t="str">
        <f>HYPERLINK("http://techcrunch.com/2012/07/24/publishers-we-need-to-talk-text-from-dog-gets-a-book-deal/","Publishers, We Need To Talk: Text From Dog Gets A Book Deal")</f>
        <v>Publishers, We Need To Talk: Text From Dog Gets A Book Deal</v>
      </c>
      <c r="B1842" s="4" t="str">
        <f>HYPERLINK("http://www.facebook.com/8062627951/posts/168611816596999","Look guys and gals in publishing, sit down. We need to talk.")</f>
        <v>Look guys and gals in publishing, sit down. We need to talk.</v>
      </c>
      <c r="C1842" s="3">
        <v>41114.384097222224</v>
      </c>
      <c r="D1842" s="2">
        <v>61</v>
      </c>
      <c r="E1842" s="2">
        <v>10</v>
      </c>
      <c r="F1842" s="2" t="s">
        <v>7</v>
      </c>
      <c r="G1842" s="2" t="s">
        <v>7</v>
      </c>
    </row>
    <row r="1843" spans="1:7" ht="30" x14ac:dyDescent="0.25">
      <c r="A1843" s="4" t="str">
        <f>HYPERLINK("http://techcrunch.com/2012/07/24/analyst-iphone-5-ipad-mini-coming-in-september/","Analyst: iPhone 5, iPad Mini Coming In September")</f>
        <v>Analyst: iPhone 5, iPad Mini Coming In September</v>
      </c>
      <c r="B1843" s="4" t="str">
        <f>HYPERLINK("http://www.facebook.com/8062627951/posts/334873433263907","Get ready for September.")</f>
        <v>Get ready for September.</v>
      </c>
      <c r="C1843" s="3">
        <v>41114.339201388888</v>
      </c>
      <c r="D1843" s="2">
        <v>178</v>
      </c>
      <c r="E1843" s="2">
        <v>18</v>
      </c>
      <c r="F1843" s="2" t="s">
        <v>7</v>
      </c>
      <c r="G1843" s="2" t="s">
        <v>7</v>
      </c>
    </row>
    <row r="1844" spans="1:7" ht="45" x14ac:dyDescent="0.25">
      <c r="A1844" s="4" t="str">
        <f>HYPERLINK("http://techcrunch.com/2012/07/24/bandpage-everywhere/","BandPage Unshackles From Facebook, Now Helps 500K Musicians Build Synced Sites and Widgets Too")</f>
        <v>BandPage Unshackles From Facebook, Now Helps 500K Musicians Build Synced Sites and Widgets Too</v>
      </c>
      <c r="B1844" s="4" t="str">
        <f>HYPERLINK("http://www.facebook.com/8062627951/posts/249788975139305","BandPage reinvents itself after Timeline made it lose 90% of its traffic")</f>
        <v>BandPage reinvents itself after Timeline made it lose 90% of its traffic</v>
      </c>
      <c r="C1844" s="3">
        <v>41114.330995370372</v>
      </c>
      <c r="D1844" s="2">
        <v>47</v>
      </c>
      <c r="E1844" s="2">
        <v>1</v>
      </c>
      <c r="F1844" s="2" t="s">
        <v>7</v>
      </c>
      <c r="G1844" s="2" t="s">
        <v>7</v>
      </c>
    </row>
    <row r="1845" spans="1:7" ht="30" x14ac:dyDescent="0.25">
      <c r="A1845" s="4" t="str">
        <f>HYPERLINK("http://techcrunch.com/2012/07/24/noodlecrumbs-is-a-crowd-funding-platform-for-thinkers-not-doers/","Noodlecrumbs Is A Crowd-Funding Platform For Thinkers, Not Doers")</f>
        <v>Noodlecrumbs Is A Crowd-Funding Platform For Thinkers, Not Doers</v>
      </c>
      <c r="B1845" s="4" t="str">
        <f>HYPERLINK("http://www.facebook.com/8062627951/posts/344169272326979","Got an idea but are either too lazy or not skilled enough to build it? Noodlecrumbs can help.")</f>
        <v>Got an idea but are either too lazy or not skilled enough to build it? Noodlecrumbs can help.</v>
      </c>
      <c r="C1845" s="3">
        <v>41114.242581018516</v>
      </c>
      <c r="D1845" s="2">
        <v>101</v>
      </c>
      <c r="E1845" s="2">
        <v>12</v>
      </c>
      <c r="F1845" s="2" t="s">
        <v>8</v>
      </c>
      <c r="G1845" s="2" t="s">
        <v>7</v>
      </c>
    </row>
    <row r="1846" spans="1:7" ht="45" x14ac:dyDescent="0.25">
      <c r="A1846" s="4" t="str">
        <f>HYPERLINK("http://techcrunch.com/2012/07/24/the-iphone-accounted-for-73-of-atts-smartphone-activation-last-quarter/","The iPhone Accounted For 73% Of AT&amp;T’s Smartphone Activation Last Quarter | TechCrunch")</f>
        <v>The iPhone Accounted For 73% Of AT&amp;T’s Smartphone Activation Last Quarter | TechCrunch</v>
      </c>
      <c r="B1846" s="4" t="str">
        <f>HYPERLINK("http://www.facebook.com/8062627951/posts/344815308931486","Did you recently buy an iPhone from AT&amp;T?")</f>
        <v>Did you recently buy an iPhone from AT&amp;T?</v>
      </c>
      <c r="C1846" s="3">
        <v>41114.178460648145</v>
      </c>
      <c r="D1846" s="2">
        <v>17</v>
      </c>
      <c r="E1846" s="2">
        <v>5</v>
      </c>
      <c r="F1846" s="2" t="s">
        <v>8</v>
      </c>
      <c r="G1846" s="2" t="s">
        <v>7</v>
      </c>
    </row>
    <row r="1847" spans="1:7" ht="45" x14ac:dyDescent="0.25">
      <c r="A1847" s="4" t="str">
        <f>HYPERLINK("http://techcrunch.com/2012/07/24/hasbro-zynga/","Spotted: Hasbro And Zynga’s First Physical Title, A Farmville Memory Game For Ages 4 And Up | TechCr")</f>
        <v>Spotted: Hasbro And Zynga’s First Physical Title, A Farmville Memory Game For Ages 4 And Up | TechCr</v>
      </c>
      <c r="B1847" s="4" t="str">
        <f>HYPERLINK("http://www.facebook.com/8062627951/posts/405221159538906","Zynga is thinking outside the box and will soon ship a game in a box.")</f>
        <v>Zynga is thinking outside the box and will soon ship a game in a box.</v>
      </c>
      <c r="C1847" s="3">
        <v>41114.158553240741</v>
      </c>
      <c r="D1847" s="2">
        <v>20</v>
      </c>
      <c r="E1847" s="2">
        <v>3</v>
      </c>
      <c r="F1847" s="2" t="s">
        <v>7</v>
      </c>
      <c r="G1847" s="2" t="s">
        <v>7</v>
      </c>
    </row>
    <row r="1848" spans="1:7" ht="30" x14ac:dyDescent="0.25">
      <c r="A1848" s="4" t="str">
        <f>HYPERLINK("http://techcrunch.com/2012/07/23/apple-taps-martin-scorsese-and-his-eyebrows-for-the-latest-siri-commercial/","Apple Taps Martin Scorsese And His Eyebrows For The Latest Siri Commercial")</f>
        <v>Apple Taps Martin Scorsese And His Eyebrows For The Latest Siri Commercial</v>
      </c>
      <c r="B1848" s="4" t="str">
        <f>HYPERLINK("http://www.facebook.com/8062627951/posts/431016180274293","Is Siri going places like Scorsese says in this new commercial or is it really just an over-hyped feature?")</f>
        <v>Is Siri going places like Scorsese says in this new commercial or is it really just an over-hyped feature?</v>
      </c>
      <c r="C1848" s="3">
        <v>41113.809386574074</v>
      </c>
      <c r="D1848" s="2">
        <v>61</v>
      </c>
      <c r="E1848" s="2">
        <v>30</v>
      </c>
      <c r="F1848" s="2" t="s">
        <v>8</v>
      </c>
      <c r="G1848" s="2" t="s">
        <v>7</v>
      </c>
    </row>
    <row r="1849" spans="1:7" ht="30" x14ac:dyDescent="0.25">
      <c r="A1849" s="4" t="str">
        <f>HYPERLINK("http://techcrunch.com/2012/07/23/netflix-adds-warner-bros-exec-as-its-new-chief-marketing-officer/","Netflix Adds Warner Bros. Exec As Its New Chief Marketing Officer")</f>
        <v>Netflix Adds Warner Bros. Exec As Its New Chief Marketing Officer</v>
      </c>
      <c r="B1849" s="4" t="str">
        <f>HYPERLINK("http://www.facebook.com/8062627951/posts/401471126568019","Good move?")</f>
        <v>Good move?</v>
      </c>
      <c r="C1849" s="3">
        <v>41113.736180555556</v>
      </c>
      <c r="D1849" s="2">
        <v>38</v>
      </c>
      <c r="E1849" s="2">
        <v>10</v>
      </c>
      <c r="F1849" s="2" t="s">
        <v>8</v>
      </c>
      <c r="G1849" s="2" t="s">
        <v>7</v>
      </c>
    </row>
    <row r="1850" spans="1:7" x14ac:dyDescent="0.25">
      <c r="A1850" s="4" t="str">
        <f>HYPERLINK("http://www.facebook.com/photo.php?fbid=10151134316817952&amp;set=a.10151134316772952.498619.8062627951&amp;type=1&amp;relevant_count=1","[Photo]")</f>
        <v>[Photo]</v>
      </c>
      <c r="B1850" s="4" t="str">
        <f>HYPERLINK("http://www.facebook.com/8062627951/posts/10151134316852952","The cutest member of our staff ")</f>
        <v xml:space="preserve">The cutest member of our staff </v>
      </c>
      <c r="C1850" s="3">
        <v>41113.678703703707</v>
      </c>
      <c r="D1850" s="2">
        <v>677</v>
      </c>
      <c r="E1850" s="2">
        <v>36</v>
      </c>
      <c r="F1850" s="2" t="s">
        <v>7</v>
      </c>
      <c r="G1850" s="2" t="s">
        <v>8</v>
      </c>
    </row>
    <row r="1851" spans="1:7" ht="30" x14ac:dyDescent="0.25">
      <c r="A1851" s="4" t="str">
        <f>HYPERLINK("http://techcrunch.com/2012/07/23/pioneering-nasa-astronaut-sally-ride-dies-at-age-61/","Pioneering NASA Astronaut Sally Ride Dies At Age 61")</f>
        <v>Pioneering NASA Astronaut Sally Ride Dies At Age 61</v>
      </c>
      <c r="B1851" s="4" t="str">
        <f>HYPERLINK("http://www.facebook.com/8062627951/posts/332967026789811","RIP, Sally Ride.")</f>
        <v>RIP, Sally Ride.</v>
      </c>
      <c r="C1851" s="3">
        <v>41113.64334490741</v>
      </c>
      <c r="D1851" s="2">
        <v>70</v>
      </c>
      <c r="E1851" s="2">
        <v>6</v>
      </c>
      <c r="F1851" s="2" t="s">
        <v>7</v>
      </c>
      <c r="G1851" s="2" t="s">
        <v>7</v>
      </c>
    </row>
    <row r="1852" spans="1:7" ht="30" x14ac:dyDescent="0.25">
      <c r="A1852" s="4" t="str">
        <f>HYPERLINK("http://techcrunch.com/2012/07/23/gather-a-new-app-for-organizing-meetups-over-facebook-and-twitter/","Gather: A New App For Organizing Meetups Over Facebook And Twitter")</f>
        <v>Gather: A New App For Organizing Meetups Over Facebook And Twitter</v>
      </c>
      <c r="B1852" s="4" t="str">
        <f>HYPERLINK("http://www.facebook.com/8062627951/posts/446246795407421","Find out if your friends are doing something fun near you with Gather.")</f>
        <v>Find out if your friends are doing something fun near you with Gather.</v>
      </c>
      <c r="C1852" s="3">
        <v>41113.586493055554</v>
      </c>
      <c r="D1852" s="2">
        <v>28</v>
      </c>
      <c r="E1852" s="2">
        <v>12</v>
      </c>
      <c r="F1852" s="2" t="s">
        <v>7</v>
      </c>
      <c r="G1852" s="2" t="s">
        <v>7</v>
      </c>
    </row>
    <row r="1853" spans="1:7" ht="45" x14ac:dyDescent="0.25">
      <c r="A1853" s="4" t="str">
        <f>HYPERLINK("http://techcrunch.com/2012/07/23/report-googles-nexus-7-is-already-posting-impressive-usage-figures-could-catch-up-with-kindle-fire-soon/","Report: Google’s Nexus 7 Is Already Posting ‘Impressive Usage Figures,’ Could Catch Up With Kindle F")</f>
        <v>Report: Google’s Nexus 7 Is Already Posting ‘Impressive Usage Figures,’ Could Catch Up With Kindle F</v>
      </c>
      <c r="B1853" s="4" t="str">
        <f>HYPERLINK("http://www.facebook.com/8062627951/posts/459552367401777","Google’s Nexus 7 tablet is off to such a good start that Google can’t keep up with demand for the 16GB model.")</f>
        <v>Google’s Nexus 7 tablet is off to such a good start that Google can’t keep up with demand for the 16GB model.</v>
      </c>
      <c r="C1853" s="3">
        <v>41113.513831018521</v>
      </c>
      <c r="D1853" s="2">
        <v>99</v>
      </c>
      <c r="E1853" s="2">
        <v>8</v>
      </c>
      <c r="F1853" s="2" t="s">
        <v>7</v>
      </c>
      <c r="G1853" s="2" t="s">
        <v>7</v>
      </c>
    </row>
    <row r="1854" spans="1:7" ht="30" x14ac:dyDescent="0.25">
      <c r="A1854" s="4" t="str">
        <f>HYPERLINK("http://techcrunch.com/2012/07/23/referly-gets-more-social-launches-api-now-any-site-can-have-a-referral-program/","Referly Gets More Social, Launches API: Now Any Site Can Have A Referral Program")</f>
        <v>Referly Gets More Social, Launches API: Now Any Site Can Have A Referral Program</v>
      </c>
      <c r="B1854" s="4" t="str">
        <f>HYPERLINK("http://www.facebook.com/8062627951/posts/393348510727746","What do you think of Referly's new API scheme?")</f>
        <v>What do you think of Referly's new API scheme?</v>
      </c>
      <c r="C1854" s="3">
        <v>41113.434803240743</v>
      </c>
      <c r="D1854" s="2">
        <v>30</v>
      </c>
      <c r="E1854" s="2">
        <v>3</v>
      </c>
      <c r="F1854" s="2" t="s">
        <v>8</v>
      </c>
      <c r="G1854" s="2" t="s">
        <v>7</v>
      </c>
    </row>
    <row r="1855" spans="1:7" ht="30" x14ac:dyDescent="0.25">
      <c r="A1855" s="4" t="str">
        <f>HYPERLINK("http://techcrunch.com/2012/07/23/techcrunch-disrupt-sf-hackathon-back-to-hack/","TechCrunch Disrupt SF Hackathon – Back to Hack.")</f>
        <v>TechCrunch Disrupt SF Hackathon – Back to Hack.</v>
      </c>
      <c r="B1855" s="4" t="str">
        <f>HYPERLINK("http://www.facebook.com/8062627951/posts/109734875839184","Get ready. It's going to be epic.")</f>
        <v>Get ready. It's going to be epic.</v>
      </c>
      <c r="C1855" s="3">
        <v>41113.420787037037</v>
      </c>
      <c r="D1855" s="2">
        <v>22</v>
      </c>
      <c r="E1855" s="2">
        <v>4</v>
      </c>
      <c r="F1855" s="2" t="s">
        <v>7</v>
      </c>
      <c r="G1855" s="2" t="s">
        <v>7</v>
      </c>
    </row>
    <row r="1856" spans="1:7" ht="30" x14ac:dyDescent="0.25">
      <c r="A1856" s="4" t="str">
        <f>HYPERLINK("http://techcrunch.com/2012/07/23/workplace-collaboration-tool-asana-raises-28m-at-a-280m-valuation/","Workplace Collaboration Tool Asana Raises $28M At A $280M Valuation")</f>
        <v>Workplace Collaboration Tool Asana Raises $28M At A $280M Valuation</v>
      </c>
      <c r="B1856" s="4" t="str">
        <f>HYPERLINK("http://www.facebook.com/8062627951/posts/310099202420361","Asana raises $28 million.")</f>
        <v>Asana raises $28 million.</v>
      </c>
      <c r="C1856" s="3">
        <v>41113.381643518522</v>
      </c>
      <c r="D1856" s="2">
        <v>165</v>
      </c>
      <c r="E1856" s="2">
        <v>18</v>
      </c>
      <c r="F1856" s="2" t="s">
        <v>7</v>
      </c>
      <c r="G1856" s="2" t="s">
        <v>7</v>
      </c>
    </row>
    <row r="1857" spans="1:7" x14ac:dyDescent="0.25">
      <c r="A1857" s="4" t="str">
        <f>HYPERLINK("http://techcrunch.com/2012/07/22/make-your-users-do-the-work/","Make Your Users Do the Work")</f>
        <v>Make Your Users Do the Work</v>
      </c>
      <c r="B1857" s="4" t="str">
        <f>HYPERLINK("http://www.facebook.com/8062627951/posts/489476197745192","Smart advice.")</f>
        <v>Smart advice.</v>
      </c>
      <c r="C1857" s="3">
        <v>41113.278796296298</v>
      </c>
      <c r="D1857" s="2">
        <v>45</v>
      </c>
      <c r="E1857" s="2">
        <v>1</v>
      </c>
      <c r="F1857" s="2" t="s">
        <v>7</v>
      </c>
      <c r="G1857" s="2" t="s">
        <v>7</v>
      </c>
    </row>
    <row r="1858" spans="1:7" ht="30" x14ac:dyDescent="0.25">
      <c r="A1858" s="4" t="str">
        <f>HYPERLINK("http://techcrunch.com/2012/07/23/google-affirms-the-nexus-7s-main-fault-with-this-adorable-commercial/","Google Affirms The Nexus 7's Main Fault With This Adorable Commercial")</f>
        <v>Google Affirms The Nexus 7's Main Fault With This Adorable Commercial</v>
      </c>
      <c r="B1858" s="4" t="str">
        <f>HYPERLINK("http://www.facebook.com/8062627951/posts/162154630587043","Is the Nexus 7's lack of 3G/4G a big downside? (Video)")</f>
        <v>Is the Nexus 7's lack of 3G/4G a big downside? (Video)</v>
      </c>
      <c r="C1858" s="3">
        <v>41113.223483796297</v>
      </c>
      <c r="D1858" s="2">
        <v>49</v>
      </c>
      <c r="E1858" s="2">
        <v>36</v>
      </c>
      <c r="F1858" s="2" t="s">
        <v>8</v>
      </c>
      <c r="G1858" s="2" t="s">
        <v>7</v>
      </c>
    </row>
    <row r="1859" spans="1:7" ht="45" x14ac:dyDescent="0.25">
      <c r="A1859" s="4" t="str">
        <f>HYPERLINK("http://techcrunch.com/2012/07/23/research-samsung-has-sold-10m-galaxy-s3s-but-iphone-5-still-the-most-wanted-phone/","Research: Samsung Has Sold 10M Galaxy S3's, But ‘iPhone 5' Still The Most-Wanted Phone")</f>
        <v>Research: Samsung Has Sold 10M Galaxy S3's, But ‘iPhone 5' Still The Most-Wanted Phone</v>
      </c>
      <c r="B1859" s="4" t="str">
        <f>HYPERLINK("http://www.facebook.com/8062627951/posts/427588063946368","Which phone do you want more: The Samsung Galaxy S III or the iPhone 5?")</f>
        <v>Which phone do you want more: The Samsung Galaxy S III or the iPhone 5?</v>
      </c>
      <c r="C1859" s="3">
        <v>41113.1641087963</v>
      </c>
      <c r="D1859" s="2">
        <v>94</v>
      </c>
      <c r="E1859" s="2">
        <v>106</v>
      </c>
      <c r="F1859" s="2" t="s">
        <v>8</v>
      </c>
      <c r="G1859" s="2" t="s">
        <v>7</v>
      </c>
    </row>
    <row r="1860" spans="1:7" ht="30" x14ac:dyDescent="0.25">
      <c r="A1860" s="4" t="str">
        <f>HYPERLINK("http://techcrunch.com/2012/07/22/how-does-the-samsung-galaxy-s-iii-fare-in-a-drop-test/","How Does The Samsung Galaxy S III Fare In A Drop Test?")</f>
        <v>How Does The Samsung Galaxy S III Fare In A Drop Test?</v>
      </c>
      <c r="B1860" s="4" t="str">
        <f>HYPERLINK("http://www.facebook.com/8062627951/posts/449268111761873","Any guesses?")</f>
        <v>Any guesses?</v>
      </c>
      <c r="C1860" s="3">
        <v>41112.686018518521</v>
      </c>
      <c r="D1860" s="2">
        <v>55</v>
      </c>
      <c r="E1860" s="2">
        <v>27</v>
      </c>
      <c r="F1860" s="2" t="s">
        <v>8</v>
      </c>
      <c r="G1860" s="2" t="s">
        <v>7</v>
      </c>
    </row>
    <row r="1861" spans="1:7" ht="30" x14ac:dyDescent="0.25">
      <c r="A1861" s="4" t="str">
        <f>HYPERLINK("http://techcrunch.com/2012/07/22/google-now-2/","Google Now: There’s A Fine Line Between Cool And Creepy | TechCrunch")</f>
        <v>Google Now: There’s A Fine Line Between Cool And Creepy | TechCrunch</v>
      </c>
      <c r="B1861" s="4" t="str">
        <f>HYPERLINK("http://www.facebook.com/8062627951/posts/368668666534892","Does Google Now cross a line?")</f>
        <v>Does Google Now cross a line?</v>
      </c>
      <c r="C1861" s="3">
        <v>41112.609837962962</v>
      </c>
      <c r="D1861" s="2">
        <v>168</v>
      </c>
      <c r="E1861" s="2">
        <v>54</v>
      </c>
      <c r="F1861" s="2" t="s">
        <v>8</v>
      </c>
      <c r="G1861" s="2" t="s">
        <v>7</v>
      </c>
    </row>
    <row r="1862" spans="1:7" ht="30" x14ac:dyDescent="0.25">
      <c r="A1862" s="4" t="str">
        <f>HYPERLINK("http://techcrunch.com/2012/07/21/getting-rich-by-the-numbers-a-crunchbased-how-to/","Getting Rich By The Numbers, A CrunchBased How-To")</f>
        <v>Getting Rich By The Numbers, A CrunchBased How-To</v>
      </c>
      <c r="B1862" s="4" t="str">
        <f>HYPERLINK("http://www.facebook.com/8062627951/posts/431536066891584","Wanna get rich?")</f>
        <v>Wanna get rich?</v>
      </c>
      <c r="C1862" s="3">
        <v>41112.436886574076</v>
      </c>
      <c r="D1862" s="2">
        <v>49</v>
      </c>
      <c r="E1862" s="2">
        <v>5</v>
      </c>
      <c r="F1862" s="2" t="s">
        <v>8</v>
      </c>
      <c r="G1862" s="2" t="s">
        <v>7</v>
      </c>
    </row>
    <row r="1863" spans="1:7" ht="75" x14ac:dyDescent="0.25">
      <c r="A1863" s="4" t="str">
        <f>HYPERLINK("http://techcrunch.com/2012/07/22/reaching-10m-downloads-and-the-guerrilla-marketing-tactics-we-used-to-get-there/","Reaching 10M Downloads, And The Guerrilla Marketing Tactics We Used To Get There")</f>
        <v>Reaching 10M Downloads, And The Guerrilla Marketing Tactics We Used To Get There</v>
      </c>
      <c r="B1863" s="4" t="s">
        <v>107</v>
      </c>
      <c r="C1863" s="3">
        <v>41112.404537037037</v>
      </c>
      <c r="D1863" s="2">
        <v>233</v>
      </c>
      <c r="E1863" s="2">
        <v>5</v>
      </c>
      <c r="F1863" s="2" t="s">
        <v>7</v>
      </c>
      <c r="G1863" s="2" t="s">
        <v>7</v>
      </c>
    </row>
    <row r="1864" spans="1:7" ht="30" x14ac:dyDescent="0.25">
      <c r="A1864" s="4" t="str">
        <f>HYPERLINK("http://techcrunch.com/2012/07/22/think-hiring-is-tough-in-the-valley-now-europe-joins-the-talent-wars/","Think Hiring Is Tough In The Valley? Now Europe Joins The Talent Wars")</f>
        <v>Think Hiring Is Tough In The Valley? Now Europe Joins The Talent Wars</v>
      </c>
      <c r="B1864" s="4" t="str">
        <f>HYPERLINK("http://www.facebook.com/8062627951/posts/407658469297824","Can Europe retain the talent?")</f>
        <v>Can Europe retain the talent?</v>
      </c>
      <c r="C1864" s="3">
        <v>41112.297013888892</v>
      </c>
      <c r="D1864" s="2">
        <v>65</v>
      </c>
      <c r="E1864" s="2">
        <v>0</v>
      </c>
      <c r="F1864" s="2" t="s">
        <v>8</v>
      </c>
      <c r="G1864" s="2" t="s">
        <v>7</v>
      </c>
    </row>
    <row r="1865" spans="1:7" ht="45" x14ac:dyDescent="0.25">
      <c r="A1865" s="4" t="str">
        <f>HYPERLINK("http://techcrunch.com/2012/07/21/forget-lebron-and-durant-bringing-in-zuckerberg-dorsey-and-co-for-the-u-s-olympic-tech-dream-team/","Forget LeBron and Durant: Bringing In Zuckerberg, Dorsey and Co. For the Olympic Tech Dream Team")</f>
        <v>Forget LeBron and Durant: Bringing In Zuckerberg, Dorsey and Co. For the Olympic Tech Dream Team</v>
      </c>
      <c r="B1865" s="4" t="str">
        <f>HYPERLINK("http://www.facebook.com/8062627951/posts/341680172575736","We miss anyone?")</f>
        <v>We miss anyone?</v>
      </c>
      <c r="C1865" s="3">
        <v>41112.19158564815</v>
      </c>
      <c r="D1865" s="2">
        <v>32</v>
      </c>
      <c r="E1865" s="2">
        <v>3</v>
      </c>
      <c r="F1865" s="2" t="s">
        <v>8</v>
      </c>
      <c r="G1865" s="2" t="s">
        <v>7</v>
      </c>
    </row>
    <row r="1866" spans="1:7" ht="45" x14ac:dyDescent="0.25">
      <c r="A1866" s="4" t="str">
        <f>HYPERLINK("http://techcrunch.com/2012/07/21/apples-app-discovery-lead-on-google-is-shrinking-but-mobile-publishers-shouldnt-be-too-worried/","Apple’s App Discovery Lead On Google Is Shrinking, But Mobile Publishers Shouldn’t Be Too Worried")</f>
        <v>Apple’s App Discovery Lead On Google Is Shrinking, But Mobile Publishers Shouldn’t Be Too Worried</v>
      </c>
      <c r="B1866" s="4" t="str">
        <f>HYPERLINK("http://www.facebook.com/8062627951/posts/312987832130112","Pretty much.")</f>
        <v>Pretty much.</v>
      </c>
      <c r="C1866" s="3">
        <v>41111.496666666666</v>
      </c>
      <c r="D1866" s="2">
        <v>27</v>
      </c>
      <c r="E1866" s="2">
        <v>0</v>
      </c>
      <c r="F1866" s="2" t="s">
        <v>7</v>
      </c>
      <c r="G1866" s="2" t="s">
        <v>7</v>
      </c>
    </row>
    <row r="1867" spans="1:7" ht="75" x14ac:dyDescent="0.25">
      <c r="A1867" s="4" t="str">
        <f>HYPERLINK("http://techcrunch.com/2012/07/21/just-like-everything-else-in-the-enterprise-space-security-is-about-to-be-disrupted/","Just Like Everything Else In The Enterprise Space, Security Is About To Be Disrupted. ")</f>
        <v xml:space="preserve">Just Like Everything Else In The Enterprise Space, Security Is About To Be Disrupted. </v>
      </c>
      <c r="B1867" s="4" t="s">
        <v>108</v>
      </c>
      <c r="C1867" s="3">
        <v>41111.445405092592</v>
      </c>
      <c r="D1867" s="2">
        <v>69</v>
      </c>
      <c r="E1867" s="2">
        <v>5</v>
      </c>
      <c r="F1867" s="2" t="s">
        <v>7</v>
      </c>
      <c r="G1867" s="2" t="s">
        <v>7</v>
      </c>
    </row>
    <row r="1868" spans="1:7" ht="30" x14ac:dyDescent="0.25">
      <c r="A1868" s="4" t="str">
        <f>HYPERLINK("http://techcrunch.com/2012/07/20/last-day-to-purchase-extra-early-bird-tickets-for-disrupt-sf/","Last Day To Purchase Extra Early Bird Tickets For Disrupt SF")</f>
        <v>Last Day To Purchase Extra Early Bird Tickets For Disrupt SF</v>
      </c>
      <c r="B1868" s="4" t="str">
        <f>HYPERLINK("http://www.facebook.com/8062627951/posts/207307819396456","Last day for the best deal. Get your tickets NOW.")</f>
        <v>Last day for the best deal. Get your tickets NOW.</v>
      </c>
      <c r="C1868" s="3">
        <v>41110.637326388889</v>
      </c>
      <c r="D1868" s="2">
        <v>13</v>
      </c>
      <c r="E1868" s="2">
        <v>2</v>
      </c>
      <c r="F1868" s="2" t="s">
        <v>7</v>
      </c>
      <c r="G1868" s="2" t="s">
        <v>7</v>
      </c>
    </row>
    <row r="1869" spans="1:7" ht="30" x14ac:dyDescent="0.25">
      <c r="A1869" s="4" t="str">
        <f>HYPERLINK("http://techcrunch.com/2012/07/20/moon-landin/","43 Years Ago Today, We Walked On The Moon")</f>
        <v>43 Years Ago Today, We Walked On The Moon</v>
      </c>
      <c r="B1869" s="4" t="str">
        <f>HYPERLINK("http://www.facebook.com/8062627951/posts/442015452509359","What will the next 43 years bring?")</f>
        <v>What will the next 43 years bring?</v>
      </c>
      <c r="C1869" s="3">
        <v>41110.607615740744</v>
      </c>
      <c r="D1869" s="2">
        <v>104</v>
      </c>
      <c r="E1869" s="2">
        <v>18</v>
      </c>
      <c r="F1869" s="2" t="s">
        <v>8</v>
      </c>
      <c r="G1869" s="2" t="s">
        <v>7</v>
      </c>
    </row>
    <row r="1870" spans="1:7" ht="45" x14ac:dyDescent="0.25">
      <c r="A1870" s="4" t="str">
        <f>HYPERLINK("http://techcrunch.com/2012/07/20/google-acquires-iosmac-email-client-sparrow/","Google Acquires iOS/Mac Email Client Sparrow, Apps To Remain Available But Development Stopped")</f>
        <v>Google Acquires iOS/Mac Email Client Sparrow, Apps To Remain Available But Development Stopped</v>
      </c>
      <c r="B1870" s="4" t="str">
        <f>HYPERLINK("http://www.facebook.com/8062627951/posts/398811320183275","What do you think of this acquisition?")</f>
        <v>What do you think of this acquisition?</v>
      </c>
      <c r="C1870" s="3">
        <v>41110.59851851852</v>
      </c>
      <c r="D1870" s="2">
        <v>100</v>
      </c>
      <c r="E1870" s="2">
        <v>58</v>
      </c>
      <c r="F1870" s="2" t="s">
        <v>8</v>
      </c>
      <c r="G1870" s="2" t="s">
        <v>7</v>
      </c>
    </row>
    <row r="1871" spans="1:7" ht="30" x14ac:dyDescent="0.25">
      <c r="A1871" s="4" t="str">
        <f>HYPERLINK("http://www.facebook.com/photo.php?fbid=10151127334112952&amp;set=a.114456157951.118433.8062627951&amp;type=1&amp;relevant_count=1","[Photo]")</f>
        <v>[Photo]</v>
      </c>
      <c r="B1871" s="4" t="str">
        <f>HYPERLINK("http://www.facebook.com/8062627951/posts/10151127334142952","WTF - Epic Insensitivity: @NRA and @Celebboutique Cause Uproar Over Aurora Tweets - http://tcrn.ch/O2g8aS")</f>
        <v>WTF - Epic Insensitivity: @NRA and @Celebboutique Cause Uproar Over Aurora Tweets - http://tcrn.ch/O2g8aS</v>
      </c>
      <c r="C1871" s="3">
        <v>41110.511203703703</v>
      </c>
      <c r="D1871" s="2">
        <v>81</v>
      </c>
      <c r="E1871" s="2">
        <v>70</v>
      </c>
      <c r="F1871" s="2" t="s">
        <v>7</v>
      </c>
      <c r="G1871" s="2" t="s">
        <v>8</v>
      </c>
    </row>
    <row r="1872" spans="1:7" ht="45" x14ac:dyDescent="0.25">
      <c r="A1872" s="4" t="str">
        <f>HYPERLINK("http://techcrunch.com/2012/07/20/new-owners-take-digg-back-to-the-drawing-board-relaunch-scheduled-for-august-1/","New Owners Take Digg Back To The Drawing Board, Relaunch Scheduled For August 1 | TechCrunch")</f>
        <v>New Owners Take Digg Back To The Drawing Board, Relaunch Scheduled For August 1 | TechCrunch</v>
      </c>
      <c r="B1872" s="4" t="str">
        <f>HYPERLINK("http://www.facebook.com/8062627951/posts/397097600338975","Serious question: What does Betaworks need to do to return Digg to greatness.")</f>
        <v>Serious question: What does Betaworks need to do to return Digg to greatness.</v>
      </c>
      <c r="C1872" s="3">
        <v>41110.48474537037</v>
      </c>
      <c r="D1872" s="2">
        <v>20</v>
      </c>
      <c r="E1872" s="2">
        <v>13</v>
      </c>
      <c r="F1872" s="2" t="s">
        <v>7</v>
      </c>
      <c r="G1872" s="2" t="s">
        <v>7</v>
      </c>
    </row>
    <row r="1873" spans="1:7" ht="45" x14ac:dyDescent="0.25">
      <c r="A1873" s="4" t="str">
        <f>HYPERLINK("http://techcrunch.com/2012/07/20/reddit-aurora-shooting/","Reddit Transforms Into Incredibly Informative Real-Time News Source For Aurora Shooting")</f>
        <v>Reddit Transforms Into Incredibly Informative Real-Time News Source For Aurora Shooting</v>
      </c>
      <c r="B1873" s="4" t="str">
        <f>HYPERLINK("http://www.facebook.com/8062627951/posts/187367268060257","The power of the Internet...")</f>
        <v>The power of the Internet...</v>
      </c>
      <c r="C1873" s="3">
        <v>41110.383055555554</v>
      </c>
      <c r="D1873" s="2">
        <v>121</v>
      </c>
      <c r="E1873" s="2">
        <v>5</v>
      </c>
      <c r="F1873" s="2" t="s">
        <v>7</v>
      </c>
      <c r="G1873" s="2" t="s">
        <v>7</v>
      </c>
    </row>
    <row r="1874" spans="1:7" ht="45" x14ac:dyDescent="0.25">
      <c r="A1874" s="4" t="str">
        <f>HYPERLINK("http://techcrunch.com/2012/07/20/kickstarter-flashr-wants-to-make-the-iphones-bezel-a-massive-notification-light/","Kickstarter: FLASHr Wants To Make The iPhone’s Bezel A Massive Notification Light")</f>
        <v>Kickstarter: FLASHr Wants To Make The iPhone’s Bezel A Massive Notification Light</v>
      </c>
      <c r="B1874" s="4" t="str">
        <f>HYPERLINK("http://www.facebook.com/8062627951/posts/466111010075164","It's about time!")</f>
        <v>It's about time!</v>
      </c>
      <c r="C1874" s="3">
        <v>41110.335057870368</v>
      </c>
      <c r="D1874" s="2">
        <v>58</v>
      </c>
      <c r="E1874" s="2">
        <v>5</v>
      </c>
      <c r="F1874" s="2" t="s">
        <v>7</v>
      </c>
      <c r="G1874" s="2" t="s">
        <v>7</v>
      </c>
    </row>
    <row r="1875" spans="1:7" ht="30" x14ac:dyDescent="0.25">
      <c r="A1875" s="4" t="str">
        <f>HYPERLINK("http://techcrunch.com/2012/07/20/they-certainly-are/","The Power Users Are Revolting")</f>
        <v>The Power Users Are Revolting</v>
      </c>
      <c r="B1875" s="4" t="str">
        <f>HYPERLINK("http://www.facebook.com/8062627951/posts/265714093541571","In the age of social media, is courting power users a key to success?")</f>
        <v>In the age of social media, is courting power users a key to success?</v>
      </c>
      <c r="C1875" s="3">
        <v>41110.296481481484</v>
      </c>
      <c r="D1875" s="2">
        <v>21</v>
      </c>
      <c r="E1875" s="2">
        <v>2</v>
      </c>
      <c r="F1875" s="2" t="s">
        <v>8</v>
      </c>
      <c r="G1875" s="2" t="s">
        <v>7</v>
      </c>
    </row>
    <row r="1876" spans="1:7" ht="30" x14ac:dyDescent="0.25">
      <c r="A1876" s="4" t="str">
        <f>HYPERLINK("http://techcrunch.com/2012/07/19/electronic-arts-comes-out-against-defense-of-marriage-act/","Electronic Arts Comes Out Against Defense Of Marriage Act")</f>
        <v>Electronic Arts Comes Out Against Defense Of Marriage Act</v>
      </c>
      <c r="B1876" s="4" t="str">
        <f>HYPERLINK("http://www.facebook.com/8062627951/posts/253193971463923","Amazing.")</f>
        <v>Amazing.</v>
      </c>
      <c r="C1876" s="3">
        <v>41109.790729166663</v>
      </c>
      <c r="D1876" s="2">
        <v>538</v>
      </c>
      <c r="E1876" s="2">
        <v>45</v>
      </c>
      <c r="F1876" s="2" t="s">
        <v>7</v>
      </c>
      <c r="G1876" s="2" t="s">
        <v>7</v>
      </c>
    </row>
    <row r="1877" spans="1:7" ht="30" x14ac:dyDescent="0.25">
      <c r="A1877" s="4" t="str">
        <f>HYPERLINK("http://techcrunch.com/2012/07/19/4-ways-dell-is-becoming-an-open-source-company/","4 Ways Dell Is Becoming An Open Source Company")</f>
        <v>4 Ways Dell Is Becoming An Open Source Company</v>
      </c>
      <c r="B1877" s="4" t="str">
        <f>HYPERLINK("http://www.facebook.com/8062627951/posts/396165337111669","Four examples that show the shift and why it matters to Dell's future.")</f>
        <v>Four examples that show the shift and why it matters to Dell's future.</v>
      </c>
      <c r="C1877" s="3">
        <v>41109.739432870374</v>
      </c>
      <c r="D1877" s="2">
        <v>56</v>
      </c>
      <c r="E1877" s="2">
        <v>7</v>
      </c>
      <c r="F1877" s="2" t="s">
        <v>7</v>
      </c>
      <c r="G1877" s="2" t="s">
        <v>7</v>
      </c>
    </row>
    <row r="1878" spans="1:7" ht="30" x14ac:dyDescent="0.25">
      <c r="A1878" s="4" t="str">
        <f>HYPERLINK("http://techcrunch.com/2012/07/19/facebook-sponsored-results/","Facebook Begins Testing Sponsored Results, Its First Search Typeahead Ads")</f>
        <v>Facebook Begins Testing Sponsored Results, Its First Search Typeahead Ads</v>
      </c>
      <c r="B1878" s="4" t="str">
        <f>HYPERLINK("http://www.facebook.com/8062627951/posts/126707314137938","Huge news: Facebook challenges Google with new form of search ads.")</f>
        <v>Huge news: Facebook challenges Google with new form of search ads.</v>
      </c>
      <c r="C1878" s="3">
        <v>41109.646817129629</v>
      </c>
      <c r="D1878" s="2">
        <v>134</v>
      </c>
      <c r="E1878" s="2">
        <v>21</v>
      </c>
      <c r="F1878" s="2" t="s">
        <v>7</v>
      </c>
      <c r="G1878" s="2" t="s">
        <v>7</v>
      </c>
    </row>
    <row r="1879" spans="1:7" ht="45" x14ac:dyDescent="0.25">
      <c r="A1879" s="4" t="str">
        <f>HYPERLINK("http://techcrunch.com/2012/07/19/marissa-mayers-yahoo-salary-1-million-base-up-to-60-million-in-stock-and-bonuses/","Marissa Mayer’s Yahoo Salary: $1 Million Base, Up To $60 Million In Stock And Bonuses")</f>
        <v>Marissa Mayer’s Yahoo Salary: $1 Million Base, Up To $60 Million In Stock And Bonuses</v>
      </c>
      <c r="B1879" s="4" t="str">
        <f>HYPERLINK("http://www.facebook.com/8062627951/posts/427477103962713","How much will Marissa Mayer make you ask? We have it here:")</f>
        <v>How much will Marissa Mayer make you ask? We have it here:</v>
      </c>
      <c r="C1879" s="3">
        <v>41109.582384259258</v>
      </c>
      <c r="D1879" s="2">
        <v>150</v>
      </c>
      <c r="E1879" s="2">
        <v>33</v>
      </c>
      <c r="F1879" s="2" t="s">
        <v>8</v>
      </c>
      <c r="G1879" s="2" t="s">
        <v>7</v>
      </c>
    </row>
    <row r="1880" spans="1:7" ht="30" x14ac:dyDescent="0.25">
      <c r="A1880" s="4" t="str">
        <f>HYPERLINK("http://techcrunch.com/2012/07/19/larry-page-google-earnings/","Google’s Larry Page Might Have Lost His Voice, But He’s Still Running The Company")</f>
        <v>Google’s Larry Page Might Have Lost His Voice, But He’s Still Running The Company</v>
      </c>
      <c r="B1880" s="4" t="str">
        <f>HYPERLINK("http://www.facebook.com/8062627951/posts/486859384676124","Google's Larry Page still has no voice.")</f>
        <v>Google's Larry Page still has no voice.</v>
      </c>
      <c r="C1880" s="3">
        <v>41109.568460648145</v>
      </c>
      <c r="D1880" s="2">
        <v>81</v>
      </c>
      <c r="E1880" s="2">
        <v>24</v>
      </c>
      <c r="F1880" s="2" t="s">
        <v>7</v>
      </c>
      <c r="G1880" s="2" t="s">
        <v>7</v>
      </c>
    </row>
    <row r="1881" spans="1:7" ht="30" x14ac:dyDescent="0.25">
      <c r="A1881" s="4" t="str">
        <f>HYPERLINK("http://www.facebook.com/photo.php?fbid=10151125142717952&amp;set=a.114456157951.118433.8062627951&amp;type=1&amp;relevant_count=1","[Photo]")</f>
        <v>[Photo]</v>
      </c>
      <c r="B1881" s="4" t="str">
        <f>HYPERLINK("http://www.facebook.com/8062627951/posts/10151125142757952","New Firefox OS images paint a picture of progress ahead of official launch - http://tcrn.ch/QdeNnH")</f>
        <v>New Firefox OS images paint a picture of progress ahead of official launch - http://tcrn.ch/QdeNnH</v>
      </c>
      <c r="C1881" s="3">
        <v>41109.537754629629</v>
      </c>
      <c r="D1881" s="2">
        <v>234</v>
      </c>
      <c r="E1881" s="2">
        <v>44</v>
      </c>
      <c r="F1881" s="2" t="s">
        <v>7</v>
      </c>
      <c r="G1881" s="2" t="s">
        <v>8</v>
      </c>
    </row>
    <row r="1882" spans="1:7" ht="45" x14ac:dyDescent="0.25">
      <c r="A1882" s="4" t="str">
        <f>HYPERLINK("http://techcrunch.com/2012/07/19/the-facebook-ecosystem-crunchupaugust-capital-party-agenda-is-here-get-your-tickets-now/","The Facebook Ecosystem CrunchUp/August Capital Party Agenda Is Here, Get Your Tickets Now")</f>
        <v>The Facebook Ecosystem CrunchUp/August Capital Party Agenda Is Here, Get Your Tickets Now</v>
      </c>
      <c r="B1882" s="4" t="str">
        <f>HYPERLINK("http://www.facebook.com/8062627951/posts/257332987712474","Get your tickets now!")</f>
        <v>Get your tickets now!</v>
      </c>
      <c r="C1882" s="3">
        <v>41109.493090277778</v>
      </c>
      <c r="D1882" s="2">
        <v>15</v>
      </c>
      <c r="E1882" s="2">
        <v>0</v>
      </c>
      <c r="F1882" s="2" t="s">
        <v>7</v>
      </c>
      <c r="G1882" s="2" t="s">
        <v>7</v>
      </c>
    </row>
    <row r="1883" spans="1:7" ht="30" x14ac:dyDescent="0.25">
      <c r="A1883" s="4" t="str">
        <f>HYPERLINK("http://www.facebook.com/photo.php?fbid=10151124687657952&amp;set=a.114456157951.118433.8062627951&amp;type=1&amp;relevant_count=1","[Photo]")</f>
        <v>[Photo]</v>
      </c>
      <c r="B1883" s="4" t="str">
        <f>HYPERLINK("http://www.facebook.com/8062627951/posts/10151124687692952","It's a done deal. Microsoft completes its $1.2B Yammer acquisition - http://tcrn.ch/MLLCBD")</f>
        <v>It's a done deal. Microsoft completes its $1.2B Yammer acquisition - http://tcrn.ch/MLLCBD</v>
      </c>
      <c r="C1883" s="3">
        <v>41109.36215277778</v>
      </c>
      <c r="D1883" s="2">
        <v>198</v>
      </c>
      <c r="E1883" s="2">
        <v>32</v>
      </c>
      <c r="F1883" s="2" t="s">
        <v>7</v>
      </c>
      <c r="G1883" s="2" t="s">
        <v>8</v>
      </c>
    </row>
    <row r="1884" spans="1:7" ht="45" x14ac:dyDescent="0.25">
      <c r="A1884" s="4" t="str">
        <f>HYPERLINK("http://techcrunch.com/2012/07/19/wearable-computer-pioneer-dr-steve-mann-releases-new-photo-supporting-his-assault-claim-against-mcdonalds/","Wearable Computer Pioneer, Dr. Steve Mann, Releases New Photo Supporting His Assault Claim Against M")</f>
        <v>Wearable Computer Pioneer, Dr. Steve Mann, Releases New Photo Supporting His Assault Claim Against M</v>
      </c>
      <c r="B1884" s="4" t="str">
        <f>HYPERLINK("http://www.facebook.com/8062627951/posts/470362996309292","And the plot thickens...")</f>
        <v>And the plot thickens...</v>
      </c>
      <c r="C1884" s="3">
        <v>41109.320462962962</v>
      </c>
      <c r="D1884" s="2">
        <v>37</v>
      </c>
      <c r="E1884" s="2">
        <v>12</v>
      </c>
      <c r="F1884" s="2" t="s">
        <v>7</v>
      </c>
      <c r="G1884" s="2" t="s">
        <v>7</v>
      </c>
    </row>
    <row r="1885" spans="1:7" ht="45" x14ac:dyDescent="0.25">
      <c r="A1885" s="4" t="str">
        <f>HYPERLINK("http://techcrunch.com/2012/07/19/nokia-sold-just-600k-handsets-in-north-america-during-the-last-quarter/","Nokia Sold Just 600K Handsets In North America During The Last Quarter | TechCrunch")</f>
        <v>Nokia Sold Just 600K Handsets In North America During The Last Quarter | TechCrunch</v>
      </c>
      <c r="B1885" s="4" t="str">
        <f>HYPERLINK("http://www.facebook.com/8062627951/posts/262021850575196","That's rough.")</f>
        <v>That's rough.</v>
      </c>
      <c r="C1885" s="3">
        <v>41109.198344907411</v>
      </c>
      <c r="D1885" s="2">
        <v>35</v>
      </c>
      <c r="E1885" s="2">
        <v>22</v>
      </c>
      <c r="F1885" s="2" t="s">
        <v>7</v>
      </c>
      <c r="G1885" s="2" t="s">
        <v>7</v>
      </c>
    </row>
    <row r="1886" spans="1:7" ht="30" x14ac:dyDescent="0.25">
      <c r="A1886" s="4" t="str">
        <f>HYPERLINK("http://techcrunch.com/2012/07/18/women-in-tech-put-your-money-where-your-mouth-is/","Women in Tech: Put Your Money Where Your Mouth Is.")</f>
        <v>Women in Tech: Put Your Money Where Your Mouth Is.</v>
      </c>
      <c r="B1886" s="4" t="str">
        <f>HYPERLINK("http://www.facebook.com/8062627951/posts/468655783146176","A guest post by Dave McClure, Founding Partner &amp; TroubleMaker, 500 Startups.")</f>
        <v>A guest post by Dave McClure, Founding Partner &amp; TroubleMaker, 500 Startups.</v>
      </c>
      <c r="C1886" s="3">
        <v>41108.728460648148</v>
      </c>
      <c r="D1886" s="2">
        <v>97</v>
      </c>
      <c r="E1886" s="2">
        <v>1</v>
      </c>
      <c r="F1886" s="2" t="s">
        <v>7</v>
      </c>
      <c r="G1886" s="2" t="s">
        <v>7</v>
      </c>
    </row>
    <row r="1887" spans="1:7" ht="60" x14ac:dyDescent="0.25">
      <c r="A1887" s="4" t="str">
        <f>HYPERLINK("http://www.facebook.com/photo.php?fbid=10151123258037952&amp;set=a.114456157951.118433.8062627951&amp;type=1&amp;relevant_count=1","[Photo]")</f>
        <v>[Photo]</v>
      </c>
      <c r="B1887" s="4" t="str">
        <f>HYPERLINK("http://www.facebook.com/8062627951/posts/10151123258072952","TechCrunch founder Michael Arrington is back and will interview Yahoo CEO Marissa Mayer on stage at Disrupt SF! What do you think they'll talk about this time? - http://tcrn.ch/P1m7Oh")</f>
        <v>TechCrunch founder Michael Arrington is back and will interview Yahoo CEO Marissa Mayer on stage at Disrupt SF! What do you think they'll talk about this time? - http://tcrn.ch/P1m7Oh</v>
      </c>
      <c r="C1887" s="3">
        <v>41108.646458333336</v>
      </c>
      <c r="D1887" s="2">
        <v>274</v>
      </c>
      <c r="E1887" s="2">
        <v>37</v>
      </c>
      <c r="F1887" s="2" t="s">
        <v>8</v>
      </c>
      <c r="G1887" s="2" t="s">
        <v>8</v>
      </c>
    </row>
    <row r="1888" spans="1:7" ht="45" x14ac:dyDescent="0.25">
      <c r="A1888" s="4" t="str">
        <f>HYPERLINK("http://techcrunch.com/2012/07/18/bass-fishing-startup-mystery-tackle-box-hopes-to-reel-in-chunk-of-45-billion-industry/","Bass Fishing Startup Mystery Tackle Box Hopes To Reel In Chunk of $45 Billion Industry")</f>
        <v>Bass Fishing Startup Mystery Tackle Box Hopes To Reel In Chunk of $45 Billion Industry</v>
      </c>
      <c r="B1888" s="4" t="str">
        <f>HYPERLINK("http://www.facebook.com/8062627951/posts/502805413067102","Bass fisherman, check this out:")</f>
        <v>Bass fisherman, check this out:</v>
      </c>
      <c r="C1888" s="3">
        <v>41108.626666666663</v>
      </c>
      <c r="D1888" s="2">
        <v>35</v>
      </c>
      <c r="E1888" s="2">
        <v>4</v>
      </c>
      <c r="F1888" s="2" t="s">
        <v>7</v>
      </c>
      <c r="G1888" s="2" t="s">
        <v>7</v>
      </c>
    </row>
    <row r="1889" spans="1:7" ht="45" x14ac:dyDescent="0.25">
      <c r="A1889" s="4" t="str">
        <f>HYPERLINK("http://techcrunch.com/2012/07/18/mcdonalds-denies-staff-assaulted-augmented-realty-pioneer-dr-steve-mann/","McDonald’s Denies Staff Assaulted Augmented Reality Pioneer Dr. Steve Mann")</f>
        <v>McDonald’s Denies Staff Assaulted Augmented Reality Pioneer Dr. Steve Mann</v>
      </c>
      <c r="B1889" s="4" t="str">
        <f>HYPERLINK("http://www.facebook.com/8062627951/posts/246933908743507","Did McDonald's employees assault an augmented reality pioneer because of his skull-implant?")</f>
        <v>Did McDonald's employees assault an augmented reality pioneer because of his skull-implant?</v>
      </c>
      <c r="C1889" s="3">
        <v>41108.568414351852</v>
      </c>
      <c r="D1889" s="2">
        <v>60</v>
      </c>
      <c r="E1889" s="2">
        <v>15</v>
      </c>
      <c r="F1889" s="2" t="s">
        <v>8</v>
      </c>
      <c r="G1889" s="2" t="s">
        <v>7</v>
      </c>
    </row>
    <row r="1890" spans="1:7" ht="30" x14ac:dyDescent="0.25">
      <c r="A1890" s="4" t="str">
        <f>HYPERLINK("http://techcrunch.com/2012/07/18/willcall/","WillCall Sells You What You’re Doing Tonight, Launches Web App, Raises $850K")</f>
        <v>WillCall Sells You What You’re Doing Tonight, Launches Web App, Raises $850K</v>
      </c>
      <c r="B1890" s="4" t="str">
        <f>HYPERLINK("http://www.facebook.com/8062627951/posts/269184499853726","Bored? WillCall knows the best parties in town.")</f>
        <v>Bored? WillCall knows the best parties in town.</v>
      </c>
      <c r="C1890" s="3">
        <v>41108.518657407411</v>
      </c>
      <c r="D1890" s="2">
        <v>42</v>
      </c>
      <c r="E1890" s="2">
        <v>4</v>
      </c>
      <c r="F1890" s="2" t="s">
        <v>8</v>
      </c>
      <c r="G1890" s="2" t="s">
        <v>7</v>
      </c>
    </row>
    <row r="1891" spans="1:7" x14ac:dyDescent="0.25">
      <c r="A1891" s="4" t="str">
        <f>HYPERLINK("http://techcrunch.com/2012/07/18/dell-gives-linux-laptops-another-chance/","Dell Gives Linux Laptops Another Chance")</f>
        <v>Dell Gives Linux Laptops Another Chance</v>
      </c>
      <c r="B1891" s="4" t="str">
        <f>HYPERLINK("http://www.facebook.com/8062627951/posts/205541816240232","Any Linux laptop fans?")</f>
        <v>Any Linux laptop fans?</v>
      </c>
      <c r="C1891" s="3">
        <v>41108.463495370372</v>
      </c>
      <c r="D1891" s="2">
        <v>179</v>
      </c>
      <c r="E1891" s="2">
        <v>20</v>
      </c>
      <c r="F1891" s="2" t="s">
        <v>8</v>
      </c>
      <c r="G1891" s="2" t="s">
        <v>7</v>
      </c>
    </row>
    <row r="1892" spans="1:7" ht="30" x14ac:dyDescent="0.25">
      <c r="A1892" s="4" t="str">
        <f>HYPERLINK("http://techcrunch.com/2012/07/18/vinod-khosla-is-ready-to-disrupt-sf-get-your-extra-early-bird-tickets-now/","Vinod Khosla Is Ready To Disrupt SF. Get Your Extra Early Bird Tickets Now")</f>
        <v>Vinod Khosla Is Ready To Disrupt SF. Get Your Extra Early Bird Tickets Now</v>
      </c>
      <c r="B1892" s="4" t="str">
        <f>HYPERLINK("http://www.facebook.com/8062627951/posts/468018006544356","We are incredibly excited to have Vinod Khosla join us for Disrupt SF. Get your tickets now!")</f>
        <v>We are incredibly excited to have Vinod Khosla join us for Disrupt SF. Get your tickets now!</v>
      </c>
      <c r="C1892" s="3">
        <v>41108.419652777775</v>
      </c>
      <c r="D1892" s="2">
        <v>23</v>
      </c>
      <c r="E1892" s="2">
        <v>3</v>
      </c>
      <c r="F1892" s="2" t="s">
        <v>7</v>
      </c>
      <c r="G1892" s="2" t="s">
        <v>7</v>
      </c>
    </row>
    <row r="1893" spans="1:7" ht="30" x14ac:dyDescent="0.25">
      <c r="A1893" s="4" t="str">
        <f>HYPERLINK("http://www.facebook.com/photo.php?fbid=10151122610172952&amp;set=a.114456157951.118433.8062627951&amp;type=1&amp;relevant_count=1","[Photo]")</f>
        <v>[Photo]</v>
      </c>
      <c r="B1893" s="4" t="str">
        <f>HYPERLINK("http://www.facebook.com/8062627951/posts/10151122610242952","Visual anonymity: YouTube now lets you blur faces with just one click - http://tcrn.ch/NNuDPA")</f>
        <v>Visual anonymity: YouTube now lets you blur faces with just one click - http://tcrn.ch/NNuDPA</v>
      </c>
      <c r="C1893" s="3">
        <v>41108.390324074076</v>
      </c>
      <c r="D1893" s="2">
        <v>432</v>
      </c>
      <c r="E1893" s="2">
        <v>22</v>
      </c>
      <c r="F1893" s="2" t="s">
        <v>7</v>
      </c>
      <c r="G1893" s="2" t="s">
        <v>8</v>
      </c>
    </row>
    <row r="1894" spans="1:7" ht="30" x14ac:dyDescent="0.25">
      <c r="A1894" s="4" t="str">
        <f>HYPERLINK("http://techcrunch.com/2012/07/18/hardware-startups-join-us-at-techcrunch-disrupt-in-san-francisco-2/","Hardware Startups: Join Us At TechCrunch Disrupt In San Francisco")</f>
        <v>Hardware Startups: Join Us At TechCrunch Disrupt In San Francisco</v>
      </c>
      <c r="B1894" s="4" t="str">
        <f>HYPERLINK("http://www.facebook.com/8062627951/posts/347152118692648","Calling all hardware startups!")</f>
        <v>Calling all hardware startups!</v>
      </c>
      <c r="C1894" s="3">
        <v>41108.383611111109</v>
      </c>
      <c r="D1894" s="2">
        <v>32</v>
      </c>
      <c r="E1894" s="2">
        <v>0</v>
      </c>
      <c r="F1894" s="2" t="s">
        <v>7</v>
      </c>
      <c r="G1894" s="2" t="s">
        <v>7</v>
      </c>
    </row>
    <row r="1895" spans="1:7" ht="30" x14ac:dyDescent="0.25">
      <c r="A1895" s="4" t="str">
        <f>HYPERLINK("http://techcrunch.com/2012/07/18/dropbox-has-hired-outside-experts-to-investigate-possible-security-breach/","Dropbox Has Hired Outside Experts To Investigate Possible Security Breach")</f>
        <v>Dropbox Has Hired Outside Experts To Investigate Possible Security Breach</v>
      </c>
      <c r="B1895" s="4" t="str">
        <f>HYPERLINK("http://www.facebook.com/8062627951/posts/454491661251061","The spam attack &amp; related possible address leak at Dropbox may be more serious than we originally thought.")</f>
        <v>The spam attack &amp; related possible address leak at Dropbox may be more serious than we originally thought.</v>
      </c>
      <c r="C1895" s="3">
        <v>41108.350081018521</v>
      </c>
      <c r="D1895" s="2">
        <v>65</v>
      </c>
      <c r="E1895" s="2">
        <v>6</v>
      </c>
      <c r="F1895" s="2" t="s">
        <v>7</v>
      </c>
      <c r="G1895" s="2" t="s">
        <v>7</v>
      </c>
    </row>
    <row r="1896" spans="1:7" ht="30" x14ac:dyDescent="0.25">
      <c r="A1896" s="4" t="str">
        <f>HYPERLINK("http://techcrunch.com/2012/07/18/ipad-prototype/","Behold! The Early-2000s iPad Prototype That Started It All | TechCrunch")</f>
        <v>Behold! The Early-2000s iPad Prototype That Started It All | TechCrunch</v>
      </c>
      <c r="B1896" s="4" t="str">
        <f>HYPERLINK("http://www.facebook.com/8062627951/posts/331415530279539","A look at a very, very early iPad prototype.")</f>
        <v>A look at a very, very early iPad prototype.</v>
      </c>
      <c r="C1896" s="3">
        <v>41108.287303240744</v>
      </c>
      <c r="D1896" s="2">
        <v>106</v>
      </c>
      <c r="E1896" s="2">
        <v>14</v>
      </c>
      <c r="F1896" s="2" t="s">
        <v>7</v>
      </c>
      <c r="G1896" s="2" t="s">
        <v>7</v>
      </c>
    </row>
    <row r="1897" spans="1:7" ht="30" x14ac:dyDescent="0.25">
      <c r="A1897" s="4" t="str">
        <f>HYPERLINK("http://techcrunch.com/2012/07/18/att-to-roll-out-new-shared-data-plans-up-to-20gb-next-month/","AT&amp;T To Roll Out New Shared Data Plans Up To 20GB Next Month | TechCrunch")</f>
        <v>AT&amp;T To Roll Out New Shared Data Plans Up To 20GB Next Month | TechCrunch</v>
      </c>
      <c r="B1897" s="4" t="str">
        <f>HYPERLINK("http://www.facebook.com/8062627951/posts/338340069582560","Not to be outdone by Verizon, AT&amp;T just announced its own shared data plans. Anyone switching over?")</f>
        <v>Not to be outdone by Verizon, AT&amp;T just announced its own shared data plans. Anyone switching over?</v>
      </c>
      <c r="C1897" s="3">
        <v>41108.142465277779</v>
      </c>
      <c r="D1897" s="2">
        <v>32</v>
      </c>
      <c r="E1897" s="2">
        <v>29</v>
      </c>
      <c r="F1897" s="2" t="s">
        <v>8</v>
      </c>
      <c r="G1897" s="2" t="s">
        <v>7</v>
      </c>
    </row>
    <row r="1898" spans="1:7" ht="30" x14ac:dyDescent="0.25">
      <c r="A1898" s="4" t="str">
        <f>HYPERLINK("http://techcrunch.com/2012/07/17/google-puts-nail-in-the-coffin-for-static-analytics-real-time-now-the-only-option/","Google Puts Nail In The Coffin For Static Analytics, Real Time Now The Only Option")</f>
        <v>Google Puts Nail In The Coffin For Static Analytics, Real Time Now The Only Option</v>
      </c>
      <c r="B1898" s="4" t="str">
        <f>HYPERLINK("http://www.facebook.com/8062627951/posts/467275463290361","Google announced today that it will remove the old version of Google Analytics tomorrow...")</f>
        <v>Google announced today that it will remove the old version of Google Analytics tomorrow...</v>
      </c>
      <c r="C1898" s="3">
        <v>41107.904490740744</v>
      </c>
      <c r="D1898" s="2">
        <v>205</v>
      </c>
      <c r="E1898" s="2">
        <v>16</v>
      </c>
      <c r="F1898" s="2" t="s">
        <v>7</v>
      </c>
      <c r="G1898" s="2" t="s">
        <v>7</v>
      </c>
    </row>
    <row r="1899" spans="1:7" ht="30" x14ac:dyDescent="0.25">
      <c r="A1899" s="4" t="str">
        <f>HYPERLINK("http://techcrunch.com/2012/07/17/google-quietly-acq-hires-part-of-design-firm-cuban-council-for-google/","Google Quietly Acq-hires Part Of Design Firm Cuban Council For Google+")</f>
        <v>Google Quietly Acq-hires Part Of Design Firm Cuban Council For Google+</v>
      </c>
      <c r="B1899" s="4" t="str">
        <f>HYPERLINK("http://www.facebook.com/8062627951/posts/468204006532665","Sneaky.")</f>
        <v>Sneaky.</v>
      </c>
      <c r="C1899" s="3">
        <v>41107.682685185187</v>
      </c>
      <c r="D1899" s="2">
        <v>46</v>
      </c>
      <c r="E1899" s="2">
        <v>2</v>
      </c>
      <c r="F1899" s="2" t="s">
        <v>7</v>
      </c>
      <c r="G1899" s="2" t="s">
        <v>7</v>
      </c>
    </row>
    <row r="1900" spans="1:7" ht="45" x14ac:dyDescent="0.25">
      <c r="A1900" s="4" t="str">
        <f>HYPERLINK("http://techcrunch.com/2012/07/17/square-google-wallet-have-mobile-challenged-paypal-shaking-in-its-boots-enter-card-io/","Square, Google Wallet Have Mobile-Challenged PayPal Shaking In Its Boots: Enter card.io")</f>
        <v>Square, Google Wallet Have Mobile-Challenged PayPal Shaking In Its Boots: Enter card.io</v>
      </c>
      <c r="B1900" s="4" t="str">
        <f>HYPERLINK("http://www.facebook.com/8062627951/posts/331563463597893","Think Square or Google Wallet have anything to worry about?")</f>
        <v>Think Square or Google Wallet have anything to worry about?</v>
      </c>
      <c r="C1900" s="3">
        <v>41107.641504629632</v>
      </c>
      <c r="D1900" s="2">
        <v>31</v>
      </c>
      <c r="E1900" s="2">
        <v>10</v>
      </c>
      <c r="F1900" s="2" t="s">
        <v>8</v>
      </c>
      <c r="G1900" s="2" t="s">
        <v>7</v>
      </c>
    </row>
    <row r="1901" spans="1:7" ht="30" x14ac:dyDescent="0.25">
      <c r="A1901" s="4" t="str">
        <f>HYPERLINK("http://techcrunch.com/2012/07/17/paypal-acquires-mobile-payments-startup-card-io/","PayPal Acquires Mobile Payments Startup Card.io")</f>
        <v>PayPal Acquires Mobile Payments Startup Card.io</v>
      </c>
      <c r="B1901" s="4" t="str">
        <f>HYPERLINK("http://www.facebook.com/8062627951/posts/368874829845788","PayPal has acquired card.io")</f>
        <v>PayPal has acquired card.io</v>
      </c>
      <c r="C1901" s="3">
        <v>41107.587708333333</v>
      </c>
      <c r="D1901" s="2">
        <v>120</v>
      </c>
      <c r="E1901" s="2">
        <v>8</v>
      </c>
      <c r="F1901" s="2" t="s">
        <v>7</v>
      </c>
      <c r="G1901" s="2" t="s">
        <v>7</v>
      </c>
    </row>
    <row r="1902" spans="1:7" ht="30" x14ac:dyDescent="0.25">
      <c r="A1902" s="4" t="str">
        <f>HYPERLINK("http://www.facebook.com/photo.php?fbid=10151120836087952&amp;set=a.114456157951.118433.8062627951&amp;type=1&amp;relevant_count=1","[Photo]")</f>
        <v>[Photo]</v>
      </c>
      <c r="B1902" s="4" t="str">
        <f>HYPERLINK("http://www.facebook.com/8062627951/posts/10151120836127952","500 Startups Demo Day: Meet the 27 newest Dave McClure-approved startups - http://tcrn.ch/NTw1nz")</f>
        <v>500 Startups Demo Day: Meet the 27 newest Dave McClure-approved startups - http://tcrn.ch/NTw1nz</v>
      </c>
      <c r="C1902" s="3">
        <v>41107.542696759258</v>
      </c>
      <c r="D1902" s="2">
        <v>86</v>
      </c>
      <c r="E1902" s="2">
        <v>5</v>
      </c>
      <c r="F1902" s="2" t="s">
        <v>7</v>
      </c>
      <c r="G1902" s="2" t="s">
        <v>8</v>
      </c>
    </row>
    <row r="1903" spans="1:7" ht="45" x14ac:dyDescent="0.25">
      <c r="A1903" s="4" t="str">
        <f>HYPERLINK("http://techcrunch.com/2012/07/17/peter-thiel-eric-schmidt/","Peter Thiel To Eric Schmidt: Admit It, Google Is No Longer A Technology Company")</f>
        <v>Peter Thiel To Eric Schmidt: Admit It, Google Is No Longer A Technology Company</v>
      </c>
      <c r="B1903" s="4" t="str">
        <f>HYPERLINK("http://www.facebook.com/8062627951/posts/413239498712334","Do you consider Google a tech company?")</f>
        <v>Do you consider Google a tech company?</v>
      </c>
      <c r="C1903" s="3">
        <v>41107.505532407406</v>
      </c>
      <c r="D1903" s="2">
        <v>133</v>
      </c>
      <c r="E1903" s="2">
        <v>59</v>
      </c>
      <c r="F1903" s="2" t="s">
        <v>8</v>
      </c>
      <c r="G1903" s="2" t="s">
        <v>7</v>
      </c>
    </row>
    <row r="1904" spans="1:7" ht="30" x14ac:dyDescent="0.25">
      <c r="A1904" s="4" t="str">
        <f>HYPERLINK("http://techcrunch.com/2012/07/17/airtime-promo-video/","Airtime Aims To Win The Mainstream With Over-The-Top, Star-Studded Promo Video")</f>
        <v>Airtime Aims To Win The Mainstream With Over-The-Top, Star-Studded Promo Video</v>
      </c>
      <c r="B1904" s="4" t="str">
        <f>HYPERLINK("http://www.facebook.com/8062627951/posts/416184655098870","What do you think of Airtime?")</f>
        <v>What do you think of Airtime?</v>
      </c>
      <c r="C1904" s="3">
        <v>41107.451805555553</v>
      </c>
      <c r="D1904" s="2">
        <v>26</v>
      </c>
      <c r="E1904" s="2">
        <v>14</v>
      </c>
      <c r="F1904" s="2" t="s">
        <v>8</v>
      </c>
      <c r="G1904" s="2" t="s">
        <v>7</v>
      </c>
    </row>
    <row r="1905" spans="1:7" ht="30" x14ac:dyDescent="0.25">
      <c r="A1905" s="4" t="str">
        <f>HYPERLINK("http://techcrunch.com/2012/07/17/facebooks-peter-deng-and-greg-bardos-to-join-us-at-crunchup-2012/","Facebook’s Peter Deng And Greg Badros To Join Us At CrunchUp 2012")</f>
        <v>Facebook’s Peter Deng And Greg Badros To Join Us At CrunchUp 2012</v>
      </c>
      <c r="B1905" s="4" t="str">
        <f>HYPERLINK("http://www.facebook.com/8062627951/posts/246197028832478","Get your tickets now!")</f>
        <v>Get your tickets now!</v>
      </c>
      <c r="C1905" s="3">
        <v>41107.415127314816</v>
      </c>
      <c r="D1905" s="2">
        <v>10</v>
      </c>
      <c r="E1905" s="2">
        <v>0</v>
      </c>
      <c r="F1905" s="2" t="s">
        <v>7</v>
      </c>
      <c r="G1905" s="2" t="s">
        <v>7</v>
      </c>
    </row>
    <row r="1906" spans="1:7" ht="30" x14ac:dyDescent="0.25">
      <c r="A1906" s="4" t="str">
        <f>HYPERLINK("http://techcrunch.com/2012/07/17/watch-the-worlds-thinnest-smartphone-pound-a-nail-into-a-board/","Watch The World’s Thinnest Smartphone Pound A Nail Into A Board")</f>
        <v>Watch The World’s Thinnest Smartphone Pound A Nail Into A Board</v>
      </c>
      <c r="B1906" s="4" t="str">
        <f>HYPERLINK("http://www.facebook.com/8062627951/posts/327485280678467","Don't try this with your iPhone!")</f>
        <v>Don't try this with your iPhone!</v>
      </c>
      <c r="C1906" s="3">
        <v>41107.301226851851</v>
      </c>
      <c r="D1906" s="2">
        <v>135</v>
      </c>
      <c r="E1906" s="2">
        <v>18</v>
      </c>
      <c r="F1906" s="2" t="s">
        <v>7</v>
      </c>
      <c r="G1906" s="2" t="s">
        <v>7</v>
      </c>
    </row>
    <row r="1907" spans="1:7" ht="30" x14ac:dyDescent="0.25">
      <c r="A1907" s="4" t="str">
        <f>HYPERLINK("http://techcrunch.com/2012/07/16/augmented-reality-explorer-steve-mann-assaulted-at-parisian-mcdonalds/","Augmented Reality Explorer Steve Mann Assaulted At Parisian McDonald’s")</f>
        <v>Augmented Reality Explorer Steve Mann Assaulted At Parisian McDonald’s</v>
      </c>
      <c r="B1907" s="4" t="str">
        <f>HYPERLINK("http://www.facebook.com/8062627951/posts/287242511382655","Sigh.")</f>
        <v>Sigh.</v>
      </c>
      <c r="C1907" s="3">
        <v>41107.200358796297</v>
      </c>
      <c r="D1907" s="2">
        <v>41</v>
      </c>
      <c r="E1907" s="2">
        <v>9</v>
      </c>
      <c r="F1907" s="2" t="s">
        <v>7</v>
      </c>
      <c r="G1907" s="2" t="s">
        <v>7</v>
      </c>
    </row>
    <row r="1908" spans="1:7" ht="45" x14ac:dyDescent="0.25">
      <c r="A1908" s="4" t="str">
        <f>HYPERLINK("http://techcrunch.com/2012/07/16/pr-done-right-facebook-engineer-apologizes-on-reddit-for-imgur-mistake/","PR Done Right: Facebook Engineer Apologizes On Reddit For Blocking Imgur Links")</f>
        <v>PR Done Right: Facebook Engineer Apologizes On Reddit For Blocking Imgur Links</v>
      </c>
      <c r="B1908" s="4" t="str">
        <f>HYPERLINK("http://www.facebook.com/8062627951/posts/348597911885798","Good job, Matt Jones.")</f>
        <v>Good job, Matt Jones.</v>
      </c>
      <c r="C1908" s="3">
        <v>41106.961516203701</v>
      </c>
      <c r="D1908" s="2">
        <v>141</v>
      </c>
      <c r="E1908" s="2">
        <v>6</v>
      </c>
      <c r="F1908" s="2" t="s">
        <v>7</v>
      </c>
      <c r="G1908" s="2" t="s">
        <v>7</v>
      </c>
    </row>
    <row r="1909" spans="1:7" ht="45" x14ac:dyDescent="0.25">
      <c r="A1909" s="4" t="str">
        <f>HYPERLINK("http://techcrunch.com/2012/07/16/marissa-mayer-the-first-ever-pregnant-ceo-of-a-fortune-500-tech-company/","Marissa Mayer: The First Ever Pregnant CEO Of A Fortune 500 Tech Company?")</f>
        <v>Marissa Mayer: The First Ever Pregnant CEO Of A Fortune 500 Tech Company?</v>
      </c>
      <c r="B1909" s="4" t="str">
        <f>HYPERLINK("http://www.facebook.com/8062627951/posts/251914291577796","Marissa Mayer has announced that she is a pregnant and due to give birth to a boy in October 2012. Talk about a big news day.")</f>
        <v>Marissa Mayer has announced that she is a pregnant and due to give birth to a boy in October 2012. Talk about a big news day.</v>
      </c>
      <c r="C1909" s="3">
        <v>41106.88040509259</v>
      </c>
      <c r="D1909" s="2">
        <v>777</v>
      </c>
      <c r="E1909" s="2">
        <v>64</v>
      </c>
      <c r="F1909" s="2" t="s">
        <v>7</v>
      </c>
      <c r="G1909" s="2" t="s">
        <v>7</v>
      </c>
    </row>
    <row r="1910" spans="1:7" ht="45" x14ac:dyDescent="0.25">
      <c r="A1910" s="4" t="str">
        <f>HYPERLINK("http://techcrunch.com/2012/07/16/paul-maritz-out-as-vmware-ceo-and-mentioned-as-candidate-for-top-spot-at-emc-or-cloud-foundry-spin-off/","Paul Maritz Out As VMware CEO And Mentioned As Candidate For Top Spot At EMC Or Cloud Foundry Spin O")</f>
        <v>Paul Maritz Out As VMware CEO And Mentioned As Candidate For Top Spot At EMC Or Cloud Foundry Spin O</v>
      </c>
      <c r="B1910" s="4" t="str">
        <f>HYPERLINK("http://www.facebook.com/8062627951/posts/296835807081611","Paul Maritz is out as the CEO of VMware and will be replaced by EMC COO Pat Gelsinger.")</f>
        <v>Paul Maritz is out as the CEO of VMware and will be replaced by EMC COO Pat Gelsinger.</v>
      </c>
      <c r="C1910" s="3">
        <v>41106.876018518517</v>
      </c>
      <c r="D1910" s="2">
        <v>20</v>
      </c>
      <c r="E1910" s="2">
        <v>5</v>
      </c>
      <c r="F1910" s="2" t="s">
        <v>7</v>
      </c>
      <c r="G1910" s="2" t="s">
        <v>7</v>
      </c>
    </row>
    <row r="1911" spans="1:7" ht="45" x14ac:dyDescent="0.25">
      <c r="A1911" s="4" t="str">
        <f>HYPERLINK("http://techcrunch.com/2012/07/16/marc-andreessen-marissa-mayer-yahoo/","Marc Andreessen On Marissa Mayer Joining Yahoo: ‘It’s Great For The Valley’")</f>
        <v>Marc Andreessen On Marissa Mayer Joining Yahoo: ‘It’s Great For The Valley’</v>
      </c>
      <c r="B1911" s="4" t="str">
        <f>HYPERLINK("http://www.facebook.com/8062627951/posts/263098937132436","“Tech companies can in fact be turned around. The problem is, there aren’t a lot of Steve Jobs characters running around.”  Think Marissa Mayer has what it takes?")</f>
        <v>“Tech companies can in fact be turned around. The problem is, there aren’t a lot of Steve Jobs characters running around.”  Think Marissa Mayer has what it takes?</v>
      </c>
      <c r="C1911" s="3">
        <v>41106.653449074074</v>
      </c>
      <c r="D1911" s="2">
        <v>167</v>
      </c>
      <c r="E1911" s="2">
        <v>33</v>
      </c>
      <c r="F1911" s="2" t="s">
        <v>8</v>
      </c>
      <c r="G1911" s="2" t="s">
        <v>7</v>
      </c>
    </row>
    <row r="1912" spans="1:7" ht="30" x14ac:dyDescent="0.25">
      <c r="A1912" s="4" t="str">
        <f>HYPERLINK("http://techcrunch.com/2012/07/16/rip-donald-sobo/","Donald J. Sobol, Creator Of Encyclopedia Brown, Dead At 87")</f>
        <v>Donald J. Sobol, Creator Of Encyclopedia Brown, Dead At 87</v>
      </c>
      <c r="B1912" s="4" t="str">
        <f>HYPERLINK("http://www.facebook.com/8062627951/posts/124001511075787","RIP, Donald J. Sobol.")</f>
        <v>RIP, Donald J. Sobol.</v>
      </c>
      <c r="C1912" s="3">
        <v>41106.589907407404</v>
      </c>
      <c r="D1912" s="2">
        <v>45</v>
      </c>
      <c r="E1912" s="2">
        <v>8</v>
      </c>
      <c r="F1912" s="2" t="s">
        <v>7</v>
      </c>
      <c r="G1912" s="2" t="s">
        <v>7</v>
      </c>
    </row>
    <row r="1913" spans="1:7" ht="60" x14ac:dyDescent="0.25">
      <c r="A1913" s="4" t="str">
        <f>HYPERLINK("http://techcrunch.com/2012/07/16/southeast-meetup-tour-wrap-up-a-week-in-pictures-and-videos/","Southeast Meetup Tour Wrap-Up: A Week In Pictures (And Videos)")</f>
        <v>Southeast Meetup Tour Wrap-Up: A Week In Pictures (And Videos)</v>
      </c>
      <c r="B1913" s="4" t="s">
        <v>109</v>
      </c>
      <c r="C1913" s="3">
        <v>41106.568506944444</v>
      </c>
      <c r="D1913" s="2">
        <v>21</v>
      </c>
      <c r="E1913" s="2">
        <v>3</v>
      </c>
      <c r="F1913" s="2" t="s">
        <v>7</v>
      </c>
      <c r="G1913" s="2" t="s">
        <v>7</v>
      </c>
    </row>
    <row r="1914" spans="1:7" ht="30" x14ac:dyDescent="0.25">
      <c r="A1914" s="4" t="str">
        <f>HYPERLINK("http://www.facebook.com/photo.php?fbid=10151118524027952&amp;set=a.114456157951.118433.8062627951&amp;type=1&amp;relevant_count=1","[Photo]")</f>
        <v>[Photo]</v>
      </c>
      <c r="B1914" s="4" t="str">
        <f>HYPERLINK("http://www.facebook.com/8062627951/posts/10151118524242952","Google's Marissa Mayer to become Yahoo's new CEO - http://tcrn.ch/Md51iV")</f>
        <v>Google's Marissa Mayer to become Yahoo's new CEO - http://tcrn.ch/Md51iV</v>
      </c>
      <c r="C1914" s="3">
        <v>41106.510925925926</v>
      </c>
      <c r="D1914" s="2">
        <v>2116</v>
      </c>
      <c r="E1914" s="2">
        <v>268</v>
      </c>
      <c r="F1914" s="2" t="s">
        <v>7</v>
      </c>
      <c r="G1914" s="2" t="s">
        <v>8</v>
      </c>
    </row>
    <row r="1915" spans="1:7" ht="30" x14ac:dyDescent="0.25">
      <c r="A1915" s="4" t="str">
        <f>HYPERLINK("http://techcrunch.com/2012/07/16/pew-youtube-represents-new-kind-of-visual-journalism/","Pew: YouTube Represents New Kind Of “Visual Journalism”")</f>
        <v>Pew: YouTube Represents New Kind Of “Visual Journalism”</v>
      </c>
      <c r="B1915" s="4" t="str">
        <f>HYPERLINK("http://www.facebook.com/8062627951/posts/323917344364418","Looks like YouTube isn't just a place for cat videos anymore.")</f>
        <v>Looks like YouTube isn't just a place for cat videos anymore.</v>
      </c>
      <c r="C1915" s="3">
        <v>41106.468113425923</v>
      </c>
      <c r="D1915" s="2">
        <v>39</v>
      </c>
      <c r="E1915" s="2">
        <v>8</v>
      </c>
      <c r="F1915" s="2" t="s">
        <v>7</v>
      </c>
      <c r="G1915" s="2" t="s">
        <v>7</v>
      </c>
    </row>
    <row r="1916" spans="1:7" ht="30" x14ac:dyDescent="0.25">
      <c r="A1916" s="4" t="str">
        <f>HYPERLINK("http://techcrunch.com/2012/07/16/confirmed-linkedin-rolling-out-simpler-homepage-to-all-users-in-coming-weeks/","Confirmed: LinkedIn Rolling Out ‘Simpler’ Homepage To All Users In Coming Weeks")</f>
        <v>Confirmed: LinkedIn Rolling Out ‘Simpler’ Homepage To All Users In Coming Weeks</v>
      </c>
      <c r="B1916" s="4" t="str">
        <f>HYPERLINK("http://www.facebook.com/8062627951/posts/337207443027929","What do you think of the changes?")</f>
        <v>What do you think of the changes?</v>
      </c>
      <c r="C1916" s="3">
        <v>41106.427858796298</v>
      </c>
      <c r="D1916" s="2">
        <v>57</v>
      </c>
      <c r="E1916" s="2">
        <v>10</v>
      </c>
      <c r="F1916" s="2" t="s">
        <v>8</v>
      </c>
      <c r="G1916" s="2" t="s">
        <v>7</v>
      </c>
    </row>
    <row r="1917" spans="1:7" x14ac:dyDescent="0.25">
      <c r="A1917" s="4" t="str">
        <f>HYPERLINK("http://www.facebook.com/photo.php?fbid=10151118264202952&amp;set=a.114456157951.118433.8062627951&amp;type=1&amp;relevant_count=1","[Photo]")</f>
        <v>[Photo]</v>
      </c>
      <c r="B1917" s="4" t="str">
        <f>HYPERLINK("http://www.facebook.com/8062627951/posts/10151118264242952","Who's excited for Office 2013? - http://tcrn.ch/M330Dm")</f>
        <v>Who's excited for Office 2013? - http://tcrn.ch/M330Dm</v>
      </c>
      <c r="C1917" s="3">
        <v>41106.414409722223</v>
      </c>
      <c r="D1917" s="2">
        <v>585</v>
      </c>
      <c r="E1917" s="2">
        <v>140</v>
      </c>
      <c r="F1917" s="2" t="s">
        <v>8</v>
      </c>
      <c r="G1917" s="2" t="s">
        <v>8</v>
      </c>
    </row>
    <row r="1918" spans="1:7" ht="30" x14ac:dyDescent="0.25">
      <c r="A1918" s="4" t="str">
        <f>HYPERLINK("http://techcrunch.com/2012/07/16/leaked-iphone-5-front-casing-shows-centered-facetime-camera/","“Leaked” iPhone 5 Front Casing Shows Centered FaceTime Camera")</f>
        <v>“Leaked” iPhone 5 Front Casing Shows Centered FaceTime Camera</v>
      </c>
      <c r="B1918" s="4" t="str">
        <f>HYPERLINK("http://www.facebook.com/8062627951/posts/363032160435796","Another day, another leak.")</f>
        <v>Another day, another leak.</v>
      </c>
      <c r="C1918" s="3">
        <v>41106.386377314811</v>
      </c>
      <c r="D1918" s="2">
        <v>61</v>
      </c>
      <c r="E1918" s="2">
        <v>13</v>
      </c>
      <c r="F1918" s="2" t="s">
        <v>7</v>
      </c>
      <c r="G1918" s="2" t="s">
        <v>7</v>
      </c>
    </row>
    <row r="1919" spans="1:7" x14ac:dyDescent="0.25">
      <c r="A1919" s="4" t="str">
        <f>HYPERLINK("http://techcrunch.com/2012/07/15/omg-he-likes-it-he-really-likes-it/","An iPad Lover’s Take On The Nexus 7")</f>
        <v>An iPad Lover’s Take On The Nexus 7</v>
      </c>
      <c r="B1919" s="4" t="str">
        <f>HYPERLINK("http://www.facebook.com/8062627951/posts/334742813275733","Thoughts on the Nexus 7 by an iPad lover...")</f>
        <v>Thoughts on the Nexus 7 by an iPad lover...</v>
      </c>
      <c r="C1919" s="3">
        <v>41105.825324074074</v>
      </c>
      <c r="D1919" s="2">
        <v>211</v>
      </c>
      <c r="E1919" s="2">
        <v>19</v>
      </c>
      <c r="F1919" s="2" t="s">
        <v>7</v>
      </c>
      <c r="G1919" s="2" t="s">
        <v>7</v>
      </c>
    </row>
    <row r="1920" spans="1:7" ht="60" x14ac:dyDescent="0.25">
      <c r="A1920" s="4" t="str">
        <f>HYPERLINK("http://techcrunch.com/2012/07/15/ced-program-director-dhruv-patel-on-north-carolinas-startup-scene/","CED Program Director Dhruv Patel On North Carolina’s Startup Scene")</f>
        <v>CED Program Director Dhruv Patel On North Carolina’s Startup Scene</v>
      </c>
      <c r="B1920" s="4" t="s">
        <v>110</v>
      </c>
      <c r="C1920" s="3">
        <v>41105.792083333334</v>
      </c>
      <c r="D1920" s="2">
        <v>29</v>
      </c>
      <c r="E1920" s="2">
        <v>0</v>
      </c>
      <c r="F1920" s="2" t="s">
        <v>7</v>
      </c>
      <c r="G1920" s="2" t="s">
        <v>7</v>
      </c>
    </row>
    <row r="1921" spans="1:7" x14ac:dyDescent="0.25">
      <c r="A1921" s="4" t="str">
        <f>HYPERLINK("http://techcrunch.com/2012/07/15/how-will-the-web-monetize-in-2020/","How Will The Web Monetize In 2020?")</f>
        <v>How Will The Web Monetize In 2020?</v>
      </c>
      <c r="B1921" s="4" t="str">
        <f>HYPERLINK("http://www.facebook.com/8062627951/posts/163448333780003","Any guesses?")</f>
        <v>Any guesses?</v>
      </c>
      <c r="C1921" s="3">
        <v>41105.706944444442</v>
      </c>
      <c r="D1921" s="2">
        <v>60</v>
      </c>
      <c r="E1921" s="2">
        <v>8</v>
      </c>
      <c r="F1921" s="2" t="s">
        <v>8</v>
      </c>
      <c r="G1921" s="2" t="s">
        <v>7</v>
      </c>
    </row>
    <row r="1922" spans="1:7" x14ac:dyDescent="0.25">
      <c r="A1922" s="4" t="str">
        <f>HYPERLINK("http://techcrunch.com/2012/07/15/what-google-is/","What Google Is")</f>
        <v>What Google Is</v>
      </c>
      <c r="B1922" s="4" t="str">
        <f>HYPERLINK("http://www.facebook.com/8062627951/posts/104124566400542","What is Google to you?")</f>
        <v>What is Google to you?</v>
      </c>
      <c r="C1922" s="3">
        <v>41105.610393518517</v>
      </c>
      <c r="D1922" s="2">
        <v>67</v>
      </c>
      <c r="E1922" s="2">
        <v>33</v>
      </c>
      <c r="F1922" s="2" t="s">
        <v>8</v>
      </c>
      <c r="G1922" s="2" t="s">
        <v>7</v>
      </c>
    </row>
    <row r="1923" spans="1:7" ht="30" x14ac:dyDescent="0.25">
      <c r="A1923" s="4" t="str">
        <f>HYPERLINK("http://techcrunch.com/2012/07/15/four-trends-in-the-public-technology-market/","Four Trends In The Public Technology Market")</f>
        <v>Four Trends In The Public Technology Market</v>
      </c>
      <c r="B1923" s="4" t="str">
        <f>HYPERLINK("http://www.facebook.com/8062627951/posts/412619212118135","Four trends.")</f>
        <v>Four trends.</v>
      </c>
      <c r="C1923" s="3">
        <v>41105.560266203705</v>
      </c>
      <c r="D1923" s="2">
        <v>79</v>
      </c>
      <c r="E1923" s="2">
        <v>1</v>
      </c>
      <c r="F1923" s="2" t="s">
        <v>7</v>
      </c>
      <c r="G1923" s="2" t="s">
        <v>7</v>
      </c>
    </row>
    <row r="1924" spans="1:7" ht="45" x14ac:dyDescent="0.25">
      <c r="A1924" s="4" t="str">
        <f>HYPERLINK("http://techcrunch.com/2012/07/14/twilio-evangelist-builds-popular-phone-powered-rolling-robot-hints-flying-bot-is-next/","Twilio Evangelist Builds Popular Phone-Powered Rolling Robot, Hints Flying Bot Is Next")</f>
        <v>Twilio Evangelist Builds Popular Phone-Powered Rolling Robot, Hints Flying Bot Is Next</v>
      </c>
      <c r="B1924" s="4" t="str">
        <f>HYPERLINK("http://www.facebook.com/8062627951/posts/341176032631312","Who likes robots?")</f>
        <v>Who likes robots?</v>
      </c>
      <c r="C1924" s="3">
        <v>41105.495636574073</v>
      </c>
      <c r="D1924" s="2">
        <v>29</v>
      </c>
      <c r="E1924" s="2">
        <v>4</v>
      </c>
      <c r="F1924" s="2" t="s">
        <v>8</v>
      </c>
      <c r="G1924" s="2" t="s">
        <v>7</v>
      </c>
    </row>
    <row r="1925" spans="1:7" ht="30" x14ac:dyDescent="0.25">
      <c r="A1925" s="4" t="str">
        <f>HYPERLINK("http://techcrunch.com/2012/07/15/how-to-prepare-your-startup-to-raise-an-angel-round/","How To Prepare Your Startup To Raise An Angel Round")</f>
        <v>How To Prepare Your Startup To Raise An Angel Round</v>
      </c>
      <c r="B1925" s="4" t="str">
        <f>HYPERLINK("http://www.facebook.com/8062627951/posts/147542505383219","If you want top tier funding, there is a process or roadmap in most cases you can follow.")</f>
        <v>If you want top tier funding, there is a process or roadmap in most cases you can follow.</v>
      </c>
      <c r="C1925" s="3">
        <v>41105.420115740744</v>
      </c>
      <c r="D1925" s="2">
        <v>89</v>
      </c>
      <c r="E1925" s="2">
        <v>1</v>
      </c>
      <c r="F1925" s="2" t="s">
        <v>7</v>
      </c>
      <c r="G1925" s="2" t="s">
        <v>7</v>
      </c>
    </row>
    <row r="1926" spans="1:7" x14ac:dyDescent="0.25">
      <c r="A1926" s="4" t="str">
        <f>HYPERLINK("http://techcrunch.com/2012/07/14/paths-consistency-of-tone/","Path’s Consistency Of Tone")</f>
        <v>Path’s Consistency Of Tone</v>
      </c>
      <c r="B1926" s="4" t="str">
        <f>HYPERLINK("http://www.facebook.com/8062627951/posts/249214765197589","How many of you use Path?")</f>
        <v>How many of you use Path?</v>
      </c>
      <c r="C1926" s="3">
        <v>41104.730520833335</v>
      </c>
      <c r="D1926" s="2">
        <v>218</v>
      </c>
      <c r="E1926" s="2">
        <v>38</v>
      </c>
      <c r="F1926" s="2" t="s">
        <v>8</v>
      </c>
      <c r="G1926" s="2" t="s">
        <v>7</v>
      </c>
    </row>
    <row r="1927" spans="1:7" ht="45" x14ac:dyDescent="0.25">
      <c r="A1927" s="4" t="str">
        <f>HYPERLINK("http://techcrunch.com/2012/07/14/social-network-at-the-pool-releases-techcrunch-pool-in-advance-of-mondays-launch/","Social Network At The Pool Releases TechCrunch “Pool” In Advance of Monday’s Launch")</f>
        <v>Social Network At The Pool Releases TechCrunch “Pool” In Advance of Monday’s Launch</v>
      </c>
      <c r="B1927" s="4" t="str">
        <f>HYPERLINK("http://www.facebook.com/8062627951/posts/452815628077050","Want to spend the weekend making new friends or meeting people with similar interests? A new startup called At The Pool can help.")</f>
        <v>Want to spend the weekend making new friends or meeting people with similar interests? A new startup called At The Pool can help.</v>
      </c>
      <c r="C1927" s="3">
        <v>41104.618252314816</v>
      </c>
      <c r="D1927" s="2">
        <v>76</v>
      </c>
      <c r="E1927" s="2">
        <v>21</v>
      </c>
      <c r="F1927" s="2" t="s">
        <v>8</v>
      </c>
      <c r="G1927" s="2" t="s">
        <v>7</v>
      </c>
    </row>
    <row r="1928" spans="1:7" ht="30" x14ac:dyDescent="0.25">
      <c r="A1928" s="4" t="str">
        <f>HYPERLINK("http://techcrunch.com/2012/07/14/rim-ordered-to-pay-out-147-million-over-mformation-patent-scuffle/","RIM Ordered To Pay Out $147 Million Over Mformation Patent Scuffle")</f>
        <v>RIM Ordered To Pay Out $147 Million Over Mformation Patent Scuffle</v>
      </c>
      <c r="B1928" s="4" t="str">
        <f>HYPERLINK("http://www.facebook.com/8062627951/posts/395479907175106","And the rough ride continues for RIM")</f>
        <v>And the rough ride continues for RIM</v>
      </c>
      <c r="C1928" s="3">
        <v>41104.51363425926</v>
      </c>
      <c r="D1928" s="2">
        <v>54</v>
      </c>
      <c r="E1928" s="2">
        <v>77</v>
      </c>
      <c r="F1928" s="2" t="s">
        <v>7</v>
      </c>
      <c r="G1928" s="2" t="s">
        <v>7</v>
      </c>
    </row>
    <row r="1929" spans="1:7" x14ac:dyDescent="0.25">
      <c r="A1929" s="4" t="str">
        <f>HYPERLINK("http://techcrunch.com/2012/07/14/what-exactly-is-github-anyway/","What Exactly Is GitHub Anyway?")</f>
        <v>What Exactly Is GitHub Anyway?</v>
      </c>
      <c r="B1929" s="4" t="str">
        <f>HYPERLINK("http://www.facebook.com/8062627951/posts/392085824180559","Do you know?")</f>
        <v>Do you know?</v>
      </c>
      <c r="C1929" s="3">
        <v>41104.468518518515</v>
      </c>
      <c r="D1929" s="2">
        <v>147</v>
      </c>
      <c r="E1929" s="2">
        <v>133</v>
      </c>
      <c r="F1929" s="2" t="s">
        <v>8</v>
      </c>
      <c r="G1929" s="2" t="s">
        <v>7</v>
      </c>
    </row>
    <row r="1930" spans="1:7" ht="30" x14ac:dyDescent="0.25">
      <c r="A1930" s="4" t="str">
        <f>HYPERLINK("http://techcrunch.com/2012/07/13/bbc-finds-badly-targeted-facebook-ads-dont-work-no-kidding/","BBC Finds Badly Targeted Facebook Ads Don’t Work. No Kidding.")</f>
        <v>BBC Finds Badly Targeted Facebook Ads Don’t Work. No Kidding.</v>
      </c>
      <c r="B1930" s="4" t="str">
        <f>HYPERLINK("http://www.facebook.com/8062627951/posts/318375194919169","Shocking...")</f>
        <v>Shocking...</v>
      </c>
      <c r="C1930" s="3">
        <v>41104.423946759256</v>
      </c>
      <c r="D1930" s="2">
        <v>102</v>
      </c>
      <c r="E1930" s="2">
        <v>396</v>
      </c>
      <c r="F1930" s="2" t="s">
        <v>7</v>
      </c>
      <c r="G1930" s="2" t="s">
        <v>7</v>
      </c>
    </row>
    <row r="1931" spans="1:7" ht="30" x14ac:dyDescent="0.25">
      <c r="A1931" s="4" t="str">
        <f>HYPERLINK("http://techcrunch.com/2012/07/13/which-moguls-are-attending-sun-valley-this-year-well-heres-the-complete-list/","Which Moguls Are Attending Sun Valley This Year? Well Here’s The Complete List")</f>
        <v>Which Moguls Are Attending Sun Valley This Year? Well Here’s The Complete List</v>
      </c>
      <c r="B1931" s="4" t="str">
        <f>HYPERLINK("http://www.facebook.com/8062627951/posts/249151261870038","Who would you be most excited to see?")</f>
        <v>Who would you be most excited to see?</v>
      </c>
      <c r="C1931" s="3">
        <v>41103.740763888891</v>
      </c>
      <c r="D1931" s="2">
        <v>25</v>
      </c>
      <c r="E1931" s="2">
        <v>4</v>
      </c>
      <c r="F1931" s="2" t="s">
        <v>8</v>
      </c>
      <c r="G1931" s="2" t="s">
        <v>7</v>
      </c>
    </row>
    <row r="1932" spans="1:7" ht="30" x14ac:dyDescent="0.25">
      <c r="A1932" s="4" t="str">
        <f>HYPERLINK("http://www.facebook.com/photo.php?fbid=10151112640377952&amp;set=a.114456157951.118433.8062627951&amp;type=1&amp;relevant_count=1","[Photo]")</f>
        <v>[Photo]</v>
      </c>
      <c r="B1932" s="4" t="str">
        <f>HYPERLINK("http://www.facebook.com/8062627951/posts/10151112640417952","Today in brilliant marketing strategies: Uber delivers ice cream - http://tcrn.ch/NzTgD5")</f>
        <v>Today in brilliant marketing strategies: Uber delivers ice cream - http://tcrn.ch/NzTgD5</v>
      </c>
      <c r="C1932" s="3">
        <v>41103.640115740738</v>
      </c>
      <c r="D1932" s="2">
        <v>146</v>
      </c>
      <c r="E1932" s="2">
        <v>17</v>
      </c>
      <c r="F1932" s="2" t="s">
        <v>7</v>
      </c>
      <c r="G1932" s="2" t="s">
        <v>8</v>
      </c>
    </row>
    <row r="1933" spans="1:7" ht="30" x14ac:dyDescent="0.25">
      <c r="A1933" s="4" t="str">
        <f>HYPERLINK("http://techcrunch.com/2012/07/13/chrome-cds-at-best-buy/","Google Starts Giving Away Free CDs With Chrome At Best Buy")</f>
        <v>Google Starts Giving Away Free CDs With Chrome At Best Buy</v>
      </c>
      <c r="B1933" s="4" t="str">
        <f>HYPERLINK("http://www.facebook.com/8062627951/posts/149533798517012","Go get 'em.")</f>
        <v>Go get 'em.</v>
      </c>
      <c r="C1933" s="3">
        <v>41103.596145833333</v>
      </c>
      <c r="D1933" s="2">
        <v>68</v>
      </c>
      <c r="E1933" s="2">
        <v>29</v>
      </c>
      <c r="F1933" s="2" t="s">
        <v>7</v>
      </c>
      <c r="G1933" s="2" t="s">
        <v>7</v>
      </c>
    </row>
    <row r="1934" spans="1:7" ht="45" x14ac:dyDescent="0.25">
      <c r="A1934" s="4" t="str">
        <f>HYPERLINK("http://techcrunch.com/2012/07/13/brewsters-address-book-app-briefly-exposes-ashton-kutchers-others-private-data-company-says-its-fixed/","Brewster’s Address Book App Briefly Exposes Ashton Kutcher’s &amp; Others’ Private Data; Company Says It")</f>
        <v>Brewster’s Address Book App Briefly Exposes Ashton Kutcher’s &amp; Others’ Private Data; Company Says It</v>
      </c>
      <c r="B1934" s="4" t="str">
        <f>HYPERLINK("http://www.facebook.com/8062627951/posts/496732283673805","Oops.")</f>
        <v>Oops.</v>
      </c>
      <c r="C1934" s="3">
        <v>41103.500555555554</v>
      </c>
      <c r="D1934" s="2">
        <v>28</v>
      </c>
      <c r="E1934" s="2">
        <v>6</v>
      </c>
      <c r="F1934" s="2" t="s">
        <v>7</v>
      </c>
      <c r="G1934" s="2" t="s">
        <v>7</v>
      </c>
    </row>
    <row r="1935" spans="1:7" ht="30" x14ac:dyDescent="0.25">
      <c r="A1935" s="4" t="str">
        <f>HYPERLINK("http://techcrunch.com/2012/07/13/confirmed-google-has-begun-shipping-all-those-pre-ordered-nexus-7s/","Confirmed: Google Has Begun Shipping All Those Pre-Ordered Nexus 7s")</f>
        <v>Confirmed: Google Has Begun Shipping All Those Pre-Ordered Nexus 7s</v>
      </c>
      <c r="B1935" s="4" t="str">
        <f>HYPERLINK("http://www.facebook.com/8062627951/posts/319112094849114","For those of you who pre-ordered, you should be getting your Nexus 7s very soon. Excited?")</f>
        <v>For those of you who pre-ordered, you should be getting your Nexus 7s very soon. Excited?</v>
      </c>
      <c r="C1935" s="3">
        <v>41103.489745370367</v>
      </c>
      <c r="D1935" s="2">
        <v>81</v>
      </c>
      <c r="E1935" s="2">
        <v>7</v>
      </c>
      <c r="F1935" s="2" t="s">
        <v>8</v>
      </c>
      <c r="G1935" s="2" t="s">
        <v>7</v>
      </c>
    </row>
    <row r="1936" spans="1:7" ht="30" x14ac:dyDescent="0.25">
      <c r="A1936" s="4" t="str">
        <f>HYPERLINK("http://techcrunch.com/2012/07/13/google-mytracks-2-0/","Google Launches MyTracks 2.0 GPS App For Hikers, Bikers &amp; Runners")</f>
        <v>Google Launches MyTracks 2.0 GPS App For Hikers, Bikers &amp; Runners</v>
      </c>
      <c r="B1936" s="4" t="str">
        <f>HYPERLINK("http://www.facebook.com/8062627951/posts/306839839412764","Calling all bikers, hikers and runners")</f>
        <v>Calling all bikers, hikers and runners</v>
      </c>
      <c r="C1936" s="3">
        <v>41103.451354166667</v>
      </c>
      <c r="D1936" s="2">
        <v>152</v>
      </c>
      <c r="E1936" s="2">
        <v>7</v>
      </c>
      <c r="F1936" s="2" t="s">
        <v>7</v>
      </c>
      <c r="G1936" s="2" t="s">
        <v>7</v>
      </c>
    </row>
    <row r="1937" spans="1:7" x14ac:dyDescent="0.25">
      <c r="A1937" s="4" t="str">
        <f>HYPERLINK("http://techcrunch.com/2012/07/13/can-you-pronounce-huawei/","Can You Pronounce Huawei?")</f>
        <v>Can You Pronounce Huawei?</v>
      </c>
      <c r="B1937" s="4" t="str">
        <f>HYPERLINK("http://www.facebook.com/8062627951/posts/152867331503696","Hua - wha?")</f>
        <v>Hua - wha?</v>
      </c>
      <c r="C1937" s="3">
        <v>41103.428668981483</v>
      </c>
      <c r="D1937" s="2">
        <v>78</v>
      </c>
      <c r="E1937" s="2">
        <v>43</v>
      </c>
      <c r="F1937" s="2" t="s">
        <v>8</v>
      </c>
      <c r="G1937" s="2" t="s">
        <v>7</v>
      </c>
    </row>
    <row r="1938" spans="1:7" ht="45" x14ac:dyDescent="0.25">
      <c r="A1938" s="4" t="str">
        <f>HYPERLINK("http://techcrunch.com/2012/07/13/san-francisco-mayor-ed-lee-and-ron-conway-are-ready-to-rock-out-at-disrupt-sf/","San Francisco Mayor Ed Lee And Ron Conway Are Ready To Rock Out At Disrupt SF")</f>
        <v>San Francisco Mayor Ed Lee And Ron Conway Are Ready To Rock Out At Disrupt SF</v>
      </c>
      <c r="B1938" s="4" t="str">
        <f>HYPERLINK("http://www.facebook.com/8062627951/posts/408254325879100","Have you bought your tickets yet?  Also, Startup Battlefield applications end tonight at midnight. Get yours in now.")</f>
        <v>Have you bought your tickets yet?  Also, Startup Battlefield applications end tonight at midnight. Get yours in now.</v>
      </c>
      <c r="C1938" s="3">
        <v>41103.390520833331</v>
      </c>
      <c r="D1938" s="2">
        <v>19</v>
      </c>
      <c r="E1938" s="2">
        <v>0</v>
      </c>
      <c r="F1938" s="2" t="s">
        <v>8</v>
      </c>
      <c r="G1938" s="2" t="s">
        <v>7</v>
      </c>
    </row>
    <row r="1939" spans="1:7" ht="30" x14ac:dyDescent="0.25">
      <c r="A1939" s="4" t="str">
        <f>HYPERLINK("http://techcrunch.com/2012/07/13/fake-or-not-these-iphone-5-images-paint-a-pretty-realistic-picture/","Fake Or Not, These iPhone 5 Images Paint A Pretty Realistic Picture | TechCrunch")</f>
        <v>Fake Or Not, These iPhone 5 Images Paint A Pretty Realistic Picture | TechCrunch</v>
      </c>
      <c r="B1939" s="4" t="str">
        <f>HYPERLINK("http://www.facebook.com/8062627951/posts/341606232580345","More alleged pics of the next iPhone.")</f>
        <v>More alleged pics of the next iPhone.</v>
      </c>
      <c r="C1939" s="3">
        <v>41103.22378472222</v>
      </c>
      <c r="D1939" s="2">
        <v>68</v>
      </c>
      <c r="E1939" s="2">
        <v>14</v>
      </c>
      <c r="F1939" s="2" t="s">
        <v>7</v>
      </c>
      <c r="G1939" s="2" t="s">
        <v>7</v>
      </c>
    </row>
    <row r="1940" spans="1:7" ht="30" x14ac:dyDescent="0.25">
      <c r="A1940" s="4" t="str">
        <f>HYPERLINK("http://techcrunch.com/2012/07/12/digg-sold-to-linkedin-and-the-washington-post-and-betaworks/","Digg Sold To LinkedIn AND The Washington Post And Betaworks")</f>
        <v>Digg Sold To LinkedIn AND The Washington Post And Betaworks</v>
      </c>
      <c r="B1940" s="4" t="str">
        <f>HYPERLINK("http://www.facebook.com/8062627951/posts/376255079107240","Update: The total price of the Digg acquisition was around $16 million.")</f>
        <v>Update: The total price of the Digg acquisition was around $16 million.</v>
      </c>
      <c r="C1940" s="3">
        <v>41102.851851851854</v>
      </c>
      <c r="D1940" s="2">
        <v>129</v>
      </c>
      <c r="E1940" s="2">
        <v>17</v>
      </c>
      <c r="F1940" s="2" t="s">
        <v>7</v>
      </c>
      <c r="G1940" s="2" t="s">
        <v>7</v>
      </c>
    </row>
    <row r="1941" spans="1:7" ht="45" x14ac:dyDescent="0.25">
      <c r="A1941" s="4" t="str">
        <f>HYPERLINK("http://techcrunch.com/2012/07/12/eric-schmidt-google-self-driving-cars-should-become-the-predominant-mode-of-transport-in-our-lifetime/","Eric Schmidt: Google Self-Driving Cars Should Become The Predominant Mode Of Transport In Our Lifeti")</f>
        <v>Eric Schmidt: Google Self-Driving Cars Should Become The Predominant Mode Of Transport In Our Lifeti</v>
      </c>
      <c r="B1941" s="4" t="str">
        <f>HYPERLINK("http://www.facebook.com/8062627951/posts/263022567130775","Would you let one drive you?")</f>
        <v>Would you let one drive you?</v>
      </c>
      <c r="C1941" s="3">
        <v>41102.717175925929</v>
      </c>
      <c r="D1941" s="2">
        <v>256</v>
      </c>
      <c r="E1941" s="2">
        <v>97</v>
      </c>
      <c r="F1941" s="2" t="s">
        <v>8</v>
      </c>
      <c r="G1941" s="2" t="s">
        <v>7</v>
      </c>
    </row>
    <row r="1942" spans="1:7" ht="45" x14ac:dyDescent="0.25">
      <c r="A1942" s="4" t="str">
        <f>HYPERLINK("http://www.facebook.com/photo.php?fbid=10151110570297952&amp;set=a.114456157951.118433.8062627951&amp;type=1&amp;relevant_count=1","[Photo]")</f>
        <v>[Photo]</v>
      </c>
      <c r="B1942" s="4" t="str">
        <f>HYPERLINK("http://www.facebook.com/8062627951/posts/10151110570352952","August Capital Summer Party Tickets Released!    Get your tickets now! This is one summer party you don't want to miss - http://tcrn.ch/NbQghv")</f>
        <v>August Capital Summer Party Tickets Released!    Get your tickets now! This is one summer party you don't want to miss - http://tcrn.ch/NbQghv</v>
      </c>
      <c r="C1942" s="3">
        <v>41102.618356481478</v>
      </c>
      <c r="D1942" s="2">
        <v>29</v>
      </c>
      <c r="E1942" s="2">
        <v>1</v>
      </c>
      <c r="F1942" s="2" t="s">
        <v>7</v>
      </c>
      <c r="G1942" s="2" t="s">
        <v>8</v>
      </c>
    </row>
    <row r="1943" spans="1:7" ht="30" x14ac:dyDescent="0.25">
      <c r="A1943" s="4" t="str">
        <f>HYPERLINK("http://techcrunch.com/2012/07/12/betaworks-acquires-digg/","Betaworks Acquires Digg")</f>
        <v>Betaworks Acquires Digg</v>
      </c>
      <c r="B1943" s="4" t="str">
        <f>HYPERLINK("http://www.facebook.com/8062627951/posts/495171653830913","Betaworks, the company behind bit.ly, news.me, Chartbeat and others, has acquired the social news site Digg.com")</f>
        <v>Betaworks, the company behind bit.ly, news.me, Chartbeat and others, has acquired the social news site Digg.com</v>
      </c>
      <c r="C1943" s="3">
        <v>41102.526412037034</v>
      </c>
      <c r="D1943" s="2">
        <v>65</v>
      </c>
      <c r="E1943" s="2">
        <v>14</v>
      </c>
      <c r="F1943" s="2" t="s">
        <v>7</v>
      </c>
      <c r="G1943" s="2" t="s">
        <v>7</v>
      </c>
    </row>
    <row r="1944" spans="1:7" ht="45" x14ac:dyDescent="0.25">
      <c r="A1944" s="4" t="str">
        <f>HYPERLINK("http://techcrunch.com/2012/07/12/android-and-ios-still-lead-in-smartphone-market-share-but-the-race-for-third-rages-on/","Android And iOS Still Lead In Smartphone Market Share, But The Race For Third Rages On")</f>
        <v>Android And iOS Still Lead In Smartphone Market Share, But The Race For Third Rages On</v>
      </c>
      <c r="B1944" s="4" t="str">
        <f>HYPERLINK("http://www.facebook.com/8062627951/posts/413487375370707","Who do you think will be 3rd?")</f>
        <v>Who do you think will be 3rd?</v>
      </c>
      <c r="C1944" s="3">
        <v>41102.522187499999</v>
      </c>
      <c r="D1944" s="2">
        <v>45</v>
      </c>
      <c r="E1944" s="2">
        <v>33</v>
      </c>
      <c r="F1944" s="2" t="s">
        <v>8</v>
      </c>
      <c r="G1944" s="2" t="s">
        <v>7</v>
      </c>
    </row>
    <row r="1945" spans="1:7" ht="30" x14ac:dyDescent="0.25">
      <c r="A1945" s="4" t="str">
        <f>HYPERLINK("http://www.facebook.com/photo.php?fbid=10151110253877952&amp;set=a.114456157951.118433.8062627951&amp;type=1&amp;relevant_count=1","[Photo]")</f>
        <v>[Photo]</v>
      </c>
      <c r="B1945" s="4" t="str">
        <f>HYPERLINK("http://www.facebook.com/8062627951/posts/10151110253912952","With Teeology, Jennifer Lopez is the newest celebrity in the e-commerce startup space - http://tcrn.ch/OAAMQd")</f>
        <v>With Teeology, Jennifer Lopez is the newest celebrity in the e-commerce startup space - http://tcrn.ch/OAAMQd</v>
      </c>
      <c r="C1945" s="3">
        <v>41102.489872685182</v>
      </c>
      <c r="D1945" s="2">
        <v>98</v>
      </c>
      <c r="E1945" s="2">
        <v>14</v>
      </c>
      <c r="F1945" s="2" t="s">
        <v>7</v>
      </c>
      <c r="G1945" s="2" t="s">
        <v>8</v>
      </c>
    </row>
    <row r="1946" spans="1:7" ht="30" x14ac:dyDescent="0.25">
      <c r="A1946" s="4" t="str">
        <f>HYPERLINK("http://techcrunch.com/2012/06/18/why-you-should-apply-for-the-techcrunch-disrupt-startup-battlefield/","Why You Should Apply For The TechCrunch Disrupt Startup Battlefield")</f>
        <v>Why You Should Apply For The TechCrunch Disrupt Startup Battlefield</v>
      </c>
      <c r="B1946" s="4" t="str">
        <f>HYPERLINK("http://www.facebook.com/8062627951/posts/421238987922835","Have you turned in your Startup Battlefield applications yet? Only one more day left to get them in!")</f>
        <v>Have you turned in your Startup Battlefield applications yet? Only one more day left to get them in!</v>
      </c>
      <c r="C1946" s="3">
        <v>41102.46570601852</v>
      </c>
      <c r="D1946" s="2">
        <v>17</v>
      </c>
      <c r="E1946" s="2">
        <v>2</v>
      </c>
      <c r="F1946" s="2" t="s">
        <v>8</v>
      </c>
      <c r="G1946" s="2" t="s">
        <v>7</v>
      </c>
    </row>
    <row r="1947" spans="1:7" ht="30" x14ac:dyDescent="0.25">
      <c r="A1947" s="4" t="str">
        <f>HYPERLINK("http://techcrunch.com/2012/07/12/amc-dish-breaking-bad-streamed-online/","AMC Giveth, While Viacom Taketh Away: Breaking Bad To Be Streamed Live Online")</f>
        <v>AMC Giveth, While Viacom Taketh Away: Breaking Bad To Be Streamed Live Online</v>
      </c>
      <c r="B1947" s="4" t="str">
        <f>HYPERLINK("http://www.facebook.com/8062627951/posts/391246517590705","This Sunday, the season premiere of Breaking Bad will be streamed online for FREE.")</f>
        <v>This Sunday, the season premiere of Breaking Bad will be streamed online for FREE.</v>
      </c>
      <c r="C1947" s="3">
        <v>41102.436909722222</v>
      </c>
      <c r="D1947" s="2">
        <v>106</v>
      </c>
      <c r="E1947" s="2">
        <v>0</v>
      </c>
      <c r="F1947" s="2" t="s">
        <v>7</v>
      </c>
      <c r="G1947" s="2" t="s">
        <v>7</v>
      </c>
    </row>
    <row r="1948" spans="1:7" ht="45" x14ac:dyDescent="0.25">
      <c r="A1948" s="4" t="str">
        <f>HYPERLINK("http://techcrunch.com/2012/07/12/square-mpowa-trademark-legal/?grcc=33333Z98ZtrendingZ0Z0Z0Z0Z0&amp;grcc2=823a6379d8d0e78790e3842c873b07aa%7E1342117058091%7Efca4fa8af1286d8a77f26033fdeed202%7E2aaeee0387d6...","Square Issues Cease And Desist On Mobile Payment Competitor mPowa: Hands Off Our Hands Picture")</f>
        <v>Square Issues Cease And Desist On Mobile Payment Competitor mPowa: Hands Off Our Hands Picture</v>
      </c>
      <c r="B1948" s="4" t="str">
        <f>HYPERLINK("http://www.facebook.com/8062627951/posts/342810415793908","They say imitation is the sincerest form of flattery, but Square is definitely feeling insulted.")</f>
        <v>They say imitation is the sincerest form of flattery, but Square is definitely feeling insulted.</v>
      </c>
      <c r="C1948" s="3">
        <v>41102.431770833333</v>
      </c>
      <c r="D1948" s="2">
        <v>36</v>
      </c>
      <c r="E1948" s="2">
        <v>3</v>
      </c>
      <c r="F1948" s="2" t="s">
        <v>7</v>
      </c>
      <c r="G1948" s="2" t="s">
        <v>7</v>
      </c>
    </row>
    <row r="1949" spans="1:7" ht="45" x14ac:dyDescent="0.25">
      <c r="A1949" s="4" t="str">
        <f>HYPERLINK("http://techcrunch.com/2012/07/12/yahoo-confirms-apologizes-for-the-email-hack-says-still-fixing-plus-check-if-you-were-impacted-non-yahoo-accounts-apply/","Yahoo Confirms, Apologizes For The Email Hack, Says Still Fixing. Plus, Check If You Were Impacted (")</f>
        <v>Yahoo Confirms, Apologizes For The Email Hack, Says Still Fixing. Plus, Check If You Were Impacted (</v>
      </c>
      <c r="B1949" s="4" t="str">
        <f>HYPERLINK("http://www.facebook.com/8062627951/posts/203584316437191","How many of you were affected?")</f>
        <v>How many of you were affected?</v>
      </c>
      <c r="C1949" s="3">
        <v>41102.378935185188</v>
      </c>
      <c r="D1949" s="2">
        <v>34</v>
      </c>
      <c r="E1949" s="2">
        <v>12</v>
      </c>
      <c r="F1949" s="2" t="s">
        <v>8</v>
      </c>
      <c r="G1949" s="2" t="s">
        <v>7</v>
      </c>
    </row>
    <row r="1950" spans="1:7" ht="30" x14ac:dyDescent="0.25">
      <c r="A1950" s="4" t="str">
        <f>HYPERLINK("http://techcrunch.com/2012/07/11/disruptive-defined-ubeam-lands-750k-to-let-you-charge-gadgets-without-plugs/","Disruptive: uBeam Lands $750K To Let You Charge Gadgets Without Plugs")</f>
        <v>Disruptive: uBeam Lands $750K To Let You Charge Gadgets Without Plugs</v>
      </c>
      <c r="B1950" s="4" t="str">
        <f>HYPERLINK("http://www.facebook.com/8062627951/posts/208569572602487","Out with the plugs, in with the new.")</f>
        <v>Out with the plugs, in with the new.</v>
      </c>
      <c r="C1950" s="3">
        <v>41101.89340277778</v>
      </c>
      <c r="D1950" s="2">
        <v>145</v>
      </c>
      <c r="E1950" s="2">
        <v>15</v>
      </c>
      <c r="F1950" s="2" t="s">
        <v>7</v>
      </c>
      <c r="G1950" s="2" t="s">
        <v>7</v>
      </c>
    </row>
    <row r="1951" spans="1:7" ht="45" x14ac:dyDescent="0.25">
      <c r="A1951" s="4" t="str">
        <f>HYPERLINK("http://techcrunch.com/2012/07/11/forget-real-life-new-study-contradicts-existence-of-facebook-depression/","Forget Real Life! New Study Contradicts Existence of ‘Facebook Depression'")</f>
        <v>Forget Real Life! New Study Contradicts Existence of ‘Facebook Depression'</v>
      </c>
      <c r="B1951" s="4" t="str">
        <f>HYPERLINK("http://www.facebook.com/8062627951/posts/157875967681400","A new study shows the social network does NOT make people depressed. What do you think - does it ever make you feel depressed? Yes/ No")</f>
        <v>A new study shows the social network does NOT make people depressed. What do you think - does it ever make you feel depressed? Yes/ No</v>
      </c>
      <c r="C1951" s="3">
        <v>41101.754537037035</v>
      </c>
      <c r="D1951" s="2">
        <v>36</v>
      </c>
      <c r="E1951" s="2">
        <v>27</v>
      </c>
      <c r="F1951" s="2" t="s">
        <v>8</v>
      </c>
      <c r="G1951" s="2" t="s">
        <v>7</v>
      </c>
    </row>
    <row r="1952" spans="1:7" ht="60" x14ac:dyDescent="0.25">
      <c r="A1952" s="4" t="str">
        <f>HYPERLINK("http://techcrunch.com/2012/07/11/whats-driving-facebooks-olympics-deal-with-nbc-a-battle-with-twitter-for-tv-presence/","What’s Driving Facebook’s Olympics Deal With NBC? A Battle With Twitter For TV Presence | TechCrunch")</f>
        <v>What’s Driving Facebook’s Olympics Deal With NBC? A Battle With Twitter For TV Presence | TechCrunch</v>
      </c>
      <c r="B1952" s="4" t="str">
        <f>HYPERLINK("http://www.facebook.com/8062627951/posts/498927943467537","How will you use Facebook during the Olympics? What do you think of their collaboration with NBC?  http://techcrunch.com/2012/07/11/whats-driving-facebooks-olympics-deal-with-nbc-a-battle-with-twitter...")</f>
        <v>How will you use Facebook during the Olympics? What do you think of their collaboration with NBC?  http://techcrunch.com/2012/07/11/whats-driving-facebooks-olympics-deal-with-nbc-a-battle-with-twitter...</v>
      </c>
      <c r="C1952" s="3">
        <v>41101.714039351849</v>
      </c>
      <c r="D1952" s="2">
        <v>30</v>
      </c>
      <c r="E1952" s="2">
        <v>14</v>
      </c>
      <c r="F1952" s="2" t="s">
        <v>8</v>
      </c>
      <c r="G1952" s="2" t="s">
        <v>7</v>
      </c>
    </row>
    <row r="1953" spans="1:7" ht="30" x14ac:dyDescent="0.25">
      <c r="A1953" s="4" t="str">
        <f>HYPERLINK("http://www.facebook.com/photo.php?fbid=10151108552637952&amp;set=a.114456157951.118433.8062627951&amp;type=1&amp;relevant_count=1","[Photo]")</f>
        <v>[Photo]</v>
      </c>
      <c r="B1953" s="4" t="str">
        <f>HYPERLINK("http://www.facebook.com/8062627951/posts/10151108552672952","Know what’s crazy? People are signing $100 million NBA contracts on an iPad - http://tcrn.ch/O8nqJN")</f>
        <v>Know what’s crazy? People are signing $100 million NBA contracts on an iPad - http://tcrn.ch/O8nqJN</v>
      </c>
      <c r="C1953" s="3">
        <v>41101.620312500003</v>
      </c>
      <c r="D1953" s="2">
        <v>1171</v>
      </c>
      <c r="E1953" s="2">
        <v>95</v>
      </c>
      <c r="F1953" s="2" t="s">
        <v>8</v>
      </c>
      <c r="G1953" s="2" t="s">
        <v>8</v>
      </c>
    </row>
    <row r="1954" spans="1:7" ht="45" x14ac:dyDescent="0.25">
      <c r="A1954" s="4" t="str">
        <f>HYPERLINK("http://techcrunch.com/2012/07/11/facebook-events-calendar/","Facebook Finally Redesigns Events, Adds Calendar and List Views So You Don’t Miss Birthdays ")</f>
        <v xml:space="preserve">Facebook Finally Redesigns Events, Adds Calendar and List Views So You Don’t Miss Birthdays </v>
      </c>
      <c r="B1954" s="4" t="str">
        <f>HYPERLINK("http://www.facebook.com/8062627951/posts/420846037956665","Way better. Party people, get excited")</f>
        <v>Way better. Party people, get excited</v>
      </c>
      <c r="C1954" s="3">
        <v>41101.546481481484</v>
      </c>
      <c r="D1954" s="2">
        <v>207</v>
      </c>
      <c r="E1954" s="2">
        <v>15</v>
      </c>
      <c r="F1954" s="2" t="s">
        <v>7</v>
      </c>
      <c r="G1954" s="2" t="s">
        <v>7</v>
      </c>
    </row>
    <row r="1955" spans="1:7" ht="30" x14ac:dyDescent="0.25">
      <c r="A1955" s="4" t="str">
        <f>HYPERLINK("http://techcrunch.com/2012/06/18/why-you-should-apply-for-the-techcrunch-disrupt-startup-battlefield/","Why You Should Apply For The TechCrunch Disrupt Startup Battlefield")</f>
        <v>Why You Should Apply For The TechCrunch Disrupt Startup Battlefield</v>
      </c>
      <c r="B1955" s="4" t="str">
        <f>HYPERLINK("http://www.facebook.com/8062627951/posts/251820751602350","What are you waiting for? Only a couple more days to get your Startup Battlefield applications in!")</f>
        <v>What are you waiting for? Only a couple more days to get your Startup Battlefield applications in!</v>
      </c>
      <c r="C1955" s="3">
        <v>41101.516458333332</v>
      </c>
      <c r="D1955" s="2">
        <v>27</v>
      </c>
      <c r="E1955" s="2">
        <v>7</v>
      </c>
      <c r="F1955" s="2" t="s">
        <v>8</v>
      </c>
      <c r="G1955" s="2" t="s">
        <v>7</v>
      </c>
    </row>
    <row r="1956" spans="1:7" ht="30" x14ac:dyDescent="0.25">
      <c r="A1956" s="4" t="str">
        <f>HYPERLINK("http://techcrunch.com/2012/07/11/facebook-group-read-receipts/","Facebook Groups Start Showing Exactly Who Saw Each Post")</f>
        <v>Facebook Groups Start Showing Exactly Who Saw Each Post</v>
      </c>
      <c r="B1956" s="4" t="str">
        <f>HYPERLINK("http://www.facebook.com/8062627951/posts/456605767697396","Are you excited about this, or no?")</f>
        <v>Are you excited about this, or no?</v>
      </c>
      <c r="C1956" s="3">
        <v>41101.467037037037</v>
      </c>
      <c r="D1956" s="2">
        <v>213</v>
      </c>
      <c r="E1956" s="2">
        <v>82</v>
      </c>
      <c r="F1956" s="2" t="s">
        <v>8</v>
      </c>
      <c r="G1956" s="2" t="s">
        <v>7</v>
      </c>
    </row>
    <row r="1957" spans="1:7" ht="30" x14ac:dyDescent="0.25">
      <c r="A1957" s="4" t="str">
        <f>HYPERLINK("http://techcrunch.com/2012/07/11/how-not-to-deal-with-the-media-part-94-entitlement-edition/","How Not To Deal With The Media Part 94: Entitlement Edition")</f>
        <v>How Not To Deal With The Media Part 94: Entitlement Edition</v>
      </c>
      <c r="B1957" s="4" t="str">
        <f>HYPERLINK("http://www.facebook.com/8062627951/posts/389784874419767","We interrupt our normal programming to bring you...")</f>
        <v>We interrupt our normal programming to bring you...</v>
      </c>
      <c r="C1957" s="3">
        <v>41101.459560185183</v>
      </c>
      <c r="D1957" s="2">
        <v>29</v>
      </c>
      <c r="E1957" s="2">
        <v>0</v>
      </c>
      <c r="F1957" s="2" t="s">
        <v>7</v>
      </c>
      <c r="G1957" s="2" t="s">
        <v>7</v>
      </c>
    </row>
    <row r="1958" spans="1:7" ht="45" x14ac:dyDescent="0.25">
      <c r="A1958" s="4" t="str">
        <f>HYPERLINK("http://techcrunch.com/2012/07/11/cloud-storage-wars-logmeins-cubby-bumps-referrals-to-1-gb-double-that-of-dropbox/","Cloud Storage Wars! LogMeIn’s Cubby Bumps Referrals To 1 GB, Double That Of Dropbox")</f>
        <v>Cloud Storage Wars! LogMeIn’s Cubby Bumps Referrals To 1 GB, Double That Of Dropbox</v>
      </c>
      <c r="B1958" s="4" t="str">
        <f>HYPERLINK("http://www.facebook.com/8062627951/posts/392387354152602","The online storage wars continue!")</f>
        <v>The online storage wars continue!</v>
      </c>
      <c r="C1958" s="3">
        <v>41101.423171296294</v>
      </c>
      <c r="D1958" s="2">
        <v>34</v>
      </c>
      <c r="E1958" s="2">
        <v>3</v>
      </c>
      <c r="F1958" s="2" t="s">
        <v>7</v>
      </c>
      <c r="G1958" s="2" t="s">
        <v>7</v>
      </c>
    </row>
    <row r="1959" spans="1:7" ht="30" x14ac:dyDescent="0.25">
      <c r="A1959" s="4" t="str">
        <f>HYPERLINK("http://techcrunch.com/2012/07/11/reminder-were-in-tccharlotte-tonight-and-waiting-to-hear-your-pitch/","Reminder: We’re In #TCCharlotte Tonight And Waiting To Hear Your Pitch")</f>
        <v>Reminder: We’re In #TCCharlotte Tonight And Waiting To Hear Your Pitch</v>
      </c>
      <c r="B1959" s="4" t="str">
        <f>HYPERLINK("http://www.facebook.com/8062627951/posts/248814178570244","Everyone in Charlotte, get ready.")</f>
        <v>Everyone in Charlotte, get ready.</v>
      </c>
      <c r="C1959" s="3">
        <v>41101.397094907406</v>
      </c>
      <c r="D1959" s="2">
        <v>14</v>
      </c>
      <c r="E1959" s="2">
        <v>1</v>
      </c>
      <c r="F1959" s="2" t="s">
        <v>7</v>
      </c>
      <c r="G1959" s="2" t="s">
        <v>7</v>
      </c>
    </row>
    <row r="1960" spans="1:7" ht="45" x14ac:dyDescent="0.25">
      <c r="A1960" s="4" t="str">
        <f>HYPERLINK("http://techcrunch.com/2012/07/11/wwe-yep-wrestling-invests-in-video-messaging-startup-touts-13-4-million-series-b/","WWE (Yep, Wrestling) Invests In Video Messaging Startup Tout’s $13.4 Million Series B")</f>
        <v>WWE (Yep, Wrestling) Invests In Video Messaging Startup Tout’s $13.4 Million Series B</v>
      </c>
      <c r="B1960" s="4" t="str">
        <f>HYPERLINK("http://www.facebook.com/8062627951/posts/280859355355242","Any WWE fans?")</f>
        <v>Any WWE fans?</v>
      </c>
      <c r="C1960" s="3">
        <v>41101.386192129627</v>
      </c>
      <c r="D1960" s="2">
        <v>36</v>
      </c>
      <c r="E1960" s="2">
        <v>12</v>
      </c>
      <c r="F1960" s="2" t="s">
        <v>8</v>
      </c>
      <c r="G1960" s="2" t="s">
        <v>7</v>
      </c>
    </row>
    <row r="1961" spans="1:7" ht="45" x14ac:dyDescent="0.25">
      <c r="A1961" s="4" t="str">
        <f>HYPERLINK("http://techcrunch.com/2012/07/11/tuenti-telefonicas-answer-to-facebook-and-twitter-opens-up-to-users-worldwide/","Tuenti, Telefonica’s Answer To Facebook And Twitter, Opens Up To Users Worldwide")</f>
        <v>Tuenti, Telefonica’s Answer To Facebook And Twitter, Opens Up To Users Worldwide</v>
      </c>
      <c r="B1961" s="4" t="str">
        <f>HYPERLINK("http://www.facebook.com/8062627951/posts/479909042038413","Tuenti is moving outside of Spain and looking to go head to head with Facebook and Twitter.")</f>
        <v>Tuenti is moving outside of Spain and looking to go head to head with Facebook and Twitter.</v>
      </c>
      <c r="C1961" s="3">
        <v>41101.192627314813</v>
      </c>
      <c r="D1961" s="2">
        <v>59</v>
      </c>
      <c r="E1961" s="2">
        <v>6</v>
      </c>
      <c r="F1961" s="2" t="s">
        <v>7</v>
      </c>
      <c r="G1961" s="2" t="s">
        <v>7</v>
      </c>
    </row>
    <row r="1962" spans="1:7" ht="30" x14ac:dyDescent="0.25">
      <c r="A1962" s="4" t="str">
        <f>HYPERLINK("http://techcrunch.com/2012/07/10/google-plus-ipad/","The Subtle Genius Of Google+ For iPad: Popular Posts Appear Bigger")</f>
        <v>The Subtle Genius Of Google+ For iPad: Popular Posts Appear Bigger</v>
      </c>
      <c r="B1962" s="4" t="str">
        <f>HYPERLINK("http://www.facebook.com/8062627951/posts/324317950991319","Facebook should copy this.")</f>
        <v>Facebook should copy this.</v>
      </c>
      <c r="C1962" s="3">
        <v>41100.901053240741</v>
      </c>
      <c r="D1962" s="2">
        <v>107</v>
      </c>
      <c r="E1962" s="2">
        <v>30</v>
      </c>
      <c r="F1962" s="2" t="s">
        <v>7</v>
      </c>
      <c r="G1962" s="2" t="s">
        <v>7</v>
      </c>
    </row>
    <row r="1963" spans="1:7" ht="45" x14ac:dyDescent="0.25">
      <c r="A1963" s="4" t="str">
        <f>HYPERLINK("http://techcrunch.com/2012/07/10/linkedin-is-gearing-up-for-a-redesign-bigger-pictures-anchored-menu-and-a-life-less-tweeted/","LinkedIn Is Gearing Up For A Redesign: Bigger Pictures, Anchored Menu (And A Life Less Tweeted)")</f>
        <v>LinkedIn Is Gearing Up For A Redesign: Bigger Pictures, Anchored Menu (And A Life Less Tweeted)</v>
      </c>
      <c r="B1963" s="4" t="str">
        <f>HYPERLINK("http://www.facebook.com/8062627951/posts/137258866412418","What are your thoughts on LinkedIn's redesign?")</f>
        <v>What are your thoughts on LinkedIn's redesign?</v>
      </c>
      <c r="C1963" s="3">
        <v>41100.817407407405</v>
      </c>
      <c r="D1963" s="2">
        <v>117</v>
      </c>
      <c r="E1963" s="2">
        <v>24</v>
      </c>
      <c r="F1963" s="2" t="s">
        <v>8</v>
      </c>
      <c r="G1963" s="2" t="s">
        <v>7</v>
      </c>
    </row>
    <row r="1964" spans="1:7" ht="30" x14ac:dyDescent="0.25">
      <c r="A1964" s="4" t="str">
        <f>HYPERLINK("http://www.facebook.com/photo.php?fbid=10151106496192952&amp;set=a.114456157951.118433.8062627951&amp;type=1&amp;relevant_count=1","[Photo]")</f>
        <v>[Photo]</v>
      </c>
      <c r="B1964" s="4" t="str">
        <f>HYPERLINK("http://www.facebook.com/8062627951/posts/10151106496232952","We have around 700 people already at the meetup in #TCDurham. Ya'll should stop by! http://tcrn.ch/MQlTLO")</f>
        <v>We have around 700 people already at the meetup in #TCDurham. Ya'll should stop by! http://tcrn.ch/MQlTLO</v>
      </c>
      <c r="C1964" s="3">
        <v>41100.632673611108</v>
      </c>
      <c r="D1964" s="2">
        <v>53</v>
      </c>
      <c r="E1964" s="2">
        <v>7</v>
      </c>
      <c r="F1964" s="2" t="s">
        <v>7</v>
      </c>
      <c r="G1964" s="2" t="s">
        <v>8</v>
      </c>
    </row>
    <row r="1965" spans="1:7" ht="30" x14ac:dyDescent="0.25">
      <c r="A1965" s="4" t="str">
        <f>HYPERLINK("http://techcrunch.com/2012/07/10/meraki-40-million/","Meraki Plans To Conquer Enterprise Wi-Fi, Hire Like Crazy With $40M In New Funding")</f>
        <v>Meraki Plans To Conquer Enterprise Wi-Fi, Hire Like Crazy With $40M In New Funding</v>
      </c>
      <c r="B1965" s="4" t="str">
        <f>HYPERLINK("http://www.facebook.com/8062627951/posts/171331726325390","Meraki raises $40M - now looking for a 100,000 sq. ft. new office and looking towards an IPO.")</f>
        <v>Meraki raises $40M - now looking for a 100,000 sq. ft. new office and looking towards an IPO.</v>
      </c>
      <c r="C1965" s="3">
        <v>41100.608240740738</v>
      </c>
      <c r="D1965" s="2">
        <v>71</v>
      </c>
      <c r="E1965" s="2">
        <v>2</v>
      </c>
      <c r="F1965" s="2" t="s">
        <v>7</v>
      </c>
      <c r="G1965" s="2" t="s">
        <v>7</v>
      </c>
    </row>
    <row r="1966" spans="1:7" ht="30" x14ac:dyDescent="0.25">
      <c r="A1966" s="4" t="str">
        <f>HYPERLINK("http://techcrunch.com/2012/07/03/for-your-pre-fourth-celebration-the-techcrunch-app-just-got-an-update/","For Your Pre-Fourth Celebration: The TechCrunch iPad App Just Got An Update")</f>
        <v>For Your Pre-Fourth Celebration: The TechCrunch iPad App Just Got An Update</v>
      </c>
      <c r="B1966" s="4" t="str">
        <f>HYPERLINK("http://www.facebook.com/8062627951/posts/331720816914129","Hey guess what? Our TechCrunch iPad app got an update. Make sure to download it.")</f>
        <v>Hey guess what? Our TechCrunch iPad app got an update. Make sure to download it.</v>
      </c>
      <c r="C1966" s="3">
        <v>41100.545960648145</v>
      </c>
      <c r="D1966" s="2">
        <v>18</v>
      </c>
      <c r="E1966" s="2">
        <v>4</v>
      </c>
      <c r="F1966" s="2" t="s">
        <v>8</v>
      </c>
      <c r="G1966" s="2" t="s">
        <v>7</v>
      </c>
    </row>
    <row r="1967" spans="1:7" ht="45" x14ac:dyDescent="0.25">
      <c r="A1967" s="4" t="str">
        <f>HYPERLINK("http://techcrunch.com/2012/07/10/pinterestification-sociable-labs-signs-up-wine-com-19-others-for-its-pinterest-like-evershare-offering/","Pinterestification! Sociable Labs Signs Up Wine.com, 19 Others For Its Pinterest-Like EverShare Offe")</f>
        <v>Pinterestification! Sociable Labs Signs Up Wine.com, 19 Others For Its Pinterest-Like EverShare Offe</v>
      </c>
      <c r="B1967" s="4" t="str">
        <f>HYPERLINK("http://www.facebook.com/8062627951/posts/394963097227984","The Pinterest effect on e-commerce sites continues.")</f>
        <v>The Pinterest effect on e-commerce sites continues.</v>
      </c>
      <c r="C1967" s="3">
        <v>41100.510138888887</v>
      </c>
      <c r="D1967" s="2">
        <v>56</v>
      </c>
      <c r="E1967" s="2">
        <v>0</v>
      </c>
      <c r="F1967" s="2" t="s">
        <v>7</v>
      </c>
      <c r="G1967" s="2" t="s">
        <v>7</v>
      </c>
    </row>
    <row r="1968" spans="1:7" ht="45" x14ac:dyDescent="0.25">
      <c r="A1968" s="4" t="str">
        <f>HYPERLINK("http://techcrunch.com/2012/07/10/imagine-cup-winners-quadsquad-enabletalk/","Ukrainian Students Win Microsoft’s Imagine Cup With Their Sign Language-To-Speech Translation Gloves")</f>
        <v>Ukrainian Students Win Microsoft’s Imagine Cup With Their Sign Language-To-Speech Translation Gloves</v>
      </c>
      <c r="B1968" s="4" t="str">
        <f>HYPERLINK("http://www.facebook.com/8062627951/posts/253047511478272","Even more awesome.")</f>
        <v>Even more awesome.</v>
      </c>
      <c r="C1968" s="3">
        <v>41100.479710648149</v>
      </c>
      <c r="D1968" s="2">
        <v>90</v>
      </c>
      <c r="E1968" s="2">
        <v>5</v>
      </c>
      <c r="F1968" s="2" t="s">
        <v>7</v>
      </c>
      <c r="G1968" s="2" t="s">
        <v>7</v>
      </c>
    </row>
    <row r="1969" spans="1:7" ht="30" x14ac:dyDescent="0.25">
      <c r="A1969" s="4" t="str">
        <f>HYPERLINK("http://techcrunch.com/2012/07/10/tcdurham-see-you-tonight-at-bay-7-updated-location/","#TCDurham: See You Tonight At Bay 7 (Updated Location)")</f>
        <v>#TCDurham: See You Tonight At Bay 7 (Updated Location)</v>
      </c>
      <c r="B1969" s="4" t="str">
        <f>HYPERLINK("http://www.facebook.com/8062627951/posts/202665889860923","#TCDurham, get ready for tonight's Meetup.")</f>
        <v>#TCDurham, get ready for tonight's Meetup.</v>
      </c>
      <c r="C1969" s="3">
        <v>41100.460636574076</v>
      </c>
      <c r="D1969" s="2">
        <v>13</v>
      </c>
      <c r="E1969" s="2">
        <v>0</v>
      </c>
      <c r="F1969" s="2" t="s">
        <v>7</v>
      </c>
      <c r="G1969" s="2" t="s">
        <v>7</v>
      </c>
    </row>
    <row r="1970" spans="1:7" ht="45" x14ac:dyDescent="0.25">
      <c r="A1970" s="4" t="str">
        <f>HYPERLINK("http://techcrunch.com/2012/07/10/dropbox-revamps-pro-storage-plans-doubles-the-amount-of-space-at-no-extra-cost/","Dropbox Revamps Pro Storage Plans, Doubles The Amount Of Space At No Extra Cost")</f>
        <v>Dropbox Revamps Pro Storage Plans, Doubles The Amount Of Space At No Extra Cost</v>
      </c>
      <c r="B1970" s="4" t="str">
        <f>HYPERLINK("http://www.facebook.com/8062627951/posts/256114011171553","For all you Dropbox Pro users, free space!")</f>
        <v>For all you Dropbox Pro users, free space!</v>
      </c>
      <c r="C1970" s="3">
        <v>41100.429780092592</v>
      </c>
      <c r="D1970" s="2">
        <v>224</v>
      </c>
      <c r="E1970" s="2">
        <v>14</v>
      </c>
      <c r="F1970" s="2" t="s">
        <v>7</v>
      </c>
      <c r="G1970" s="2" t="s">
        <v>7</v>
      </c>
    </row>
    <row r="1971" spans="1:7" ht="30" x14ac:dyDescent="0.25">
      <c r="A1971" s="4" t="str">
        <f>HYPERLINK("http://techcrunch.com/2012/07/10/rim-investing-100-million-to-build-developer-community-is-it-too-late/","RIM Investing $100 Million To Build Developer Community — Is It Too Late?")</f>
        <v>RIM Investing $100 Million To Build Developer Community — Is It Too Late?</v>
      </c>
      <c r="B1971" s="4" t="str">
        <f>HYPERLINK("http://www.facebook.com/8062627951/posts/389946111054221","RIM is at it again.")</f>
        <v>RIM is at it again.</v>
      </c>
      <c r="C1971" s="3">
        <v>41100.385381944441</v>
      </c>
      <c r="D1971" s="2">
        <v>56</v>
      </c>
      <c r="E1971" s="2">
        <v>55</v>
      </c>
      <c r="F1971" s="2" t="s">
        <v>7</v>
      </c>
      <c r="G1971" s="2" t="s">
        <v>7</v>
      </c>
    </row>
    <row r="1972" spans="1:7" ht="45" x14ac:dyDescent="0.25">
      <c r="A1972" s="4" t="str">
        <f>HYPERLINK("http://techcrunch.com/2012/07/10/oracle-involver/","Oracle Acquires Social Marketer Involver As Enterprise Giants Buy Rather Than Build For Tomorrow")</f>
        <v>Oracle Acquires Social Marketer Involver As Enterprise Giants Buy Rather Than Build For Tomorrow</v>
      </c>
      <c r="B1972" s="4" t="str">
        <f>HYPERLINK("http://www.facebook.com/8062627951/posts/246954388756525","Oracle has just agreed to acquire Involver, just a month after the giant bought its competing social marketing platform Vitrue.")</f>
        <v>Oracle has just agreed to acquire Involver, just a month after the giant bought its competing social marketing platform Vitrue.</v>
      </c>
      <c r="C1972" s="3">
        <v>41100.369375000002</v>
      </c>
      <c r="D1972" s="2">
        <v>46</v>
      </c>
      <c r="E1972" s="2">
        <v>3</v>
      </c>
      <c r="F1972" s="2" t="s">
        <v>7</v>
      </c>
      <c r="G1972" s="2" t="s">
        <v>7</v>
      </c>
    </row>
    <row r="1973" spans="1:7" ht="45" x14ac:dyDescent="0.25">
      <c r="A1973" s="4" t="str">
        <f>HYPERLINK("http://techcrunch.com/2012/07/09/sexy-payments-startup-stripe-swipes-20m-from-general-catalyst-sequoia-thiel-and-more/","Sexy Payments Startup Stripe Swipes $20M From General Catalyst, Sequoia, Thiel And More")</f>
        <v>Sexy Payments Startup Stripe Swipes $20M From General Catalyst, Sequoia, Thiel And More</v>
      </c>
      <c r="B1973" s="4" t="str">
        <f>HYPERLINK("http://www.facebook.com/8062627951/posts/335405939874868","Stripe is reportedly “growing like Square”")</f>
        <v>Stripe is reportedly “growing like Square”</v>
      </c>
      <c r="C1973" s="3">
        <v>41099.829641203702</v>
      </c>
      <c r="D1973" s="2">
        <v>129</v>
      </c>
      <c r="E1973" s="2">
        <v>12</v>
      </c>
      <c r="F1973" s="2" t="s">
        <v>7</v>
      </c>
      <c r="G1973" s="2" t="s">
        <v>7</v>
      </c>
    </row>
    <row r="1974" spans="1:7" ht="45" x14ac:dyDescent="0.25">
      <c r="A1974" s="4" t="str">
        <f>HYPERLINK("http://techcrunch.com/2012/07/09/dc-city-councils-uber-amendment-would-force-sedans-to-charge-5x-taxi-prices-and-kill-uberx/","DC City Council “Uber Amendment” Would Force Sedans To Charge 5x Minimum Taxi Prices (Kill UberX)")</f>
        <v>DC City Council “Uber Amendment” Would Force Sedans To Charge 5x Minimum Taxi Prices (Kill UberX)</v>
      </c>
      <c r="B1974" s="4" t="str">
        <f>HYPERLINK("http://www.facebook.com/8062627951/posts/237614759693561","Uber cannot catch a break in Washington, DC.")</f>
        <v>Uber cannot catch a break in Washington, DC.</v>
      </c>
      <c r="C1974" s="3">
        <v>41099.721006944441</v>
      </c>
      <c r="D1974" s="2">
        <v>29</v>
      </c>
      <c r="E1974" s="2">
        <v>13</v>
      </c>
      <c r="F1974" s="2" t="s">
        <v>7</v>
      </c>
      <c r="G1974" s="2" t="s">
        <v>7</v>
      </c>
    </row>
    <row r="1975" spans="1:7" ht="60" x14ac:dyDescent="0.25">
      <c r="A1975" s="4" t="str">
        <f>HYPERLINK("http://www.facebook.com/photo.php?fbid=10151104453607952&amp;set=a.114456157951.118433.8062627951&amp;type=1&amp;relevant_count=1","[Photo]")</f>
        <v>[Photo]</v>
      </c>
      <c r="B1975" s="4" t="str">
        <f>HYPERLINK("http://www.facebook.com/8062627951/posts/10151104453662952","It's a full house tonight in Atlanta with over 1,300 attendees. Everyone going to tomorrow's meetup in Raleigh-Durham, NC, are you excited yet? - http://tcrn.ch/MQlTLO    Where should we go for our ne...")</f>
        <v>It's a full house tonight in Atlanta with over 1,300 attendees. Everyone going to tomorrow's meetup in Raleigh-Durham, NC, are you excited yet? - http://tcrn.ch/MQlTLO    Where should we go for our ne...</v>
      </c>
      <c r="C1975" s="3">
        <v>41099.675451388888</v>
      </c>
      <c r="D1975" s="2">
        <v>58</v>
      </c>
      <c r="E1975" s="2">
        <v>20</v>
      </c>
      <c r="F1975" s="2" t="s">
        <v>8</v>
      </c>
      <c r="G1975" s="2" t="s">
        <v>8</v>
      </c>
    </row>
    <row r="1976" spans="1:7" ht="45" x14ac:dyDescent="0.25">
      <c r="A1976" s="4" t="str">
        <f>HYPERLINK("http://techcrunch.com/2012/07/09/facebook-facial-recognition-api/","Facebook Acq-Retired Face.com, But Here’s Why It Will Bank By Reviving Its Facial Recog API")</f>
        <v>Facebook Acq-Retired Face.com, But Here’s Why It Will Bank By Reviving Its Facial Recog API</v>
      </c>
      <c r="B1976" s="4" t="str">
        <f>HYPERLINK("http://www.facebook.com/8062627951/posts/299146740183942","How Facebook will make money letting any app recognize your face.")</f>
        <v>How Facebook will make money letting any app recognize your face.</v>
      </c>
      <c r="C1976" s="3">
        <v>41099.629328703704</v>
      </c>
      <c r="D1976" s="2">
        <v>176</v>
      </c>
      <c r="E1976" s="2">
        <v>25</v>
      </c>
      <c r="F1976" s="2" t="s">
        <v>7</v>
      </c>
      <c r="G1976" s="2" t="s">
        <v>7</v>
      </c>
    </row>
    <row r="1977" spans="1:7" ht="30" x14ac:dyDescent="0.25">
      <c r="A1977" s="4" t="str">
        <f>HYPERLINK("http://techcrunch.com/2012/07/09/pinterest-now-beating-google-referral-traffic-plus-bing-twitter-stumbleupon/","Pinterest Traffic Passes Google Referrals, Bing, Twitter &amp; StumbleUpon")</f>
        <v>Pinterest Traffic Passes Google Referrals, Bing, Twitter &amp; StumbleUpon</v>
      </c>
      <c r="B1977" s="4" t="str">
        <f>HYPERLINK("http://www.facebook.com/8062627951/posts/390433081017694","Guess a picture is worth a thousand words:")</f>
        <v>Guess a picture is worth a thousand words:</v>
      </c>
      <c r="C1977" s="3">
        <v>41099.578912037039</v>
      </c>
      <c r="D1977" s="2">
        <v>142</v>
      </c>
      <c r="E1977" s="2">
        <v>13</v>
      </c>
      <c r="F1977" s="2" t="s">
        <v>7</v>
      </c>
      <c r="G1977" s="2" t="s">
        <v>7</v>
      </c>
    </row>
    <row r="1978" spans="1:7" ht="45" x14ac:dyDescent="0.25">
      <c r="A1978" s="4" t="str">
        <f>HYPERLINK("http://techcrunch.com/2012/07/09/github-pours-energies-into-enterprise-raises-100-million-from-power-vc-andreesen-horowitz/","GitHub Pours Energies into Enterprise – Raises $100 Million From Power VC Andreessen Horowitz")</f>
        <v>GitHub Pours Energies into Enterprise – Raises $100 Million From Power VC Andreessen Horowitz</v>
      </c>
      <c r="B1978" s="4" t="str">
        <f>HYPERLINK("http://www.facebook.com/8062627951/posts/233533990101117","Andreessen Horowitz is investing an eye-popping $100 million into GitHub.")</f>
        <v>Andreessen Horowitz is investing an eye-popping $100 million into GitHub.</v>
      </c>
      <c r="C1978" s="3">
        <v>41099.550381944442</v>
      </c>
      <c r="D1978" s="2">
        <v>190</v>
      </c>
      <c r="E1978" s="2">
        <v>14</v>
      </c>
      <c r="F1978" s="2" t="s">
        <v>7</v>
      </c>
      <c r="G1978" s="2" t="s">
        <v>7</v>
      </c>
    </row>
    <row r="1979" spans="1:7" ht="45" x14ac:dyDescent="0.25">
      <c r="A1979" s="4" t="str">
        <f>HYPERLINK("http://techcrunch.com/2012/07/09/ceo-heins-wants-to-restore-faith-in-rim-hints-at-first-blackberry-10-phone-in-january/","CEO Heins Wants To Restore “Faith” In RIM, Hints At First BlackBerry 10 Phone In January")</f>
        <v>CEO Heins Wants To Restore “Faith” In RIM, Hints At First BlackBerry 10 Phone In January</v>
      </c>
      <c r="B1979" s="4" t="str">
        <f>HYPERLINK("http://www.facebook.com/8062627951/posts/388020767918582","RIM CEO Heins hints at a new BlackBerry 10. Think this could save RIM?")</f>
        <v>RIM CEO Heins hints at a new BlackBerry 10. Think this could save RIM?</v>
      </c>
      <c r="C1979" s="3">
        <v>41099.494976851849</v>
      </c>
      <c r="D1979" s="2">
        <v>33</v>
      </c>
      <c r="E1979" s="2">
        <v>45</v>
      </c>
      <c r="F1979" s="2" t="s">
        <v>8</v>
      </c>
      <c r="G1979" s="2" t="s">
        <v>7</v>
      </c>
    </row>
    <row r="1980" spans="1:7" ht="30" x14ac:dyDescent="0.25">
      <c r="A1980" s="4" t="str">
        <f>HYPERLINK("http://techcrunch.com/2012/07/09/techcrunch-giveaway-a-new-ipad-and-free-ticket-to-disrupt-sf-tcdisrupt/","TechCrunch Giveaway: A New iPad And Free Ticket To Disrupt SF! #TCDisrupt")</f>
        <v>TechCrunch Giveaway: A New iPad And Free Ticket To Disrupt SF! #TCDisrupt</v>
      </c>
      <c r="B1980" s="4" t="str">
        <f>HYPERLINK("http://www.facebook.com/8062627951/posts/318095554949869","We are giving away a new iPad PLUS a free ticket to Disrupt SF. Make sure you enter.")</f>
        <v>We are giving away a new iPad PLUS a free ticket to Disrupt SF. Make sure you enter.</v>
      </c>
      <c r="C1980" s="3">
        <v>41099.449999999997</v>
      </c>
      <c r="D1980" s="2">
        <v>97</v>
      </c>
      <c r="E1980" s="2">
        <v>50</v>
      </c>
      <c r="F1980" s="2" t="s">
        <v>7</v>
      </c>
      <c r="G1980" s="2" t="s">
        <v>7</v>
      </c>
    </row>
    <row r="1981" spans="1:7" ht="45" x14ac:dyDescent="0.25">
      <c r="A1981" s="4" t="str">
        <f>HYPERLINK("http://techcrunch.com/2012/07/09/marc-benioff-ben-horowitz-and-joel-klein-are-all-ready-to-disrupt-sf/","Marc Benioff, Ben Horowitz And Joel Klein Are All Ready To Disrupt SF")</f>
        <v>Marc Benioff, Ben Horowitz And Joel Klein Are All Ready To Disrupt SF</v>
      </c>
      <c r="B1981" s="4" t="str">
        <f>HYPERLINK("http://www.facebook.com/8062627951/posts/340951472652432","We are incredibly excited to have Marc Benioff, Ben Horowitz and Joel Klein join us this September at Disrupt SF. Get your tickets now!")</f>
        <v>We are incredibly excited to have Marc Benioff, Ben Horowitz and Joel Klein join us this September at Disrupt SF. Get your tickets now!</v>
      </c>
      <c r="C1981" s="3">
        <v>41099.401006944441</v>
      </c>
      <c r="D1981" s="2">
        <v>18</v>
      </c>
      <c r="E1981" s="2">
        <v>3</v>
      </c>
      <c r="F1981" s="2" t="s">
        <v>7</v>
      </c>
      <c r="G1981" s="2" t="s">
        <v>7</v>
      </c>
    </row>
    <row r="1982" spans="1:7" ht="30" x14ac:dyDescent="0.25">
      <c r="A1982" s="4" t="str">
        <f>HYPERLINK("http://techcrunch.com/2012/07/09/enable-talk-imagine-cup/","Ukrainian Students Develop Gloves That Translate Sign Language Into Speech")</f>
        <v>Ukrainian Students Develop Gloves That Translate Sign Language Into Speech</v>
      </c>
      <c r="B1982" s="4" t="str">
        <f>HYPERLINK("http://www.facebook.com/8062627951/posts/355969414475845","Awesome.")</f>
        <v>Awesome.</v>
      </c>
      <c r="C1982" s="3">
        <v>41099.37122685185</v>
      </c>
      <c r="D1982" s="2">
        <v>574</v>
      </c>
      <c r="E1982" s="2">
        <v>29</v>
      </c>
      <c r="F1982" s="2" t="s">
        <v>7</v>
      </c>
      <c r="G1982" s="2" t="s">
        <v>7</v>
      </c>
    </row>
    <row r="1983" spans="1:7" ht="45" x14ac:dyDescent="0.25">
      <c r="A1983" s="4" t="str">
        <f>HYPERLINK("http://techcrunch.com/2012/07/08/how-colleges-are-becoming-entrepreneurial/","How Colleges Are Becoming Entrepreneurial")</f>
        <v>How Colleges Are Becoming Entrepreneurial</v>
      </c>
      <c r="B1983" s="4" t="s">
        <v>111</v>
      </c>
      <c r="C1983" s="3">
        <v>41098.919722222221</v>
      </c>
      <c r="D1983" s="2">
        <v>135</v>
      </c>
      <c r="E1983" s="2">
        <v>11</v>
      </c>
      <c r="F1983" s="2" t="s">
        <v>7</v>
      </c>
      <c r="G1983" s="2" t="s">
        <v>7</v>
      </c>
    </row>
    <row r="1984" spans="1:7" ht="30" x14ac:dyDescent="0.25">
      <c r="A1984" s="4" t="str">
        <f>HYPERLINK("http://www.facebook.com/photo.php?fbid=10151102393317952&amp;set=a.114456157951.118433.8062627951&amp;type=1&amp;relevant_count=1","[Photo]")</f>
        <v>[Photo]</v>
      </c>
      <c r="B1984" s="4" t="str">
        <f>HYPERLINK("http://www.facebook.com/8062627951/posts/10151102393397952","HTC Droid Incredible 4G LTE review: solid little phone, awfully big name - http://tcrn.ch/OM72n6")</f>
        <v>HTC Droid Incredible 4G LTE review: solid little phone, awfully big name - http://tcrn.ch/OM72n6</v>
      </c>
      <c r="C1984" s="3">
        <v>41098.781956018516</v>
      </c>
      <c r="D1984" s="2">
        <v>57</v>
      </c>
      <c r="E1984" s="2">
        <v>9</v>
      </c>
      <c r="F1984" s="2" t="s">
        <v>7</v>
      </c>
      <c r="G1984" s="2" t="s">
        <v>8</v>
      </c>
    </row>
    <row r="1985" spans="1:7" ht="30" x14ac:dyDescent="0.25">
      <c r="A1985" s="4" t="str">
        <f>HYPERLINK("http://techcrunch.com/2012/07/08/hey-thats-mine-give-it-back-the-fallacy-of-the-international-clone/","Hey, That’s Mine! Give It Back! The Fallacy Of The International Clone")</f>
        <v>Hey, That’s Mine! Give It Back! The Fallacy Of The International Clone</v>
      </c>
      <c r="B1985" s="4" t="str">
        <f>HYPERLINK("http://www.facebook.com/8062627951/posts/340366672704149","How do you feel about clones?")</f>
        <v>How do you feel about clones?</v>
      </c>
      <c r="C1985" s="3">
        <v>41098.700636574074</v>
      </c>
      <c r="D1985" s="2">
        <v>28</v>
      </c>
      <c r="E1985" s="2">
        <v>6</v>
      </c>
      <c r="F1985" s="2" t="s">
        <v>8</v>
      </c>
      <c r="G1985" s="2" t="s">
        <v>7</v>
      </c>
    </row>
    <row r="1986" spans="1:7" ht="60" x14ac:dyDescent="0.25">
      <c r="A1986" s="4" t="str">
        <f>HYPERLINK("http://techcrunch.com/2012/07/08/by-waging-war-for-messaging-apple-google-and-facebook-create-huge-opportunity-for-impermanent-data-apps/","Impermanent Data Apps, The Newest Weapons In The War For Messaging")</f>
        <v>Impermanent Data Apps, The Newest Weapons In The War For Messaging</v>
      </c>
      <c r="B1986" s="4" t="str">
        <f>HYPERLINK("http://www.facebook.com/8062627951/posts/441816075840272","Would you use impermanent data apps over Apple, Google and Facebook messaging? Or in addition to?  http://techcrunch.com/2012/07/08/by-waging-war-for-messaging-apple-google-and-facebook-create-huge-op...")</f>
        <v>Would you use impermanent data apps over Apple, Google and Facebook messaging? Or in addition to?  http://techcrunch.com/2012/07/08/by-waging-war-for-messaging-apple-google-and-facebook-create-huge-op...</v>
      </c>
      <c r="C1986" s="3">
        <v>41098.661574074074</v>
      </c>
      <c r="D1986" s="2">
        <v>29</v>
      </c>
      <c r="E1986" s="2">
        <v>1</v>
      </c>
      <c r="F1986" s="2" t="s">
        <v>8</v>
      </c>
      <c r="G1986" s="2" t="s">
        <v>7</v>
      </c>
    </row>
    <row r="1987" spans="1:7" ht="30" x14ac:dyDescent="0.25">
      <c r="A1987" s="4" t="str">
        <f>HYPERLINK("http://techcrunch.com/2012/07/08/the-20-best-ios-and-android-apps-of-2012-so-far/","The 20 Best iOS And Android Apps Of 2012 (So Far)")</f>
        <v>The 20 Best iOS And Android Apps Of 2012 (So Far)</v>
      </c>
      <c r="B1987" s="4" t="str">
        <f>HYPERLINK("http://www.facebook.com/8062627951/posts/391485080910846","Which are your fav?")</f>
        <v>Which are your fav?</v>
      </c>
      <c r="C1987" s="3">
        <v>41098.405914351853</v>
      </c>
      <c r="D1987" s="2">
        <v>120</v>
      </c>
      <c r="E1987" s="2">
        <v>13</v>
      </c>
      <c r="F1987" s="2" t="s">
        <v>8</v>
      </c>
      <c r="G1987" s="2" t="s">
        <v>7</v>
      </c>
    </row>
    <row r="1988" spans="1:7" ht="30" x14ac:dyDescent="0.25">
      <c r="A1988" s="4" t="str">
        <f>HYPERLINK("http://techcrunch.com/2012/07/07/cloud-gaming-xbox-720-ps4-game-console/","Could Cloud Gaming Kill The Next-Generation Video Game Console?")</f>
        <v>Could Cloud Gaming Kill The Next-Generation Video Game Console?</v>
      </c>
      <c r="B1988" s="4" t="str">
        <f>HYPERLINK("http://www.facebook.com/8062627951/posts/345752908837768","Are video game consoles becoming outdated?")</f>
        <v>Are video game consoles becoming outdated?</v>
      </c>
      <c r="C1988" s="3">
        <v>41098.405729166669</v>
      </c>
      <c r="D1988" s="2">
        <v>18</v>
      </c>
      <c r="E1988" s="2">
        <v>5</v>
      </c>
      <c r="F1988" s="2" t="s">
        <v>8</v>
      </c>
      <c r="G1988" s="2" t="s">
        <v>7</v>
      </c>
    </row>
    <row r="1989" spans="1:7" ht="45" x14ac:dyDescent="0.25">
      <c r="A1989" s="4" t="str">
        <f>HYPERLINK("http://techcrunch.com/2012/07/07/fly-or-die-samsung-galaxy-s-iii/","Fly Or Die: Samsung Galaxy S III")</f>
        <v>Fly Or Die: Samsung Galaxy S III</v>
      </c>
      <c r="B1989" s="4" t="s">
        <v>112</v>
      </c>
      <c r="C1989" s="3">
        <v>41097.809155092589</v>
      </c>
      <c r="D1989" s="2">
        <v>46</v>
      </c>
      <c r="E1989" s="2">
        <v>5</v>
      </c>
      <c r="F1989" s="2" t="s">
        <v>7</v>
      </c>
      <c r="G1989" s="2" t="s">
        <v>7</v>
      </c>
    </row>
    <row r="1990" spans="1:7" ht="30" x14ac:dyDescent="0.25">
      <c r="A1990" s="4" t="str">
        <f>HYPERLINK("http://techcrunch.com/2012/07/07/cloud-gaming-xbox-720-ps4-game-console/","Could Cloud Gaming Kill The Next-Generation Video Game Console?")</f>
        <v>Could Cloud Gaming Kill The Next-Generation Video Game Console?</v>
      </c>
      <c r="B1990" s="4" t="str">
        <f>HYPERLINK("http://www.facebook.com/8062627951/posts/131337450339736","What do you think? Could it?")</f>
        <v>What do you think? Could it?</v>
      </c>
      <c r="C1990" s="3">
        <v>41097.637997685182</v>
      </c>
      <c r="D1990" s="2">
        <v>66</v>
      </c>
      <c r="E1990" s="2">
        <v>45</v>
      </c>
      <c r="F1990" s="2" t="s">
        <v>8</v>
      </c>
      <c r="G1990" s="2" t="s">
        <v>7</v>
      </c>
    </row>
    <row r="1991" spans="1:7" x14ac:dyDescent="0.25">
      <c r="A1991" s="4" t="str">
        <f>HYPERLINK("http://www.facebook.com/photo.php?fbid=10151099489762952&amp;set=a.114456157951.118433.8062627951&amp;type=1&amp;relevant_count=1","[Photo]")</f>
        <v>[Photo]</v>
      </c>
      <c r="B1991" s="4" t="str">
        <f>HYPERLINK("http://www.facebook.com/8062627951/posts/10151099489802952","Caption contest: go.     Context: http://tcrn.ch/MB5Fs1")</f>
        <v>Caption contest: go.     Context: http://tcrn.ch/MB5Fs1</v>
      </c>
      <c r="C1991" s="3">
        <v>41097.564745370371</v>
      </c>
      <c r="D1991" s="2">
        <v>736</v>
      </c>
      <c r="E1991" s="2">
        <v>1139</v>
      </c>
      <c r="F1991" s="2" t="s">
        <v>7</v>
      </c>
      <c r="G1991" s="2" t="s">
        <v>8</v>
      </c>
    </row>
    <row r="1992" spans="1:7" ht="30" x14ac:dyDescent="0.25">
      <c r="A1992" s="4" t="str">
        <f>HYPERLINK("http://techcrunch.com/2012/07/07/ipad-mini-said-to-look-like-a-large-3g-ipod-nano-be-as-thin-as-a-4g-ipod-touch/","iPad Mini Said To Look Like A Large 3G iPod Nano, Be As Thin As A 4G iPod Touch")</f>
        <v>iPad Mini Said To Look Like A Large 3G iPod Nano, Be As Thin As A 4G iPod Touch</v>
      </c>
      <c r="B1992" s="4" t="str">
        <f>HYPERLINK("http://www.facebook.com/8062627951/posts/317525365007879","Would you get an iPad mini?")</f>
        <v>Would you get an iPad mini?</v>
      </c>
      <c r="C1992" s="3">
        <v>41097.513969907406</v>
      </c>
      <c r="D1992" s="2">
        <v>48</v>
      </c>
      <c r="E1992" s="2">
        <v>25</v>
      </c>
      <c r="F1992" s="2" t="s">
        <v>8</v>
      </c>
      <c r="G1992" s="2" t="s">
        <v>7</v>
      </c>
    </row>
    <row r="1993" spans="1:7" ht="45" x14ac:dyDescent="0.25">
      <c r="A1993" s="4" t="str">
        <f>HYPERLINK("http://techcrunch.com/2012/07/07/louis-c-k-responds-to-online-ticket-sales-experience-scalpers-opinions-have-been-enlightening/","Louis C.K. Responds To Online Ticket Sales Experience: Scalpers’ Opinions Have Been “Enlightening”")</f>
        <v>Louis C.K. Responds To Online Ticket Sales Experience: Scalpers’ Opinions Have Been “Enlightening”</v>
      </c>
      <c r="B1993" s="4" t="str">
        <f>HYPERLINK("http://www.facebook.com/8062627951/posts/356694807732221","They tend to respond with indignance and a defensive posture “Hey man! Scalping is NOT a crime!”")</f>
        <v>They tend to respond with indignance and a defensive posture “Hey man! Scalping is NOT a crime!”</v>
      </c>
      <c r="C1993" s="3">
        <v>41097.471296296295</v>
      </c>
      <c r="D1993" s="2">
        <v>74</v>
      </c>
      <c r="E1993" s="2">
        <v>8</v>
      </c>
      <c r="F1993" s="2" t="s">
        <v>7</v>
      </c>
      <c r="G1993" s="2" t="s">
        <v>7</v>
      </c>
    </row>
    <row r="1994" spans="1:7" ht="45" x14ac:dyDescent="0.25">
      <c r="A1994" s="4" t="str">
        <f>HYPERLINK("http://techcrunch.com/2012/07/07/heads-up-this-was-googles-apple-moment/","Heads Up! This Was Google’s Apple Moment")</f>
        <v>Heads Up! This Was Google’s Apple Moment</v>
      </c>
      <c r="B1994" s="4" t="str">
        <f>HYPERLINK("http://www.facebook.com/8062627951/posts/436630826377855","Google Glass isn’t just a new product, it’s a whole new product category, and it has every chance of being every bit as revolutionary as Apple’s Big Three.")</f>
        <v>Google Glass isn’t just a new product, it’s a whole new product category, and it has every chance of being every bit as revolutionary as Apple’s Big Three.</v>
      </c>
      <c r="C1994" s="3">
        <v>41097.414074074077</v>
      </c>
      <c r="D1994" s="2">
        <v>187</v>
      </c>
      <c r="E1994" s="2">
        <v>26</v>
      </c>
      <c r="F1994" s="2" t="s">
        <v>7</v>
      </c>
      <c r="G1994" s="2" t="s">
        <v>7</v>
      </c>
    </row>
    <row r="1995" spans="1:7" ht="30" x14ac:dyDescent="0.25">
      <c r="A1995" s="4" t="str">
        <f>HYPERLINK("http://techcrunch.com/2012/07/06/facebook-job-board/","Facebook Might Be Working On A Job Board, But Don’t Get Too Excited")</f>
        <v>Facebook Might Be Working On A Job Board, But Don’t Get Too Excited</v>
      </c>
      <c r="B1995" s="4" t="str">
        <f>HYPERLINK("http://www.facebook.com/8062627951/posts/389707967744407","Stop the presses!")</f>
        <v>Stop the presses!</v>
      </c>
      <c r="C1995" s="3">
        <v>41096.827766203707</v>
      </c>
      <c r="D1995" s="2">
        <v>52</v>
      </c>
      <c r="E1995" s="2">
        <v>9</v>
      </c>
      <c r="F1995" s="2" t="s">
        <v>7</v>
      </c>
      <c r="G1995" s="2" t="s">
        <v>7</v>
      </c>
    </row>
    <row r="1996" spans="1:7" ht="45" x14ac:dyDescent="0.25">
      <c r="A1996" s="4" t="str">
        <f>HYPERLINK("http://techcrunch.com/2012/07/06/amazon-is-reportedly-working-on-a-smartphone-but-cracking-the-market-wont-be-easy/","Amazon Is Reportedly Working On A Smartphone, But Cracking The Market Won’t Be Easy")</f>
        <v>Amazon Is Reportedly Working On A Smartphone, But Cracking The Market Won’t Be Easy</v>
      </c>
      <c r="B1996" s="4" t="str">
        <f>HYPERLINK("http://www.facebook.com/8062627951/posts/416975955019901","Would you want it?")</f>
        <v>Would you want it?</v>
      </c>
      <c r="C1996" s="3">
        <v>41096.748819444445</v>
      </c>
      <c r="D1996" s="2">
        <v>27</v>
      </c>
      <c r="E1996" s="2">
        <v>18</v>
      </c>
      <c r="F1996" s="2" t="s">
        <v>8</v>
      </c>
      <c r="G1996" s="2" t="s">
        <v>7</v>
      </c>
    </row>
    <row r="1997" spans="1:7" ht="45" x14ac:dyDescent="0.25">
      <c r="A1997" s="4" t="str">
        <f>HYPERLINK("http://techcrunch.com/2012/07/06/twitter-search/","Twitter Search Adds “Search Within People You Follow”, Autocomplete, Related Results")</f>
        <v>Twitter Search Adds “Search Within People You Follow”, Autocomplete, Related Results</v>
      </c>
      <c r="B1997" s="4" t="str">
        <f>HYPERLINK("http://www.facebook.com/8062627951/posts/256948251078288","Twitter Search sucks less now!")</f>
        <v>Twitter Search sucks less now!</v>
      </c>
      <c r="C1997" s="3">
        <v>41096.618067129632</v>
      </c>
      <c r="D1997" s="2">
        <v>63</v>
      </c>
      <c r="E1997" s="2">
        <v>10</v>
      </c>
      <c r="F1997" s="2" t="s">
        <v>7</v>
      </c>
      <c r="G1997" s="2" t="s">
        <v>7</v>
      </c>
    </row>
    <row r="1998" spans="1:7" x14ac:dyDescent="0.25">
      <c r="A1998" s="4" t="str">
        <f>HYPERLINK("http://techcrunch.com/2012/07/06/so-thats-it-for-thunderbird/","So, That’s It For Thunderbird")</f>
        <v>So, That’s It For Thunderbird</v>
      </c>
      <c r="B1998" s="4" t="str">
        <f>HYPERLINK("http://www.facebook.com/8062627951/posts/328959613858811","Say goodbye to Thunderbird.")</f>
        <v>Say goodbye to Thunderbird.</v>
      </c>
      <c r="C1998" s="3">
        <v>41096.560763888891</v>
      </c>
      <c r="D1998" s="2">
        <v>101</v>
      </c>
      <c r="E1998" s="2">
        <v>53</v>
      </c>
      <c r="F1998" s="2" t="s">
        <v>7</v>
      </c>
      <c r="G1998" s="2" t="s">
        <v>7</v>
      </c>
    </row>
    <row r="1999" spans="1:7" ht="45" x14ac:dyDescent="0.25">
      <c r="A1999" s="4" t="str">
        <f>HYPERLINK("http://techcrunch.com/2012/07/06/psa-check-your-computer-for-dnschanger-or-risk-getting-booted-off-the-web-on-monday/","PSA: Check Your Computer For DNSChanger Or Risk Getting Booted Off The Web On Monday")</f>
        <v>PSA: Check Your Computer For DNSChanger Or Risk Getting Booted Off The Web On Monday</v>
      </c>
      <c r="B1999" s="4" t="str">
        <f>HYPERLINK("http://www.facebook.com/8062627951/posts/378359288884415","It’s something of a 21st Century nightmare...")</f>
        <v>It’s something of a 21st Century nightmare...</v>
      </c>
      <c r="C1999" s="3">
        <v>41096.523912037039</v>
      </c>
      <c r="D1999" s="2">
        <v>90</v>
      </c>
      <c r="E1999" s="2">
        <v>4</v>
      </c>
      <c r="F1999" s="2" t="s">
        <v>7</v>
      </c>
      <c r="G1999" s="2" t="s">
        <v>7</v>
      </c>
    </row>
    <row r="2000" spans="1:7" ht="45" x14ac:dyDescent="0.25">
      <c r="A2000" s="4" t="str">
        <f>HYPERLINK("http://techcrunch.com/2012/07/06/teenage-sexting-is-becoming-the-norm/","Teenage Sexting Is Becoming The Norm")</f>
        <v>Teenage Sexting Is Becoming The Norm</v>
      </c>
      <c r="B2000" s="4" t="s">
        <v>113</v>
      </c>
      <c r="C2000" s="3">
        <v>41096.427106481482</v>
      </c>
      <c r="D2000" s="2">
        <v>95</v>
      </c>
      <c r="E2000" s="2">
        <v>38</v>
      </c>
      <c r="F2000" s="2" t="s">
        <v>7</v>
      </c>
      <c r="G2000" s="2" t="s">
        <v>7</v>
      </c>
    </row>
    <row r="2001" spans="1:7" ht="45" x14ac:dyDescent="0.25">
      <c r="A2001" s="4" t="str">
        <f>HYPERLINK("http://techcrunch.com/2012/07/06/report-apple-developing-a-thinner-and-cooler-9-7-inch-retina-equipped-ipad-for-a-q4-release/","Report: Apple Developing A Thinner And Cooler 9.7-inch Retina-Equipped iPad For A Q4 Release  |  Tec")</f>
        <v>Report: Apple Developing A Thinner And Cooler 9.7-inch Retina-Equipped iPad For A Q4 Release  |  Tec</v>
      </c>
      <c r="B2001" s="4" t="str">
        <f>HYPERLINK("http://www.facebook.com/8062627951/posts/172853292846481","Will Apple launch an iPad mini *and* a full-size iPad this fall?")</f>
        <v>Will Apple launch an iPad mini *and* a full-size iPad this fall?</v>
      </c>
      <c r="C2001" s="3">
        <v>41096.375393518516</v>
      </c>
      <c r="D2001" s="2">
        <v>39</v>
      </c>
      <c r="E2001" s="2">
        <v>16</v>
      </c>
      <c r="F2001" s="2" t="s">
        <v>8</v>
      </c>
      <c r="G2001" s="2" t="s">
        <v>7</v>
      </c>
    </row>
    <row r="2002" spans="1:7" ht="45" x14ac:dyDescent="0.25">
      <c r="A2002" s="4" t="str">
        <f>HYPERLINK("http://techcrunch.com/2012/07/06/amazon-is-reportedly-working-on-a-smartphone-but-cracking-the-market-wont-be-easy/","Amazon Is Reportedly Working On A Smartphone, But Cracking The Market Won’t Be Easy")</f>
        <v>Amazon Is Reportedly Working On A Smartphone, But Cracking The Market Won’t Be Easy</v>
      </c>
      <c r="B2002" s="4" t="str">
        <f>HYPERLINK("http://www.facebook.com/8062627951/posts/253129704798589","Could Amazon actually break into the smartphone market?")</f>
        <v>Could Amazon actually break into the smartphone market?</v>
      </c>
      <c r="C2002" s="3">
        <v>41096.284409722219</v>
      </c>
      <c r="D2002" s="2">
        <v>31</v>
      </c>
      <c r="E2002" s="2">
        <v>16</v>
      </c>
      <c r="F2002" s="2" t="s">
        <v>8</v>
      </c>
      <c r="G2002" s="2" t="s">
        <v>7</v>
      </c>
    </row>
    <row r="2003" spans="1:7" ht="30" x14ac:dyDescent="0.25">
      <c r="A2003" s="4" t="str">
        <f>HYPERLINK("http://techcrunch.com/2012/07/05/british-airways-borders-on-creepy-with-know-me-google-identity-check/","British Airways Borders On Creepy With “Know Me” Google Identity Check")</f>
        <v>British Airways Borders On Creepy With “Know Me” Google Identity Check</v>
      </c>
      <c r="B2003" s="4" t="str">
        <f>HYPERLINK("http://www.facebook.com/8062627951/posts/111733588970966","What do you think of it?")</f>
        <v>What do you think of it?</v>
      </c>
      <c r="C2003" s="3">
        <v>41096.008194444446</v>
      </c>
      <c r="D2003" s="2">
        <v>33</v>
      </c>
      <c r="E2003" s="2">
        <v>12</v>
      </c>
      <c r="F2003" s="2" t="s">
        <v>8</v>
      </c>
      <c r="G2003" s="2" t="s">
        <v>7</v>
      </c>
    </row>
    <row r="2004" spans="1:7" ht="45" x14ac:dyDescent="0.25">
      <c r="A2004" s="4" t="str">
        <f>HYPERLINK("http://techcrunch.com/2012/07/05/index-shows-ios-programming-language-now-in-top-3-as-mobile-development-booms/","Index Shows iOS Programming Language Now In Top 3 As Mobile Development Booms")</f>
        <v>Index Shows iOS Programming Language Now In Top 3 As Mobile Development Booms</v>
      </c>
      <c r="B2004" s="4" t="str">
        <f>HYPERLINK("http://www.facebook.com/8062627951/posts/342324829180358","Objective-C is now more popular than C++")</f>
        <v>Objective-C is now more popular than C++</v>
      </c>
      <c r="C2004" s="3">
        <v>41095.737546296295</v>
      </c>
      <c r="D2004" s="2">
        <v>369</v>
      </c>
      <c r="E2004" s="2">
        <v>32</v>
      </c>
      <c r="F2004" s="2" t="s">
        <v>7</v>
      </c>
      <c r="G2004" s="2" t="s">
        <v>7</v>
      </c>
    </row>
    <row r="2005" spans="1:7" ht="45" x14ac:dyDescent="0.25">
      <c r="A2005" s="4" t="str">
        <f>HYPERLINK("http://techcrunch.com/2012/07/04/concept-art-dictionary-gives-a-words-first-google-image-result-instead-of-a-definition/","Concept Art Dictionary Gives A Word’s First Google Image Result Instead Of A Definition")</f>
        <v>Concept Art Dictionary Gives A Word’s First Google Image Result Instead Of A Definition</v>
      </c>
      <c r="B2005" s="4" t="str">
        <f>HYPERLINK("http://www.facebook.com/8062627951/posts/316961975063359","Here’s something that you’ll either want to buy immediately — or that will just strike you as a giant waste of paper.   What do you think?")</f>
        <v>Here’s something that you’ll either want to buy immediately — or that will just strike you as a giant waste of paper.   What do you think?</v>
      </c>
      <c r="C2005" s="3">
        <v>41095.679780092592</v>
      </c>
      <c r="D2005" s="2">
        <v>51</v>
      </c>
      <c r="E2005" s="2">
        <v>10</v>
      </c>
      <c r="F2005" s="2" t="s">
        <v>8</v>
      </c>
      <c r="G2005" s="2" t="s">
        <v>7</v>
      </c>
    </row>
    <row r="2006" spans="1:7" ht="30" x14ac:dyDescent="0.25">
      <c r="A2006" s="4" t="str">
        <f>HYPERLINK("http://techcrunch.com/2012/07/05/olympus-yells-me-too-with-the-meg4-0-wearable-display-prototype/","Olympus Yells “Me Too!” With The MEG4.0 Wearable Display Prototype")</f>
        <v>Olympus Yells “Me Too!” With The MEG4.0 Wearable Display Prototype</v>
      </c>
      <c r="B2006" s="4" t="str">
        <f>HYPERLINK("http://www.facebook.com/8062627951/posts/457606154257891","Watch out, Google. Here comes Olympus with the MEG4.0")</f>
        <v>Watch out, Google. Here comes Olympus with the MEG4.0</v>
      </c>
      <c r="C2006" s="3">
        <v>41095.619293981479</v>
      </c>
      <c r="D2006" s="2">
        <v>76</v>
      </c>
      <c r="E2006" s="2">
        <v>16</v>
      </c>
      <c r="F2006" s="2" t="s">
        <v>7</v>
      </c>
      <c r="G2006" s="2" t="s">
        <v>7</v>
      </c>
    </row>
    <row r="2007" spans="1:7" ht="30" x14ac:dyDescent="0.25">
      <c r="A2007" s="4" t="str">
        <f>HYPERLINK("http://techcrunch.com/2012/06/18/why-you-should-apply-for-the-techcrunch-disrupt-startup-battlefield/","Why You Should Apply For The TechCrunch Disrupt Startup Battlefield")</f>
        <v>Why You Should Apply For The TechCrunch Disrupt Startup Battlefield</v>
      </c>
      <c r="B2007" s="4" t="str">
        <f>HYPERLINK("http://www.facebook.com/8062627951/posts/201934756600997","In light of the holiday, we extended applications for Startup Battlefield until Friday, July 13th! Get yours in soon!")</f>
        <v>In light of the holiday, we extended applications for Startup Battlefield until Friday, July 13th! Get yours in soon!</v>
      </c>
      <c r="C2007" s="3">
        <v>41095.573194444441</v>
      </c>
      <c r="D2007" s="2">
        <v>18</v>
      </c>
      <c r="E2007" s="2">
        <v>2</v>
      </c>
      <c r="F2007" s="2" t="s">
        <v>7</v>
      </c>
      <c r="G2007" s="2" t="s">
        <v>7</v>
      </c>
    </row>
    <row r="2008" spans="1:7" ht="30" x14ac:dyDescent="0.25">
      <c r="A2008" s="4" t="str">
        <f>HYPERLINK("http://techcrunch.com/2012/07/05/apple-responds-to-app-crashing-issues-has-a-dedicated-team-working-on-a-fix/","Apple Responds To App Crashing Issues, Has A Dedicated Team Working On A Fix")</f>
        <v>Apple Responds To App Crashing Issues, Has A Dedicated Team Working On A Fix</v>
      </c>
      <c r="B2008" s="4" t="str">
        <f>HYPERLINK("http://www.facebook.com/8062627951/posts/450570851633960","Apple responds:")</f>
        <v>Apple responds:</v>
      </c>
      <c r="C2008" s="3">
        <v>41095.543356481481</v>
      </c>
      <c r="D2008" s="2">
        <v>25</v>
      </c>
      <c r="E2008" s="2">
        <v>4</v>
      </c>
      <c r="F2008" s="2" t="s">
        <v>7</v>
      </c>
      <c r="G2008" s="2" t="s">
        <v>7</v>
      </c>
    </row>
    <row r="2009" spans="1:7" ht="60" x14ac:dyDescent="0.25">
      <c r="A2009" s="4" t="str">
        <f>HYPERLINK("http://www.facebook.com/photo.php?fbid=10151094442887952&amp;set=a.114456157951.118433.8062627951&amp;type=1&amp;relevant_count=1","[Photo]")</f>
        <v>[Photo]</v>
      </c>
      <c r="B2009" s="4" t="str">
        <f>HYPERLINK("http://www.facebook.com/8062627951/posts/10151094442917952","Facebook's Doug Purdy and Mike Schroepfer are joining us at this year's CrunchUp. It'll be a blast.    Be sure to get your tickets to the event and summer party! Tickets are on sale now - http://tcrn....")</f>
        <v>Facebook's Doug Purdy and Mike Schroepfer are joining us at this year's CrunchUp. It'll be a blast.    Be sure to get your tickets to the event and summer party! Tickets are on sale now - http://tcrn....</v>
      </c>
      <c r="C2009" s="3">
        <v>41095.498564814814</v>
      </c>
      <c r="D2009" s="2">
        <v>43</v>
      </c>
      <c r="E2009" s="2">
        <v>1</v>
      </c>
      <c r="F2009" s="2" t="s">
        <v>7</v>
      </c>
      <c r="G2009" s="2" t="s">
        <v>8</v>
      </c>
    </row>
    <row r="2010" spans="1:7" ht="45" x14ac:dyDescent="0.25">
      <c r="A2010" s="4" t="str">
        <f>HYPERLINK("http://techcrunch.com/2012/07/05/is-this-a-thing-a-business-man-carries-ipad-in-his-pants-through-grand-central-station/","Is This A Thing? A Business Man Carries iPad In His Pants Through Grand Central Station")</f>
        <v>Is This A Thing? A Business Man Carries iPad In His Pants Through Grand Central Station</v>
      </c>
      <c r="B2010" s="4" t="str">
        <f>HYPERLINK("http://www.facebook.com/8062627951/posts/249658015151892","Huh.")</f>
        <v>Huh.</v>
      </c>
      <c r="C2010" s="3">
        <v>41095.469131944446</v>
      </c>
      <c r="D2010" s="2">
        <v>154</v>
      </c>
      <c r="E2010" s="2">
        <v>59</v>
      </c>
      <c r="F2010" s="2" t="s">
        <v>7</v>
      </c>
      <c r="G2010" s="2" t="s">
        <v>7</v>
      </c>
    </row>
    <row r="2011" spans="1:7" ht="75" x14ac:dyDescent="0.25">
      <c r="A2011" s="4" t="str">
        <f>HYPERLINK("http://techcrunch.com/2012/07/04/google-goggles-2/","Remember When Google Was A Search Engine? | TechCrunch")</f>
        <v>Remember When Google Was A Search Engine? | TechCrunch</v>
      </c>
      <c r="B2011" s="4" t="s">
        <v>114</v>
      </c>
      <c r="C2011" s="3">
        <v>41094.703923611109</v>
      </c>
      <c r="D2011" s="2">
        <v>122</v>
      </c>
      <c r="E2011" s="2">
        <v>18</v>
      </c>
      <c r="F2011" s="2" t="s">
        <v>8</v>
      </c>
      <c r="G2011" s="2" t="s">
        <v>7</v>
      </c>
    </row>
    <row r="2012" spans="1:7" ht="75" x14ac:dyDescent="0.25">
      <c r="A2012" s="4" t="str">
        <f>HYPERLINK("http://techcrunch.com/2012/07/04/dick-figures-kickstarter/","Dick Figures: Funding A Full-Length Animated Movie On Kickstarter | TechCrunch")</f>
        <v>Dick Figures: Funding A Full-Length Animated Movie On Kickstarter | TechCrunch</v>
      </c>
      <c r="B2012" s="4" t="s">
        <v>115</v>
      </c>
      <c r="C2012" s="3">
        <v>41094.695289351854</v>
      </c>
      <c r="D2012" s="2">
        <v>15</v>
      </c>
      <c r="E2012" s="2">
        <v>2</v>
      </c>
      <c r="F2012" s="2" t="s">
        <v>7</v>
      </c>
      <c r="G2012" s="2" t="s">
        <v>7</v>
      </c>
    </row>
    <row r="2013" spans="1:7" ht="30" x14ac:dyDescent="0.25">
      <c r="A2013" s="4" t="str">
        <f>HYPERLINK("http://techcrunch.com/2012/07/04/netflix-youtube-innovators-dilemma/","Over 1 Billion (Hours) Served: Netflix, Big Cable, And The Innovator’s Dilemma")</f>
        <v>Over 1 Billion (Hours) Served: Netflix, Big Cable, And The Innovator’s Dilemma</v>
      </c>
      <c r="B2013" s="4" t="str">
        <f>HYPERLINK("http://www.facebook.com/8062627951/posts/407890249256883","Netflix yesterday announced that its viewers watched over 1 BILLION hours of video over the course of June.")</f>
        <v>Netflix yesterday announced that its viewers watched over 1 BILLION hours of video over the course of June.</v>
      </c>
      <c r="C2013" s="3">
        <v>41094.580509259256</v>
      </c>
      <c r="D2013" s="2">
        <v>58</v>
      </c>
      <c r="E2013" s="2">
        <v>18</v>
      </c>
      <c r="F2013" s="2" t="s">
        <v>7</v>
      </c>
      <c r="G2013" s="2" t="s">
        <v>7</v>
      </c>
    </row>
    <row r="2014" spans="1:7" ht="30" x14ac:dyDescent="0.25">
      <c r="A2014" s="4" t="str">
        <f>HYPERLINK("http://techcrunch.com/2012/07/04/sparktruck-is-a-force-for-stem-education-on-wheels/","SparkTruck Is A Force For STEM Education On Wheels | TechCrunch")</f>
        <v>SparkTruck Is A Force For STEM Education On Wheels | TechCrunch</v>
      </c>
      <c r="B2014" s="4" t="str">
        <f>HYPERLINK("http://www.facebook.com/8062627951/posts/390125341035051","Can this program help bring kids to science and engineering?")</f>
        <v>Can this program help bring kids to science and engineering?</v>
      </c>
      <c r="C2014" s="3">
        <v>41094.533495370371</v>
      </c>
      <c r="D2014" s="2">
        <v>33</v>
      </c>
      <c r="E2014" s="2">
        <v>4</v>
      </c>
      <c r="F2014" s="2" t="s">
        <v>8</v>
      </c>
      <c r="G2014" s="2" t="s">
        <v>7</v>
      </c>
    </row>
    <row r="2015" spans="1:7" x14ac:dyDescent="0.25">
      <c r="A2015" s="4" t="str">
        <f>HYPERLINK("http://www.facebook.com/photo.php?fbid=10151091813117952&amp;set=a.114456157951.118433.8062627951&amp;type=1&amp;relevant_count=1","[Photo]")</f>
        <v>[Photo]</v>
      </c>
      <c r="B2015" s="4" t="str">
        <f>HYPERLINK("http://www.facebook.com/8062627951/posts/10151091813172952","Happy 4th of July folks!     How are you celebrating?")</f>
        <v>Happy 4th of July folks!     How are you celebrating?</v>
      </c>
      <c r="C2015" s="3">
        <v>41094.414502314816</v>
      </c>
      <c r="D2015" s="2">
        <v>128</v>
      </c>
      <c r="E2015" s="2">
        <v>14</v>
      </c>
      <c r="F2015" s="2" t="s">
        <v>8</v>
      </c>
      <c r="G2015" s="2" t="s">
        <v>8</v>
      </c>
    </row>
    <row r="2016" spans="1:7" ht="30" x14ac:dyDescent="0.25">
      <c r="A2016" s="4" t="str">
        <f>HYPERLINK("http://techcrunch.com/2012/07/03/song-pop/","Song Pop Hits 2 Million Daily Active Users, Many Of Them Probably Flirting")</f>
        <v>Song Pop Hits 2 Million Daily Active Users, Many Of Them Probably Flirting</v>
      </c>
      <c r="B2016" s="4" t="str">
        <f>HYPERLINK("http://www.facebook.com/8062627951/posts/479424242087355","Have you played this yet?")</f>
        <v>Have you played this yet?</v>
      </c>
      <c r="C2016" s="3">
        <v>41094.07136574074</v>
      </c>
      <c r="D2016" s="2">
        <v>31</v>
      </c>
      <c r="E2016" s="2">
        <v>4</v>
      </c>
      <c r="F2016" s="2" t="s">
        <v>8</v>
      </c>
      <c r="G2016" s="2" t="s">
        <v>7</v>
      </c>
    </row>
    <row r="2017" spans="1:7" ht="30" x14ac:dyDescent="0.25">
      <c r="A2017" s="4" t="str">
        <f>HYPERLINK("http://techcrunch.com/2012/07/03/the-next-microsoft-updating-its-branding-and-messaging-in-three-days/","The Next Microsoft — Updating Its Branding And Messaging In Three Days")</f>
        <v>The Next Microsoft — Updating Its Branding And Messaging In Three Days</v>
      </c>
      <c r="B2017" s="4" t="str">
        <f>HYPERLINK("http://www.facebook.com/8062627951/posts/492816844066893","What do you think of it?")</f>
        <v>What do you think of it?</v>
      </c>
      <c r="C2017" s="3">
        <v>41093.771539351852</v>
      </c>
      <c r="D2017" s="2">
        <v>139</v>
      </c>
      <c r="E2017" s="2">
        <v>18</v>
      </c>
      <c r="F2017" s="2" t="s">
        <v>8</v>
      </c>
      <c r="G2017" s="2" t="s">
        <v>7</v>
      </c>
    </row>
    <row r="2018" spans="1:7" ht="30" x14ac:dyDescent="0.25">
      <c r="A2018" s="4" t="str">
        <f>HYPERLINK("http://techcrunch.com/2012/07/03/news-feed-faster/","Facebook News Feed Is Getting Faster, So I Made It This Tramp Stamp")</f>
        <v>Facebook News Feed Is Getting Faster, So I Made It This Tramp Stamp</v>
      </c>
      <c r="B2018" s="4" t="str">
        <f>HYPERLINK("http://www.facebook.com/8062627951/posts/418841034821309","Facebook's news feed is going to get faster. Finally.")</f>
        <v>Facebook's news feed is going to get faster. Finally.</v>
      </c>
      <c r="C2018" s="3">
        <v>41093.674409722225</v>
      </c>
      <c r="D2018" s="2">
        <v>105</v>
      </c>
      <c r="E2018" s="2">
        <v>9</v>
      </c>
      <c r="F2018" s="2" t="s">
        <v>7</v>
      </c>
      <c r="G2018" s="2" t="s">
        <v>7</v>
      </c>
    </row>
    <row r="2019" spans="1:7" ht="30" x14ac:dyDescent="0.25">
      <c r="A2019" s="4" t="str">
        <f>HYPERLINK("http://techcrunch.com/2012/07/03/single-dad-building-sequel-to-jetpack-video-game-he-built-as-a-teenager/","Single Dad Building Sequel To “Jetpack” Video Game He Built As A Teenager")</f>
        <v>Single Dad Building Sequel To “Jetpack” Video Game He Built As A Teenager</v>
      </c>
      <c r="B2019" s="4" t="str">
        <f>HYPERLINK("http://www.facebook.com/8062627951/posts/162900167178245","Gamers! What other classic games would you like to see brought up to 2012 standards?")</f>
        <v>Gamers! What other classic games would you like to see brought up to 2012 standards?</v>
      </c>
      <c r="C2019" s="3">
        <v>41093.664224537039</v>
      </c>
      <c r="D2019" s="2">
        <v>43</v>
      </c>
      <c r="E2019" s="2">
        <v>23</v>
      </c>
      <c r="F2019" s="2" t="s">
        <v>8</v>
      </c>
      <c r="G2019" s="2" t="s">
        <v>7</v>
      </c>
    </row>
    <row r="2020" spans="1:7" ht="30" x14ac:dyDescent="0.25">
      <c r="A2020" s="4" t="str">
        <f>HYPERLINK("http://techcrunch.com/2012/07/03/can-someone-send-techcrunchs-fax-number-to-vanity-fair/","Can Someone Send TechCrunch’s Fax Number To Vanity Fair?")</f>
        <v>Can Someone Send TechCrunch’s Fax Number To Vanity Fair?</v>
      </c>
      <c r="B2020" s="4" t="str">
        <f>HYPERLINK("http://www.facebook.com/8062627951/posts/200075206786934","Someone? Anyone??")</f>
        <v>Someone? Anyone??</v>
      </c>
      <c r="C2020" s="3">
        <v>41093.591307870367</v>
      </c>
      <c r="D2020" s="2">
        <v>64</v>
      </c>
      <c r="E2020" s="2">
        <v>14</v>
      </c>
      <c r="F2020" s="2" t="s">
        <v>8</v>
      </c>
      <c r="G2020" s="2" t="s">
        <v>7</v>
      </c>
    </row>
    <row r="2021" spans="1:7" ht="45" x14ac:dyDescent="0.25">
      <c r="A2021" s="4" t="str">
        <f>HYPERLINK("http://techcrunch.com/2012/07/03/google-shutdowns-continue-igoogle-google-video-google-mini-others-are-killed/?grcc=33333Z98ZtrendingZ0Z0Z0Z0Z0","Google Shutdowns Continue: iGoogle, Google Video, Google Mini &amp; Others Are Killed")</f>
        <v>Google Shutdowns Continue: iGoogle, Google Video, Google Mini &amp; Others Are Killed</v>
      </c>
      <c r="B2021" s="4" t="str">
        <f>HYPERLINK("http://www.facebook.com/8062627951/posts/455458737805376","And the Google shutdowns continue...")</f>
        <v>And the Google shutdowns continue...</v>
      </c>
      <c r="C2021" s="3">
        <v>41093.515798611108</v>
      </c>
      <c r="D2021" s="2">
        <v>259</v>
      </c>
      <c r="E2021" s="2">
        <v>66</v>
      </c>
      <c r="F2021" s="2" t="s">
        <v>7</v>
      </c>
      <c r="G2021" s="2" t="s">
        <v>7</v>
      </c>
    </row>
    <row r="2022" spans="1:7" ht="30" x14ac:dyDescent="0.25">
      <c r="A2022" s="4" t="str">
        <f>HYPERLINK("http://techcrunch.com/2012/07/03/googles-do-a-barrel-roll-easter-egg-now-spinning-jelly-bean-screens/","Google’s “Do A Barrel Roll” Easter Egg Now Spinning Jelly Bean Screens")</f>
        <v>Google’s “Do A Barrel Roll” Easter Egg Now Spinning Jelly Bean Screens</v>
      </c>
      <c r="B2022" s="4" t="str">
        <f>HYPERLINK("http://www.facebook.com/8062627951/posts/242430252542456","Now with the power of Google Now, Android users can perform a barrel roll by simply speaking to their phone.")</f>
        <v>Now with the power of Google Now, Android users can perform a barrel roll by simply speaking to their phone.</v>
      </c>
      <c r="C2022" s="3">
        <v>41093.406631944446</v>
      </c>
      <c r="D2022" s="2">
        <v>60</v>
      </c>
      <c r="E2022" s="2">
        <v>8</v>
      </c>
      <c r="F2022" s="2" t="s">
        <v>7</v>
      </c>
      <c r="G2022" s="2" t="s">
        <v>7</v>
      </c>
    </row>
    <row r="2023" spans="1:7" ht="30" x14ac:dyDescent="0.25">
      <c r="A2023" s="4" t="str">
        <f>HYPERLINK("http://techcrunch.com/2012/07/03/steve-jobs-the-lost-interview-available-for-rent-in-itunes/","“Steve Jobs: The Lost Interview” Available For Rent In iTunes")</f>
        <v>“Steve Jobs: The Lost Interview” Available For Rent In iTunes</v>
      </c>
      <c r="B2023" s="4" t="str">
        <f>HYPERLINK("http://www.facebook.com/8062627951/posts/356790511061245","Robert X. Cringely’s “lost” interview with Steve Jobs is now available for rent in iTunes.")</f>
        <v>Robert X. Cringely’s “lost” interview with Steve Jobs is now available for rent in iTunes.</v>
      </c>
      <c r="C2023" s="3">
        <v>41093.348240740743</v>
      </c>
      <c r="D2023" s="2">
        <v>64</v>
      </c>
      <c r="E2023" s="2">
        <v>8</v>
      </c>
      <c r="F2023" s="2" t="s">
        <v>7</v>
      </c>
      <c r="G2023" s="2" t="s">
        <v>7</v>
      </c>
    </row>
    <row r="2024" spans="1:7" ht="30" x14ac:dyDescent="0.25">
      <c r="A2024" s="4" t="str">
        <f>HYPERLINK("http://techcrunch.com/2012/07/03/latest-rumor-pegs-retina-imac-for-an-october-release/","Latest Rumor Pegs Retina iMac For An October Release | TechCrunch")</f>
        <v>Latest Rumor Pegs Retina iMac For An October Release | TechCrunch</v>
      </c>
      <c r="B2024" s="4" t="str">
        <f>HYPERLINK("http://www.facebook.com/8062627951/posts/495121343846812","Who is ready for a retina iMac?")</f>
        <v>Who is ready for a retina iMac?</v>
      </c>
      <c r="C2024" s="3">
        <v>41093.262569444443</v>
      </c>
      <c r="D2024" s="2">
        <v>75</v>
      </c>
      <c r="E2024" s="2">
        <v>13</v>
      </c>
      <c r="F2024" s="2" t="s">
        <v>8</v>
      </c>
      <c r="G2024" s="2" t="s">
        <v>7</v>
      </c>
    </row>
    <row r="2025" spans="1:7" ht="45" x14ac:dyDescent="0.25">
      <c r="A2025" s="4" t="str">
        <f>HYPERLINK("http://techcrunch.com/2012/07/02/needle-series-a/","No More Call Centers: Needle Grabs $10.5M To Turn Your Fans Into Customer Service Reps")</f>
        <v>No More Call Centers: Needle Grabs $10.5M To Turn Your Fans Into Customer Service Reps</v>
      </c>
      <c r="B2025" s="4" t="str">
        <f>HYPERLINK("http://www.facebook.com/8062627951/posts/133077910164977","Needle turns your fans into customer service reps.")</f>
        <v>Needle turns your fans into customer service reps.</v>
      </c>
      <c r="C2025" s="3">
        <v>41092.863923611112</v>
      </c>
      <c r="D2025" s="2">
        <v>64</v>
      </c>
      <c r="E2025" s="2">
        <v>8</v>
      </c>
      <c r="F2025" s="2" t="s">
        <v>7</v>
      </c>
      <c r="G2025" s="2" t="s">
        <v>7</v>
      </c>
    </row>
    <row r="2026" spans="1:7" ht="30" x14ac:dyDescent="0.25">
      <c r="A2026" s="4" t="str">
        <f>HYPERLINK("http://www.facebook.com/photo.php?fbid=10151087957432952&amp;set=a.114456157951.118433.8062627951&amp;type=1&amp;relevant_count=1","[Photo]")</f>
        <v>[Photo]</v>
      </c>
      <c r="B2026" s="4" t="str">
        <f>HYPERLINK("http://www.facebook.com/8062627951/posts/10151087957512952","Google Nexus 7 Review - http://tcrn.ch/MP8Kn1    Do you want one?")</f>
        <v>Google Nexus 7 Review - http://tcrn.ch/MP8Kn1    Do you want one?</v>
      </c>
      <c r="C2026" s="3">
        <v>41092.69085648148</v>
      </c>
      <c r="D2026" s="2">
        <v>705</v>
      </c>
      <c r="E2026" s="2">
        <v>180</v>
      </c>
      <c r="F2026" s="2" t="s">
        <v>8</v>
      </c>
      <c r="G2026" s="2" t="s">
        <v>8</v>
      </c>
    </row>
    <row r="2027" spans="1:7" ht="30" x14ac:dyDescent="0.25">
      <c r="A2027" s="4" t="str">
        <f>HYPERLINK("http://techcrunch.com/2012/06/18/why-you-should-apply-for-the-techcrunch-disrupt-startup-battlefield/","Why You Should Apply For The TechCrunch Disrupt Startup Battlefield")</f>
        <v>Why You Should Apply For The TechCrunch Disrupt Startup Battlefield</v>
      </c>
      <c r="B2027" s="4" t="str">
        <f>HYPERLINK("http://www.facebook.com/8062627951/posts/416024331774753","Reminder: Disrupt Startup Battlefield applications close Monday, July 9th. Get your applications in soon!")</f>
        <v>Reminder: Disrupt Startup Battlefield applications close Monday, July 9th. Get your applications in soon!</v>
      </c>
      <c r="C2027" s="3">
        <v>41092.668495370373</v>
      </c>
      <c r="D2027" s="2">
        <v>11</v>
      </c>
      <c r="E2027" s="2">
        <v>0</v>
      </c>
      <c r="F2027" s="2" t="s">
        <v>7</v>
      </c>
      <c r="G2027" s="2" t="s">
        <v>7</v>
      </c>
    </row>
    <row r="2028" spans="1:7" ht="30" x14ac:dyDescent="0.25">
      <c r="A2028" s="4" t="str">
        <f>HYPERLINK("http://techcrunch.com/2012/07/02/message-war/","The Apple / Google / Facebook Message War Starts Now")</f>
        <v>The Apple / Google / Facebook Message War Starts Now</v>
      </c>
      <c r="B2028" s="4" t="str">
        <f>HYPERLINK("http://www.facebook.com/8062627951/posts/407631359288888","Who will win? Apple, Google, or Facebook?")</f>
        <v>Who will win? Apple, Google, or Facebook?</v>
      </c>
      <c r="C2028" s="3">
        <v>41092.628240740742</v>
      </c>
      <c r="D2028" s="2">
        <v>118</v>
      </c>
      <c r="E2028" s="2">
        <v>63</v>
      </c>
      <c r="F2028" s="2" t="s">
        <v>8</v>
      </c>
      <c r="G2028" s="2" t="s">
        <v>7</v>
      </c>
    </row>
    <row r="2029" spans="1:7" ht="45" x14ac:dyDescent="0.25">
      <c r="A2029" s="4" t="str">
        <f>HYPERLINK("http://techcrunch.com/2012/07/02/nice-move-weather-channel-buys-weather-underground-to-sharpen-focus-on-digital/","Nice Move: Weather Channel Buys Weather Underground To Sharpen Focus On Digital")</f>
        <v>Nice Move: Weather Channel Buys Weather Underground To Sharpen Focus On Digital</v>
      </c>
      <c r="B2029" s="4" t="str">
        <f>HYPERLINK("http://www.facebook.com/8062627951/posts/325897400831628","The Weather Channel has acquired pioneering online weather service Weather Underground for an undisclosed sum:")</f>
        <v>The Weather Channel has acquired pioneering online weather service Weather Underground for an undisclosed sum:</v>
      </c>
      <c r="C2029" s="3">
        <v>41092.563437500001</v>
      </c>
      <c r="D2029" s="2">
        <v>47</v>
      </c>
      <c r="E2029" s="2">
        <v>11</v>
      </c>
      <c r="F2029" s="2" t="s">
        <v>7</v>
      </c>
      <c r="G2029" s="2" t="s">
        <v>7</v>
      </c>
    </row>
    <row r="2030" spans="1:7" ht="30" x14ac:dyDescent="0.25">
      <c r="A2030" s="4" t="str">
        <f>HYPERLINK("http://t.co/8CbkuCbi","Auto-Sunk. Check Your Hidden Facebook “Other” Inbox For Your Missing Emails")</f>
        <v>Auto-Sunk. Check Your Hidden Facebook “Other” Inbox For Your Missing Emails</v>
      </c>
      <c r="B2030" s="4" t="str">
        <f>HYPERLINK("http://www.facebook.com/8062627951/posts/405273979508877","You probably have missed emails and messages.")</f>
        <v>You probably have missed emails and messages.</v>
      </c>
      <c r="C2030" s="3">
        <v>41092.504178240742</v>
      </c>
      <c r="D2030" s="2">
        <v>44</v>
      </c>
      <c r="E2030" s="2">
        <v>20</v>
      </c>
      <c r="F2030" s="2" t="s">
        <v>7</v>
      </c>
      <c r="G2030" s="2" t="s">
        <v>7</v>
      </c>
    </row>
    <row r="2031" spans="1:7" x14ac:dyDescent="0.25">
      <c r="A2031" s="4" t="str">
        <f>HYPERLINK("http://techcrunch.com/2012/07/02/postmates-courier-for-a-day/","I Was A Postmates Courier For A Day")</f>
        <v>I Was A Postmates Courier For A Day</v>
      </c>
      <c r="B2031" s="4" t="str">
        <f>HYPERLINK("http://www.facebook.com/8062627951/posts/417968711586663","[Video] A day in the life of a Postmates bike messenger")</f>
        <v>[Video] A day in the life of a Postmates bike messenger</v>
      </c>
      <c r="C2031" s="3">
        <v>41092.459108796298</v>
      </c>
      <c r="D2031" s="2">
        <v>14</v>
      </c>
      <c r="E2031" s="2">
        <v>0</v>
      </c>
      <c r="F2031" s="2" t="s">
        <v>7</v>
      </c>
      <c r="G2031" s="2" t="s">
        <v>7</v>
      </c>
    </row>
    <row r="2032" spans="1:7" ht="30" x14ac:dyDescent="0.25">
      <c r="A2032" s="4" t="str">
        <f>HYPERLINK("http://techcrunch.com/2012/07/02/leaked-windows-phone-keyboard-curved-for-your-typing-pleasure/","Leaked Windows Phone Keyboard: Curved For Your Typing Pleasure")</f>
        <v>Leaked Windows Phone Keyboard: Curved For Your Typing Pleasure</v>
      </c>
      <c r="B2032" s="4" t="str">
        <f>HYPERLINK("http://www.facebook.com/8062627951/posts/332677510151802","Would you want a keyboard like this?")</f>
        <v>Would you want a keyboard like this?</v>
      </c>
      <c r="C2032" s="3">
        <v>41092.392002314817</v>
      </c>
      <c r="D2032" s="2">
        <v>176</v>
      </c>
      <c r="E2032" s="2">
        <v>44</v>
      </c>
      <c r="F2032" s="2" t="s">
        <v>8</v>
      </c>
      <c r="G2032" s="2" t="s">
        <v>7</v>
      </c>
    </row>
    <row r="2033" spans="1:7" ht="30" x14ac:dyDescent="0.25">
      <c r="A2033" s="4" t="str">
        <f>HYPERLINK("http://techcrunch.com/2012/07/02/80-of-americans-work-after-hours-equaling-an-extra-day-of-work-per-week/","80% Of Americans Work “After Hours,” Equaling An Extra Day Of Work Per Week")</f>
        <v>80% Of Americans Work “After Hours,” Equaling An Extra Day Of Work Per Week</v>
      </c>
      <c r="B2033" s="4" t="str">
        <f>HYPERLINK("http://www.facebook.com/8062627951/posts/336343286442594","Are you guilty? Yes/No:")</f>
        <v>Are you guilty? Yes/No:</v>
      </c>
      <c r="C2033" s="3">
        <v>41092.36078703704</v>
      </c>
      <c r="D2033" s="2">
        <v>128</v>
      </c>
      <c r="E2033" s="2">
        <v>47</v>
      </c>
      <c r="F2033" s="2" t="s">
        <v>8</v>
      </c>
      <c r="G2033" s="2" t="s">
        <v>7</v>
      </c>
    </row>
    <row r="2034" spans="1:7" ht="45" x14ac:dyDescent="0.25">
      <c r="A2034" s="4" t="str">
        <f>HYPERLINK("http://techcrunch.com/2012/07/02/techcrunch-makers-episode-one-inside-brooklyns-makerbot-with-bre-pettis/","TechCrunch | TechCrunch Makers Episode One: Inside Brooklyn’s Makerbot With Bre PettisTechCrunch")</f>
        <v>TechCrunch | TechCrunch Makers Episode One: Inside Brooklyn’s Makerbot With Bre PettisTechCrunch</v>
      </c>
      <c r="B2034" s="4" t="str">
        <f>HYPERLINK("http://www.facebook.com/8062627951/posts/387676537959287","[TCTV] Ever wonder how MakerBots are made? John Biggs tours the company's Brooklyn assembly factory in our first episode of TechCrunch Makers.")</f>
        <v>[TCTV] Ever wonder how MakerBots are made? John Biggs tours the company's Brooklyn assembly factory in our first episode of TechCrunch Makers.</v>
      </c>
      <c r="C2034" s="3">
        <v>41092.348564814813</v>
      </c>
      <c r="D2034" s="2">
        <v>19</v>
      </c>
      <c r="E2034" s="2">
        <v>1</v>
      </c>
      <c r="F2034" s="2" t="s">
        <v>8</v>
      </c>
      <c r="G2034" s="2" t="s">
        <v>7</v>
      </c>
    </row>
    <row r="2035" spans="1:7" ht="45" x14ac:dyDescent="0.25">
      <c r="A2035" s="4" t="str">
        <f>HYPERLINK("http://techcrunch.com/2012/07/02/some-dissatisfied-wireless-customers-leave-a-complaint-others-do-this/","Some Dissatisfied Wireless Customers Leave A Complaint, Others Do This…TechCrunch")</f>
        <v>Some Dissatisfied Wireless Customers Leave A Complaint, Others Do This…TechCrunch</v>
      </c>
      <c r="B2035" s="4" t="str">
        <f>HYPERLINK("http://www.facebook.com/8062627951/posts/146795752124523","Remember, the customer is always right -- even when one trashes a T-Mobile store.")</f>
        <v>Remember, the customer is always right -- even when one trashes a T-Mobile store.</v>
      </c>
      <c r="C2035" s="3">
        <v>41092.293182870373</v>
      </c>
      <c r="D2035" s="2">
        <v>100</v>
      </c>
      <c r="E2035" s="2">
        <v>29</v>
      </c>
      <c r="F2035" s="2" t="s">
        <v>7</v>
      </c>
      <c r="G2035" s="2" t="s">
        <v>7</v>
      </c>
    </row>
    <row r="2036" spans="1:7" ht="45" x14ac:dyDescent="0.25">
      <c r="A2036" s="4" t="str">
        <f>HYPERLINK("http://techcrunch.com/2012/07/02/chinese-servant-gets-ten-years-in-jail-stealing-overpriced-nokia-vertu-handset/","Chinese Servant Gets 10 Years In Jail For Stealing Overpriced Nokia Vertu HandsetTechCr...")</f>
        <v>Chinese Servant Gets 10 Years In Jail For Stealing Overpriced Nokia Vertu HandsetTechCr...</v>
      </c>
      <c r="B2036" s="4" t="str">
        <f>HYPERLINK("http://www.facebook.com/8062627951/posts/258850670888107","Sick.")</f>
        <v>Sick.</v>
      </c>
      <c r="C2036" s="3">
        <v>41092.233275462961</v>
      </c>
      <c r="D2036" s="2">
        <v>32</v>
      </c>
      <c r="E2036" s="2">
        <v>17</v>
      </c>
      <c r="F2036" s="2" t="s">
        <v>7</v>
      </c>
      <c r="G2036" s="2" t="s">
        <v>7</v>
      </c>
    </row>
    <row r="2037" spans="1:7" ht="45" x14ac:dyDescent="0.25">
      <c r="A2037" s="4" t="str">
        <f>HYPERLINK("http://techcrunch.com/2012/07/01/uber-opens-up-platform-to-non-limo-vehicles-with-uber-x-service-will-be-35-less-expensive/","Uber Opens Up Platform To Non-Limo Vehicles With “Uber X,” Service Will Be 35% Less Exp...")</f>
        <v>Uber Opens Up Platform To Non-Limo Vehicles With “Uber X,” Service Will Be 35% Less Exp...</v>
      </c>
      <c r="B2037" s="4" t="s">
        <v>116</v>
      </c>
      <c r="C2037" s="3">
        <v>41091.845138888886</v>
      </c>
      <c r="D2037" s="2">
        <v>63</v>
      </c>
      <c r="E2037" s="2">
        <v>6</v>
      </c>
      <c r="F2037" s="2" t="s">
        <v>7</v>
      </c>
      <c r="G2037" s="2" t="s">
        <v>7</v>
      </c>
    </row>
    <row r="2038" spans="1:7" ht="45" x14ac:dyDescent="0.25">
      <c r="A2038" s="4" t="str">
        <f>HYPERLINK("http://techcrunch.com/2012/07/01/rise-of-the-enterprise-toys/","Rise Of The Enterprise “Toys”")</f>
        <v>Rise Of The Enterprise “Toys”</v>
      </c>
      <c r="B2038" s="4" t="s">
        <v>117</v>
      </c>
      <c r="C2038" s="3">
        <v>41091.742835648147</v>
      </c>
      <c r="D2038" s="2">
        <v>33</v>
      </c>
      <c r="E2038" s="2">
        <v>0</v>
      </c>
      <c r="F2038" s="2" t="s">
        <v>7</v>
      </c>
      <c r="G2038" s="2" t="s">
        <v>7</v>
      </c>
    </row>
    <row r="2039" spans="1:7" x14ac:dyDescent="0.25">
      <c r="A2039" s="4" t="str">
        <f>HYPERLINK("http://techcrunch.com/2012/07/01/the-art-of-manipulation/","TechCrunch | The Art Of Manipulation")</f>
        <v>TechCrunch | The Art Of Manipulation</v>
      </c>
      <c r="B2039" s="4" t="str">
        <f>HYPERLINK("http://www.facebook.com/8062627951/posts/260336084076017","The art of manipulation.")</f>
        <v>The art of manipulation.</v>
      </c>
      <c r="C2039" s="3">
        <v>41091.612430555557</v>
      </c>
      <c r="D2039" s="2">
        <v>70</v>
      </c>
      <c r="E2039" s="2">
        <v>5</v>
      </c>
      <c r="F2039" s="2" t="s">
        <v>7</v>
      </c>
      <c r="G2039" s="2" t="s">
        <v>7</v>
      </c>
    </row>
    <row r="2040" spans="1:7" ht="45" x14ac:dyDescent="0.25">
      <c r="A2040" s="4" t="str">
        <f>HYPERLINK("http://www.facebook.com/photo.php?fbid=10151083994452952&amp;set=a.114456157951.118433.8062627951&amp;type=1&amp;relevant_count=1","[Photo]")</f>
        <v>[Photo]</v>
      </c>
      <c r="B2040" s="4" t="str">
        <f>HYPERLINK("http://www.facebook.com/8062627951/posts/10151083994477952","Tell your friends not to freak out. Facebook just removed the home page Ticker, but it should be back soon http://bit.ly/TcFBTicker")</f>
        <v>Tell your friends not to freak out. Facebook just removed the home page Ticker, but it should be back soon http://bit.ly/TcFBTicker</v>
      </c>
      <c r="C2040" s="3">
        <v>41090.962893518517</v>
      </c>
      <c r="D2040" s="2">
        <v>204</v>
      </c>
      <c r="E2040" s="2">
        <v>77</v>
      </c>
      <c r="F2040" s="2" t="s">
        <v>7</v>
      </c>
      <c r="G2040" s="2" t="s">
        <v>8</v>
      </c>
    </row>
    <row r="2041" spans="1:7" ht="60" x14ac:dyDescent="0.25">
      <c r="A2041" s="4" t="str">
        <f>HYPERLINK("http://techcrunch.com/2012/06/30/waywire/","#waywire, Cory Booker’s Personalized News Startup, Uses Video To Give Youth A Voice")</f>
        <v>#waywire, Cory Booker’s Personalized News Startup, Uses Video To Give Youth A Voice</v>
      </c>
      <c r="B2041" s="4" t="s">
        <v>118</v>
      </c>
      <c r="C2041" s="3">
        <v>41090.58734953704</v>
      </c>
      <c r="D2041" s="2">
        <v>49</v>
      </c>
      <c r="E2041" s="2">
        <v>9</v>
      </c>
      <c r="F2041" s="2" t="s">
        <v>7</v>
      </c>
      <c r="G2041" s="2" t="s">
        <v>7</v>
      </c>
    </row>
    <row r="2042" spans="1:7" ht="45" x14ac:dyDescent="0.25">
      <c r="A2042" s="4" t="str">
        <f>HYPERLINK("http://techcrunch.com/2012/06/30/there-goes-the-weekend-pinterest-instagram-and-netflix-down-due-to-aws-outage/","There Goes The Weekend! Pinterest, Instagram And Netflix Down Due To AWS Outage [Update...")</f>
        <v>There Goes The Weekend! Pinterest, Instagram And Netflix Down Due To AWS Outage [Update...</v>
      </c>
      <c r="B2042" s="4" t="str">
        <f>HYPERLINK("http://www.facebook.com/8062627951/posts/375825332471605","Were you having issues? Sigh.")</f>
        <v>Were you having issues? Sigh.</v>
      </c>
      <c r="C2042" s="3">
        <v>41090.390011574076</v>
      </c>
      <c r="D2042" s="2">
        <v>63</v>
      </c>
      <c r="E2042" s="2">
        <v>16</v>
      </c>
      <c r="F2042" s="2" t="s">
        <v>8</v>
      </c>
      <c r="G2042" s="2" t="s">
        <v>7</v>
      </c>
    </row>
    <row r="2043" spans="1:7" ht="45" x14ac:dyDescent="0.25">
      <c r="A2043" s="4" t="str">
        <f>HYPERLINK("http://techcrunch.com/2012/06/29/twitters-all-like-we-dont-need-you-linkedin-but-still-bends-over-backwards-for-facebook/","Twitter’s All Like “We Don’t Need You LinkedIn,” But Still Bends Over Backwards For Fac...")</f>
        <v>Twitter’s All Like “We Don’t Need You LinkedIn,” But Still Bends Over Backwards For Fac...</v>
      </c>
      <c r="B2043" s="4" t="str">
        <f>HYPERLINK("http://www.facebook.com/8062627951/posts/338554886220397","Nothing is more fascinating than the tech platform API wars because they are so, so similar to high school.")</f>
        <v>Nothing is more fascinating than the tech platform API wars because they are so, so similar to high school.</v>
      </c>
      <c r="C2043" s="3">
        <v>41089.842187499999</v>
      </c>
      <c r="D2043" s="2">
        <v>91</v>
      </c>
      <c r="E2043" s="2">
        <v>7</v>
      </c>
      <c r="F2043" s="2" t="s">
        <v>7</v>
      </c>
      <c r="G2043" s="2" t="s">
        <v>7</v>
      </c>
    </row>
    <row r="2044" spans="1:7" ht="30" x14ac:dyDescent="0.25">
      <c r="A2044" s="4" t="str">
        <f>HYPERLINK("http://techcrunch.com/2012/06/29/paul-oakenfold-on-the-intersection-of-technology-and-music-tctv/","Paul Oakenfold On The Intersection Of Technology And Music [TCTV]")</f>
        <v>Paul Oakenfold On The Intersection Of Technology And Music [TCTV]</v>
      </c>
      <c r="B2044" s="4" t="str">
        <f>HYPERLINK("http://www.facebook.com/8062627951/posts/198629276932867","[Video] Anyone a Paul Oakenfold fan?")</f>
        <v>[Video] Anyone a Paul Oakenfold fan?</v>
      </c>
      <c r="C2044" s="3">
        <v>41089.721307870372</v>
      </c>
      <c r="D2044" s="2">
        <v>120</v>
      </c>
      <c r="E2044" s="2">
        <v>10</v>
      </c>
      <c r="F2044" s="2" t="s">
        <v>8</v>
      </c>
      <c r="G2044" s="2" t="s">
        <v>7</v>
      </c>
    </row>
    <row r="2045" spans="1:7" x14ac:dyDescent="0.25">
      <c r="A2045" s="4" t="str">
        <f>HYPERLINK("http://www.facebook.com/photo.php?fbid=10151081483962952&amp;set=a.114456157951.118433.8062627951&amp;type=1&amp;relevant_count=1","[Photo]")</f>
        <v>[Photo]</v>
      </c>
      <c r="B2045" s="4" t="str">
        <f>HYPERLINK("http://www.facebook.com/8062627951/posts/10151081484027952","GROUP HUG. Read on - http://tcrn.ch/N3FNkM")</f>
        <v>GROUP HUG. Read on - http://tcrn.ch/N3FNkM</v>
      </c>
      <c r="C2045" s="3">
        <v>41089.68378472222</v>
      </c>
      <c r="D2045" s="2">
        <v>77</v>
      </c>
      <c r="E2045" s="2">
        <v>8</v>
      </c>
      <c r="F2045" s="2" t="s">
        <v>7</v>
      </c>
      <c r="G2045" s="2" t="s">
        <v>8</v>
      </c>
    </row>
    <row r="2046" spans="1:7" ht="30" x14ac:dyDescent="0.25">
      <c r="A2046" s="4" t="str">
        <f>HYPERLINK("http://techcrunch.com/2012/06/29/techcrunch-giveaway-another-free-ticket-to-disrupt-sf-tcdisrupt/","TechCrunch Giveaway: Another Free Ticket To Disrupt SF! #TCDisrupt")</f>
        <v>TechCrunch Giveaway: Another Free Ticket To Disrupt SF! #TCDisrupt</v>
      </c>
      <c r="B2046" s="4" t="str">
        <f>HYPERLINK("http://www.facebook.com/8062627951/posts/117556415052999","Want the free ticket to Disrupt SF? Make sure to enter!")</f>
        <v>Want the free ticket to Disrupt SF? Make sure to enter!</v>
      </c>
      <c r="C2046" s="3">
        <v>41089.589097222219</v>
      </c>
      <c r="D2046" s="2">
        <v>25</v>
      </c>
      <c r="E2046" s="2">
        <v>4</v>
      </c>
      <c r="F2046" s="2" t="s">
        <v>8</v>
      </c>
      <c r="G2046" s="2" t="s">
        <v>7</v>
      </c>
    </row>
    <row r="2047" spans="1:7" ht="45" x14ac:dyDescent="0.25">
      <c r="A2047" s="4" t="str">
        <f>HYPERLINK("http://techcrunch.com/2012/06/29/facebook-earnings/","TechCrunch | Facebook’s First Public Earnings, Q2 2012, Will Drop On July 26thTechCrunch")</f>
        <v>TechCrunch | Facebook’s First Public Earnings, Q2 2012, Will Drop On July 26thTechCrunch</v>
      </c>
      <c r="B2047" s="4" t="str">
        <f>HYPERLINK("http://www.facebook.com/8062627951/posts/318790271544880","How much did Facebook earn in Q2?")</f>
        <v>How much did Facebook earn in Q2?</v>
      </c>
      <c r="C2047" s="3">
        <v>41089.565092592595</v>
      </c>
      <c r="D2047" s="2">
        <v>39</v>
      </c>
      <c r="E2047" s="2">
        <v>6</v>
      </c>
      <c r="F2047" s="2" t="s">
        <v>8</v>
      </c>
      <c r="G2047" s="2" t="s">
        <v>7</v>
      </c>
    </row>
    <row r="2048" spans="1:7" ht="45" x14ac:dyDescent="0.25">
      <c r="A2048" s="4" t="str">
        <f>HYPERLINK("http://techcrunch.com/2012/06/29/mio-alpha/","Mio’s Alpha Kickstarter Project Is A Very Cool, Touch-Free Heart-Rate Monitor Watch")</f>
        <v>Mio’s Alpha Kickstarter Project Is A Very Cool, Touch-Free Heart-Rate Monitor Watch</v>
      </c>
      <c r="B2048" s="4" t="str">
        <f>HYPERLINK("http://www.facebook.com/8062627951/posts/334055523344765","Pretty ingenious.")</f>
        <v>Pretty ingenious.</v>
      </c>
      <c r="C2048" s="3">
        <v>41089.515960648147</v>
      </c>
      <c r="D2048" s="2">
        <v>39</v>
      </c>
      <c r="E2048" s="2">
        <v>1</v>
      </c>
      <c r="F2048" s="2" t="s">
        <v>7</v>
      </c>
      <c r="G2048" s="2" t="s">
        <v>7</v>
      </c>
    </row>
    <row r="2049" spans="1:7" ht="30" x14ac:dyDescent="0.25">
      <c r="A2049" s="4" t="str">
        <f>HYPERLINK("http://techcrunch.com/2012/06/29/omar-hamoui-maybe/","AdMob Founder Omar Hamoui Has A New Polling Startup, Calls It ‘Maybe’")</f>
        <v>AdMob Founder Omar Hamoui Has A New Polling Startup, Calls It ‘Maybe’</v>
      </c>
      <c r="B2049" s="4" t="str">
        <f>HYPERLINK("http://www.facebook.com/8062627951/posts/492749624075577","Can’t decide what shoes to buy? Or what book to read next? Check out Maybe.")</f>
        <v>Can’t decide what shoes to buy? Or what book to read next? Check out Maybe.</v>
      </c>
      <c r="C2049" s="3">
        <v>41089.459768518522</v>
      </c>
      <c r="D2049" s="2">
        <v>50</v>
      </c>
      <c r="E2049" s="2">
        <v>4</v>
      </c>
      <c r="F2049" s="2" t="s">
        <v>8</v>
      </c>
      <c r="G2049" s="2" t="s">
        <v>7</v>
      </c>
    </row>
    <row r="2050" spans="1:7" ht="30" x14ac:dyDescent="0.25">
      <c r="A2050" s="4" t="str">
        <f>HYPERLINK("http://techcrunch.com/2012/06/29/google-mobile-app-analytics/","Google Analytics Goes Mobile With App Analytics And An Android AppTechCrunch")</f>
        <v>Google Analytics Goes Mobile With App Analytics And An Android AppTechCrunch</v>
      </c>
      <c r="B2050" s="4" t="str">
        <f>HYPERLINK("http://www.facebook.com/8062627951/posts/197729737023032","Google is announcing a big addition to Google Analytics — Mobile App Analytics.")</f>
        <v>Google is announcing a big addition to Google Analytics — Mobile App Analytics.</v>
      </c>
      <c r="C2050" s="3">
        <v>41089.428865740738</v>
      </c>
      <c r="D2050" s="2">
        <v>251</v>
      </c>
      <c r="E2050" s="2">
        <v>13</v>
      </c>
      <c r="F2050" s="2" t="s">
        <v>7</v>
      </c>
      <c r="G2050" s="2" t="s">
        <v>7</v>
      </c>
    </row>
    <row r="2051" spans="1:7" ht="30" x14ac:dyDescent="0.25">
      <c r="A2051" s="4" t="str">
        <f>HYPERLINK("http://techcrunch.com/2012/06/29/looks-like-apple-has-changed-its-app-store-algorithm-again/","Looks Like Apple Has Changed Its App Store Algorithm AgainTechCrunch")</f>
        <v>Looks Like Apple Has Changed Its App Store Algorithm AgainTechCrunch</v>
      </c>
      <c r="B2051" s="4" t="str">
        <f>HYPERLINK("http://www.facebook.com/8062627951/posts/455531801131774","Apple, always changing things.")</f>
        <v>Apple, always changing things.</v>
      </c>
      <c r="C2051" s="3">
        <v>41089.242372685185</v>
      </c>
      <c r="D2051" s="2">
        <v>38</v>
      </c>
      <c r="E2051" s="2">
        <v>2</v>
      </c>
      <c r="F2051" s="2" t="s">
        <v>7</v>
      </c>
      <c r="G2051" s="2" t="s">
        <v>7</v>
      </c>
    </row>
    <row r="2052" spans="1:7" ht="30" x14ac:dyDescent="0.25">
      <c r="A2052" s="4" t="str">
        <f>HYPERLINK("http://techcrunch.com/2012/06/28/how-google-pulled-off-their-live-video-skydiving-with-glasses-demo/","How Google Pulled Off Their Live Video Skydiving With Glasses DemoTechCrunch")</f>
        <v>How Google Pulled Off Their Live Video Skydiving With Glasses DemoTechCrunch</v>
      </c>
      <c r="B2052" s="4" t="str">
        <f>HYPERLINK("http://www.facebook.com/8062627951/posts/467378273272208","Google won the Internet by pulling off a truly impressive Google Glass skydiving stunt. Here's how they did it:")</f>
        <v>Google won the Internet by pulling off a truly impressive Google Glass skydiving stunt. Here's how they did it:</v>
      </c>
      <c r="C2052" s="3">
        <v>41088.624826388892</v>
      </c>
      <c r="D2052" s="2">
        <v>229</v>
      </c>
      <c r="E2052" s="2">
        <v>21</v>
      </c>
      <c r="F2052" s="2" t="s">
        <v>7</v>
      </c>
      <c r="G2052" s="2" t="s">
        <v>7</v>
      </c>
    </row>
    <row r="2053" spans="1:7" ht="30" x14ac:dyDescent="0.25">
      <c r="A2053" s="4" t="str">
        <f>HYPERLINK("http://t.co/cYZ45L1u","You’re 37% More Likely To Date Someone If You’ve Got Facebook Friends In Common")</f>
        <v>You’re 37% More Likely To Date Someone If You’ve Got Facebook Friends In Common</v>
      </c>
      <c r="B2053" s="4" t="str">
        <f>HYPERLINK("http://www.facebook.com/8062627951/posts/359891824081076","Facebook stalking, not so bad after all!")</f>
        <v>Facebook stalking, not so bad after all!</v>
      </c>
      <c r="C2053" s="3">
        <v>41088.585277777776</v>
      </c>
      <c r="D2053" s="2">
        <v>83</v>
      </c>
      <c r="E2053" s="2">
        <v>17</v>
      </c>
      <c r="F2053" s="2" t="s">
        <v>7</v>
      </c>
      <c r="G2053" s="2" t="s">
        <v>7</v>
      </c>
    </row>
    <row r="2054" spans="1:7" ht="45" x14ac:dyDescent="0.25">
      <c r="A2054" s="4" t="str">
        <f>HYPERLINK("http://techcrunch.com/2012/06/28/rim-q1-2013-results/?grcc=33333Z98ZtrendingZ0Z0Z0Z0Z0","RIM’s Q1 2013 Results: $518 Million Loss On $2.8 Billion In Revenue, BlackBerry 10 Laun...")</f>
        <v>RIM’s Q1 2013 Results: $518 Million Loss On $2.8 Billion In Revenue, BlackBerry 10 Laun...</v>
      </c>
      <c r="B2054" s="4" t="str">
        <f>HYPERLINK("http://www.facebook.com/8062627951/posts/152772804858932","Ouch.")</f>
        <v>Ouch.</v>
      </c>
      <c r="C2054" s="3">
        <v>41088.547812500001</v>
      </c>
      <c r="D2054" s="2">
        <v>36</v>
      </c>
      <c r="E2054" s="2">
        <v>33</v>
      </c>
      <c r="F2054" s="2" t="s">
        <v>7</v>
      </c>
      <c r="G2054" s="2" t="s">
        <v>7</v>
      </c>
    </row>
    <row r="2055" spans="1:7" x14ac:dyDescent="0.25">
      <c r="A2055" s="4" t="str">
        <f>HYPERLINK("http://techcrunch.com/2012/06/28/no-google-tv-update/","Wait, What? No Update For Google TV?")</f>
        <v>Wait, What? No Update For Google TV?</v>
      </c>
      <c r="B2055" s="4" t="str">
        <f>HYPERLINK("http://www.facebook.com/8062627951/posts/335467079863315","Were you hoping for one?")</f>
        <v>Were you hoping for one?</v>
      </c>
      <c r="C2055" s="3">
        <v>41088.50273148148</v>
      </c>
      <c r="D2055" s="2">
        <v>21</v>
      </c>
      <c r="E2055" s="2">
        <v>2</v>
      </c>
      <c r="F2055" s="2" t="s">
        <v>8</v>
      </c>
      <c r="G2055" s="2" t="s">
        <v>7</v>
      </c>
    </row>
    <row r="2056" spans="1:7" ht="45" x14ac:dyDescent="0.25">
      <c r="A2056" s="4" t="str">
        <f>HYPERLINK("http://www.facebook.com/photo.php?fbid=10151078708122952&amp;set=a.114456157951.118433.8062627951&amp;type=1&amp;relevant_count=1","[Photo]")</f>
        <v>[Photo]</v>
      </c>
      <c r="B2056" s="4" t="str">
        <f>HYPERLINK("http://www.facebook.com/8062627951/posts/10151078708182952","Chromebox joins the Nexus 7 tablet, Nexus Q and Nexus phone In Google’s I/O fancy swag bag  - http://tcrn.ch/OAmXWq    Lucky I/O attendees.")</f>
        <v>Chromebox joins the Nexus 7 tablet, Nexus Q and Nexus phone In Google’s I/O fancy swag bag  - http://tcrn.ch/OAmXWq    Lucky I/O attendees.</v>
      </c>
      <c r="C2056" s="3">
        <v>41088.456863425927</v>
      </c>
      <c r="D2056" s="2">
        <v>223</v>
      </c>
      <c r="E2056" s="2">
        <v>24</v>
      </c>
      <c r="F2056" s="2" t="s">
        <v>7</v>
      </c>
      <c r="G2056" s="2" t="s">
        <v>8</v>
      </c>
    </row>
    <row r="2057" spans="1:7" ht="30" x14ac:dyDescent="0.25">
      <c r="A2057" s="4" t="str">
        <f>HYPERLINK("http://techcrunch.com/2012/06/28/google-chrome-ihone-ipad/","Google’s Chrome Browser Now Works On The iPhone And iPad")</f>
        <v>Google’s Chrome Browser Now Works On The iPhone And iPad</v>
      </c>
      <c r="B2057" s="4" t="str">
        <f>HYPERLINK("http://www.facebook.com/8062627951/posts/303064586455960","Hey Chrome users, excited? Chrome now works on the iPhone AND iPad.")</f>
        <v>Hey Chrome users, excited? Chrome now works on the iPhone AND iPad.</v>
      </c>
      <c r="C2057" s="3">
        <v>41088.407754629632</v>
      </c>
      <c r="D2057" s="2">
        <v>140</v>
      </c>
      <c r="E2057" s="2">
        <v>14</v>
      </c>
      <c r="F2057" s="2" t="s">
        <v>8</v>
      </c>
      <c r="G2057" s="2" t="s">
        <v>7</v>
      </c>
    </row>
    <row r="2058" spans="1:7" ht="45" x14ac:dyDescent="0.25">
      <c r="A2058" s="4" t="str">
        <f>HYPERLINK("http://techcrunch.com/2012/06/28/google-chrome-now-has-310-million-active-users-most-popular-browser-in-the-world/","Google: Chrome Now Has 310 Million Active Users, Most Popular Browser In The World")</f>
        <v>Google: Chrome Now Has 310 Million Active Users, Most Popular Browser In The World</v>
      </c>
      <c r="B2058" s="4" t="str">
        <f>HYPERLINK("http://www.facebook.com/8062627951/posts/431808473517197","Go Chrome. Who favorites Chrome over all the others?")</f>
        <v>Go Chrome. Who favorites Chrome over all the others?</v>
      </c>
      <c r="C2058" s="3">
        <v>41088.393101851849</v>
      </c>
      <c r="D2058" s="2">
        <v>544</v>
      </c>
      <c r="E2058" s="2">
        <v>59</v>
      </c>
      <c r="F2058" s="2" t="s">
        <v>8</v>
      </c>
      <c r="G2058" s="2" t="s">
        <v>7</v>
      </c>
    </row>
    <row r="2059" spans="1:7" ht="45" x14ac:dyDescent="0.25">
      <c r="A2059" s="4" t="str">
        <f>HYPERLINK("http://techcrunch.com/2012/06/28/google-io-liveblog-day-two/","Live Blog: Google I/O Keynote Day Two")</f>
        <v>Live Blog: Google I/O Keynote Day Two</v>
      </c>
      <c r="B2059" s="4" t="s">
        <v>119</v>
      </c>
      <c r="C2059" s="3">
        <v>41088.387824074074</v>
      </c>
      <c r="D2059" s="2">
        <v>65</v>
      </c>
      <c r="E2059" s="2">
        <v>4</v>
      </c>
      <c r="F2059" s="2" t="s">
        <v>7</v>
      </c>
      <c r="G2059" s="2" t="s">
        <v>7</v>
      </c>
    </row>
    <row r="2060" spans="1:7" ht="45" x14ac:dyDescent="0.25">
      <c r="A2060" s="4" t="str">
        <f>HYPERLINK("http://techcrunch.com/2012/06/28/google-now-comes-online-well-its-homepage-does/","Google Now Comes Online (Well, Its Homepage Does)")</f>
        <v>Google Now Comes Online (Well, Its Homepage Does)</v>
      </c>
      <c r="B2060" s="4" t="s">
        <v>120</v>
      </c>
      <c r="C2060" s="3">
        <v>41088.367986111109</v>
      </c>
      <c r="D2060" s="2">
        <v>104</v>
      </c>
      <c r="E2060" s="2">
        <v>17</v>
      </c>
      <c r="F2060" s="2" t="s">
        <v>8</v>
      </c>
      <c r="G2060" s="2" t="s">
        <v>7</v>
      </c>
    </row>
    <row r="2061" spans="1:7" ht="30" x14ac:dyDescent="0.25">
      <c r="A2061" s="4" t="str">
        <f>HYPERLINK("http://techcrunch.com/2012/06/27/facebook-follow-action/","Lord Of The News Feeds: Facebook's Plot To Swallow Up Every App's Content")</f>
        <v>Lord Of The News Feeds: Facebook's Plot To Swallow Up Every App's Content</v>
      </c>
      <c r="B2061" s="4" t="str">
        <f>HYPERLINK("http://www.facebook.com/8062627951/posts/249356601843293","Om Nom Nom")</f>
        <v>Om Nom Nom</v>
      </c>
      <c r="C2061" s="3">
        <v>41088.222280092596</v>
      </c>
      <c r="D2061" s="2">
        <v>31</v>
      </c>
      <c r="E2061" s="2">
        <v>3</v>
      </c>
      <c r="F2061" s="2" t="s">
        <v>7</v>
      </c>
      <c r="G2061" s="2" t="s">
        <v>7</v>
      </c>
    </row>
    <row r="2062" spans="1:7" ht="30" x14ac:dyDescent="0.25">
      <c r="A2062" s="4" t="str">
        <f>HYPERLINK("http://techcrunch.com/2012/06/27/google-glass-future/","TechCrunch | Project Glass Is The Future Of Google")</f>
        <v>TechCrunch | Project Glass Is The Future Of Google</v>
      </c>
      <c r="B2062" s="4" t="str">
        <f>HYPERLINK("http://www.facebook.com/8062627951/posts/251498754960390","What Project Glass means for the future of Google.")</f>
        <v>What Project Glass means for the future of Google.</v>
      </c>
      <c r="C2062" s="3">
        <v>41087.815081018518</v>
      </c>
      <c r="D2062" s="2">
        <v>286</v>
      </c>
      <c r="E2062" s="2">
        <v>28</v>
      </c>
      <c r="F2062" s="2" t="s">
        <v>7</v>
      </c>
      <c r="G2062" s="2" t="s">
        <v>7</v>
      </c>
    </row>
    <row r="2063" spans="1:7" x14ac:dyDescent="0.25">
      <c r="A2063" s="4" t="str">
        <f>HYPERLINK("http://techcrunch.com/2012/06/27/welcome-to-the-google-glass-freak-show/","Welcome To The Google Glass Freak Show")</f>
        <v>Welcome To The Google Glass Freak Show</v>
      </c>
      <c r="B2063" s="4" t="str">
        <f>HYPERLINK("http://www.facebook.com/8062627951/posts/467987546546664","[PHOTOS] Beautiful.")</f>
        <v>[PHOTOS] Beautiful.</v>
      </c>
      <c r="C2063" s="3">
        <v>41087.644756944443</v>
      </c>
      <c r="D2063" s="2">
        <v>66</v>
      </c>
      <c r="E2063" s="2">
        <v>8</v>
      </c>
      <c r="F2063" s="2" t="s">
        <v>7</v>
      </c>
      <c r="G2063" s="2" t="s">
        <v>7</v>
      </c>
    </row>
    <row r="2064" spans="1:7" ht="30" x14ac:dyDescent="0.25">
      <c r="A2064" s="4" t="str">
        <f>HYPERLINK("http://techcrunch.com/2012/06/27/hands-on-with-google-glass/","Hands-On With Sergey Brin’s Personal Set Of Google Glass")</f>
        <v>Hands-On With Sergey Brin’s Personal Set Of Google Glass</v>
      </c>
      <c r="B2064" s="4" t="str">
        <f>HYPERLINK("http://www.facebook.com/8062627951/posts/384602611600741","Hands-on with Sergey Brin's set of Google Glass:")</f>
        <v>Hands-on with Sergey Brin's set of Google Glass:</v>
      </c>
      <c r="C2064" s="3">
        <v>41087.619502314818</v>
      </c>
      <c r="D2064" s="2">
        <v>97</v>
      </c>
      <c r="E2064" s="2">
        <v>2</v>
      </c>
      <c r="F2064" s="2" t="s">
        <v>7</v>
      </c>
      <c r="G2064" s="2" t="s">
        <v>7</v>
      </c>
    </row>
    <row r="2065" spans="1:7" ht="45" x14ac:dyDescent="0.25">
      <c r="A2065" s="4" t="str">
        <f>HYPERLINK("http://www.facebook.com/photo.php?fbid=10151076716277952&amp;set=a.114456157951.118433.8062627951&amp;type=1&amp;relevant_count=1","[Photo]")</f>
        <v>[Photo]</v>
      </c>
      <c r="B2065" s="4" t="str">
        <f>HYPERLINK("http://www.facebook.com/8062627951/posts/10151076716322952","Google Glass Explorer Edition is available for pre-order at Google I/O for $1,500, shipping next year. - http://tcrn.ch/Ou99N1")</f>
        <v>Google Glass Explorer Edition is available for pre-order at Google I/O for $1,500, shipping next year. - http://tcrn.ch/Ou99N1</v>
      </c>
      <c r="C2065" s="3">
        <v>41087.565393518518</v>
      </c>
      <c r="D2065" s="2">
        <v>727</v>
      </c>
      <c r="E2065" s="2">
        <v>43</v>
      </c>
      <c r="F2065" s="2" t="s">
        <v>7</v>
      </c>
      <c r="G2065" s="2" t="s">
        <v>8</v>
      </c>
    </row>
    <row r="2066" spans="1:7" ht="60" x14ac:dyDescent="0.25">
      <c r="A2066" s="4" t="str">
        <f>HYPERLINK("http://techcrunch.com/2012/06/27/the-facebook-ecosystem-crunchup-our-7th-annual-august-capital-party-aug-3rd-in-silicon-valley/","The Facebook Ecosystem CrunchUp + Our 7th Annual August Capital Party: Aug 3rd In Silic...")</f>
        <v>The Facebook Ecosystem CrunchUp + Our 7th Annual August Capital Party: Aug 3rd In Silic...</v>
      </c>
      <c r="B2066" s="4" t="str">
        <f>HYPERLINK("http://www.facebook.com/8062627951/posts/252288374887088","This year for our annual CrunchUp, we are taking over the Fox Theater and focusing on one big and newly-public company: Facebook.   Tickets to our CrunchUp and tickets to our annual Summer Party at Au...")</f>
        <v>This year for our annual CrunchUp, we are taking over the Fox Theater and focusing on one big and newly-public company: Facebook.   Tickets to our CrunchUp and tickets to our annual Summer Party at Au...</v>
      </c>
      <c r="C2066" s="3">
        <v>41087.51798611111</v>
      </c>
      <c r="D2066" s="2">
        <v>20</v>
      </c>
      <c r="E2066" s="2">
        <v>2</v>
      </c>
      <c r="F2066" s="2" t="s">
        <v>7</v>
      </c>
      <c r="G2066" s="2" t="s">
        <v>7</v>
      </c>
    </row>
    <row r="2067" spans="1:7" ht="30" x14ac:dyDescent="0.25">
      <c r="A2067" s="4" t="str">
        <f>HYPERLINK("http://techcrunch.com/2012/06/27/these-are-the-top-five-features-of-android-4-1-jelly-bean/","These Are The Top Five Features Of Android 4.1 Jelly Bean")</f>
        <v>These Are The Top Five Features Of Android 4.1 Jelly Bean</v>
      </c>
      <c r="B2067" s="4" t="str">
        <f>HYPERLINK("http://www.facebook.com/8062627951/posts/382499435143477","Which are you most excited about?")</f>
        <v>Which are you most excited about?</v>
      </c>
      <c r="C2067" s="3">
        <v>41087.469039351854</v>
      </c>
      <c r="D2067" s="2">
        <v>91</v>
      </c>
      <c r="E2067" s="2">
        <v>20</v>
      </c>
      <c r="F2067" s="2" t="s">
        <v>8</v>
      </c>
      <c r="G2067" s="2" t="s">
        <v>7</v>
      </c>
    </row>
    <row r="2068" spans="1:7" ht="30" x14ac:dyDescent="0.25">
      <c r="A2068" s="4" t="str">
        <f>HYPERLINK("http://techcrunch.com/2012/06/27/sergey-brin-demos-google-glass-at-io/","Google Wins The Internet With A Live Skydiving Demo Of Google Glass")</f>
        <v>Google Wins The Internet With A Live Skydiving Demo Of Google Glass</v>
      </c>
      <c r="B2068" s="4" t="str">
        <f>HYPERLINK("http://www.facebook.com/8062627951/posts/383260011738781","Well, that was unexpected. And awesome.")</f>
        <v>Well, that was unexpected. And awesome.</v>
      </c>
      <c r="C2068" s="3">
        <v>41087.443958333337</v>
      </c>
      <c r="D2068" s="2">
        <v>436</v>
      </c>
      <c r="E2068" s="2">
        <v>25</v>
      </c>
      <c r="F2068" s="2" t="s">
        <v>7</v>
      </c>
      <c r="G2068" s="2" t="s">
        <v>7</v>
      </c>
    </row>
    <row r="2069" spans="1:7" ht="30" x14ac:dyDescent="0.25">
      <c r="A2069" s="4" t="str">
        <f>HYPERLINK("http://www.facebook.com/photo.php?fbid=10151076281472952&amp;set=a.114456157951.118433.8062627951&amp;type=1&amp;relevant_count=1","[Photo]")</f>
        <v>[Photo]</v>
      </c>
      <c r="B2069" s="4" t="str">
        <f>HYPERLINK("http://www.facebook.com/8062627951/posts/10151076281522952","Android 4.1 Jelly Bean revealed at Google I/O: Project Butter, improved search, and more - http://tcrn.ch/MwERq1")</f>
        <v>Android 4.1 Jelly Bean revealed at Google I/O: Project Butter, improved search, and more - http://tcrn.ch/MwERq1</v>
      </c>
      <c r="C2069" s="3">
        <v>41087.410694444443</v>
      </c>
      <c r="D2069" s="2">
        <v>1298</v>
      </c>
      <c r="E2069" s="2">
        <v>72</v>
      </c>
      <c r="F2069" s="2" t="s">
        <v>7</v>
      </c>
      <c r="G2069" s="2" t="s">
        <v>8</v>
      </c>
    </row>
    <row r="2070" spans="1:7" ht="45" x14ac:dyDescent="0.25">
      <c r="A2070" s="4" t="str">
        <f>HYPERLINK("http://techcrunch.com/2012/06/27/nexus-7/","Google Nexus 7 Fully Revealed: Tegra 3, 7-Inch IPS Display, $199 For 8GB, $249 For 16GB")</f>
        <v>Google Nexus 7 Fully Revealed: Tegra 3, 7-Inch IPS Display, $199 For 8GB, $249 For 16GB</v>
      </c>
      <c r="B2070" s="4" t="str">
        <f>HYPERLINK("http://www.facebook.com/8062627951/posts/375246985871705","A first look at the Nexus 7, Google's answer to the Kindle Fire and the iPad:")</f>
        <v>A first look at the Nexus 7, Google's answer to the Kindle Fire and the iPad:</v>
      </c>
      <c r="C2070" s="3">
        <v>41087.363009259258</v>
      </c>
      <c r="D2070" s="2">
        <v>213</v>
      </c>
      <c r="E2070" s="2">
        <v>10</v>
      </c>
      <c r="F2070" s="2" t="s">
        <v>7</v>
      </c>
      <c r="G2070" s="2" t="s">
        <v>7</v>
      </c>
    </row>
    <row r="2071" spans="1:7" ht="45" x14ac:dyDescent="0.25">
      <c r="A2071" s="4" t="str">
        <f>HYPERLINK("http://www.facebook.com/photo.php?fbid=10151076130772952&amp;set=a.114456157951.118433.8062627951&amp;type=1&amp;relevant_count=1","[Photo]")</f>
        <v>[Photo]</v>
      </c>
      <c r="B2071" s="4" t="str">
        <f>HYPERLINK("http://www.facebook.com/8062627951/posts/10151076130847952","Google is announcing today the launch of its first Android@Home product, the Nexus Q. - http://tcrn.ch/M4Ip5r")</f>
        <v>Google is announcing today the launch of its first Android@Home product, the Nexus Q. - http://tcrn.ch/M4Ip5r</v>
      </c>
      <c r="C2071" s="3">
        <v>41087.356226851851</v>
      </c>
      <c r="D2071" s="2">
        <v>223</v>
      </c>
      <c r="E2071" s="2">
        <v>26</v>
      </c>
      <c r="F2071" s="2" t="s">
        <v>7</v>
      </c>
      <c r="G2071" s="2" t="s">
        <v>8</v>
      </c>
    </row>
    <row r="2072" spans="1:7" ht="30" x14ac:dyDescent="0.25">
      <c r="A2072" s="4" t="str">
        <f>HYPERLINK("http://techcrunch.com/2012/06/27/the-google-nexus-tablet-the-top-6-must-have-features/","The Google Nexus Tablet: The Top 6 Must-Have Features")</f>
        <v>The Google Nexus Tablet: The Top 6 Must-Have Features</v>
      </c>
      <c r="B2072" s="4" t="str">
        <f>HYPERLINK("http://www.facebook.com/8062627951/posts/484078291618670","Did we miss any?")</f>
        <v>Did we miss any?</v>
      </c>
      <c r="C2072" s="3">
        <v>41087.292430555557</v>
      </c>
      <c r="D2072" s="2">
        <v>30</v>
      </c>
      <c r="E2072" s="2">
        <v>4</v>
      </c>
      <c r="F2072" s="2" t="s">
        <v>8</v>
      </c>
      <c r="G2072" s="2" t="s">
        <v>7</v>
      </c>
    </row>
    <row r="2073" spans="1:7" ht="60" x14ac:dyDescent="0.25">
      <c r="A2073" s="4" t="str">
        <f>HYPERLINK("http://techcrunch.com/2012/06/27/behind-the-scenes-the-making-of-googles-jelly-bean-android-statue","TechCrunch | Behind The Scenes: The Making Of Google’s Jelly Bean Android Statue")</f>
        <v>TechCrunch | Behind The Scenes: The Making Of Google’s Jelly Bean Android Statue</v>
      </c>
      <c r="B2073" s="4" t="str">
        <f>HYPERLINK("http://www.facebook.com/8062627951/posts/125961150877096","You know those big Android statues outside of Google's HQ? Giovanni Calabrese shows TechCrunch TV how they're made at his New Jersey studio. Fun fact: It takes 6 minutes to carve each jelly bean.")</f>
        <v>You know those big Android statues outside of Google's HQ? Giovanni Calabrese shows TechCrunch TV how they're made at his New Jersey studio. Fun fact: It takes 6 minutes to carve each jelly bean.</v>
      </c>
      <c r="C2073" s="3">
        <v>41087.183831018519</v>
      </c>
      <c r="D2073" s="2">
        <v>31</v>
      </c>
      <c r="E2073" s="2">
        <v>4</v>
      </c>
      <c r="F2073" s="2" t="s">
        <v>8</v>
      </c>
      <c r="G2073" s="2" t="s">
        <v>7</v>
      </c>
    </row>
    <row r="2074" spans="1:7" ht="45" x14ac:dyDescent="0.25">
      <c r="A2074" s="4" t="str">
        <f>HYPERLINK("http://techcrunch.com/2012/06/26/sri-lola-intelligent-banking-assistant/","The Latest Project From Siri-Creator SRI: Lola, An Intelligent Banking Assistant")</f>
        <v>The Latest Project From Siri-Creator SRI: Lola, An Intelligent Banking Assistant</v>
      </c>
      <c r="B2074" s="4" t="s">
        <v>121</v>
      </c>
      <c r="C2074" s="3">
        <v>41086.849918981483</v>
      </c>
      <c r="D2074" s="2">
        <v>102</v>
      </c>
      <c r="E2074" s="2">
        <v>12</v>
      </c>
      <c r="F2074" s="2" t="s">
        <v>7</v>
      </c>
      <c r="G2074" s="2" t="s">
        <v>7</v>
      </c>
    </row>
    <row r="2075" spans="1:7" ht="45" x14ac:dyDescent="0.25">
      <c r="A2075" s="4" t="str">
        <f>HYPERLINK("http://techcrunch.com/2012/06/26/this-fanless-heatsink-is-the-next-generation-in-cpu-cooling/","This Fanless Heatsink Is The Next Generation In CPU Cooling")</f>
        <v>This Fanless Heatsink Is The Next Generation In CPU Cooling</v>
      </c>
      <c r="B2075" s="4" t="str">
        <f>HYPERLINK("http://www.facebook.com/8062627951/posts/316054528486651","[Video] This new heatsink is the latest in heatsink technology and promises quiet and efficient heatsinkery in the future.")</f>
        <v>[Video] This new heatsink is the latest in heatsink technology and promises quiet and efficient heatsinkery in the future.</v>
      </c>
      <c r="C2075" s="3">
        <v>41086.674201388887</v>
      </c>
      <c r="D2075" s="2">
        <v>105</v>
      </c>
      <c r="E2075" s="2">
        <v>12</v>
      </c>
      <c r="F2075" s="2" t="s">
        <v>7</v>
      </c>
      <c r="G2075" s="2" t="s">
        <v>7</v>
      </c>
    </row>
    <row r="2076" spans="1:7" ht="30" x14ac:dyDescent="0.25">
      <c r="A2076" s="4" t="str">
        <f>HYPERLINK("http://techcrunch.com/2012/06/26/clever-launches-twilio-for-ed-data/","Y Combinator-Backed Clever Launches A Twilio For Educational Data")</f>
        <v>Y Combinator-Backed Clever Launches A Twilio For Educational Data</v>
      </c>
      <c r="B2076" s="4" t="str">
        <f>HYPERLINK("http://www.facebook.com/8062627951/posts/452024201487859","Clever wants to make it easier for developers to build technology for schools.")</f>
        <v>Clever wants to make it easier for developers to build technology for schools.</v>
      </c>
      <c r="C2076" s="3">
        <v>41086.509375000001</v>
      </c>
      <c r="D2076" s="2">
        <v>30</v>
      </c>
      <c r="E2076" s="2">
        <v>0</v>
      </c>
      <c r="F2076" s="2" t="s">
        <v>7</v>
      </c>
      <c r="G2076" s="2" t="s">
        <v>7</v>
      </c>
    </row>
    <row r="2077" spans="1:7" ht="75" x14ac:dyDescent="0.25">
      <c r="A2077" s="4" t="str">
        <f>HYPERLINK("http://www.facebook.com/photo.php?fbid=10151073824352952&amp;set=a.114456157951.118433.8062627951&amp;type=1&amp;relevant_count=1","[Photo]")</f>
        <v>[Photo]</v>
      </c>
      <c r="B2077" s="4" t="str">
        <f>HYPERLINK("http://www.facebook.com/8062627951/posts/10151073824377952","Zynga just launched new games, cross-device gameplay, and multiplayer. Get the news: http://techcrunch.com/2012/06/26/zynga-network-adds-social-lobby-for-users-across-all-devices-zynga-with-friends/")</f>
        <v>Zynga just launched new games, cross-device gameplay, and multiplayer. Get the news: http://techcrunch.com/2012/06/26/zynga-network-adds-social-lobby-for-users-across-all-devices-zynga-with-friends/</v>
      </c>
      <c r="C2077" s="3">
        <v>41086.43677083333</v>
      </c>
      <c r="D2077" s="2">
        <v>42</v>
      </c>
      <c r="E2077" s="2">
        <v>4</v>
      </c>
      <c r="F2077" s="2" t="s">
        <v>7</v>
      </c>
      <c r="G2077" s="2" t="s">
        <v>8</v>
      </c>
    </row>
    <row r="2078" spans="1:7" ht="30" x14ac:dyDescent="0.25">
      <c r="A2078" s="4" t="str">
        <f>HYPERLINK("http://techcrunch.com/2012/06/26/childrens-stories-app-memetales-comes-to-android-offers-free-books-all-summer/","Children’s Stories App MeMeTales Comes To Android, Offers Free Books All Summer")</f>
        <v>Children’s Stories App MeMeTales Comes To Android, Offers Free Books All Summer</v>
      </c>
      <c r="B2078" s="4" t="str">
        <f>HYPERLINK("http://www.facebook.com/8062627951/posts/429958033694359","Free books!")</f>
        <v>Free books!</v>
      </c>
      <c r="C2078" s="3">
        <v>41086.414363425924</v>
      </c>
      <c r="D2078" s="2">
        <v>28</v>
      </c>
      <c r="E2078" s="2">
        <v>1</v>
      </c>
      <c r="F2078" s="2" t="s">
        <v>7</v>
      </c>
      <c r="G2078" s="2" t="s">
        <v>7</v>
      </c>
    </row>
    <row r="2079" spans="1:7" ht="30" x14ac:dyDescent="0.25">
      <c r="A2079" s="4" t="str">
        <f>HYPERLINK("http://techcrunch.com/2012/06/26/the-day-after-its-1-2b-purchase-by-microsoft-yammer-goes-down/","The Day After Its $1.2B Purchase By Microsoft, Yammer Goes Down")</f>
        <v>The Day After Its $1.2B Purchase By Microsoft, Yammer Goes Down</v>
      </c>
      <c r="B2079" s="4" t="str">
        <f>HYPERLINK("http://www.facebook.com/8062627951/posts/378701912192885","Whoops.")</f>
        <v>Whoops.</v>
      </c>
      <c r="C2079" s="3">
        <v>41086.288587962961</v>
      </c>
      <c r="D2079" s="2">
        <v>81</v>
      </c>
      <c r="E2079" s="2">
        <v>21</v>
      </c>
      <c r="F2079" s="2" t="s">
        <v>7</v>
      </c>
      <c r="G2079" s="2" t="s">
        <v>7</v>
      </c>
    </row>
    <row r="2080" spans="1:7" ht="30" x14ac:dyDescent="0.25">
      <c r="A2080" s="4" t="str">
        <f>HYPERLINK("http://techcrunch.com/2012/06/26/sidecar/","Hail A Fellow Human, Not A Taxi With “SideCar” – The New P2P Uber")</f>
        <v>Hail A Fellow Human, Not A Taxi With “SideCar” – The New P2P Uber</v>
      </c>
      <c r="B2080" s="4" t="str">
        <f>HYPERLINK("http://www.facebook.com/8062627951/posts/383240025070029","SideCar turns anyone into a taxi")</f>
        <v>SideCar turns anyone into a taxi</v>
      </c>
      <c r="C2080" s="3">
        <v>41086.245462962965</v>
      </c>
      <c r="D2080" s="2">
        <v>64</v>
      </c>
      <c r="E2080" s="2">
        <v>17</v>
      </c>
      <c r="F2080" s="2" t="s">
        <v>7</v>
      </c>
      <c r="G2080" s="2" t="s">
        <v>7</v>
      </c>
    </row>
    <row r="2081" spans="1:7" ht="30" x14ac:dyDescent="0.25">
      <c r="A2081" s="4" t="str">
        <f>HYPERLINK("http://techcrunch.com/2012/06/26/vizio-co-star/","Vizio Announces The Co-Star, A $99 Google TV Set-Top Box With OnLive Built In")</f>
        <v>Vizio Announces The Co-Star, A $99 Google TV Set-Top Box With OnLive Built In</v>
      </c>
      <c r="B2081" s="4" t="str">
        <f>HYPERLINK("http://www.facebook.com/8062627951/posts/315406795220474","Introducing the Co-Star. Watch out Sony, Vizio is chasing your tail.")</f>
        <v>Introducing the Co-Star. Watch out Sony, Vizio is chasing your tail.</v>
      </c>
      <c r="C2081" s="3">
        <v>41086.189780092594</v>
      </c>
      <c r="D2081" s="2">
        <v>35</v>
      </c>
      <c r="E2081" s="2">
        <v>4</v>
      </c>
      <c r="F2081" s="2" t="s">
        <v>7</v>
      </c>
      <c r="G2081" s="2" t="s">
        <v>7</v>
      </c>
    </row>
    <row r="2082" spans="1:7" ht="30" x14ac:dyDescent="0.25">
      <c r="A2082" s="4" t="str">
        <f>HYPERLINK("http://techcrunch.com/2012/06/25/tech-gay-pride/","Facebook, Google, And Other Tech Companies Show Off Their Gay Pride (Pics)")</f>
        <v>Facebook, Google, And Other Tech Companies Show Off Their Gay Pride (Pics)</v>
      </c>
      <c r="B2082" s="4" t="str">
        <f>HYPERLINK("http://www.facebook.com/8062627951/posts/386233164768122","Pride got high tech this weekend.")</f>
        <v>Pride got high tech this weekend.</v>
      </c>
      <c r="C2082" s="3">
        <v>41085.88486111111</v>
      </c>
      <c r="D2082" s="2">
        <v>171</v>
      </c>
      <c r="E2082" s="2">
        <v>16</v>
      </c>
      <c r="F2082" s="2" t="s">
        <v>7</v>
      </c>
      <c r="G2082" s="2" t="s">
        <v>7</v>
      </c>
    </row>
    <row r="2083" spans="1:7" ht="45" x14ac:dyDescent="0.25">
      <c r="A2083" s="4" t="str">
        <f>HYPERLINK("http://techcrunch.com/2012/06/25/instagram-explore/","TechCrunch | Instagram’s New “Explore” Brings The Future Of Photo Discovery Into Focus")</f>
        <v>TechCrunch | Instagram’s New “Explore” Brings The Future Of Photo Discovery Into Focus</v>
      </c>
      <c r="B2083" s="4" t="str">
        <f>HYPERLINK("http://www.facebook.com/8062627951/posts/243519579084176","Would you like to see all the photos taken right where you live? http://techcrunch.com/2012/06/25/instagram-explore/")</f>
        <v>Would you like to see all the photos taken right where you live? http://techcrunch.com/2012/06/25/instagram-explore/</v>
      </c>
      <c r="C2083" s="3">
        <v>41085.647326388891</v>
      </c>
      <c r="D2083" s="2">
        <v>83</v>
      </c>
      <c r="E2083" s="2">
        <v>15</v>
      </c>
      <c r="F2083" s="2" t="s">
        <v>8</v>
      </c>
      <c r="G2083" s="2" t="s">
        <v>7</v>
      </c>
    </row>
    <row r="2084" spans="1:7" ht="30" x14ac:dyDescent="0.25">
      <c r="A2084" s="4" t="str">
        <f>HYPERLINK("http://www.facebook.com/photo.php?fbid=10151071968652952&amp;set=a.114456157951.118433.8062627951&amp;type=1&amp;relevant_count=1","[Photo]")</f>
        <v>[Photo]</v>
      </c>
      <c r="B2084" s="4" t="str">
        <f>HYPERLINK("http://www.facebook.com/8062627951/posts/10151071968727952","Today, Jon maddog Hall came out as a homosexual in honor of Alan Turing’s 100th birthday. - http://tcrn.ch/Lbi81f")</f>
        <v>Today, Jon maddog Hall came out as a homosexual in honor of Alan Turing’s 100th birthday. - http://tcrn.ch/Lbi81f</v>
      </c>
      <c r="C2084" s="3">
        <v>41085.623067129629</v>
      </c>
      <c r="D2084" s="2">
        <v>167</v>
      </c>
      <c r="E2084" s="2">
        <v>40</v>
      </c>
      <c r="F2084" s="2" t="s">
        <v>7</v>
      </c>
      <c r="G2084" s="2" t="s">
        <v>8</v>
      </c>
    </row>
    <row r="2085" spans="1:7" ht="45" x14ac:dyDescent="0.25">
      <c r="A2085" s="4" t="str">
        <f>HYPERLINK("http://techcrunch.com/2012/06/25/facebooks-board-of-directors-adds-its-first-woman-sheryl-sandberg-its-long-time-coo/","Sheryl Sandberg, Facebook’s Long-Time COO, Becomes First Woman On Its Board Of Directors")</f>
        <v>Sheryl Sandberg, Facebook’s Long-Time COO, Becomes First Woman On Its Board Of Directors</v>
      </c>
      <c r="B2085" s="4" t="str">
        <f>HYPERLINK("http://www.facebook.com/8062627951/posts/242690602501230","Sheryl Sandberg, Facebook’s four-year chief operating officer, has a new role — board member.")</f>
        <v>Sheryl Sandberg, Facebook’s four-year chief operating officer, has a new role — board member.</v>
      </c>
      <c r="C2085" s="3">
        <v>41085.544942129629</v>
      </c>
      <c r="D2085" s="2">
        <v>241</v>
      </c>
      <c r="E2085" s="2">
        <v>22</v>
      </c>
      <c r="F2085" s="2" t="s">
        <v>7</v>
      </c>
      <c r="G2085" s="2" t="s">
        <v>7</v>
      </c>
    </row>
    <row r="2086" spans="1:7" ht="45" x14ac:dyDescent="0.25">
      <c r="A2086" s="4" t="str">
        <f>HYPERLINK("http://techcrunch.com/2012/06/25/facebook-email-address/","Facebook Hides Your Email Address Leaving Only @Facebook.com Visible. Undo This Poppycock Now")</f>
        <v>Facebook Hides Your Email Address Leaving Only @Facebook.com Visible. Undo This Poppycock Now</v>
      </c>
      <c r="B2086" s="4" t="str">
        <f>HYPERLINK("http://www.facebook.com/8062627951/posts/177003909097915","Facebook screwed up. Here's how to fix it")</f>
        <v>Facebook screwed up. Here's how to fix it</v>
      </c>
      <c r="C2086" s="3">
        <v>41085.526828703703</v>
      </c>
      <c r="D2086" s="2">
        <v>148</v>
      </c>
      <c r="E2086" s="2">
        <v>24</v>
      </c>
      <c r="F2086" s="2" t="s">
        <v>7</v>
      </c>
      <c r="G2086" s="2" t="s">
        <v>7</v>
      </c>
    </row>
    <row r="2087" spans="1:7" ht="45" x14ac:dyDescent="0.25">
      <c r="A2087" s="4" t="str">
        <f>HYPERLINK("http://techcrunch.com/2012/06/25/rentobo/","Y Combinator-Backed Rentobo Helps Landlords Fill Apartments Without All The Messy Paper...")</f>
        <v>Y Combinator-Backed Rentobo Helps Landlords Fill Apartments Without All The Messy Paper...</v>
      </c>
      <c r="B2087" s="4" t="s">
        <v>122</v>
      </c>
      <c r="C2087" s="3">
        <v>41085.519537037035</v>
      </c>
      <c r="D2087" s="2">
        <v>46</v>
      </c>
      <c r="E2087" s="2">
        <v>0</v>
      </c>
      <c r="F2087" s="2" t="s">
        <v>7</v>
      </c>
      <c r="G2087" s="2" t="s">
        <v>7</v>
      </c>
    </row>
    <row r="2088" spans="1:7" ht="30" x14ac:dyDescent="0.25">
      <c r="A2088" s="4" t="str">
        <f>HYPERLINK("http://techcrunch.com/2012/06/18/why-you-should-apply-for-the-techcrunch-disrupt-startup-battlefield/","Why You Should Apply For The TechCrunch Disrupt Startup Battlefield")</f>
        <v>Why You Should Apply For The TechCrunch Disrupt Startup Battlefield</v>
      </c>
      <c r="B2088" s="4" t="str">
        <f>HYPERLINK("http://www.facebook.com/8062627951/posts/330188887060520","Did you know Yammer was an early winner at Startup Battlefield? Have you applied yet?")</f>
        <v>Did you know Yammer was an early winner at Startup Battlefield? Have you applied yet?</v>
      </c>
      <c r="C2088" s="3">
        <v>41085.502951388888</v>
      </c>
      <c r="D2088" s="2">
        <v>27</v>
      </c>
      <c r="E2088" s="2">
        <v>1</v>
      </c>
      <c r="F2088" s="2" t="s">
        <v>8</v>
      </c>
      <c r="G2088" s="2" t="s">
        <v>7</v>
      </c>
    </row>
    <row r="2089" spans="1:7" ht="45" x14ac:dyDescent="0.25">
      <c r="A2089" s="4" t="str">
        <f>HYPERLINK("http://techcrunch.com/2012/06/25/its-official-microsoft-confirms-it-has-acquired-yammer-for-1-2-billion-in-cash/","TechCrunch | It’s Official: Microsoft Confirms It Has Acquired Yammer For $1.2 Billion In Cash")</f>
        <v>TechCrunch | It’s Official: Microsoft Confirms It Has Acquired Yammer For $1.2 Billion In Cash</v>
      </c>
      <c r="B2089" s="4" t="str">
        <f>HYPERLINK("http://www.facebook.com/8062627951/posts/288554024576431","It's official! Microsoft has acquired Yammer for $1.2 billion:")</f>
        <v>It's official! Microsoft has acquired Yammer for $1.2 billion:</v>
      </c>
      <c r="C2089" s="3">
        <v>41085.427986111114</v>
      </c>
      <c r="D2089" s="2">
        <v>301</v>
      </c>
      <c r="E2089" s="2">
        <v>52</v>
      </c>
      <c r="F2089" s="2" t="s">
        <v>7</v>
      </c>
      <c r="G2089" s="2" t="s">
        <v>7</v>
      </c>
    </row>
    <row r="2090" spans="1:7" ht="30" x14ac:dyDescent="0.25">
      <c r="A2090" s="4" t="str">
        <f>HYPERLINK("http://techcrunch.com/2012/06/25/berkeley-study-for-mbas-happiness-isnt-about-the-money/","Berkeley Study: For MBAs, Happiness Isn’t About the Money")</f>
        <v>Berkeley Study: For MBAs, Happiness Isn’t About the Money</v>
      </c>
      <c r="B2090" s="4" t="str">
        <f>HYPERLINK("http://www.facebook.com/8062627951/posts/363706580361204","What brings you the most joy?")</f>
        <v>What brings you the most joy?</v>
      </c>
      <c r="C2090" s="3">
        <v>41085.387824074074</v>
      </c>
      <c r="D2090" s="2">
        <v>62</v>
      </c>
      <c r="E2090" s="2">
        <v>12</v>
      </c>
      <c r="F2090" s="2" t="s">
        <v>8</v>
      </c>
      <c r="G2090" s="2" t="s">
        <v>7</v>
      </c>
    </row>
    <row r="2091" spans="1:7" x14ac:dyDescent="0.25">
      <c r="A2091" s="4" t="str">
        <f>HYPERLINK("http://techcrunch.com/2012/06/25/how-aol-squandered-winamp/","How AOL Squandered WinAmp")</f>
        <v>How AOL Squandered WinAmp</v>
      </c>
      <c r="B2091" s="4" t="str">
        <f>HYPERLINK("http://www.facebook.com/8062627951/posts/440541099311850","When was the last time you used WinAmp?")</f>
        <v>When was the last time you used WinAmp?</v>
      </c>
      <c r="C2091" s="3">
        <v>41085.333171296297</v>
      </c>
      <c r="D2091" s="2">
        <v>104</v>
      </c>
      <c r="E2091" s="2">
        <v>102</v>
      </c>
      <c r="F2091" s="2" t="s">
        <v>8</v>
      </c>
      <c r="G2091" s="2" t="s">
        <v>7</v>
      </c>
    </row>
    <row r="2092" spans="1:7" ht="30" x14ac:dyDescent="0.25">
      <c r="A2092" s="4" t="str">
        <f>HYPERLINK("http://techcrunch.com/2012/06/24/the-anatomy-of-a-pass-a-quantitative-analysis-on-why-a-vc-passes/","TechCrunch | The Anatomy Of A Pass, A Quantitative Analysis On Why A VC Passes")</f>
        <v>TechCrunch | The Anatomy Of A Pass, A Quantitative Analysis On Why A VC Passes</v>
      </c>
      <c r="B2092" s="4" t="str">
        <f>HYPERLINK("http://www.facebook.com/8062627951/posts/115148535293765","Preparing to pitch a VC? Read this first.")</f>
        <v>Preparing to pitch a VC? Read this first.</v>
      </c>
      <c r="C2092" s="3">
        <v>41085.215856481482</v>
      </c>
      <c r="D2092" s="2">
        <v>69</v>
      </c>
      <c r="E2092" s="2">
        <v>1</v>
      </c>
      <c r="F2092" s="2" t="s">
        <v>8</v>
      </c>
      <c r="G2092" s="2" t="s">
        <v>7</v>
      </c>
    </row>
    <row r="2093" spans="1:7" ht="45" x14ac:dyDescent="0.25">
      <c r="A2093" s="4" t="str">
        <f>HYPERLINK("http://techcrunch.com/2012/06/24/doing-deals-in-china/","Doing Deals In China")</f>
        <v>Doing Deals In China</v>
      </c>
      <c r="B2093" s="4" t="s">
        <v>123</v>
      </c>
      <c r="C2093" s="3">
        <v>41084.718414351853</v>
      </c>
      <c r="D2093" s="2">
        <v>94</v>
      </c>
      <c r="E2093" s="2">
        <v>12</v>
      </c>
      <c r="F2093" s="2" t="s">
        <v>7</v>
      </c>
      <c r="G2093" s="2" t="s">
        <v>7</v>
      </c>
    </row>
    <row r="2094" spans="1:7" ht="45" x14ac:dyDescent="0.25">
      <c r="A2094" s="4" t="str">
        <f>HYPERLINK("http://techcrunch.com/2012/06/24/friendshake-facebooks-new-mobile-feature-for-finding-people-nearby-and-a-highlight-killer/","‘Find Friends Nearby’: Facebook’s New Mobile Feature For Finding People Around You [Upd...")</f>
        <v>‘Find Friends Nearby’: Facebook’s New Mobile Feature For Finding People Around You [Upd...</v>
      </c>
      <c r="B2094" s="4" t="str">
        <f>HYPERLINK("http://www.facebook.com/8062627951/posts/286756714755453","Introducing 'Find Friends Nearby'. Are you excited about Facebook's new mobile feature?")</f>
        <v>Introducing 'Find Friends Nearby'. Are you excited about Facebook's new mobile feature?</v>
      </c>
      <c r="C2094" s="3">
        <v>41084.484386574077</v>
      </c>
      <c r="D2094" s="2">
        <v>113</v>
      </c>
      <c r="E2094" s="2">
        <v>29</v>
      </c>
      <c r="F2094" s="2" t="s">
        <v>8</v>
      </c>
      <c r="G2094" s="2" t="s">
        <v>7</v>
      </c>
    </row>
    <row r="2095" spans="1:7" ht="30" x14ac:dyDescent="0.25">
      <c r="A2095" s="4" t="str">
        <f>HYPERLINK("http://techcrunch.com/2012/06/23/subscription-condoms-dumb-dumb-dumb/","The Stupid Rise Of The Subscription Condom Startup")</f>
        <v>The Stupid Rise Of The Subscription Condom Startup</v>
      </c>
      <c r="B2095" s="4" t="str">
        <f>HYPERLINK("http://www.facebook.com/8062627951/posts/356258654443074","Yeah...")</f>
        <v>Yeah...</v>
      </c>
      <c r="C2095" s="3">
        <v>41083.880578703705</v>
      </c>
      <c r="D2095" s="2">
        <v>58</v>
      </c>
      <c r="E2095" s="2">
        <v>19</v>
      </c>
      <c r="F2095" s="2" t="s">
        <v>7</v>
      </c>
      <c r="G2095" s="2" t="s">
        <v>7</v>
      </c>
    </row>
    <row r="2096" spans="1:7" ht="30" x14ac:dyDescent="0.25">
      <c r="A2096" s="4" t="str">
        <f>HYPERLINK("http://techcrunch.com/2012/06/23/title-why-are-startups-flocking-to-sf-theres-no-more-room-in-silicon-valleys-inn/","Why Are Startups Flocking To SF? There’s No More Room In Silicon Valley")</f>
        <v>Why Are Startups Flocking To SF? There’s No More Room In Silicon Valley</v>
      </c>
      <c r="B2096" s="4" t="str">
        <f>HYPERLINK("http://www.facebook.com/8062627951/posts/352381544834141","Say Silicon Valley has no more room. Where else would you want to start your company?")</f>
        <v>Say Silicon Valley has no more room. Where else would you want to start your company?</v>
      </c>
      <c r="C2096" s="3">
        <v>41083.630266203705</v>
      </c>
      <c r="D2096" s="2">
        <v>84</v>
      </c>
      <c r="E2096" s="2">
        <v>96</v>
      </c>
      <c r="F2096" s="2" t="s">
        <v>8</v>
      </c>
      <c r="G2096" s="2" t="s">
        <v>7</v>
      </c>
    </row>
    <row r="2097" spans="1:7" x14ac:dyDescent="0.25">
      <c r="A2097" s="4" t="str">
        <f>HYPERLINK("http://techcrunch.com/2012/06/23/laocoon/","Laocoön")</f>
        <v>Laocoön</v>
      </c>
      <c r="B2097" s="4" t="str">
        <f>HYPERLINK("http://www.facebook.com/8062627951/posts/312077095550331","Put on your thinking caps. What do you think it means?")</f>
        <v>Put on your thinking caps. What do you think it means?</v>
      </c>
      <c r="C2097" s="3">
        <v>41083.444675925923</v>
      </c>
      <c r="D2097" s="2">
        <v>35</v>
      </c>
      <c r="E2097" s="2">
        <v>9</v>
      </c>
      <c r="F2097" s="2" t="s">
        <v>8</v>
      </c>
      <c r="G2097" s="2" t="s">
        <v>7</v>
      </c>
    </row>
    <row r="2098" spans="1:7" ht="30" x14ac:dyDescent="0.25">
      <c r="A2098" s="4" t="str">
        <f>HYPERLINK("http://techcrunch.com/2012/06/23/todays-google-doodle-is-an-actual-turing-machine/","TechCrunch | Today’s Google Doodle Is An Actual Turing Machine")</f>
        <v>TechCrunch | Today’s Google Doodle Is An Actual Turing Machine</v>
      </c>
      <c r="B2098" s="4" t="str">
        <f>HYPERLINK("http://www.facebook.com/8062627951/posts/313150748779843","Check out the latest Google Doodle, in honor of early computer scientist and tragic hero Alan Turing.")</f>
        <v>Check out the latest Google Doodle, in honor of early computer scientist and tragic hero Alan Turing.</v>
      </c>
      <c r="C2098" s="3">
        <v>41083.414895833332</v>
      </c>
      <c r="D2098" s="2">
        <v>147</v>
      </c>
      <c r="E2098" s="2">
        <v>6</v>
      </c>
      <c r="F2098" s="2" t="s">
        <v>7</v>
      </c>
      <c r="G2098" s="2" t="s">
        <v>7</v>
      </c>
    </row>
    <row r="2099" spans="1:7" ht="45" x14ac:dyDescent="0.25">
      <c r="A2099" s="4" t="str">
        <f>HYPERLINK("http://techcrunch.com/2012/06/23/how-to-get-100000-facebook-likes-for-your-blog-fan-page/","TechCrunch | How To Get 100,000 Facebook Likes For Your Blog Fan Page")</f>
        <v>TechCrunch | How To Get 100,000 Facebook Likes For Your Blog Fan Page</v>
      </c>
      <c r="B2099" s="4" t="str">
        <f>HYPERLINK("http://www.facebook.com/8062627951/posts/449377755087078","TechCrunch columnist James Altucher breaks down how to get to 100,000 Facebook Likes, and why you should care in the first place.")</f>
        <v>TechCrunch columnist James Altucher breaks down how to get to 100,000 Facebook Likes, and why you should care in the first place.</v>
      </c>
      <c r="C2099" s="3">
        <v>41083.396435185183</v>
      </c>
      <c r="D2099" s="2">
        <v>126</v>
      </c>
      <c r="E2099" s="2">
        <v>9</v>
      </c>
      <c r="F2099" s="2" t="s">
        <v>7</v>
      </c>
      <c r="G2099" s="2" t="s">
        <v>7</v>
      </c>
    </row>
    <row r="2100" spans="1:7" ht="45" x14ac:dyDescent="0.25">
      <c r="A2100" s="4" t="str">
        <f>HYPERLINK("http://techcrunch.com/2012/06/22/we-are-not-afraid/","TechCrunch | Private Facebook Data Powering Ads Outside Of Facebook — Is The World Ready?")</f>
        <v>TechCrunch | Private Facebook Data Powering Ads Outside Of Facebook — Is The World Ready?</v>
      </c>
      <c r="B2100" s="4" t="str">
        <f>HYPERLINK("http://www.facebook.com/8062627951/posts/153048651486226","Are you ready to see your Facebook data used in ads on other sites?")</f>
        <v>Are you ready to see your Facebook data used in ads on other sites?</v>
      </c>
      <c r="C2100" s="3">
        <v>41083.365590277775</v>
      </c>
      <c r="D2100" s="2">
        <v>40</v>
      </c>
      <c r="E2100" s="2">
        <v>8</v>
      </c>
      <c r="F2100" s="2" t="s">
        <v>8</v>
      </c>
      <c r="G2100" s="2" t="s">
        <v>7</v>
      </c>
    </row>
    <row r="2101" spans="1:7" ht="45" x14ac:dyDescent="0.25">
      <c r="A2101" s="4" t="str">
        <f>HYPERLINK("http://techcrunch.com/2012/06/22/padmapper-craigslist-cease-and-desist/","Apartment Search Engine PadMapper Gets A Cease-And-Desist From Craigslist, Removes List...")</f>
        <v>Apartment Search Engine PadMapper Gets A Cease-And-Desist From Craigslist, Removes List...</v>
      </c>
      <c r="B2101" s="4" t="str">
        <f>HYPERLINK("http://www.facebook.com/8062627951/posts/338148496261464","Do you think Craigslist is being unfair?")</f>
        <v>Do you think Craigslist is being unfair?</v>
      </c>
      <c r="C2101" s="3">
        <v>41082.763414351852</v>
      </c>
      <c r="D2101" s="2">
        <v>47</v>
      </c>
      <c r="E2101" s="2">
        <v>42</v>
      </c>
      <c r="F2101" s="2" t="s">
        <v>8</v>
      </c>
      <c r="G2101" s="2" t="s">
        <v>7</v>
      </c>
    </row>
    <row r="2102" spans="1:7" ht="45" x14ac:dyDescent="0.25">
      <c r="A2102" s="4" t="str">
        <f>HYPERLINK("http://techcrunch.com/2012/06/22/tesla-motors-starts-shipping-the-model-s-sedan-its-first-family-focused-electric-car-livestream/","Tesla Motors Starts Shipping The Model S Sedan, Its First Family-Focused Electric Car [...")</f>
        <v>Tesla Motors Starts Shipping The Model S Sedan, Its First Family-Focused Electric Car [...</v>
      </c>
      <c r="B2102" s="4" t="str">
        <f>HYPERLINK("http://www.facebook.com/8062627951/posts/141243826012554","It's here!")</f>
        <v>It's here!</v>
      </c>
      <c r="C2102" s="3">
        <v>41082.638749999998</v>
      </c>
      <c r="D2102" s="2">
        <v>149</v>
      </c>
      <c r="E2102" s="2">
        <v>12</v>
      </c>
      <c r="F2102" s="2" t="s">
        <v>7</v>
      </c>
      <c r="G2102" s="2" t="s">
        <v>7</v>
      </c>
    </row>
    <row r="2103" spans="1:7" ht="30" x14ac:dyDescent="0.25">
      <c r="A2103" s="4" t="str">
        <f>HYPERLINK("http://techcrunch.com/2012/06/22/techcrunch-giveaway-free-ticket-to-disrupt-sf-tcdisrupt/","TechCrunch Giveaway: Free Ticket To Disrupt SF #TCDisrupt")</f>
        <v>TechCrunch Giveaway: Free Ticket To Disrupt SF #TCDisrupt</v>
      </c>
      <c r="B2103" s="4" t="str">
        <f>HYPERLINK("http://www.facebook.com/8062627951/posts/258298037605765","We are giving away a free ticket. Make sure you enter.")</f>
        <v>We are giving away a free ticket. Make sure you enter.</v>
      </c>
      <c r="C2103" s="3">
        <v>41082.531099537038</v>
      </c>
      <c r="D2103" s="2">
        <v>30</v>
      </c>
      <c r="E2103" s="2">
        <v>24</v>
      </c>
      <c r="F2103" s="2" t="s">
        <v>7</v>
      </c>
      <c r="G2103" s="2" t="s">
        <v>7</v>
      </c>
    </row>
    <row r="2104" spans="1:7" ht="45" x14ac:dyDescent="0.25">
      <c r="A2104" s="4" t="str">
        <f>HYPERLINK("http://techcrunch.com/2012/06/22/zynga-facebook-ads/","Facebook Ads and Sponsored Stories Are Now Running On Zynga.com, Previewing A FB Ad Network")</f>
        <v>Facebook Ads and Sponsored Stories Are Now Running On Zynga.com, Previewing A FB Ad Network</v>
      </c>
      <c r="B2104" s="4" t="str">
        <f>HYPERLINK("http://www.facebook.com/8062627951/posts/243753612402937","Heads up: Facebook is now using your personal data to target you with ads on other websites")</f>
        <v>Heads up: Facebook is now using your personal data to target you with ads on other websites</v>
      </c>
      <c r="C2104" s="3">
        <v>41082.411296296297</v>
      </c>
      <c r="D2104" s="2">
        <v>51</v>
      </c>
      <c r="E2104" s="2">
        <v>22</v>
      </c>
      <c r="F2104" s="2" t="s">
        <v>7</v>
      </c>
      <c r="G2104" s="2" t="s">
        <v>7</v>
      </c>
    </row>
    <row r="2105" spans="1:7" ht="30" x14ac:dyDescent="0.25">
      <c r="A2105" s="4" t="str">
        <f>HYPERLINK("http://techcrunch.com/2012/06/22/nerfs-new-n-strike-elite-dart-blasters-can-shoot-up-to-75-feet/","Nerf’s New N-Strike Elite Dart Blasters Can Shoot Up To 75 Feet")</f>
        <v>Nerf’s New N-Strike Elite Dart Blasters Can Shoot Up To 75 Feet</v>
      </c>
      <c r="B2105" s="4" t="str">
        <f>HYPERLINK("http://www.facebook.com/8062627951/posts/376676569058970","Who likes Nerf guns? Check out how far these guys can shoot:")</f>
        <v>Who likes Nerf guns? Check out how far these guys can shoot:</v>
      </c>
      <c r="C2105" s="3">
        <v>41082.370405092595</v>
      </c>
      <c r="D2105" s="2">
        <v>56</v>
      </c>
      <c r="E2105" s="2">
        <v>5</v>
      </c>
      <c r="F2105" s="2" t="s">
        <v>8</v>
      </c>
      <c r="G2105" s="2" t="s">
        <v>7</v>
      </c>
    </row>
    <row r="2106" spans="1:7" ht="45" x14ac:dyDescent="0.25">
      <c r="A2106" s="4" t="str">
        <f>HYPERLINK("http://techcrunch.com/2012/06/21/flipboard-officially-launches-on-android-adds-google-youtube-and-more-localized-versions/","Flipboard Officially Launches On Android, Adds Google+, YouTube And More Localized Vers...")</f>
        <v>Flipboard Officially Launches On Android, Adds Google+, YouTube And More Localized Vers...</v>
      </c>
      <c r="B2106" s="4" t="str">
        <f>HYPERLINK("http://www.facebook.com/8062627951/posts/470821079612359","Flipboard officially launches on Android")</f>
        <v>Flipboard officially launches on Android</v>
      </c>
      <c r="C2106" s="3">
        <v>41082.335335648146</v>
      </c>
      <c r="D2106" s="2">
        <v>101</v>
      </c>
      <c r="E2106" s="2">
        <v>5</v>
      </c>
      <c r="F2106" s="2" t="s">
        <v>7</v>
      </c>
      <c r="G2106" s="2" t="s">
        <v>7</v>
      </c>
    </row>
    <row r="2107" spans="1:7" ht="30" x14ac:dyDescent="0.25">
      <c r="A2107" s="4" t="str">
        <f>HYPERLINK("http://techcrunch.com/2012/06/21/meet-the-nuud-lifeproofs-new-waterproof-ultra-rugged-ipad-case/","Meet The Nuud: LifeProof’s New Waterproof Ultra-Rugged iPad Case")</f>
        <v>Meet The Nuud: LifeProof’s New Waterproof Ultra-Rugged iPad Case</v>
      </c>
      <c r="B2107" s="4" t="str">
        <f>HYPERLINK("http://www.facebook.com/8062627951/posts/332685050139931","In case you want to, you know, take your iPad into the water with you. Who doesn't like underwater pictures?")</f>
        <v>In case you want to, you know, take your iPad into the water with you. Who doesn't like underwater pictures?</v>
      </c>
      <c r="C2107" s="3">
        <v>41082.321527777778</v>
      </c>
      <c r="D2107" s="2">
        <v>53</v>
      </c>
      <c r="E2107" s="2">
        <v>16</v>
      </c>
      <c r="F2107" s="2" t="s">
        <v>8</v>
      </c>
      <c r="G2107" s="2" t="s">
        <v>7</v>
      </c>
    </row>
    <row r="2108" spans="1:7" ht="45" x14ac:dyDescent="0.25">
      <c r="A2108" s="4" t="str">
        <f>HYPERLINK("http://tcrn.ch/NeUEaU","Don’t Delete Your Stupidity. Fix it. Facebook Rolls Out Comment Editing and Edit History")</f>
        <v>Don’t Delete Your Stupidity. Fix it. Facebook Rolls Out Comment Editing and Edit History</v>
      </c>
      <c r="B2108" s="4" t="str">
        <f>HYPERLINK("http://www.facebook.com/8062627951/posts/255411861229755","Finally!")</f>
        <v>Finally!</v>
      </c>
      <c r="C2108" s="3">
        <v>41081.69390046296</v>
      </c>
      <c r="D2108" s="2">
        <v>701</v>
      </c>
      <c r="E2108" s="2">
        <v>77</v>
      </c>
      <c r="F2108" s="2" t="s">
        <v>7</v>
      </c>
      <c r="G2108" s="2" t="s">
        <v>7</v>
      </c>
    </row>
    <row r="2109" spans="1:7" ht="30" x14ac:dyDescent="0.25">
      <c r="A2109" s="4" t="str">
        <f>HYPERLINK("http://techcrunch.com/2012/06/21/gabi-a-very-unique-superlative-interface-for-browsing-facebook/","Gabi: A Very Unique, Superlative Interface For Browsing Facebook")</f>
        <v>Gabi: A Very Unique, Superlative Interface For Browsing Facebook</v>
      </c>
      <c r="B2109" s="4" t="str">
        <f>HYPERLINK("http://www.facebook.com/8062627951/posts/411340978908342","Get to know (or stalk) your Facebook friends a little more with Gabi.")</f>
        <v>Get to know (or stalk) your Facebook friends a little more with Gabi.</v>
      </c>
      <c r="C2109" s="3">
        <v>41081.613402777781</v>
      </c>
      <c r="D2109" s="2">
        <v>76</v>
      </c>
      <c r="E2109" s="2">
        <v>21</v>
      </c>
      <c r="F2109" s="2" t="s">
        <v>7</v>
      </c>
      <c r="G2109" s="2" t="s">
        <v>7</v>
      </c>
    </row>
    <row r="2110" spans="1:7" ht="45" x14ac:dyDescent="0.25">
      <c r="A2110" s="4" t="str">
        <f>HYPERLINK("http://techcrunch.com/2012/06/21/google-mistakenly-outs-android-4-1-jelly-bean-in-the-play-store-galaxy-nexus-to-get-it-first/","Google Mistakenly Outs Android 4.1 In The Play Store, Galaxy Nexus To Be First Jelly Be...")</f>
        <v>Google Mistakenly Outs Android 4.1 In The Play Store, Galaxy Nexus To Be First Jelly Be...</v>
      </c>
      <c r="B2110" s="4" t="str">
        <f>HYPERLINK("http://www.facebook.com/8062627951/posts/489365304422211","Google may have just accidentally spilled the beans about their next big Android release...")</f>
        <v>Google may have just accidentally spilled the beans about their next big Android release...</v>
      </c>
      <c r="C2110" s="3">
        <v>41081.532523148147</v>
      </c>
      <c r="D2110" s="2">
        <v>87</v>
      </c>
      <c r="E2110" s="2">
        <v>19</v>
      </c>
      <c r="F2110" s="2" t="s">
        <v>7</v>
      </c>
      <c r="G2110" s="2" t="s">
        <v>7</v>
      </c>
    </row>
    <row r="2111" spans="1:7" ht="45" x14ac:dyDescent="0.25">
      <c r="A2111" s="4" t="str">
        <f>HYPERLINK("http://techcrunch.com/2012/06/18/why-you-should-apply-for-the-techcrunch-disrupt-startup-battlefield/","Why You Should Apply For The TechCrunch Disrupt Startup Battlefield")</f>
        <v>Why You Should Apply For The TechCrunch Disrupt Startup Battlefield</v>
      </c>
      <c r="B2111" s="4" t="str">
        <f>HYPERLINK("http://www.facebook.com/8062627951/posts/332911300121171","Did you know chosen Startup Battlefield companies get to meet with us for help with their pitches? They do. Read more:")</f>
        <v>Did you know chosen Startup Battlefield companies get to meet with us for help with their pitches? They do. Read more:</v>
      </c>
      <c r="C2111" s="3">
        <v>41081.510347222225</v>
      </c>
      <c r="D2111" s="2">
        <v>19</v>
      </c>
      <c r="E2111" s="2">
        <v>2</v>
      </c>
      <c r="F2111" s="2" t="s">
        <v>8</v>
      </c>
      <c r="G2111" s="2" t="s">
        <v>7</v>
      </c>
    </row>
    <row r="2112" spans="1:7" ht="45" x14ac:dyDescent="0.25">
      <c r="A2112" s="4" t="str">
        <f>HYPERLINK("http://techcrunch.com/2012/06/21/sponsored-stories-lawsuit/","Huge Problem For Monetization: Lawsuit Forces Facebook To Let You Opt Out Of Sponsored Ads")</f>
        <v>Huge Problem For Monetization: Lawsuit Forces Facebook To Let You Opt Out Of Sponsored Ads</v>
      </c>
      <c r="B2112" s="4" t="str">
        <f>HYPERLINK("http://www.facebook.com/8062627951/posts/383732528351105","Terrible news for Facebook")</f>
        <v>Terrible news for Facebook</v>
      </c>
      <c r="C2112" s="3">
        <v>41081.463402777779</v>
      </c>
      <c r="D2112" s="2">
        <v>62</v>
      </c>
      <c r="E2112" s="2">
        <v>18</v>
      </c>
      <c r="F2112" s="2" t="s">
        <v>7</v>
      </c>
      <c r="G2112" s="2" t="s">
        <v>7</v>
      </c>
    </row>
    <row r="2113" spans="1:7" ht="30" x14ac:dyDescent="0.25">
      <c r="A2113" s="4" t="str">
        <f>HYPERLINK("http://techcrunch.com/2012/06/21/the-volt-buckle-charges-your-phone-holds-up-your-pants/","The Volt Buckle Charges Your Phone, Holds Up Your Pants")</f>
        <v>The Volt Buckle Charges Your Phone, Holds Up Your Pants</v>
      </c>
      <c r="B2113" s="4" t="str">
        <f>HYPERLINK("http://www.facebook.com/8062627951/posts/350634885006056","Because, why not?")</f>
        <v>Because, why not?</v>
      </c>
      <c r="C2113" s="3">
        <v>41081.429560185185</v>
      </c>
      <c r="D2113" s="2">
        <v>64</v>
      </c>
      <c r="E2113" s="2">
        <v>8</v>
      </c>
      <c r="F2113" s="2" t="s">
        <v>8</v>
      </c>
      <c r="G2113" s="2" t="s">
        <v>7</v>
      </c>
    </row>
    <row r="2114" spans="1:7" ht="30" x14ac:dyDescent="0.25">
      <c r="A2114" s="4" t="str">
        <f>HYPERLINK("http://techcrunch.com/2012/06/21/twitter-is-down-but-where-is-the-fail-whale/","Twitter Is Down, But Where Is The Fail Whale?")</f>
        <v>Twitter Is Down, But Where Is The Fail Whale?</v>
      </c>
      <c r="B2114" s="4" t="str">
        <f>HYPERLINK("http://www.facebook.com/8062627951/posts/353512201388671","Fail Whale where are you?")</f>
        <v>Fail Whale where are you?</v>
      </c>
      <c r="C2114" s="3">
        <v>41081.384074074071</v>
      </c>
      <c r="D2114" s="2">
        <v>109</v>
      </c>
      <c r="E2114" s="2">
        <v>38</v>
      </c>
      <c r="F2114" s="2" t="s">
        <v>8</v>
      </c>
      <c r="G2114" s="2" t="s">
        <v>7</v>
      </c>
    </row>
    <row r="2115" spans="1:7" ht="45" x14ac:dyDescent="0.25">
      <c r="A2115" s="4" t="str">
        <f>HYPERLINK("http://techcrunch.com/2012/06/21/jumping-off-the-burning-platform-nokia-knew-it-was-stuck-on-wp7-when-it-signed-on/","Jumping Off The Burning Platform: Nokia Knew It Was Stuck On WP7 When It Signed On")</f>
        <v>Jumping Off The Burning Platform: Nokia Knew It Was Stuck On WP7 When It Signed On</v>
      </c>
      <c r="B2115" s="4" t="str">
        <f>HYPERLINK("http://www.facebook.com/8062627951/posts/487375501288410","The tough decisions of doing business.")</f>
        <v>The tough decisions of doing business.</v>
      </c>
      <c r="C2115" s="3">
        <v>41081.271805555552</v>
      </c>
      <c r="D2115" s="2">
        <v>29</v>
      </c>
      <c r="E2115" s="2">
        <v>7</v>
      </c>
      <c r="F2115" s="2" t="s">
        <v>7</v>
      </c>
      <c r="G2115" s="2" t="s">
        <v>7</v>
      </c>
    </row>
    <row r="2116" spans="1:7" ht="30" x14ac:dyDescent="0.25">
      <c r="A2116" s="4" t="str">
        <f>HYPERLINK("http://techcrunch.com/2012/06/20/windows-8-is-a-great-big-crazy-beautiful-mess/","Windows Phone 8 Is A Great Big, Crazy, Beautiful Mess")</f>
        <v>Windows Phone 8 Is A Great Big, Crazy, Beautiful Mess</v>
      </c>
      <c r="B2116" s="4" t="str">
        <f>HYPERLINK("http://www.facebook.com/8062627951/posts/314800398611650","Is Windows Phone 8 organized chaos or just a big mess?")</f>
        <v>Is Windows Phone 8 organized chaos or just a big mess?</v>
      </c>
      <c r="C2116" s="3">
        <v>41081.151932870373</v>
      </c>
      <c r="D2116" s="2">
        <v>106</v>
      </c>
      <c r="E2116" s="2">
        <v>46</v>
      </c>
      <c r="F2116" s="2" t="s">
        <v>8</v>
      </c>
      <c r="G2116" s="2" t="s">
        <v>7</v>
      </c>
    </row>
    <row r="2117" spans="1:7" ht="30" x14ac:dyDescent="0.25">
      <c r="A2117" s="4" t="str">
        <f>HYPERLINK("http://techcrunch.com/2012/06/20/the-future-of-microsoft-is-sunny-with-a-chance-of-thunderstorms/","The Future Of Microsoft Is Sunny With A Chance Of Thunderstorms")</f>
        <v>The Future Of Microsoft Is Sunny With A Chance Of Thunderstorms</v>
      </c>
      <c r="B2117" s="4" t="str">
        <f>HYPERLINK("http://www.facebook.com/8062627951/posts/411011688942844","Think Microsoft has a shot at making this their year?")</f>
        <v>Think Microsoft has a shot at making this their year?</v>
      </c>
      <c r="C2117" s="3">
        <v>41080.899189814816</v>
      </c>
      <c r="D2117" s="2">
        <v>59</v>
      </c>
      <c r="E2117" s="2">
        <v>23</v>
      </c>
      <c r="F2117" s="2" t="s">
        <v>8</v>
      </c>
      <c r="G2117" s="2" t="s">
        <v>7</v>
      </c>
    </row>
    <row r="2118" spans="1:7" ht="30" x14ac:dyDescent="0.25">
      <c r="A2118" s="4" t="str">
        <f>HYPERLINK("http://techcrunch.com/2012/06/20/facebook-chat-emoticons/","Facebook Adds Emoticons To Chat, Including A Special “Like-moticon”")</f>
        <v>Facebook Adds Emoticons To Chat, Including A Special “Like-moticon”</v>
      </c>
      <c r="B2118" s="4" t="str">
        <f>HYPERLINK("http://www.facebook.com/8062627951/posts/312891645469177","Emoticons are the universal language, so :) On!")</f>
        <v>Emoticons are the universal language, so :) On!</v>
      </c>
      <c r="C2118" s="3">
        <v>41080.774733796294</v>
      </c>
      <c r="D2118" s="2">
        <v>142</v>
      </c>
      <c r="E2118" s="2">
        <v>25</v>
      </c>
      <c r="F2118" s="2" t="s">
        <v>7</v>
      </c>
      <c r="G2118" s="2" t="s">
        <v>7</v>
      </c>
    </row>
    <row r="2119" spans="1:7" ht="45" x14ac:dyDescent="0.25">
      <c r="A2119" s="4" t="str">
        <f>HYPERLINK("http://techcrunch.com/2012/06/20/giglocator-james-proud/","A First Exit For One of Thiel’s 20 Under 20: GigLocator Sells To Brooklyn Bowl’s Peter...")</f>
        <v>A First Exit For One of Thiel’s 20 Under 20: GigLocator Sells To Brooklyn Bowl’s Peter...</v>
      </c>
      <c r="B2119" s="4" t="str">
        <f>HYPERLINK("http://www.facebook.com/8062627951/posts/373914372662609","That didn't take long..")</f>
        <v>That didn't take long..</v>
      </c>
      <c r="C2119" s="3">
        <v>41080.763356481482</v>
      </c>
      <c r="D2119" s="2">
        <v>52</v>
      </c>
      <c r="E2119" s="2">
        <v>7</v>
      </c>
      <c r="F2119" s="2" t="s">
        <v>7</v>
      </c>
      <c r="G2119" s="2" t="s">
        <v>7</v>
      </c>
    </row>
    <row r="2120" spans="1:7" ht="45" x14ac:dyDescent="0.25">
      <c r="A2120" s="4" t="str">
        <f>HYPERLINK("http://techcrunch.com/2012/06/20/facebook-mobile-like-button/","Uncomfortable With Facebook Auto-Sharing? Tap The Deliberate New “Like Action” For Web and Mobile")</f>
        <v>Uncomfortable With Facebook Auto-Sharing? Tap The Deliberate New “Like Action” For Web and Mobile</v>
      </c>
      <c r="B2120" s="4" t="str">
        <f>HYPERLINK("http://www.facebook.com/8062627951/posts/321492504600480","FB gives apps an alternative to the auto-sharing lots of people hate")</f>
        <v>FB gives apps an alternative to the auto-sharing lots of people hate</v>
      </c>
      <c r="C2120" s="3">
        <v>41080.72729166667</v>
      </c>
      <c r="D2120" s="2">
        <v>58</v>
      </c>
      <c r="E2120" s="2">
        <v>7</v>
      </c>
      <c r="F2120" s="2" t="s">
        <v>7</v>
      </c>
      <c r="G2120" s="2" t="s">
        <v>7</v>
      </c>
    </row>
    <row r="2121" spans="1:7" ht="30" x14ac:dyDescent="0.25">
      <c r="A2121" s="4" t="str">
        <f>HYPERLINK("http://techcrunch.com/2012/06/20/confirmed-the-new-iphone-will-have-a-19-pin-mini-connector/","Confirmed: The New iPhone Will Have A 19-Pin “Mini” Connector")</f>
        <v>Confirmed: The New iPhone Will Have A 19-Pin “Mini” Connector</v>
      </c>
      <c r="B2121" s="4" t="str">
        <f>HYPERLINK("http://www.facebook.com/8062627951/posts/352258198178943","Blast! Old iPhone chargers won't work anymore.")</f>
        <v>Blast! Old iPhone chargers won't work anymore.</v>
      </c>
      <c r="C2121" s="3">
        <v>41080.592986111114</v>
      </c>
      <c r="D2121" s="2">
        <v>280</v>
      </c>
      <c r="E2121" s="2">
        <v>163</v>
      </c>
      <c r="F2121" s="2" t="s">
        <v>7</v>
      </c>
      <c r="G2121" s="2" t="s">
        <v>7</v>
      </c>
    </row>
    <row r="2122" spans="1:7" ht="30" x14ac:dyDescent="0.25">
      <c r="A2122" s="4" t="str">
        <f>HYPERLINK("http://techcrunch.com/2012/06/20/facebook-friend-log-in-counts/","Facebook Shows Friend Log In Counts, Passive Aggressively Nudges You To Post")</f>
        <v>Facebook Shows Friend Log In Counts, Passive Aggressively Nudges You To Post</v>
      </c>
      <c r="B2122" s="4" t="str">
        <f>HYPERLINK("http://www.facebook.com/8062627951/posts/414413555263963","Anyone notice the new changes?")</f>
        <v>Anyone notice the new changes?</v>
      </c>
      <c r="C2122" s="3">
        <v>41080.487071759257</v>
      </c>
      <c r="D2122" s="2">
        <v>154</v>
      </c>
      <c r="E2122" s="2">
        <v>49</v>
      </c>
      <c r="F2122" s="2" t="s">
        <v>8</v>
      </c>
      <c r="G2122" s="2" t="s">
        <v>7</v>
      </c>
    </row>
    <row r="2123" spans="1:7" ht="45" x14ac:dyDescent="0.25">
      <c r="A2123" s="4" t="str">
        <f>HYPERLINK("http://techcrunch.com/2012/06/20/avocado-mobile-app-for-couples/","Ex-Googlers Launch Avocado, An App For Couples Backed By Baseline, General Catalyst, An...")</f>
        <v>Ex-Googlers Launch Avocado, An App For Couples Backed By Baseline, General Catalyst, An...</v>
      </c>
      <c r="B2123" s="4" t="str">
        <f>HYPERLINK("http://www.facebook.com/8062627951/posts/355104254559124","Here is Avocado, an app for couples. Why the name Avocado? Because they only bear fruit when they grow near each other. Aw..")</f>
        <v>Here is Avocado, an app for couples. Why the name Avocado? Because they only bear fruit when they grow near each other. Aw..</v>
      </c>
      <c r="C2123" s="3">
        <v>41080.430694444447</v>
      </c>
      <c r="D2123" s="2">
        <v>176</v>
      </c>
      <c r="E2123" s="2">
        <v>13</v>
      </c>
      <c r="F2123" s="2" t="s">
        <v>8</v>
      </c>
      <c r="G2123" s="2" t="s">
        <v>7</v>
      </c>
    </row>
    <row r="2124" spans="1:7" ht="45" x14ac:dyDescent="0.25">
      <c r="A2124" s="4" t="str">
        <f>HYPERLINK("http://techcrunch.com/2012/06/20/reading-rainbow-ipad/","Reading Rainbow Returns As A Startup And An iPad App")</f>
        <v>Reading Rainbow Returns As A Startup And An iPad App</v>
      </c>
      <c r="B2124" s="4" t="s">
        <v>124</v>
      </c>
      <c r="C2124" s="3">
        <v>41080.386064814818</v>
      </c>
      <c r="D2124" s="2">
        <v>207</v>
      </c>
      <c r="E2124" s="2">
        <v>9</v>
      </c>
      <c r="F2124" s="2" t="s">
        <v>7</v>
      </c>
      <c r="G2124" s="2" t="s">
        <v>7</v>
      </c>
    </row>
    <row r="2125" spans="1:7" ht="30" x14ac:dyDescent="0.25">
      <c r="A2125" s="4" t="str">
        <f>HYPERLINK("http://techcrunch.com/2012/06/20/demo-video-reading-rainbow-app-levar-burton/","LeVar Burton Hands-On With The New Reading Rainbow App [TCTV]")</f>
        <v>LeVar Burton Hands-On With The New Reading Rainbow App [TCTV]</v>
      </c>
      <c r="B2125" s="4" t="str">
        <f>HYPERLINK("http://www.facebook.com/8062627951/posts/382092068517818","LeVar Burton sat down with TechCrunch TV to talk the new Reading Rainbow iPad app.")</f>
        <v>LeVar Burton sat down with TechCrunch TV to talk the new Reading Rainbow iPad app.</v>
      </c>
      <c r="C2125" s="3">
        <v>41080.166585648149</v>
      </c>
      <c r="D2125" s="2">
        <v>39</v>
      </c>
      <c r="E2125" s="2">
        <v>5</v>
      </c>
      <c r="F2125" s="2" t="s">
        <v>7</v>
      </c>
      <c r="G2125" s="2" t="s">
        <v>7</v>
      </c>
    </row>
    <row r="2126" spans="1:7" ht="30" x14ac:dyDescent="0.25">
      <c r="A2126" s="4" t="str">
        <f>HYPERLINK("http://techcrunch.com/2012/06/19/samsung-galaxy-s-iii-review/","Samsung Galaxy S III Review: This Is The Phone You’ve Been Waiting For")</f>
        <v>Samsung Galaxy S III Review: This Is The Phone You’ve Been Waiting For</v>
      </c>
      <c r="B2126" s="4" t="str">
        <f>HYPERLINK("http://www.facebook.com/8062627951/posts/316838138409628","Our review on the Samsung Galaxy S III. Want one?")</f>
        <v>Our review on the Samsung Galaxy S III. Want one?</v>
      </c>
      <c r="C2126" s="3">
        <v>41079.877500000002</v>
      </c>
      <c r="D2126" s="2">
        <v>211</v>
      </c>
      <c r="E2126" s="2">
        <v>39</v>
      </c>
      <c r="F2126" s="2" t="s">
        <v>8</v>
      </c>
      <c r="G2126" s="2" t="s">
        <v>7</v>
      </c>
    </row>
    <row r="2127" spans="1:7" ht="30" x14ac:dyDescent="0.25">
      <c r="A2127" s="4" t="str">
        <f>HYPERLINK("http://techcrunch.com/2012/06/19/a-redesigned-slicker-paypal-is-coming-tomorrow-some-seeing-new-look-today/","A Redesigned, Slicker PayPal Is Coming Tomorrow; Some Seeing New Look Today")</f>
        <v>A Redesigned, Slicker PayPal Is Coming Tomorrow; Some Seeing New Look Today</v>
      </c>
      <c r="B2127" s="4" t="str">
        <f>HYPERLINK("http://www.facebook.com/8062627951/posts/368387696561519","What do you think of PayPal's new redesign? Do you like it?")</f>
        <v>What do you think of PayPal's new redesign? Do you like it?</v>
      </c>
      <c r="C2127" s="3">
        <v>41079.737766203703</v>
      </c>
      <c r="D2127" s="2">
        <v>87</v>
      </c>
      <c r="E2127" s="2">
        <v>17</v>
      </c>
      <c r="F2127" s="2" t="s">
        <v>8</v>
      </c>
      <c r="G2127" s="2" t="s">
        <v>7</v>
      </c>
    </row>
    <row r="2128" spans="1:7" ht="45" x14ac:dyDescent="0.25">
      <c r="A2128" s="4" t="str">
        <f>HYPERLINK("http://techcrunch.com/2012/06/19/955-dreams-ads/","Mobile Ads Are An Ugly Nightmare. 955 Dreams…Of A World Where They’re Beautiful")</f>
        <v>Mobile Ads Are An Ugly Nightmare. 955 Dreams…Of A World Where They’re Beautiful</v>
      </c>
      <c r="B2128" s="4" t="str">
        <f>HYPERLINK("http://www.facebook.com/8062627951/posts/456167867729806","Design lovers, check this out.")</f>
        <v>Design lovers, check this out.</v>
      </c>
      <c r="C2128" s="3">
        <v>41079.635833333334</v>
      </c>
      <c r="D2128" s="2">
        <v>59</v>
      </c>
      <c r="E2128" s="2">
        <v>1</v>
      </c>
      <c r="F2128" s="2" t="s">
        <v>7</v>
      </c>
      <c r="G2128" s="2" t="s">
        <v>7</v>
      </c>
    </row>
    <row r="2129" spans="1:7" ht="45" x14ac:dyDescent="0.25">
      <c r="A2129" s="4" t="str">
        <f>HYPERLINK("http://techcrunch.com/2012/06/19/facebook-adds-subscription-billing-for-app-developers-backs-away-from-credits-as-primary-currency/","Facebook Adds Subscription Billing For App Developers, Backs Away From Credits As Prima...")</f>
        <v>Facebook Adds Subscription Billing For App Developers, Backs Away From Credits As Prima...</v>
      </c>
      <c r="B2129" s="4" t="str">
        <f>HYPERLINK("http://www.facebook.com/8062627951/posts/381043561953753","Facebook is adding subscription billing for app developers, in what should help gaming and media companies earn more revenue.")</f>
        <v>Facebook is adding subscription billing for app developers, in what should help gaming and media companies earn more revenue.</v>
      </c>
      <c r="C2129" s="3">
        <v>41079.561666666668</v>
      </c>
      <c r="D2129" s="2">
        <v>33</v>
      </c>
      <c r="E2129" s="2">
        <v>5</v>
      </c>
      <c r="F2129" s="2" t="s">
        <v>7</v>
      </c>
      <c r="G2129" s="2" t="s">
        <v>7</v>
      </c>
    </row>
    <row r="2130" spans="1:7" ht="45" x14ac:dyDescent="0.25">
      <c r="A2130" s="4" t="str">
        <f>HYPERLINK("http://techcrunch.com/2012/06/19/google-launches-custom-themes-for-gmail-lets-you-choose-your-own-background-photos/","Google Launches Custom Themes For Gmail, Lets You Choose Your Own Background Photos")</f>
        <v>Google Launches Custom Themes For Gmail, Lets You Choose Your Own Background Photos</v>
      </c>
      <c r="B2130" s="4" t="str">
        <f>HYPERLINK("http://www.facebook.com/8062627951/posts/241807775921968","Now you can add an even more personal touch to your Gmail.")</f>
        <v>Now you can add an even more personal touch to your Gmail.</v>
      </c>
      <c r="C2130" s="3">
        <v>41079.501689814817</v>
      </c>
      <c r="D2130" s="2">
        <v>91</v>
      </c>
      <c r="E2130" s="2">
        <v>9</v>
      </c>
      <c r="F2130" s="2" t="s">
        <v>7</v>
      </c>
      <c r="G2130" s="2" t="s">
        <v>7</v>
      </c>
    </row>
    <row r="2131" spans="1:7" ht="30" x14ac:dyDescent="0.25">
      <c r="A2131" s="4" t="str">
        <f>HYPERLINK("http://techcrunch.com/2012/06/19/ex-googlers-launch-mightytext-an-imessage-for-android-users/","Ex-Googlers Launch MightyText, An iMessage For Android Users")</f>
        <v>Ex-Googlers Launch MightyText, An iMessage For Android Users</v>
      </c>
      <c r="B2131" s="4" t="str">
        <f>HYPERLINK("http://www.facebook.com/8062627951/posts/380083192041103","Android users will LOVE this one.")</f>
        <v>Android users will LOVE this one.</v>
      </c>
      <c r="C2131" s="3">
        <v>41079.403634259259</v>
      </c>
      <c r="D2131" s="2">
        <v>153</v>
      </c>
      <c r="E2131" s="2">
        <v>28</v>
      </c>
      <c r="F2131" s="2" t="s">
        <v>7</v>
      </c>
      <c r="G2131" s="2" t="s">
        <v>7</v>
      </c>
    </row>
    <row r="2132" spans="1:7" ht="45" x14ac:dyDescent="0.25">
      <c r="A2132" s="4" t="str">
        <f>HYPERLINK("http://techcrunch.com/2012/06/19/facebook-mobile-ads/","They Work! Facebook Mobile Ads Are Clicked 13X More, Earn 11X More Money Than Its Desktop Ads")</f>
        <v>They Work! Facebook Mobile Ads Are Clicked 13X More, Earn 11X More Money Than Its Desktop Ads</v>
      </c>
      <c r="B2132" s="4" t="str">
        <f>HYPERLINK("http://www.facebook.com/8062627951/posts/460408023970956","Huge news for the future of Facebook.")</f>
        <v>Huge news for the future of Facebook.</v>
      </c>
      <c r="C2132" s="3">
        <v>41079.311076388891</v>
      </c>
      <c r="D2132" s="2">
        <v>261</v>
      </c>
      <c r="E2132" s="2">
        <v>40</v>
      </c>
      <c r="F2132" s="2" t="s">
        <v>7</v>
      </c>
      <c r="G2132" s="2" t="s">
        <v>7</v>
      </c>
    </row>
    <row r="2133" spans="1:7" ht="30" x14ac:dyDescent="0.25">
      <c r="A2133" s="4" t="str">
        <f>HYPERLINK("http://techcrunch.com/2012/06/19/san-francisco-vs-silicon-valley-where-should-you-build-your-business/","San Francisco Vs. Silicon Valley: Where Should You Build Your Business?")</f>
        <v>San Francisco Vs. Silicon Valley: Where Should You Build Your Business?</v>
      </c>
      <c r="B2133" s="4" t="str">
        <f>HYPERLINK("http://www.facebook.com/8062627951/posts/320909077993878","Where would you rather be?")</f>
        <v>Where would you rather be?</v>
      </c>
      <c r="C2133" s="3">
        <v>41078.998564814814</v>
      </c>
      <c r="D2133" s="2">
        <v>82</v>
      </c>
      <c r="E2133" s="2">
        <v>32</v>
      </c>
      <c r="F2133" s="2" t="s">
        <v>8</v>
      </c>
      <c r="G2133" s="2" t="s">
        <v>7</v>
      </c>
    </row>
    <row r="2134" spans="1:7" ht="45" x14ac:dyDescent="0.25">
      <c r="A2134" s="4" t="str">
        <f>HYPERLINK("http://techcrunch.com/2012/06/18/hands-on-with-the-microsoft-surface-inside-and-out/","TechCrunch | Hands-On With The Microsoft Surface, Inside And Out")</f>
        <v>TechCrunch | Hands-On With The Microsoft Surface, Inside And Out</v>
      </c>
      <c r="B2134" s="4" t="str">
        <f>HYPERLINK("http://www.facebook.com/8062627951/posts/467020013326952","Hands on with the Microsoft Surface http://techcrunch.com/2012/06/18/hands-on-with-the-microsoft-surface-inside-and-out/")</f>
        <v>Hands on with the Microsoft Surface http://techcrunch.com/2012/06/18/hands-on-with-the-microsoft-surface-inside-and-out/</v>
      </c>
      <c r="C2134" s="3">
        <v>41078.755185185182</v>
      </c>
      <c r="D2134" s="2">
        <v>105</v>
      </c>
      <c r="E2134" s="2">
        <v>20</v>
      </c>
      <c r="F2134" s="2" t="s">
        <v>7</v>
      </c>
      <c r="G2134" s="2" t="s">
        <v>7</v>
      </c>
    </row>
    <row r="2135" spans="1:7" ht="30" x14ac:dyDescent="0.25">
      <c r="A2135" s="4" t="str">
        <f>HYPERLINK("http://www.facebook.com/photo.php?fbid=10151056783137952&amp;set=a.114456157951.118433.8062627951&amp;type=1&amp;relevant_count=1","[Photo]")</f>
        <v>[Photo]</v>
      </c>
      <c r="B2135" s="4" t="str">
        <f>HYPERLINK("http://www.facebook.com/8062627951/posts/10151056783182952","Don't forget to join us in Philly tomorrow. Some people are already on their way. RSVP now! http://tcrn.ch/MZqs3l")</f>
        <v>Don't forget to join us in Philly tomorrow. Some people are already on their way. RSVP now! http://tcrn.ch/MZqs3l</v>
      </c>
      <c r="C2135" s="3">
        <v>41078.689143518517</v>
      </c>
      <c r="D2135" s="2">
        <v>49</v>
      </c>
      <c r="E2135" s="2">
        <v>3</v>
      </c>
      <c r="F2135" s="2" t="s">
        <v>7</v>
      </c>
      <c r="G2135" s="2" t="s">
        <v>8</v>
      </c>
    </row>
    <row r="2136" spans="1:7" ht="30" x14ac:dyDescent="0.25">
      <c r="A2136" s="4" t="str">
        <f>HYPERLINK("http://techcrunch.com/2012/06/18/the-microsoft-surface-a-10-6-inch-windows-8-tablet-from-microsoft/","The Microsoft Surface, A 10.6-inch Windows 8 Tablet From Microsoft")</f>
        <v>The Microsoft Surface, A 10.6-inch Windows 8 Tablet From Microsoft</v>
      </c>
      <c r="B2136" s="4" t="str">
        <f>HYPERLINK("http://www.facebook.com/8062627951/posts/443621532322591","Microsoft just announced the Microsoft Surface, a tablet aimed directly at consumers, and with that, the iPad.")</f>
        <v>Microsoft just announced the Microsoft Surface, a tablet aimed directly at consumers, and with that, the iPad.</v>
      </c>
      <c r="C2136" s="3">
        <v>41078.659259259257</v>
      </c>
      <c r="D2136" s="2">
        <v>187</v>
      </c>
      <c r="E2136" s="2">
        <v>31</v>
      </c>
      <c r="F2136" s="2" t="s">
        <v>7</v>
      </c>
      <c r="G2136" s="2" t="s">
        <v>7</v>
      </c>
    </row>
    <row r="2137" spans="1:7" ht="30" x14ac:dyDescent="0.25">
      <c r="A2137" s="4" t="str">
        <f>HYPERLINK("http://techcrunch.com/2012/06/18/microsoft-event-los-angeles-liveblog/","Live From The Microsoft Event In Los Angeles")</f>
        <v>Live From The Microsoft Event In Los Angeles</v>
      </c>
      <c r="B2137" s="4" t="str">
        <f>HYPERLINK("http://www.facebook.com/8062627951/posts/333774523367500","We are LIVE. What do you think they'll announce?")</f>
        <v>We are LIVE. What do you think they'll announce?</v>
      </c>
      <c r="C2137" s="3">
        <v>41078.634247685186</v>
      </c>
      <c r="D2137" s="2">
        <v>32</v>
      </c>
      <c r="E2137" s="2">
        <v>26</v>
      </c>
      <c r="F2137" s="2" t="s">
        <v>8</v>
      </c>
      <c r="G2137" s="2" t="s">
        <v>7</v>
      </c>
    </row>
    <row r="2138" spans="1:7" ht="30" x14ac:dyDescent="0.25">
      <c r="A2138" s="4" t="str">
        <f>HYPERLINK("http://techcrunch.com/2012/06/18/why-you-should-apply-for-the-techcrunch-disrupt-startup-battlefield/","Why You Should Apply For The TechCrunch Disrupt Startup Battlefield")</f>
        <v>Why You Should Apply For The TechCrunch Disrupt Startup Battlefield</v>
      </c>
      <c r="B2138" s="4" t="str">
        <f>HYPERLINK("http://www.facebook.com/8062627951/posts/330003403743948","Are you going to apply? Don't miss out!")</f>
        <v>Are you going to apply? Don't miss out!</v>
      </c>
      <c r="C2138" s="3">
        <v>41078.589108796295</v>
      </c>
      <c r="D2138" s="2">
        <v>38</v>
      </c>
      <c r="E2138" s="2">
        <v>1</v>
      </c>
      <c r="F2138" s="2" t="s">
        <v>8</v>
      </c>
      <c r="G2138" s="2" t="s">
        <v>7</v>
      </c>
    </row>
    <row r="2139" spans="1:7" ht="45" x14ac:dyDescent="0.25">
      <c r="A2139" s="4" t="str">
        <f>HYPERLINK("http://techcrunch.com/2012/06/18/mozilla-launches-thimble-a-web-based-code-editor-for-teaching-html-and-css/","Mozilla Launches Thimble, A Web-Based Code Editor For Teaching HTML and CSS")</f>
        <v>Mozilla Launches Thimble, A Web-Based Code Editor For Teaching HTML and CSS</v>
      </c>
      <c r="B2139" s="4" t="str">
        <f>HYPERLINK("http://www.facebook.com/8062627951/posts/480857761930646","Mozilla just announced the launch of Thimble, its latest project to teach more users how to build their own web pages.")</f>
        <v>Mozilla just announced the launch of Thimble, its latest project to teach more users how to build their own web pages.</v>
      </c>
      <c r="C2139" s="3">
        <v>41078.535439814812</v>
      </c>
      <c r="D2139" s="2">
        <v>260</v>
      </c>
      <c r="E2139" s="2">
        <v>3</v>
      </c>
      <c r="F2139" s="2" t="s">
        <v>7</v>
      </c>
      <c r="G2139" s="2" t="s">
        <v>7</v>
      </c>
    </row>
    <row r="2140" spans="1:7" ht="30" x14ac:dyDescent="0.25">
      <c r="A2140" s="4" t="str">
        <f>HYPERLINK("http://techcrunch.com/2012/06/18/my-god-its-full-of-pixels/","The MacBook Pro Strikes Back (With Retina Power)")</f>
        <v>The MacBook Pro Strikes Back (With Retina Power)</v>
      </c>
      <c r="B2140" s="4" t="str">
        <f>HYPERLINK("http://www.facebook.com/8062627951/posts/352111478195023","Our review of the MacBook Pro. Who wants one?")</f>
        <v>Our review of the MacBook Pro. Who wants one?</v>
      </c>
      <c r="C2140" s="3">
        <v>41078.414594907408</v>
      </c>
      <c r="D2140" s="2">
        <v>208</v>
      </c>
      <c r="E2140" s="2">
        <v>63</v>
      </c>
      <c r="F2140" s="2" t="s">
        <v>8</v>
      </c>
      <c r="G2140" s="2" t="s">
        <v>7</v>
      </c>
    </row>
    <row r="2141" spans="1:7" ht="30" x14ac:dyDescent="0.25">
      <c r="A2141" s="4" t="str">
        <f>HYPERLINK("http://techcrunch.com/2012/06/18/facebook-scoops-up-face-com-for-100m-to-bolster-its-facial-recognition-tech/","Facebook Scoops Up Face.com For $100M To Bolster Its Facial Recognition Tech")</f>
        <v>Facebook Scoops Up Face.com For $100M To Bolster Its Facial Recognition Tech</v>
      </c>
      <c r="B2141" s="4" t="str">
        <f>HYPERLINK("http://www.facebook.com/8062627951/posts/460965193914097","After much speculation, Facebook scoops up Face.com. Surprised?")</f>
        <v>After much speculation, Facebook scoops up Face.com. Surprised?</v>
      </c>
      <c r="C2141" s="3">
        <v>41078.390567129631</v>
      </c>
      <c r="D2141" s="2">
        <v>135</v>
      </c>
      <c r="E2141" s="2">
        <v>12</v>
      </c>
      <c r="F2141" s="2" t="s">
        <v>8</v>
      </c>
      <c r="G2141" s="2" t="s">
        <v>7</v>
      </c>
    </row>
    <row r="2142" spans="1:7" ht="45" x14ac:dyDescent="0.25">
      <c r="A2142" s="4" t="str">
        <f>HYPERLINK("http://techcrunch.com/2012/06/18/facebooks-social-olympic-ambition-a-dedicated-athlete-portal-but-no-ads/","Facebook’s Social Olympic Ambition, Explore London 2012: A Dedicated Athlete Portal, But No Ads | Te")</f>
        <v>Facebook’s Social Olympic Ambition, Explore London 2012: A Dedicated Athlete Portal, But No Ads | Te</v>
      </c>
      <c r="B2142" s="4" t="str">
        <f>HYPERLINK("http://www.facebook.com/8062627951/posts/251382551634757","Facebook launches Explore London 2012. Are you getting excited for the Olympics?")</f>
        <v>Facebook launches Explore London 2012. Are you getting excited for the Olympics?</v>
      </c>
      <c r="C2142" s="3">
        <v>41078.378483796296</v>
      </c>
      <c r="D2142" s="2">
        <v>41</v>
      </c>
      <c r="E2142" s="2">
        <v>6</v>
      </c>
      <c r="F2142" s="2" t="s">
        <v>8</v>
      </c>
      <c r="G2142" s="2" t="s">
        <v>7</v>
      </c>
    </row>
    <row r="2143" spans="1:7" ht="30" x14ac:dyDescent="0.25">
      <c r="A2143" s="4" t="str">
        <f>HYPERLINK("http://techcrunch.com/2012/06/18/music-streaming-app-songza-surpasses-1-million-ios-downloads-in-10-days/","Music Streaming App Songza Surpasses 1 Million iOS Downloads In 10 Days")</f>
        <v>Music Streaming App Songza Surpasses 1 Million iOS Downloads In 10 Days</v>
      </c>
      <c r="B2143" s="4" t="str">
        <f>HYPERLINK("http://www.facebook.com/8062627951/posts/315896511832480","Have you tried Songza yet?")</f>
        <v>Have you tried Songza yet?</v>
      </c>
      <c r="C2143" s="3">
        <v>41078.271018518521</v>
      </c>
      <c r="D2143" s="2">
        <v>90</v>
      </c>
      <c r="E2143" s="2">
        <v>18</v>
      </c>
      <c r="F2143" s="2" t="s">
        <v>8</v>
      </c>
      <c r="G2143" s="2" t="s">
        <v>7</v>
      </c>
    </row>
    <row r="2144" spans="1:7" ht="60" x14ac:dyDescent="0.25">
      <c r="A2144" s="4" t="str">
        <f>HYPERLINK("http://techcrunch.com/2012/06/17/thankfully-software-is-eating-the-personal-investing-world/","Thankfully, Software Is Eating The Personal Investing World")</f>
        <v>Thankfully, Software Is Eating The Personal Investing World</v>
      </c>
      <c r="B2144" s="4" t="s">
        <v>125</v>
      </c>
      <c r="C2144" s="3">
        <v>41077.989594907405</v>
      </c>
      <c r="D2144" s="2">
        <v>86</v>
      </c>
      <c r="E2144" s="2">
        <v>6</v>
      </c>
      <c r="F2144" s="2" t="s">
        <v>8</v>
      </c>
      <c r="G2144" s="2" t="s">
        <v>7</v>
      </c>
    </row>
    <row r="2145" spans="1:7" ht="30" x14ac:dyDescent="0.25">
      <c r="A2145" s="4" t="str">
        <f>HYPERLINK("http://techcrunch.com/2012/06/17/mozilla-is-building-a-simple-ipad-browser-called-junior/","Mozilla Is Building A “Simple” iPad Browser Called Junior | TechCrunch")</f>
        <v>Mozilla Is Building A “Simple” iPad Browser Called Junior | TechCrunch</v>
      </c>
      <c r="B2145" s="4" t="str">
        <f>HYPERLINK("http://www.facebook.com/8062627951/posts/238528076267058","Oh really, Mozilla?")</f>
        <v>Oh really, Mozilla?</v>
      </c>
      <c r="C2145" s="3">
        <v>41077.86273148148</v>
      </c>
      <c r="D2145" s="2">
        <v>110</v>
      </c>
      <c r="E2145" s="2">
        <v>17</v>
      </c>
      <c r="F2145" s="2" t="s">
        <v>8</v>
      </c>
      <c r="G2145" s="2" t="s">
        <v>7</v>
      </c>
    </row>
    <row r="2146" spans="1:7" ht="30" x14ac:dyDescent="0.25">
      <c r="A2146" s="4" t="str">
        <f>HYPERLINK("http://techcrunch.com/2012/06/17/can-i-sue-you-people-troll-lawyer-sues-the-charities-the-oatmeal-supports/","Can I Sue You People? Troll Lawyer Sues The Charities The Oatmeal Supports")</f>
        <v>Can I Sue You People? Troll Lawyer Sues The Charities The Oatmeal Supports</v>
      </c>
      <c r="B2146" s="4" t="str">
        <f>HYPERLINK("http://www.facebook.com/8062627951/posts/463340213693537","FunnyJunk lawyer is now suing the National Cancer Society and the National Wildlife Federation.")</f>
        <v>FunnyJunk lawyer is now suing the National Cancer Society and the National Wildlife Federation.</v>
      </c>
      <c r="C2146" s="3">
        <v>41077.799791666665</v>
      </c>
      <c r="D2146" s="2">
        <v>52</v>
      </c>
      <c r="E2146" s="2">
        <v>15</v>
      </c>
      <c r="F2146" s="2" t="s">
        <v>7</v>
      </c>
      <c r="G2146" s="2" t="s">
        <v>7</v>
      </c>
    </row>
    <row r="2147" spans="1:7" ht="30" x14ac:dyDescent="0.25">
      <c r="A2147" s="4" t="str">
        <f>HYPERLINK("http://techcrunch.com/2012/06/17/windows-8-youll-absolutely-hate-it-at-first-but-give-it-a-chance-anyway/","Windows 8: You’ll Absolutely Hate It At First (But Give It A Chance Anyway)")</f>
        <v>Windows 8: You’ll Absolutely Hate It At First (But Give It A Chance Anyway)</v>
      </c>
      <c r="B2147" s="4" t="str">
        <f>HYPERLINK("http://www.facebook.com/8062627951/posts/381623288562534","Are you going to give it a chance?")</f>
        <v>Are you going to give it a chance?</v>
      </c>
      <c r="C2147" s="3">
        <v>41077.605624999997</v>
      </c>
      <c r="D2147" s="2">
        <v>167</v>
      </c>
      <c r="E2147" s="2">
        <v>82</v>
      </c>
      <c r="F2147" s="2" t="s">
        <v>8</v>
      </c>
      <c r="G2147" s="2" t="s">
        <v>7</v>
      </c>
    </row>
    <row r="2148" spans="1:7" ht="45" x14ac:dyDescent="0.25">
      <c r="A2148" s="4" t="str">
        <f>HYPERLINK("http://techcrunch.com/2012/06/17/ms-la/","Sources: Microsoft And Barnes &amp; Noble To Announce Tablet With Xbox Live Streaming Tomorrow | TechCru")</f>
        <v>Sources: Microsoft And Barnes &amp; Noble To Announce Tablet With Xbox Live Streaming Tomorrow | TechCru</v>
      </c>
      <c r="B2148" s="4" t="str">
        <f>HYPERLINK("http://www.facebook.com/8062627951/posts/485838938097078","About that Microsoft announcement tomorrow.  http://techcrunch.com/2012/06/17/ms-la/")</f>
        <v>About that Microsoft announcement tomorrow.  http://techcrunch.com/2012/06/17/ms-la/</v>
      </c>
      <c r="C2148" s="3">
        <v>41077.560659722221</v>
      </c>
      <c r="D2148" s="2">
        <v>65</v>
      </c>
      <c r="E2148" s="2">
        <v>8</v>
      </c>
      <c r="F2148" s="2" t="s">
        <v>7</v>
      </c>
      <c r="G2148" s="2" t="s">
        <v>7</v>
      </c>
    </row>
    <row r="2149" spans="1:7" x14ac:dyDescent="0.25">
      <c r="A2149" s="4" t="s">
        <v>9</v>
      </c>
      <c r="B2149" s="4" t="str">
        <f>HYPERLINK("http://www.facebook.com/8062627951/posts/10151053916067952","Happy Father's Day to everyone from TechCrunch!")</f>
        <v>Happy Father's Day to everyone from TechCrunch!</v>
      </c>
      <c r="C2149" s="3">
        <v>41077.444641203707</v>
      </c>
      <c r="D2149" s="2">
        <v>66</v>
      </c>
      <c r="E2149" s="2">
        <v>0</v>
      </c>
      <c r="F2149" s="2" t="s">
        <v>7</v>
      </c>
      <c r="G2149" s="2" t="s">
        <v>7</v>
      </c>
    </row>
    <row r="2150" spans="1:7" ht="45" x14ac:dyDescent="0.25">
      <c r="A2150" s="4" t="str">
        <f>HYPERLINK("http://techcrunch.com/2012/06/16/purported-xbox-720-to-cost-299-with-blu-ray-support-kinect-2-and-virtual-reality-in-time-for-holiday-2013/","Purported Xbox 720 To Cost $299 With Blu-ray Support, Kinect 2 And Virtual Reality In Time For Holid")</f>
        <v>Purported Xbox 720 To Cost $299 With Blu-ray Support, Kinect 2 And Virtual Reality In Time For Holid</v>
      </c>
      <c r="B2150" s="4" t="str">
        <f>HYPERLINK("http://www.facebook.com/8062627951/posts/476799469002987","Start getting your Christmas lists ready.")</f>
        <v>Start getting your Christmas lists ready.</v>
      </c>
      <c r="C2150" s="3">
        <v>41077.395995370367</v>
      </c>
      <c r="D2150" s="2">
        <v>82</v>
      </c>
      <c r="E2150" s="2">
        <v>11</v>
      </c>
      <c r="F2150" s="2" t="s">
        <v>7</v>
      </c>
      <c r="G2150" s="2" t="s">
        <v>7</v>
      </c>
    </row>
    <row r="2151" spans="1:7" ht="30" x14ac:dyDescent="0.25">
      <c r="A2151" s="4" t="str">
        <f>HYPERLINK("http://techcrunch.com/2012/06/16/social-commerce-pinterest-and-the-future-of-fashion-retail/","Social Commerce, Pinterest And The Future Of Fashion Retail")</f>
        <v>Social Commerce, Pinterest And The Future Of Fashion Retail</v>
      </c>
      <c r="B2151" s="4" t="str">
        <f>HYPERLINK("http://www.facebook.com/8062627951/posts/297727876990031","Welcome to the future.")</f>
        <v>Welcome to the future.</v>
      </c>
      <c r="C2151" s="3">
        <v>41076.801562499997</v>
      </c>
      <c r="D2151" s="2">
        <v>80</v>
      </c>
      <c r="E2151" s="2">
        <v>4</v>
      </c>
      <c r="F2151" s="2" t="s">
        <v>7</v>
      </c>
      <c r="G2151" s="2" t="s">
        <v>7</v>
      </c>
    </row>
    <row r="2152" spans="1:7" ht="30" x14ac:dyDescent="0.25">
      <c r="A2152" s="4" t="str">
        <f>HYPERLINK("http://techcrunch.com/2012/06/16/five-secrets-of-companies-that-build-great-teams/","Five Secrets Of Companies That Build Great Teams")</f>
        <v>Five Secrets Of Companies That Build Great Teams</v>
      </c>
      <c r="B2152" s="4" t="str">
        <f>HYPERLINK("http://www.facebook.com/8062627951/posts/348542288552062","Take some notes!")</f>
        <v>Take some notes!</v>
      </c>
      <c r="C2152" s="3">
        <v>41076.702407407407</v>
      </c>
      <c r="D2152" s="2">
        <v>65</v>
      </c>
      <c r="E2152" s="2">
        <v>4</v>
      </c>
      <c r="F2152" s="2" t="s">
        <v>7</v>
      </c>
      <c r="G2152" s="2" t="s">
        <v>7</v>
      </c>
    </row>
    <row r="2153" spans="1:7" ht="30" x14ac:dyDescent="0.25">
      <c r="A2153" s="4" t="str">
        <f>HYPERLINK("http://techcrunch.com/2012/06/16/the-way-things-work/","The Way Things Work")</f>
        <v>The Way Things Work</v>
      </c>
      <c r="B2153" s="4" t="s">
        <v>126</v>
      </c>
      <c r="C2153" s="3">
        <v>41076.475775462961</v>
      </c>
      <c r="D2153" s="2">
        <v>54</v>
      </c>
      <c r="E2153" s="2">
        <v>0</v>
      </c>
      <c r="F2153" s="2" t="s">
        <v>7</v>
      </c>
      <c r="G2153" s="2" t="s">
        <v>7</v>
      </c>
    </row>
    <row r="2154" spans="1:7" ht="45" x14ac:dyDescent="0.25">
      <c r="A2154" s="4" t="str">
        <f>HYPERLINK("http://techcrunch.com/2012/06/16/50-retweets-count/","Twitter Ditches “50+”, New and Old Tweets Now Show Exact Counts Of Retweets and Favorites")</f>
        <v>Twitter Ditches “50+”, New and Old Tweets Now Show Exact Counts Of Retweets and Favorites</v>
      </c>
      <c r="B2154" s="4" t="str">
        <f>HYPERLINK("http://www.facebook.com/8062627951/posts/376590089066999","Finally!")</f>
        <v>Finally!</v>
      </c>
      <c r="C2154" s="3">
        <v>41076.403819444444</v>
      </c>
      <c r="D2154" s="2">
        <v>114</v>
      </c>
      <c r="E2154" s="2">
        <v>11</v>
      </c>
      <c r="F2154" s="2" t="s">
        <v>7</v>
      </c>
      <c r="G2154" s="2" t="s">
        <v>7</v>
      </c>
    </row>
    <row r="2155" spans="1:7" ht="45" x14ac:dyDescent="0.25">
      <c r="A2155" s="4" t="str">
        <f>HYPERLINK("http://techcrunch.com/2012/06/15/promoted-tailored-trends/","#FailedTechBands Is Funnier Than Most Hashtags, Shows The Genius Of Twitter Personalized Trends")</f>
        <v>#FailedTechBands Is Funnier Than Most Hashtags, Shows The Genius Of Twitter Personalized Trends</v>
      </c>
      <c r="B2155" s="4" t="str">
        <f>HYPERLINK("http://www.facebook.com/8062627951/posts/255819897852611","See why personalized trends is a big deal. Oh, and Lol at a few more like MC Yammer")</f>
        <v>See why personalized trends is a big deal. Oh, and Lol at a few more like MC Yammer</v>
      </c>
      <c r="C2155" s="3">
        <v>41075.729363425926</v>
      </c>
      <c r="D2155" s="2">
        <v>34</v>
      </c>
      <c r="E2155" s="2">
        <v>2</v>
      </c>
      <c r="F2155" s="2" t="s">
        <v>7</v>
      </c>
      <c r="G2155" s="2" t="s">
        <v>7</v>
      </c>
    </row>
    <row r="2156" spans="1:7" ht="45" x14ac:dyDescent="0.25">
      <c r="A2156" s="4" t="str">
        <f>HYPERLINK("http://techcrunch.com/2012/06/15/bret-taylor/","Top Facebook Exec Bret Taylor Leaving To Do His Own Thing, More Departures Could Follow")</f>
        <v>Top Facebook Exec Bret Taylor Leaving To Do His Own Thing, More Departures Could Follow</v>
      </c>
      <c r="B2156" s="4" t="str">
        <f>HYPERLINK("http://www.facebook.com/8062627951/posts/305737869520163","Say goodbye to the guy who kept Facebook from crashing these last few years.")</f>
        <v>Say goodbye to the guy who kept Facebook from crashing these last few years.</v>
      </c>
      <c r="C2156" s="3">
        <v>41075.633310185185</v>
      </c>
      <c r="D2156" s="2">
        <v>382</v>
      </c>
      <c r="E2156" s="2">
        <v>42</v>
      </c>
      <c r="F2156" s="2" t="s">
        <v>7</v>
      </c>
      <c r="G2156" s="2" t="s">
        <v>7</v>
      </c>
    </row>
    <row r="2157" spans="1:7" ht="30" x14ac:dyDescent="0.25">
      <c r="A2157" s="4" t="str">
        <f>HYPERLINK("http://techcrunch.com/2012/06/15/techcrunch-giveaway-one-free-ticket-to-disrupt-sf-tcdisrupt/","TechCrunch Giveaway: One Free Ticket To Disrupt SF #TCDisrupt")</f>
        <v>TechCrunch Giveaway: One Free Ticket To Disrupt SF #TCDisrupt</v>
      </c>
      <c r="B2157" s="4" t="str">
        <f>HYPERLINK("http://www.facebook.com/8062627951/posts/432320623467394","Disrupt SF is coming up! Who would you like to see at this year's event? Let us know and we'll make it happen.")</f>
        <v>Disrupt SF is coming up! Who would you like to see at this year's event? Let us know and we'll make it happen.</v>
      </c>
      <c r="C2157" s="3">
        <v>41075.56013888889</v>
      </c>
      <c r="D2157" s="2">
        <v>47</v>
      </c>
      <c r="E2157" s="2">
        <v>24</v>
      </c>
      <c r="F2157" s="2" t="s">
        <v>8</v>
      </c>
      <c r="G2157" s="2" t="s">
        <v>7</v>
      </c>
    </row>
    <row r="2158" spans="1:7" ht="45" x14ac:dyDescent="0.25">
      <c r="A2158" s="4" t="str">
        <f>HYPERLINK("http://techcrunch.com/2012/06/15/samsung-apple-walk-away-with-90-percent-of-smartphone-profits-in-q1-2012-says-abi-research/","Samsung, Apple Walk Away With 90 Percent Of Smartphone Profits In Q1 2012, Says ABI Research")</f>
        <v>Samsung, Apple Walk Away With 90 Percent Of Smartphone Profits In Q1 2012, Says ABI Research</v>
      </c>
      <c r="B2158" s="4" t="str">
        <f>HYPERLINK("http://www.facebook.com/8062627951/posts/236052553165081","Should everyone else be worried?")</f>
        <v>Should everyone else be worried?</v>
      </c>
      <c r="C2158" s="3">
        <v>41075.537349537037</v>
      </c>
      <c r="D2158" s="2">
        <v>40</v>
      </c>
      <c r="E2158" s="2">
        <v>9</v>
      </c>
      <c r="F2158" s="2" t="s">
        <v>8</v>
      </c>
      <c r="G2158" s="2" t="s">
        <v>7</v>
      </c>
    </row>
    <row r="2159" spans="1:7" ht="30" x14ac:dyDescent="0.25">
      <c r="A2159" s="4" t="str">
        <f>HYPERLINK("http://techcrunch.com/2012/06/15/cartoonists-lawyer-responds-to-funnyjunk-the-oatmeal-will-not-cave/","Cartoonist’s Lawyer Responds To FunnyJunk: The Oatmeal Will Not Cave")</f>
        <v>Cartoonist’s Lawyer Responds To FunnyJunk: The Oatmeal Will Not Cave</v>
      </c>
      <c r="B2159" s="4" t="str">
        <f>HYPERLINK("http://www.facebook.com/8062627951/posts/125435314261311","Lesson to copyright trolls everywhere: protect your mothers, because soon they will be ravaged by highly-sexed bears.")</f>
        <v>Lesson to copyright trolls everywhere: protect your mothers, because soon they will be ravaged by highly-sexed bears.</v>
      </c>
      <c r="C2159" s="3">
        <v>41075.495740740742</v>
      </c>
      <c r="D2159" s="2">
        <v>91</v>
      </c>
      <c r="E2159" s="2">
        <v>7</v>
      </c>
      <c r="F2159" s="2" t="s">
        <v>7</v>
      </c>
      <c r="G2159" s="2" t="s">
        <v>7</v>
      </c>
    </row>
    <row r="2160" spans="1:7" ht="30" x14ac:dyDescent="0.25">
      <c r="A2160" s="4" t="str">
        <f>HYPERLINK("http://techcrunch.com/2012/06/15/thedatable-launch/","TheDatable Launches To Help You Discover The Singles In Your Social Graph")</f>
        <v>TheDatable Launches To Help You Discover The Singles In Your Social Graph</v>
      </c>
      <c r="B2160" s="4" t="str">
        <f>HYPERLINK("http://www.facebook.com/8062627951/posts/468297946531681","Feeling lonely?")</f>
        <v>Feeling lonely?</v>
      </c>
      <c r="C2160" s="3">
        <v>41075.448310185187</v>
      </c>
      <c r="D2160" s="2">
        <v>66</v>
      </c>
      <c r="E2160" s="2">
        <v>6</v>
      </c>
      <c r="F2160" s="2" t="s">
        <v>8</v>
      </c>
      <c r="G2160" s="2" t="s">
        <v>7</v>
      </c>
    </row>
    <row r="2161" spans="1:7" ht="30" x14ac:dyDescent="0.25">
      <c r="A2161" s="4" t="str">
        <f>HYPERLINK("http://techcrunch.com/2012/06/15/woot-founder-leaves-amazon/","Woot Founder And Daily Deals Pioneer Matt Rutledge Leaves Amazon")</f>
        <v>Woot Founder And Daily Deals Pioneer Matt Rutledge Leaves Amazon</v>
      </c>
      <c r="B2161" s="4" t="str">
        <f>HYPERLINK("http://www.facebook.com/8062627951/posts/107057012769422","Matt Rutledge steps down from Amazon.")</f>
        <v>Matt Rutledge steps down from Amazon.</v>
      </c>
      <c r="C2161" s="3">
        <v>41075.418726851851</v>
      </c>
      <c r="D2161" s="2">
        <v>16</v>
      </c>
      <c r="E2161" s="2">
        <v>1</v>
      </c>
      <c r="F2161" s="2" t="s">
        <v>7</v>
      </c>
      <c r="G2161" s="2" t="s">
        <v>7</v>
      </c>
    </row>
    <row r="2162" spans="1:7" ht="45" x14ac:dyDescent="0.25">
      <c r="A2162" s="4" t="str">
        <f>HYPERLINK("http://techcrunch.com/2012/06/15/dropbox-will-soon-be-done-with-public-folders-but-existing-users-get-to-keep-them/","Dropbox Will Soon Be Done With Public Folders, But Existing Users Get To Keep Them")</f>
        <v>Dropbox Will Soon Be Done With Public Folders, But Existing Users Get To Keep Them</v>
      </c>
      <c r="B2162" s="4" t="str">
        <f>HYPERLINK("http://www.facebook.com/8062627951/posts/447119525313426","Would you miss Public folders?")</f>
        <v>Would you miss Public folders?</v>
      </c>
      <c r="C2162" s="3">
        <v>41075.252222222225</v>
      </c>
      <c r="D2162" s="2">
        <v>109</v>
      </c>
      <c r="E2162" s="2">
        <v>62</v>
      </c>
      <c r="F2162" s="2" t="s">
        <v>8</v>
      </c>
      <c r="G2162" s="2" t="s">
        <v>7</v>
      </c>
    </row>
    <row r="2163" spans="1:7" ht="60" x14ac:dyDescent="0.25">
      <c r="A2163" s="4" t="str">
        <f>HYPERLINK("http://techcrunch.com/2012/06/14/the-struggle/","The Struggle ")</f>
        <v xml:space="preserve">The Struggle </v>
      </c>
      <c r="B2163" s="4" t="str">
        <f>HYPERLINK("http://www.facebook.com/8062627951/posts/481408221885126","“Don’t admit that your faith is weak Don’t say that you feel like dying Life’s hard then it feels like diamonds Your home’s just far too gone Much too late to even feel like trying Can’t understand wh...")</f>
        <v>“Don’t admit that your faith is weak Don’t say that you feel like dying Life’s hard then it feels like diamonds Your home’s just far too gone Much too late to even feel like trying Can’t understand wh...</v>
      </c>
      <c r="C2163" s="3">
        <v>41074.623078703706</v>
      </c>
      <c r="D2163" s="2">
        <v>252</v>
      </c>
      <c r="E2163" s="2">
        <v>17</v>
      </c>
      <c r="F2163" s="2" t="s">
        <v>7</v>
      </c>
      <c r="G2163" s="2" t="s">
        <v>7</v>
      </c>
    </row>
    <row r="2164" spans="1:7" ht="45" x14ac:dyDescent="0.25">
      <c r="A2164" s="4" t="str">
        <f>HYPERLINK("http://techcrunch.com/2012/06/14/kevin-rose-google-ventures-pitching-startups-tctv/","Kevin Rose On His New Gig At Google Ventures, What He Looks For In A Startup Founder, And More  [TCT")</f>
        <v>Kevin Rose On His New Gig At Google Ventures, What He Looks For In A Startup Founder, And More  [TCT</v>
      </c>
      <c r="B2164" s="4" t="str">
        <f>HYPERLINK("http://www.facebook.com/8062627951/posts/320508181365686","[Video] Kevin Rose sits down with us to talk about his new role at Google Ventures and much, much more.")</f>
        <v>[Video] Kevin Rose sits down with us to talk about his new role at Google Ventures and much, much more.</v>
      </c>
      <c r="C2164" s="3">
        <v>41074.533842592595</v>
      </c>
      <c r="D2164" s="2">
        <v>99</v>
      </c>
      <c r="E2164" s="2">
        <v>5</v>
      </c>
      <c r="F2164" s="2" t="s">
        <v>7</v>
      </c>
      <c r="G2164" s="2" t="s">
        <v>7</v>
      </c>
    </row>
    <row r="2165" spans="1:7" ht="30" x14ac:dyDescent="0.25">
      <c r="A2165" s="4" t="str">
        <f>HYPERLINK("http://techcrunch.com/2012/06/14/emoji-ios-6/","iOS 6 Includes Gay And Lesbian Couple Emoji ")</f>
        <v xml:space="preserve">iOS 6 Includes Gay And Lesbian Couple Emoji </v>
      </c>
      <c r="B2165" s="4" t="str">
        <f>HYPERLINK("http://www.facebook.com/8062627951/posts/376284062425582","It's about time.")</f>
        <v>It's about time.</v>
      </c>
      <c r="C2165" s="3">
        <v>41074.482986111114</v>
      </c>
      <c r="D2165" s="2">
        <v>124</v>
      </c>
      <c r="E2165" s="2">
        <v>21</v>
      </c>
      <c r="F2165" s="2" t="s">
        <v>7</v>
      </c>
      <c r="G2165" s="2" t="s">
        <v>7</v>
      </c>
    </row>
    <row r="2166" spans="1:7" ht="45" x14ac:dyDescent="0.25">
      <c r="A2166" s="4" t="str">
        <f>HYPERLINK("http://techcrunch.com/2012/06/14/carat-battery/","Carat: The Brilliant App That Increases Your Battery Life By Showing What Other Apps To Kill")</f>
        <v>Carat: The Brilliant App That Increases Your Battery Life By Showing What Other Apps To Kill</v>
      </c>
      <c r="B2166" s="4" t="str">
        <f>HYPERLINK("http://www.facebook.com/8062627951/posts/488855114461260","Hate it when your phone dies? Download this")</f>
        <v>Hate it when your phone dies? Download this</v>
      </c>
      <c r="C2166" s="3">
        <v>41074.429988425924</v>
      </c>
      <c r="D2166" s="2">
        <v>184</v>
      </c>
      <c r="E2166" s="2">
        <v>13</v>
      </c>
      <c r="F2166" s="2" t="s">
        <v>8</v>
      </c>
      <c r="G2166" s="2" t="s">
        <v>7</v>
      </c>
    </row>
    <row r="2167" spans="1:7" ht="45" x14ac:dyDescent="0.25">
      <c r="A2167" s="4" t="str">
        <f>HYPERLINK("http://techcrunch.com/2012/06/14/is-this-mysterious-microsoft-press-conference-about-the-yammer-acquisition/","Is This Mysterious Microsoft Press Conference About The Yammer Acquisition? (Update: Probably Not) |")</f>
        <v>Is This Mysterious Microsoft Press Conference About The Yammer Acquisition? (Update: Probably Not) |</v>
      </c>
      <c r="B2167" s="4" t="str">
        <f>HYPERLINK("http://www.facebook.com/8062627951/posts/479208875426450","Could it be?")</f>
        <v>Could it be?</v>
      </c>
      <c r="C2167" s="3">
        <v>41074.403113425928</v>
      </c>
      <c r="D2167" s="2">
        <v>29</v>
      </c>
      <c r="E2167" s="2">
        <v>1</v>
      </c>
      <c r="F2167" s="2" t="s">
        <v>8</v>
      </c>
      <c r="G2167" s="2" t="s">
        <v>7</v>
      </c>
    </row>
    <row r="2168" spans="1:7" ht="45" x14ac:dyDescent="0.25">
      <c r="A2168" s="4" t="str">
        <f>HYPERLINK("http://techcrunch.com/2012/06/14/bombfell/","500 Startups-Backed Bombfell Helps Nerds Get Stylish, For Just $69 A Month | TechCrunch")</f>
        <v>500 Startups-Backed Bombfell Helps Nerds Get Stylish, For Just $69 A Month | TechCrunch</v>
      </c>
      <c r="B2168" s="4" t="str">
        <f>HYPERLINK("http://www.facebook.com/8062627951/posts/172468459549701","Hey guys - no more jeans, t-shirts, hoodies, and sandals!")</f>
        <v>Hey guys - no more jeans, t-shirts, hoodies, and sandals!</v>
      </c>
      <c r="C2168" s="3">
        <v>41074.384467592594</v>
      </c>
      <c r="D2168" s="2">
        <v>106</v>
      </c>
      <c r="E2168" s="2">
        <v>22</v>
      </c>
      <c r="F2168" s="2" t="s">
        <v>7</v>
      </c>
      <c r="G2168" s="2" t="s">
        <v>7</v>
      </c>
    </row>
    <row r="2169" spans="1:7" ht="45" x14ac:dyDescent="0.25">
      <c r="A2169" s="4" t="str">
        <f>HYPERLINK("http://techcrunch.com/2012/06/14/nokia-stock-down-by-more-than-10-on-massive-overhaul-revised-forecasts-exec-changes-vertu-gone-scalado-acquired/","Nokia Stock Down By More Than 10% On Massive Overhaul: Revised Forecasts, Exec Changes, Vertu Gone,.")</f>
        <v>Nokia Stock Down By More Than 10% On Massive Overhaul: Revised Forecasts, Exec Changes, Vertu Gone,.</v>
      </c>
      <c r="B2169" s="4" t="str">
        <f>HYPERLINK("http://www.facebook.com/8062627951/posts/402951793088818","Nokia could be screwed.")</f>
        <v>Nokia could be screwed.</v>
      </c>
      <c r="C2169" s="3">
        <v>41074.184247685182</v>
      </c>
      <c r="D2169" s="2">
        <v>27</v>
      </c>
      <c r="E2169" s="2">
        <v>25</v>
      </c>
      <c r="F2169" s="2" t="s">
        <v>7</v>
      </c>
      <c r="G2169" s="2" t="s">
        <v>7</v>
      </c>
    </row>
    <row r="2170" spans="1:7" ht="60" x14ac:dyDescent="0.25">
      <c r="A2170" s="4" t="str">
        <f>HYPERLINK("http://techcrunch.com/2012/06/13/court-denies-petition-to-question-zuckerberg-and-banks-about-alleged-facebook-ipo-fraud/","Court Denies Petition To Question Zuckerberg and Banks About Alleged Facebook IPO Fraud | TechCrunch")</f>
        <v>Court Denies Petition To Question Zuckerberg and Banks About Alleged Facebook IPO Fraud | TechCrunch</v>
      </c>
      <c r="B2170" s="4" t="str">
        <f>HYPERLINK("http://www.facebook.com/8062627951/posts/291757937586221","“We are pleased with the court’s decision. As we’ve said before, we believe the cases filed against us in connection with the IPO are without merit, and we will continue to defend ourselves vigorously...")</f>
        <v>“We are pleased with the court’s decision. As we’ve said before, we believe the cases filed against us in connection with the IPO are without merit, and we will continue to defend ourselves vigorously...</v>
      </c>
      <c r="C2170" s="3">
        <v>41073.85833333333</v>
      </c>
      <c r="D2170" s="2">
        <v>42</v>
      </c>
      <c r="E2170" s="2">
        <v>4</v>
      </c>
      <c r="F2170" s="2" t="s">
        <v>7</v>
      </c>
      <c r="G2170" s="2" t="s">
        <v>7</v>
      </c>
    </row>
    <row r="2171" spans="1:7" ht="45" x14ac:dyDescent="0.25">
      <c r="A2171" s="4" t="str">
        <f>HYPERLINK("http://techcrunch.com/2012/06/13/kleiner-perkins-files-official-response-to-ellen-paos-gender-discrimination-suit/","Kleiner Perkins Files Legal Response To Gender Discrimination Suit, Denies “Each And Every Material.")</f>
        <v>Kleiner Perkins Files Legal Response To Gender Discrimination Suit, Denies “Each And Every Material.</v>
      </c>
      <c r="B2171" s="4" t="s">
        <v>127</v>
      </c>
      <c r="C2171" s="3">
        <v>41073.764432870368</v>
      </c>
      <c r="D2171" s="2">
        <v>25</v>
      </c>
      <c r="E2171" s="2">
        <v>3</v>
      </c>
      <c r="F2171" s="2" t="s">
        <v>7</v>
      </c>
      <c r="G2171" s="2" t="s">
        <v>7</v>
      </c>
    </row>
    <row r="2172" spans="1:7" ht="45" x14ac:dyDescent="0.25">
      <c r="A2172" s="4" t="str">
        <f>HYPERLINK("http://techcrunch.com/2012/06/13/facebook-exchange/","Facebook Exchange: A New Way For Advertisers To Target Specific Users With Real-Time Bid Ads")</f>
        <v>Facebook Exchange: A New Way For Advertisers To Target Specific Users With Real-Time Bid Ads</v>
      </c>
      <c r="B2172" s="4" t="str">
        <f>HYPERLINK("http://www.facebook.com/8062627951/posts/336773206392360","You should know, Facebook will now target you with ads based on cookies from other sites you browse.")</f>
        <v>You should know, Facebook will now target you with ads based on cookies from other sites you browse.</v>
      </c>
      <c r="C2172" s="3">
        <v>41073.626666666663</v>
      </c>
      <c r="D2172" s="2">
        <v>93</v>
      </c>
      <c r="E2172" s="2">
        <v>41</v>
      </c>
      <c r="F2172" s="2" t="s">
        <v>7</v>
      </c>
      <c r="G2172" s="2" t="s">
        <v>7</v>
      </c>
    </row>
    <row r="2173" spans="1:7" ht="45" x14ac:dyDescent="0.25">
      <c r="A2173" s="4" t="str">
        <f>HYPERLINK("http://techcrunch.com/2012/06/13/ipad-keyboard-case-review-battle-the-logitech-ultrathin-keyboard-vs-belkin-yourtype-folio/","iPad Keyboard Case Review Battle! The Logitech Ultrathin Keyboard Vs Belkin YourType Folio | TechCru")</f>
        <v>iPad Keyboard Case Review Battle! The Logitech Ultrathin Keyboard Vs Belkin YourType Folio | TechCru</v>
      </c>
      <c r="B2173" s="4" t="str">
        <f>HYPERLINK("http://www.facebook.com/8062627951/posts/425119850853476","The Logitech Ultrathin Keyboard Vs Belkin YourType Folio. Which one would you rather have?")</f>
        <v>The Logitech Ultrathin Keyboard Vs Belkin YourType Folio. Which one would you rather have?</v>
      </c>
      <c r="C2173" s="3">
        <v>41073.518912037034</v>
      </c>
      <c r="D2173" s="2">
        <v>28</v>
      </c>
      <c r="E2173" s="2">
        <v>6</v>
      </c>
      <c r="F2173" s="2" t="s">
        <v>8</v>
      </c>
      <c r="G2173" s="2" t="s">
        <v>7</v>
      </c>
    </row>
    <row r="2174" spans="1:7" ht="45" x14ac:dyDescent="0.25">
      <c r="A2174" s="4" t="str">
        <f>HYPERLINK("http://techcrunch.com/2012/06/13/the-1-grossing-game-on-android-and-ios-denas-rage-of-bahamut-has-almost-even-revenues-from-both/","The #1 Grossing Game On Android And iOS, DeNA’s Rage Of Bahamut, Has Almost Even Revenues From Both.")</f>
        <v>The #1 Grossing Game On Android And iOS, DeNA’s Rage Of Bahamut, Has Almost Even Revenues From Both.</v>
      </c>
      <c r="B2174" s="4" t="str">
        <f>HYPERLINK("http://www.facebook.com/8062627951/posts/382766735113013","Some promising news about Android monetization:")</f>
        <v>Some promising news about Android monetization:</v>
      </c>
      <c r="C2174" s="3">
        <v>41073.432638888888</v>
      </c>
      <c r="D2174" s="2">
        <v>17</v>
      </c>
      <c r="E2174" s="2">
        <v>1</v>
      </c>
      <c r="F2174" s="2" t="s">
        <v>7</v>
      </c>
      <c r="G2174" s="2" t="s">
        <v>7</v>
      </c>
    </row>
    <row r="2175" spans="1:7" ht="30" x14ac:dyDescent="0.25">
      <c r="A2175" s="4" t="str">
        <f>HYPERLINK("http://techcrunch.com/2012/06/13/the-singularity-is-near-nyu-student-builds-a-robot-that-builds-burritos/","The Singularity Is Near: NYU Student Builds A Robot That Builds Burritos")</f>
        <v>The Singularity Is Near: NYU Student Builds A Robot That Builds Burritos</v>
      </c>
      <c r="B2175" s="4" t="str">
        <f>HYPERLINK("http://www.facebook.com/8062627951/posts/471312342883085","Who's up for a burrito?")</f>
        <v>Who's up for a burrito?</v>
      </c>
      <c r="C2175" s="3">
        <v>41073.367430555554</v>
      </c>
      <c r="D2175" s="2">
        <v>103</v>
      </c>
      <c r="E2175" s="2">
        <v>15</v>
      </c>
      <c r="F2175" s="2" t="s">
        <v>8</v>
      </c>
      <c r="G2175" s="2" t="s">
        <v>7</v>
      </c>
    </row>
    <row r="2176" spans="1:7" ht="30" x14ac:dyDescent="0.25">
      <c r="A2176" s="4" t="str">
        <f>HYPERLINK("http://techcrunch.com/2012/06/13/twitvid-rebrands-as-telly-to-focus-on-social-video-discovery/","Twitvid Rebrands As Telly To Focus On Social Video Discovery | TechCrunch")</f>
        <v>Twitvid Rebrands As Telly To Focus On Social Video Discovery | TechCrunch</v>
      </c>
      <c r="B2176" s="4" t="str">
        <f>HYPERLINK("http://www.facebook.com/8062627951/posts/415729625137500","Forget about Twitvid and meet Telly, the start-up's pivot into social video discovery.")</f>
        <v>Forget about Twitvid and meet Telly, the start-up's pivot into social video discovery.</v>
      </c>
      <c r="C2176" s="3">
        <v>41073.294583333336</v>
      </c>
      <c r="D2176" s="2">
        <v>22</v>
      </c>
      <c r="E2176" s="2">
        <v>2</v>
      </c>
      <c r="F2176" s="2" t="s">
        <v>7</v>
      </c>
      <c r="G2176" s="2" t="s">
        <v>7</v>
      </c>
    </row>
    <row r="2177" spans="1:7" ht="30" x14ac:dyDescent="0.25">
      <c r="A2177" s="4" t="str">
        <f>HYPERLINK("http://techcrunch.com/2012/06/13/kanvess-com-will-print-your-artsy-instagram-photos-for-25-cents-a-pop/","Kanvess.com Will Print Your Artsy Instagram Photos For 25 Cents A Pop")</f>
        <v>Kanvess.com Will Print Your Artsy Instagram Photos For 25 Cents A Pop</v>
      </c>
      <c r="B2177" s="4" t="str">
        <f>HYPERLINK("http://www.facebook.com/8062627951/posts/348406768563849","Ever want to print an Instagram?")</f>
        <v>Ever want to print an Instagram?</v>
      </c>
      <c r="C2177" s="3">
        <v>41073.24827546296</v>
      </c>
      <c r="D2177" s="2">
        <v>23</v>
      </c>
      <c r="E2177" s="2">
        <v>3</v>
      </c>
      <c r="F2177" s="2" t="s">
        <v>8</v>
      </c>
      <c r="G2177" s="2" t="s">
        <v>7</v>
      </c>
    </row>
    <row r="2178" spans="1:7" ht="45" x14ac:dyDescent="0.25">
      <c r="A2178" s="4" t="str">
        <f>HYPERLINK("http://techcrunch.com/2012/06/13/ifixit-tears-down-the-macbook-pro-with-retina-display-deems-it-nearly-impossible-to-repair/","iFixit Tears Down The MacBook Pro With Retina Display, Deems It Nearly Impossible To Repair")</f>
        <v>iFixit Tears Down The MacBook Pro With Retina Display, Deems It Nearly Impossible To Repair</v>
      </c>
      <c r="B2178" s="4" t="str">
        <f>HYPERLINK("http://www.facebook.com/8062627951/posts/468636206495383","You better take real good care of your new MacBook Pro with Retina Display.")</f>
        <v>You better take real good care of your new MacBook Pro with Retina Display.</v>
      </c>
      <c r="C2178" s="3">
        <v>41073.202187499999</v>
      </c>
      <c r="D2178" s="2">
        <v>61</v>
      </c>
      <c r="E2178" s="2">
        <v>9</v>
      </c>
      <c r="F2178" s="2" t="s">
        <v>7</v>
      </c>
      <c r="G2178" s="2" t="s">
        <v>7</v>
      </c>
    </row>
    <row r="2179" spans="1:7" ht="45" x14ac:dyDescent="0.25">
      <c r="A2179" s="4" t="str">
        <f>HYPERLINK("http://techcrunch.com/2012/06/12/joytunes-instrument-gaming/","JoyTunes Wants To Teach You To Play Real Instruments With Interactive Video Games | TechCrunch")</f>
        <v>JoyTunes Wants To Teach You To Play Real Instruments With Interactive Video Games | TechCrunch</v>
      </c>
      <c r="B2179" s="4" t="str">
        <f>HYPERLINK("http://www.facebook.com/8062627951/posts/350948504976919","Israeli startup JoyTunes finally showed off the work its been doing in an exciting and active space: Instrument-activated video games.")</f>
        <v>Israeli startup JoyTunes finally showed off the work its been doing in an exciting and active space: Instrument-activated video games.</v>
      </c>
      <c r="C2179" s="3">
        <v>41072.895462962966</v>
      </c>
      <c r="D2179" s="2">
        <v>74</v>
      </c>
      <c r="E2179" s="2">
        <v>3</v>
      </c>
      <c r="F2179" s="2" t="s">
        <v>7</v>
      </c>
      <c r="G2179" s="2" t="s">
        <v>7</v>
      </c>
    </row>
    <row r="2180" spans="1:7" ht="45" x14ac:dyDescent="0.25">
      <c r="A2180" s="4" t="str">
        <f>HYPERLINK("http://techcrunch.com/2012/06/12/idiocracy/","Twitter, Facebook, and Airtime Are Waging War Against The Internet’s Stupidity")</f>
        <v>Twitter, Facebook, and Airtime Are Waging War Against The Internet’s Stupidity</v>
      </c>
      <c r="B2180" s="4" t="str">
        <f>HYPERLINK("http://www.facebook.com/8062627951/posts/158075104326082","Waging war against the Internet's stupidity.")</f>
        <v>Waging war against the Internet's stupidity.</v>
      </c>
      <c r="C2180" s="3">
        <v>41072.708449074074</v>
      </c>
      <c r="D2180" s="2">
        <v>59</v>
      </c>
      <c r="E2180" s="2">
        <v>14</v>
      </c>
      <c r="F2180" s="2" t="s">
        <v>7</v>
      </c>
      <c r="G2180" s="2" t="s">
        <v>7</v>
      </c>
    </row>
    <row r="2181" spans="1:7" ht="30" x14ac:dyDescent="0.25">
      <c r="A2181" s="4" t="str">
        <f>HYPERLINK("http://techcrunch.com/2012/06/12/watch-this-happy-happy-man-refurbish-an-old-apple-ii/","Watch This Happy, Happy Man Refurbish An Old Apple II")</f>
        <v>Watch This Happy, Happy Man Refurbish An Old Apple II</v>
      </c>
      <c r="B2181" s="4" t="str">
        <f>HYPERLINK("http://www.facebook.com/8062627951/posts/235503106566433","Awesome.")</f>
        <v>Awesome.</v>
      </c>
      <c r="C2181" s="3">
        <v>41072.629583333335</v>
      </c>
      <c r="D2181" s="2">
        <v>63</v>
      </c>
      <c r="E2181" s="2">
        <v>3</v>
      </c>
      <c r="F2181" s="2" t="s">
        <v>7</v>
      </c>
      <c r="G2181" s="2" t="s">
        <v>7</v>
      </c>
    </row>
    <row r="2182" spans="1:7" ht="45" x14ac:dyDescent="0.25">
      <c r="A2182" s="4" t="str">
        <f>HYPERLINK("http://techcrunch.com/2012/06/12/apple-still-has-it/","Apple Still Has It")</f>
        <v>Apple Still Has It</v>
      </c>
      <c r="B2182" s="4" t="s">
        <v>128</v>
      </c>
      <c r="C2182" s="3">
        <v>41072.526099537034</v>
      </c>
      <c r="D2182" s="2">
        <v>56</v>
      </c>
      <c r="E2182" s="2">
        <v>30</v>
      </c>
      <c r="F2182" s="2" t="s">
        <v>8</v>
      </c>
      <c r="G2182" s="2" t="s">
        <v>7</v>
      </c>
    </row>
    <row r="2183" spans="1:7" ht="45" x14ac:dyDescent="0.25">
      <c r="A2183" s="4" t="str">
        <f>HYPERLINK("http://techcrunch.com/2012/06/12/more-ios-6-features-new-privacy-settings-share-widgets-revamped-store-apps-more/","More iOS 6 Features: New Privacy Settings, Share Widgets, Revamped Store Apps &amp; More")</f>
        <v>More iOS 6 Features: New Privacy Settings, Share Widgets, Revamped Store Apps &amp; More</v>
      </c>
      <c r="B2183" s="4" t="str">
        <f>HYPERLINK("http://www.facebook.com/8062627951/posts/258210750951570","Here's more!")</f>
        <v>Here's more!</v>
      </c>
      <c r="C2183" s="3">
        <v>41072.453668981485</v>
      </c>
      <c r="D2183" s="2">
        <v>36</v>
      </c>
      <c r="E2183" s="2">
        <v>0</v>
      </c>
      <c r="F2183" s="2" t="s">
        <v>7</v>
      </c>
      <c r="G2183" s="2" t="s">
        <v>7</v>
      </c>
    </row>
    <row r="2184" spans="1:7" ht="45" x14ac:dyDescent="0.25">
      <c r="A2184" s="4" t="str">
        <f>HYPERLINK("http://techcrunch.com/2012/06/12/facebook-wordpress/","Facebook Turns Like Buttons, Comments, Auto-Sharing Into WordPress Widgets For Easy Fac...")</f>
        <v>Facebook Turns Like Buttons, Comments, Auto-Sharing Into WordPress Widgets For Easy Fac...</v>
      </c>
      <c r="B2184" s="4" t="str">
        <f>HYPERLINK("http://www.facebook.com/8062627951/posts/455951484415225","Time to get your Faceblogging on.")</f>
        <v>Time to get your Faceblogging on.</v>
      </c>
      <c r="C2184" s="3">
        <v>41072.371608796297</v>
      </c>
      <c r="D2184" s="2">
        <v>110</v>
      </c>
      <c r="E2184" s="2">
        <v>9</v>
      </c>
      <c r="F2184" s="2" t="s">
        <v>7</v>
      </c>
      <c r="G2184" s="2" t="s">
        <v>7</v>
      </c>
    </row>
    <row r="2185" spans="1:7" ht="45" x14ac:dyDescent="0.25">
      <c r="A2185" s="4" t="str">
        <f>HYPERLINK("http://techcrunch.com/2012/06/12/verizon-wireless-intros-share-everything-plans-unlimited-talktext-and-shared-data-for-up-to-10-devices/","Verizon Wireless Intros Share Everything Plans: Unlimited Talk/Text And Shared Data For...")</f>
        <v>Verizon Wireless Intros Share Everything Plans: Unlimited Talk/Text And Shared Data For...</v>
      </c>
      <c r="B2185" s="4" t="str">
        <f>HYPERLINK("http://www.facebook.com/8062627951/posts/469939236352798","Verizon rethinks the wheel and introduces a new type of wireless contract with big buckets of shared data.")</f>
        <v>Verizon rethinks the wheel and introduces a new type of wireless contract with big buckets of shared data.</v>
      </c>
      <c r="C2185" s="3">
        <v>41072.188020833331</v>
      </c>
      <c r="D2185" s="2">
        <v>27</v>
      </c>
      <c r="E2185" s="2">
        <v>6</v>
      </c>
      <c r="F2185" s="2" t="s">
        <v>7</v>
      </c>
      <c r="G2185" s="2" t="s">
        <v>7</v>
      </c>
    </row>
    <row r="2186" spans="1:7" ht="30" x14ac:dyDescent="0.25">
      <c r="A2186" s="4" t="str">
        <f>HYPERLINK("http://techcrunch.com/2012/06/11/ios-6-top-features/","Love ‘Em Or Hate ‘Em, These Are The Top 5 Features Of iOS 6")</f>
        <v>Love ‘Em Or Hate ‘Em, These Are The Top 5 Features Of iOS 6</v>
      </c>
      <c r="B2186" s="4" t="str">
        <f>HYPERLINK("http://www.facebook.com/8062627951/posts/326506847424975","What feature are you most excited about?")</f>
        <v>What feature are you most excited about?</v>
      </c>
      <c r="C2186" s="3">
        <v>41071.86414351852</v>
      </c>
      <c r="D2186" s="2">
        <v>59</v>
      </c>
      <c r="E2186" s="2">
        <v>16</v>
      </c>
      <c r="F2186" s="2" t="s">
        <v>8</v>
      </c>
      <c r="G2186" s="2" t="s">
        <v>7</v>
      </c>
    </row>
    <row r="2187" spans="1:7" x14ac:dyDescent="0.25">
      <c r="A2187" s="4" t="str">
        <f>HYPERLINK("http://techcrunch.com/2012/06/11/good-night-sweet-prince/","Elegy For The iPad One")</f>
        <v>Elegy For The iPad One</v>
      </c>
      <c r="B2187" s="4" t="str">
        <f>HYPERLINK("http://www.facebook.com/8062627951/posts/415787561798737","Goodnight, Sweet Prince.")</f>
        <v>Goodnight, Sweet Prince.</v>
      </c>
      <c r="C2187" s="3">
        <v>41071.666273148148</v>
      </c>
      <c r="D2187" s="2">
        <v>46</v>
      </c>
      <c r="E2187" s="2">
        <v>21</v>
      </c>
      <c r="F2187" s="2" t="s">
        <v>7</v>
      </c>
      <c r="G2187" s="2" t="s">
        <v>7</v>
      </c>
    </row>
    <row r="2188" spans="1:7" ht="45" x14ac:dyDescent="0.25">
      <c r="A2188" s="4" t="str">
        <f>HYPERLINK("http://techcrunch.com/2012/06/11/just-look-at-it/","Behold &amp; Drool: Pictures Of The Retina MacBook Pro")</f>
        <v>Behold &amp; Drool: Pictures Of The Retina MacBook Pro</v>
      </c>
      <c r="B2188" s="4" t="s">
        <v>129</v>
      </c>
      <c r="C2188" s="3">
        <v>41071.612951388888</v>
      </c>
      <c r="D2188" s="2">
        <v>86</v>
      </c>
      <c r="E2188" s="2">
        <v>11</v>
      </c>
      <c r="F2188" s="2" t="s">
        <v>7</v>
      </c>
      <c r="G2188" s="2" t="s">
        <v>7</v>
      </c>
    </row>
    <row r="2189" spans="1:7" x14ac:dyDescent="0.25">
      <c r="A2189" s="4" t="str">
        <f>HYPERLINK("http://techcrunch.com/2012/06/11/which-apps-got-screwed-by-ios-6/","Which Apps Got Screwed By iOS 6?")</f>
        <v>Which Apps Got Screwed By iOS 6?</v>
      </c>
      <c r="B2189" s="4" t="str">
        <f>HYPERLINK("http://www.facebook.com/8062627951/posts/443422429011001","Did we miss any?")</f>
        <v>Did we miss any?</v>
      </c>
      <c r="C2189" s="3">
        <v>41071.558715277781</v>
      </c>
      <c r="D2189" s="2">
        <v>31</v>
      </c>
      <c r="E2189" s="2">
        <v>4</v>
      </c>
      <c r="F2189" s="2" t="s">
        <v>8</v>
      </c>
      <c r="G2189" s="2" t="s">
        <v>7</v>
      </c>
    </row>
    <row r="2190" spans="1:7" ht="30" x14ac:dyDescent="0.25">
      <c r="A2190" s="4" t="str">
        <f>HYPERLINK("http://techcrunch.com/2012/06/11/apple-kills-the-17-inch-macbook-pro/","Apple Quietly Kills The 17-inch MacBook Pro")</f>
        <v>Apple Quietly Kills The 17-inch MacBook Pro</v>
      </c>
      <c r="B2190" s="4" t="str">
        <f>HYPERLINK("http://www.facebook.com/8062627951/posts/455834317760384","Will you miss it?")</f>
        <v>Will you miss it?</v>
      </c>
      <c r="C2190" s="3">
        <v>41071.52071759259</v>
      </c>
      <c r="D2190" s="2">
        <v>23</v>
      </c>
      <c r="E2190" s="2">
        <v>4</v>
      </c>
      <c r="F2190" s="2" t="s">
        <v>8</v>
      </c>
      <c r="G2190" s="2" t="s">
        <v>7</v>
      </c>
    </row>
    <row r="2191" spans="1:7" ht="45" x14ac:dyDescent="0.25">
      <c r="A2191" s="4" t="str">
        <f>HYPERLINK("http://techcrunch.com/2012/06/11/with-flyover-3d-rendering-and-yelp-and-siri-integration-apple-maps-makes-google-maps-look-like-childs-play/","With “Flyover” 3D Rendering And Yelp/Siri Integration, Apple Maps Makes Google Maps Loo...")</f>
        <v>With “Flyover” 3D Rendering And Yelp/Siri Integration, Apple Maps Makes Google Maps Loo...</v>
      </c>
      <c r="B2191" s="4" t="str">
        <f>HYPERLINK("http://www.facebook.com/8062627951/posts/324585597620321","Apple launches its own, stunning, Maps product, with “Flyover” - Apple’s incredible new 3D maps display.")</f>
        <v>Apple launches its own, stunning, Maps product, with “Flyover” - Apple’s incredible new 3D maps display.</v>
      </c>
      <c r="C2191" s="3">
        <v>41071.478009259263</v>
      </c>
      <c r="D2191" s="2">
        <v>56</v>
      </c>
      <c r="E2191" s="2">
        <v>0</v>
      </c>
      <c r="F2191" s="2" t="s">
        <v>7</v>
      </c>
      <c r="G2191" s="2" t="s">
        <v>7</v>
      </c>
    </row>
    <row r="2192" spans="1:7" ht="30" x14ac:dyDescent="0.25">
      <c r="A2192" s="4" t="str">
        <f>HYPERLINK("http://techcrunch.com/2012/06/11/facebook-apple-wwdc/","Apple Gives Facebook Deep Integration Into iOS 6 With Siri, Sharing, App Store, API")</f>
        <v>Apple Gives Facebook Deep Integration Into iOS 6 With Siri, Sharing, App Store, API</v>
      </c>
      <c r="B2192" s="4" t="str">
        <f>HYPERLINK("http://www.facebook.com/8062627951/posts/480380495312260","Facebook to be deeply integrated into iOS 6:")</f>
        <v>Facebook to be deeply integrated into iOS 6:</v>
      </c>
      <c r="C2192" s="3">
        <v>41071.45140046296</v>
      </c>
      <c r="D2192" s="2">
        <v>55</v>
      </c>
      <c r="E2192" s="2">
        <v>3</v>
      </c>
      <c r="F2192" s="2" t="s">
        <v>7</v>
      </c>
      <c r="G2192" s="2" t="s">
        <v>7</v>
      </c>
    </row>
    <row r="2193" spans="1:7" x14ac:dyDescent="0.25">
      <c r="A2193" s="4" t="str">
        <f>HYPERLINK("http://techcrunch.com/2012/06/11/apple-announces-ios-6-wwdc/","Apple Introduces iOS 6")</f>
        <v>Apple Introduces iOS 6</v>
      </c>
      <c r="B2193" s="4" t="str">
        <f>HYPERLINK("http://www.facebook.com/8062627951/posts/103042946505160","Introducing iOS 6!")</f>
        <v>Introducing iOS 6!</v>
      </c>
      <c r="C2193" s="3">
        <v>41071.4296875</v>
      </c>
      <c r="D2193" s="2">
        <v>1001</v>
      </c>
      <c r="E2193" s="2">
        <v>76</v>
      </c>
      <c r="F2193" s="2" t="s">
        <v>7</v>
      </c>
      <c r="G2193" s="2" t="s">
        <v>7</v>
      </c>
    </row>
    <row r="2194" spans="1:7" ht="45" x14ac:dyDescent="0.25">
      <c r="A2194" s="4" t="str">
        <f>HYPERLINK("http://techcrunch.com/2012/06/11/apple-there-are-now-66-million-mac-users-40-run-lion-22-million-copies-of-lion-shipped/","Apple: There Are Now 66 Million Mac Users, 40% Run Lion, 26 Million Copies of Lion Shipped")</f>
        <v>Apple: There Are Now 66 Million Mac Users, 40% Run Lion, 26 Million Copies of Lion Shipped</v>
      </c>
      <c r="B2194" s="4" t="str">
        <f>HYPERLINK("http://www.facebook.com/8062627951/posts/189887867804422","That's a lot of Mac users.")</f>
        <v>That's a lot of Mac users.</v>
      </c>
      <c r="C2194" s="3">
        <v>41071.419317129628</v>
      </c>
      <c r="D2194" s="2">
        <v>28</v>
      </c>
      <c r="E2194" s="2">
        <v>4</v>
      </c>
      <c r="F2194" s="2" t="s">
        <v>7</v>
      </c>
      <c r="G2194" s="2" t="s">
        <v>7</v>
      </c>
    </row>
    <row r="2195" spans="1:7" ht="30" x14ac:dyDescent="0.25">
      <c r="A2195" s="4" t="str">
        <f>HYPERLINK("http://techcrunch.com/2012/06/11/apple-reveals-a-redesigned-macbook-pro-thinner-casing-and-new-intel-chips/","Apple Reveals A Redesigned MacBook Pro: Thinner Casing And New Intel Chips")</f>
        <v>Apple Reveals A Redesigned MacBook Pro: Thinner Casing And New Intel Chips</v>
      </c>
      <c r="B2195" s="4" t="str">
        <f>HYPERLINK("http://www.facebook.com/8062627951/posts/479928008690909","The new MacBook Pro:")</f>
        <v>The new MacBook Pro:</v>
      </c>
      <c r="C2195" s="3">
        <v>41071.394988425927</v>
      </c>
      <c r="D2195" s="2">
        <v>74</v>
      </c>
      <c r="E2195" s="2">
        <v>3</v>
      </c>
      <c r="F2195" s="2" t="s">
        <v>7</v>
      </c>
      <c r="G2195" s="2" t="s">
        <v>7</v>
      </c>
    </row>
    <row r="2196" spans="1:7" x14ac:dyDescent="0.25">
      <c r="A2196" s="4" t="str">
        <f>HYPERLINK("http://techcrunch.com/2012/06/11/live-from-apples-wwdc-2012-keynote/","Live From Apple’s WWDC 2012 Keynote!")</f>
        <v>Live From Apple’s WWDC 2012 Keynote!</v>
      </c>
      <c r="B2196" s="4" t="str">
        <f>HYPERLINK("http://www.facebook.com/8062627951/posts/243249029123384","Here we go!")</f>
        <v>Here we go!</v>
      </c>
      <c r="C2196" s="3">
        <v>41071.371145833335</v>
      </c>
      <c r="D2196" s="2">
        <v>70</v>
      </c>
      <c r="E2196" s="2">
        <v>6</v>
      </c>
      <c r="F2196" s="2" t="s">
        <v>7</v>
      </c>
      <c r="G2196" s="2" t="s">
        <v>7</v>
      </c>
    </row>
    <row r="2197" spans="1:7" ht="45" x14ac:dyDescent="0.25">
      <c r="A2197" s="4" t="str">
        <f>HYPERLINK("http://www.facebook.com/photo.php?fbid=10151040073622952&amp;set=a.114456157951.118433.8062627951&amp;type=1&amp;relevant_count=1","[Photo]")</f>
        <v>[Photo]</v>
      </c>
      <c r="B2197" s="4" t="str">
        <f>HYPERLINK("http://www.facebook.com/8062627951/posts/10151040073672952","We'll be live-blogging all of Apple's WWDC announcements as it happens, so be sure to check in with us at 10am Pacific/1pm Eastern.")</f>
        <v>We'll be live-blogging all of Apple's WWDC announcements as it happens, so be sure to check in with us at 10am Pacific/1pm Eastern.</v>
      </c>
      <c r="C2197" s="3">
        <v>41071.343831018516</v>
      </c>
      <c r="D2197" s="2">
        <v>94</v>
      </c>
      <c r="E2197" s="2">
        <v>3</v>
      </c>
      <c r="F2197" s="2" t="s">
        <v>7</v>
      </c>
      <c r="G2197" s="2" t="s">
        <v>8</v>
      </c>
    </row>
    <row r="2198" spans="1:7" ht="45" x14ac:dyDescent="0.25">
      <c r="A2198" s="4" t="str">
        <f>HYPERLINK("http://techcrunch.com/2012/06/11/apple-store-goes-down-ahead-of-wwdc-silver-background-further-hints-at-ui-color-scheme-change-up/","Apple Store Goes Down Ahead Of WWDC, Silver Background Further Hints At UI Color Scheme...")</f>
        <v>Apple Store Goes Down Ahead Of WWDC, Silver Background Further Hints At UI Color Scheme...</v>
      </c>
      <c r="B2198" s="4" t="str">
        <f>HYPERLINK("http://www.facebook.com/8062627951/posts/457357414275893","Does the silver background mean anything regarding the future of iOS?")</f>
        <v>Does the silver background mean anything regarding the future of iOS?</v>
      </c>
      <c r="C2198" s="3">
        <v>41071.293402777781</v>
      </c>
      <c r="D2198" s="2">
        <v>40</v>
      </c>
      <c r="E2198" s="2">
        <v>5</v>
      </c>
      <c r="F2198" s="2" t="s">
        <v>8</v>
      </c>
      <c r="G2198" s="2" t="s">
        <v>7</v>
      </c>
    </row>
    <row r="2199" spans="1:7" x14ac:dyDescent="0.25">
      <c r="A2199" s="4" t="str">
        <f>HYPERLINK("http://techcrunch.com/2012/06/10/how-i-became-a-19-year-old-associate-vc/","How I Became A 19-Year-Old Associate VC")</f>
        <v>How I Became A 19-Year-Old Associate VC</v>
      </c>
      <c r="B2199" s="4" t="str">
        <f>HYPERLINK("http://www.facebook.com/8062627951/posts/306128416147327","What were you doing when you were 19?")</f>
        <v>What were you doing when you were 19?</v>
      </c>
      <c r="C2199" s="3">
        <v>41071.249155092592</v>
      </c>
      <c r="D2199" s="2">
        <v>133</v>
      </c>
      <c r="E2199" s="2">
        <v>34</v>
      </c>
      <c r="F2199" s="2" t="s">
        <v>8</v>
      </c>
      <c r="G2199" s="2" t="s">
        <v>7</v>
      </c>
    </row>
    <row r="2200" spans="1:7" ht="30" x14ac:dyDescent="0.25">
      <c r="A2200" s="4" t="str">
        <f>HYPERLINK("http://techcrunch.com/2012/06/09/meet-the-filmmaker-who-talked-back-to-the-pirate-bay/","Meet Tom Lowe, The Filmmaker Who Talked Back To The Pirate Bay")</f>
        <v>Meet Tom Lowe, The Filmmaker Who Talked Back To The Pirate Bay</v>
      </c>
      <c r="B2200" s="4" t="str">
        <f>HYPERLINK("http://www.facebook.com/8062627951/posts/458254214199923","Everyone, meet Tom Lowe.")</f>
        <v>Everyone, meet Tom Lowe.</v>
      </c>
      <c r="C2200" s="3">
        <v>41070.858344907407</v>
      </c>
      <c r="D2200" s="2">
        <v>150</v>
      </c>
      <c r="E2200" s="2">
        <v>15</v>
      </c>
      <c r="F2200" s="2" t="s">
        <v>7</v>
      </c>
      <c r="G2200" s="2" t="s">
        <v>7</v>
      </c>
    </row>
    <row r="2201" spans="1:7" ht="30" x14ac:dyDescent="0.25">
      <c r="A2201" s="4" t="str">
        <f>HYPERLINK("http://techcrunch.com/2012/06/10/apple-facebook/","TechCrunch | The Future Fruits Of Apple + Facebook")</f>
        <v>TechCrunch | The Future Fruits Of Apple + Facebook</v>
      </c>
      <c r="B2201" s="4" t="str">
        <f>HYPERLINK("http://www.facebook.com/8062627951/posts/309853939103271","Ping was an utter fail. Maybe it's finally time for Apple to outsource social.")</f>
        <v>Ping was an utter fail. Maybe it's finally time for Apple to outsource social.</v>
      </c>
      <c r="C2201" s="3">
        <v>41070.467685185184</v>
      </c>
      <c r="D2201" s="2">
        <v>138</v>
      </c>
      <c r="E2201" s="2">
        <v>27</v>
      </c>
      <c r="F2201" s="2" t="s">
        <v>7</v>
      </c>
      <c r="G2201" s="2" t="s">
        <v>7</v>
      </c>
    </row>
    <row r="2202" spans="1:7" ht="30" x14ac:dyDescent="0.25">
      <c r="A2202" s="4" t="str">
        <f>HYPERLINK("http://techcrunch.com/2012/06/10/facebook-under-13-sherry-turkle/","MIT Psychologist, Sherry Turkle, Says Facebook For Pre-Teens is ‘Agonizing’")</f>
        <v>MIT Psychologist, Sherry Turkle, Says Facebook For Pre-Teens is ‘Agonizing’</v>
      </c>
      <c r="B2202" s="4" t="str">
        <f>HYPERLINK("http://www.facebook.com/8062627951/posts/311825052237362","An MIT Psychologist weighs in on the pre-teen Facebook debate.")</f>
        <v>An MIT Psychologist weighs in on the pre-teen Facebook debate.</v>
      </c>
      <c r="C2202" s="3">
        <v>41070.441018518519</v>
      </c>
      <c r="D2202" s="2">
        <v>45</v>
      </c>
      <c r="E2202" s="2">
        <v>7</v>
      </c>
      <c r="F2202" s="2" t="s">
        <v>7</v>
      </c>
      <c r="G2202" s="2" t="s">
        <v>7</v>
      </c>
    </row>
    <row r="2203" spans="1:7" ht="30" x14ac:dyDescent="0.25">
      <c r="A2203" s="4" t="str">
        <f>HYPERLINK("http://techcrunch.com/2012/06/10/wwdc-ios-6-rumors-what-to-expect-reject-and-wish-for/","WWDC iOS 6 Rumors: What To Expect, Reject, and Wish For")</f>
        <v>WWDC iOS 6 Rumors: What To Expect, Reject, and Wish For</v>
      </c>
      <c r="B2203" s="4" t="str">
        <f>HYPERLINK("http://www.facebook.com/8062627951/posts/313307552088889","WWDC is on Monday. Here are the latest iOS 6 rumors.")</f>
        <v>WWDC is on Monday. Here are the latest iOS 6 rumors.</v>
      </c>
      <c r="C2203" s="3">
        <v>41070.219976851855</v>
      </c>
      <c r="D2203" s="2">
        <v>121</v>
      </c>
      <c r="E2203" s="2">
        <v>7</v>
      </c>
      <c r="F2203" s="2" t="s">
        <v>7</v>
      </c>
      <c r="G2203" s="2" t="s">
        <v>7</v>
      </c>
    </row>
    <row r="2204" spans="1:7" ht="30" x14ac:dyDescent="0.25">
      <c r="A2204" s="4" t="str">
        <f>HYPERLINK("http://techcrunch.com/2012/06/09/wwdc-macbook-pro/","Which Apple WWDC Notebook Rumors Are Most Likely To Come True?")</f>
        <v>Which Apple WWDC Notebook Rumors Are Most Likely To Come True?</v>
      </c>
      <c r="B2204" s="4" t="str">
        <f>HYPERLINK("http://www.facebook.com/8062627951/posts/444218098923772","Any bets?")</f>
        <v>Any bets?</v>
      </c>
      <c r="C2204" s="3">
        <v>41069.534513888888</v>
      </c>
      <c r="D2204" s="2">
        <v>33</v>
      </c>
      <c r="E2204" s="2">
        <v>11</v>
      </c>
      <c r="F2204" s="2" t="s">
        <v>8</v>
      </c>
      <c r="G2204" s="2" t="s">
        <v>7</v>
      </c>
    </row>
    <row r="2205" spans="1:7" ht="30" x14ac:dyDescent="0.25">
      <c r="A2205" s="4" t="str">
        <f>HYPERLINK("http://techcrunch.com/2012/06/09/7-things-buddy-media-did-right-to-become-an-800mm-company/","TechCrunch | 7 Things Buddy Media Did Right To Become an $800mm+ Company")</f>
        <v>TechCrunch | 7 Things Buddy Media Did Right To Become an $800mm+ Company</v>
      </c>
      <c r="B2205" s="4" t="str">
        <f>HYPERLINK("http://www.facebook.com/8062627951/posts/251099901665079","Take notes.")</f>
        <v>Take notes.</v>
      </c>
      <c r="C2205" s="3">
        <v>41069.46497685185</v>
      </c>
      <c r="D2205" s="2">
        <v>68</v>
      </c>
      <c r="E2205" s="2">
        <v>5</v>
      </c>
      <c r="F2205" s="2" t="s">
        <v>7</v>
      </c>
      <c r="G2205" s="2" t="s">
        <v>7</v>
      </c>
    </row>
    <row r="2206" spans="1:7" x14ac:dyDescent="0.25">
      <c r="A2206" s="4" t="str">
        <f>HYPERLINK("http://techcrunch.com/2012/06/09/please-stop-with-the-dancing-microsoft/","Please Stop With The Dancing, Microsoft")</f>
        <v>Please Stop With The Dancing, Microsoft</v>
      </c>
      <c r="B2206" s="4" t="str">
        <f>HYPERLINK("http://www.facebook.com/8062627951/posts/158418460956844","Microsoft needs to settle down a bit. [Videos]")</f>
        <v>Microsoft needs to settle down a bit. [Videos]</v>
      </c>
      <c r="C2206" s="3">
        <v>41069.368877314817</v>
      </c>
      <c r="D2206" s="2">
        <v>62</v>
      </c>
      <c r="E2206" s="2">
        <v>11</v>
      </c>
      <c r="F2206" s="2" t="s">
        <v>7</v>
      </c>
      <c r="G2206" s="2" t="s">
        <v>7</v>
      </c>
    </row>
    <row r="2207" spans="1:7" ht="45" x14ac:dyDescent="0.25">
      <c r="A2207" s="4" t="str">
        <f>HYPERLINK("http://techcrunch.com/2012/06/09/kinect-reveals-the-next-job-to-be-replaced-by-computers-sports-coaches/","TechCrunch | Kinect Reveals The Next Job To Be Replaced By Computers: Sports Coaches")</f>
        <v>TechCrunch | Kinect Reveals The Next Job To Be Replaced By Computers: Sports Coaches</v>
      </c>
      <c r="B2207" s="4" t="str">
        <f>HYPERLINK("http://www.facebook.com/8062627951/posts/305180509575920","Can the Kinect (or something like it) really replace personal trainers?")</f>
        <v>Can the Kinect (or something like it) really replace personal trainers?</v>
      </c>
      <c r="C2207" s="3">
        <v>41069.32576388889</v>
      </c>
      <c r="D2207" s="2">
        <v>32</v>
      </c>
      <c r="E2207" s="2">
        <v>8</v>
      </c>
      <c r="F2207" s="2" t="s">
        <v>8</v>
      </c>
      <c r="G2207" s="2" t="s">
        <v>7</v>
      </c>
    </row>
    <row r="2208" spans="1:7" ht="45" x14ac:dyDescent="0.25">
      <c r="A2208" s="4" t="str">
        <f>HYPERLINK("http://techcrunch.com/2012/06/09/experience-metro-with-splashtops-android-and-ipad-windows-8-metro-testbed-app/","Experience Metro With Splashtop’s Android And iPad Windows 8 Metro Testbed App")</f>
        <v>Experience Metro With Splashtop’s Android And iPad Windows 8 Metro Testbed App</v>
      </c>
      <c r="B2208" s="4" t="str">
        <f>HYPERLINK("http://www.facebook.com/8062627951/posts/428129137221368","Try out Windows 8 Metro on your iPad or Android tablet right now.")</f>
        <v>Try out Windows 8 Metro on your iPad or Android tablet right now.</v>
      </c>
      <c r="C2208" s="3">
        <v>41069.247986111113</v>
      </c>
      <c r="D2208" s="2">
        <v>63</v>
      </c>
      <c r="E2208" s="2">
        <v>7</v>
      </c>
      <c r="F2208" s="2" t="s">
        <v>7</v>
      </c>
      <c r="G2208" s="2" t="s">
        <v>7</v>
      </c>
    </row>
    <row r="2209" spans="1:7" ht="30" x14ac:dyDescent="0.25">
      <c r="A2209" s="4" t="str">
        <f>HYPERLINK("http://techcrunch.com/2012/06/08/why-is-gizmodo-paying-people-to-harass-zuckerberg/","Why Is Gizmodo Paying People To Harass Zuckerberg?")</f>
        <v>Why Is Gizmodo Paying People To Harass Zuckerberg?</v>
      </c>
      <c r="B2209" s="4" t="str">
        <f>HYPERLINK("http://www.facebook.com/8062627951/posts/245611412219082","What the hell?")</f>
        <v>What the hell?</v>
      </c>
      <c r="C2209" s="3">
        <v>41068.748796296299</v>
      </c>
      <c r="D2209" s="2">
        <v>120</v>
      </c>
      <c r="E2209" s="2">
        <v>56</v>
      </c>
      <c r="F2209" s="2" t="s">
        <v>8</v>
      </c>
      <c r="G2209" s="2" t="s">
        <v>7</v>
      </c>
    </row>
    <row r="2210" spans="1:7" x14ac:dyDescent="0.25">
      <c r="A2210" s="4" t="str">
        <f>HYPERLINK("http://techcrunch.com/2012/06/08/hell/","Where The Hell Are All The Rants?")</f>
        <v>Where The Hell Are All The Rants?</v>
      </c>
      <c r="B2210" s="4" t="str">
        <f>HYPERLINK("http://www.facebook.com/8062627951/posts/346324022107407","Got something to vent?")</f>
        <v>Got something to vent?</v>
      </c>
      <c r="C2210" s="3">
        <v>41068.685023148151</v>
      </c>
      <c r="D2210" s="2">
        <v>26</v>
      </c>
      <c r="E2210" s="2">
        <v>3</v>
      </c>
      <c r="F2210" s="2" t="s">
        <v>8</v>
      </c>
      <c r="G2210" s="2" t="s">
        <v>7</v>
      </c>
    </row>
    <row r="2211" spans="1:7" ht="30" x14ac:dyDescent="0.25">
      <c r="A2211" s="4" t="str">
        <f>HYPERLINK("http://techcrunch.com/2012/06/08/revised-campus-2-documents-shed-more-light-on-apples-new-spaceship-building/","Revised ‘Campus 2' Documents Shed More Light On Apple’s New Spaceship Building")</f>
        <v>Revised ‘Campus 2' Documents Shed More Light On Apple’s New Spaceship Building</v>
      </c>
      <c r="B2211" s="4" t="str">
        <f>HYPERLINK("http://www.facebook.com/8062627951/posts/320697398014365","Some Friday eye-candy for you: Apple's Spaceship Building")</f>
        <v>Some Friday eye-candy for you: Apple's Spaceship Building</v>
      </c>
      <c r="C2211" s="3">
        <v>41068.526643518519</v>
      </c>
      <c r="D2211" s="2">
        <v>54</v>
      </c>
      <c r="E2211" s="2">
        <v>3</v>
      </c>
      <c r="F2211" s="2" t="s">
        <v>7</v>
      </c>
      <c r="G2211" s="2" t="s">
        <v>7</v>
      </c>
    </row>
    <row r="2212" spans="1:7" ht="30" x14ac:dyDescent="0.25">
      <c r="A2212" s="4" t="str">
        <f>HYPERLINK("http://techcrunch.com/2012/06/08/nextag-ceo-google-is-a-monopoly-google-youve-got-plenty-of-choice/","Nextag CEO: Google Is A Monopoly; Google: You’ve Got Plenty Of Choice")</f>
        <v>Nextag CEO: Google Is A Monopoly; Google: You’ve Got Plenty Of Choice</v>
      </c>
      <c r="B2212" s="4" t="str">
        <f>HYPERLINK("http://www.facebook.com/8062627951/posts/252674191505805","Who do you agree with - Nextag CEO, or Google?")</f>
        <v>Who do you agree with - Nextag CEO, or Google?</v>
      </c>
      <c r="C2212" s="3">
        <v>41068.491041666668</v>
      </c>
      <c r="D2212" s="2">
        <v>24</v>
      </c>
      <c r="E2212" s="2">
        <v>17</v>
      </c>
      <c r="F2212" s="2" t="s">
        <v>8</v>
      </c>
      <c r="G2212" s="2" t="s">
        <v>7</v>
      </c>
    </row>
    <row r="2213" spans="1:7" ht="30" x14ac:dyDescent="0.25">
      <c r="A2213" s="4" t="str">
        <f>HYPERLINK("http://techcrunch.com/2012/06/08/uber-san-diego-launch/","The Next Stop For Uber? A Launch In San Diego")</f>
        <v>The Next Stop For Uber? A Launch In San Diego</v>
      </c>
      <c r="B2213" s="4" t="str">
        <f>HYPERLINK("http://www.facebook.com/8062627951/posts/371586742891040","Heads up all of you San Diegans! Uber is coming your way.")</f>
        <v>Heads up all of you San Diegans! Uber is coming your way.</v>
      </c>
      <c r="C2213" s="3">
        <v>41068.441493055558</v>
      </c>
      <c r="D2213" s="2">
        <v>24</v>
      </c>
      <c r="E2213" s="2">
        <v>1</v>
      </c>
      <c r="F2213" s="2" t="s">
        <v>7</v>
      </c>
      <c r="G2213" s="2" t="s">
        <v>7</v>
      </c>
    </row>
    <row r="2214" spans="1:7" ht="45" x14ac:dyDescent="0.25">
      <c r="A2214" s="4" t="str">
        <f>HYPERLINK("http://techcrunch.com/2012/06/08/techcrunch-disrupt-sf-2012-battlefield-open-tickets-on-sale/","TechCrunch Disrupt SF Is Back! Battlefield Applications Open And Tickets On Sale Now")</f>
        <v>TechCrunch Disrupt SF Is Back! Battlefield Applications Open And Tickets On Sale Now</v>
      </c>
      <c r="B2214" s="4" t="str">
        <f>HYPERLINK("http://www.facebook.com/8062627951/posts/432696670087058","TechCrunch Disrupt SF is back!")</f>
        <v>TechCrunch Disrupt SF is back!</v>
      </c>
      <c r="C2214" s="3">
        <v>41068.389872685184</v>
      </c>
      <c r="D2214" s="2">
        <v>19</v>
      </c>
      <c r="E2214" s="2">
        <v>1</v>
      </c>
      <c r="F2214" s="2" t="s">
        <v>7</v>
      </c>
      <c r="G2214" s="2" t="s">
        <v>7</v>
      </c>
    </row>
    <row r="2215" spans="1:7" ht="30" x14ac:dyDescent="0.25">
      <c r="A2215" s="4" t="str">
        <f>HYPERLINK("http://techcrunch.com/2012/06/08/win-2-free-tickets-to-le-web-london-courtesy-of-techcrunch/","Win 2 Free Tickets To Le Web London, Courtesy Of TechCrunch")</f>
        <v>Win 2 Free Tickets To Le Web London, Courtesy Of TechCrunch</v>
      </c>
      <c r="B2215" s="4" t="str">
        <f>HYPERLINK("http://www.facebook.com/8062627951/posts/279632888801159","Who wants to go to Le Web?")</f>
        <v>Who wants to go to Le Web?</v>
      </c>
      <c r="C2215" s="3">
        <v>41068.296793981484</v>
      </c>
      <c r="D2215" s="2">
        <v>26</v>
      </c>
      <c r="E2215" s="2">
        <v>2</v>
      </c>
      <c r="F2215" s="2" t="s">
        <v>8</v>
      </c>
      <c r="G2215" s="2" t="s">
        <v>7</v>
      </c>
    </row>
    <row r="2216" spans="1:7" ht="45" x14ac:dyDescent="0.25">
      <c r="A2216" s="4" t="str">
        <f>HYPERLINK("http://techcrunch.com/2012/06/08/camera-plus-turns-2-says-eff-the-vcs/","Camera+ Turned Down Acquisitions From Adobe, Google, Twitter; Also Says “F*ck The VCs”")</f>
        <v>Camera+ Turned Down Acquisitions From Adobe, Google, Twitter; Also Says “F*ck The VCs”</v>
      </c>
      <c r="B2216" s="4" t="str">
        <f>HYPERLINK("http://www.facebook.com/8062627951/posts/242538949193487","Wow. Well, this is one way to do business.")</f>
        <v>Wow. Well, this is one way to do business.</v>
      </c>
      <c r="C2216" s="3">
        <v>41068.195636574077</v>
      </c>
      <c r="D2216" s="2">
        <v>594</v>
      </c>
      <c r="E2216" s="2">
        <v>42</v>
      </c>
      <c r="F2216" s="2" t="s">
        <v>7</v>
      </c>
      <c r="G2216" s="2" t="s">
        <v>7</v>
      </c>
    </row>
    <row r="2217" spans="1:7" ht="45" x14ac:dyDescent="0.25">
      <c r="A2217" s="4" t="str">
        <f>HYPERLINK("http://techcrunch.com/2012/06/06/facebooking/","TechCrunch | People Are Facebook’ing-and-Buying More Than Ever, Even If They Don’t Realize It")</f>
        <v>TechCrunch | People Are Facebook’ing-and-Buying More Than Ever, Even If They Don’t Realize It</v>
      </c>
      <c r="B2217" s="4" t="str">
        <f>HYPERLINK("http://www.facebook.com/8062627951/posts/311601855595452","TechCrunch debunks a flimsy Reuters survey")</f>
        <v>TechCrunch debunks a flimsy Reuters survey</v>
      </c>
      <c r="C2217" s="3">
        <v>41068.117245370369</v>
      </c>
      <c r="D2217" s="2">
        <v>51</v>
      </c>
      <c r="E2217" s="2">
        <v>6</v>
      </c>
      <c r="F2217" s="2" t="s">
        <v>7</v>
      </c>
      <c r="G2217" s="2" t="s">
        <v>7</v>
      </c>
    </row>
    <row r="2218" spans="1:7" ht="45" x14ac:dyDescent="0.25">
      <c r="A2218" s="4" t="str">
        <f>HYPERLINK("http://techcrunch.com/2012/06/07/taskrabbit-leah-busque-reassumes-ceo-role/","TaskRabbit Founder Leah Busque Takes Back The Reins, Stepping Back Into CEO Role")</f>
        <v>TaskRabbit Founder Leah Busque Takes Back The Reins, Stepping Back Into CEO Role</v>
      </c>
      <c r="B2218" s="4" t="str">
        <f>HYPERLINK("http://www.facebook.com/8062627951/posts/303647819728763","Leah Busque reassumes the role of CEO at the San Francisco-based startup TaskRabbit.")</f>
        <v>Leah Busque reassumes the role of CEO at the San Francisco-based startup TaskRabbit.</v>
      </c>
      <c r="C2218" s="3">
        <v>41067.961550925924</v>
      </c>
      <c r="D2218" s="2">
        <v>97</v>
      </c>
      <c r="E2218" s="2">
        <v>8</v>
      </c>
      <c r="F2218" s="2" t="s">
        <v>7</v>
      </c>
      <c r="G2218" s="2" t="s">
        <v>7</v>
      </c>
    </row>
    <row r="2219" spans="1:7" ht="30" x14ac:dyDescent="0.25">
      <c r="A2219" s="4" t="str">
        <f>HYPERLINK("http://techcrunch.com/2012/06/07/the-facebook-app-center-is-here-the-details/","Facebook’s New Mobile App Center Is Here: The Details")</f>
        <v>Facebook’s New Mobile App Center Is Here: The Details</v>
      </c>
      <c r="B2219" s="4" t="str">
        <f>HYPERLINK("http://www.facebook.com/8062627951/posts/411733002199123","It's here!")</f>
        <v>It's here!</v>
      </c>
      <c r="C2219" s="3">
        <v>41067.67292824074</v>
      </c>
      <c r="D2219" s="2">
        <v>107</v>
      </c>
      <c r="E2219" s="2">
        <v>8</v>
      </c>
      <c r="F2219" s="2" t="s">
        <v>7</v>
      </c>
      <c r="G2219" s="2" t="s">
        <v>7</v>
      </c>
    </row>
    <row r="2220" spans="1:7" ht="45" x14ac:dyDescent="0.25">
      <c r="A2220" s="4" t="str">
        <f>HYPERLINK("http://techcrunch.com/2012/06/07/linkedin-working-with-law-enforcement-on-password-leak-says-user-email-logins-havent-been-published/","LinkedIn Working With Law Enforcement On Password Leak, Says User Email Logins Haven’t...")</f>
        <v>LinkedIn Working With Law Enforcement On Password Leak, Says User Email Logins Haven’t...</v>
      </c>
      <c r="B2220" s="4" t="str">
        <f>HYPERLINK("http://www.facebook.com/8062627951/posts/339605319445211","Update on the LinkedIn password fiasco:")</f>
        <v>Update on the LinkedIn password fiasco:</v>
      </c>
      <c r="C2220" s="3">
        <v>41067.587789351855</v>
      </c>
      <c r="D2220" s="2">
        <v>31</v>
      </c>
      <c r="E2220" s="2">
        <v>4</v>
      </c>
      <c r="F2220" s="2" t="s">
        <v>7</v>
      </c>
      <c r="G2220" s="2" t="s">
        <v>7</v>
      </c>
    </row>
    <row r="2221" spans="1:7" ht="30" x14ac:dyDescent="0.25">
      <c r="A2221" s="4" t="str">
        <f>HYPERLINK("http://techcrunch.com/2012/06/07/brands-start-automating-social-media-responses-on-facebook-and-twitter/","Brands Start Automating Social Media Responses On Facebook And Twitter")</f>
        <v>Brands Start Automating Social Media Responses On Facebook And Twitter</v>
      </c>
      <c r="B2221" s="4" t="str">
        <f>HYPERLINK("http://www.facebook.com/8062627951/posts/369129003153338","Hmm. Interesting. Thoughts?")</f>
        <v>Hmm. Interesting. Thoughts?</v>
      </c>
      <c r="C2221" s="3">
        <v>41067.511712962965</v>
      </c>
      <c r="D2221" s="2">
        <v>50</v>
      </c>
      <c r="E2221" s="2">
        <v>28</v>
      </c>
      <c r="F2221" s="2" t="s">
        <v>8</v>
      </c>
      <c r="G2221" s="2" t="s">
        <v>7</v>
      </c>
    </row>
    <row r="2222" spans="1:7" ht="45" x14ac:dyDescent="0.25">
      <c r="A2222" s="4" t="str">
        <f>HYPERLINK("http://techcrunch.com/2012/06/07/flutter-raises-1-4-million-seed-gesture-recognition-app/","Y Combinator Alum Flutter Raises $1.4 Million For Gesture Recognition Tech")</f>
        <v>Y Combinator Alum Flutter Raises $1.4 Million For Gesture Recognition Tech</v>
      </c>
      <c r="B2222" s="4" t="str">
        <f>HYPERLINK("http://www.facebook.com/8062627951/posts/167208163410164","Flutter, the startup that launched this past spring out of Y Combinator’s Winter 2012 class, has closed on $1.4 million in seed funding.")</f>
        <v>Flutter, the startup that launched this past spring out of Y Combinator’s Winter 2012 class, has closed on $1.4 million in seed funding.</v>
      </c>
      <c r="C2222" s="3">
        <v>41067.47320601852</v>
      </c>
      <c r="D2222" s="2">
        <v>51</v>
      </c>
      <c r="E2222" s="2">
        <v>1</v>
      </c>
      <c r="F2222" s="2" t="s">
        <v>7</v>
      </c>
      <c r="G2222" s="2" t="s">
        <v>7</v>
      </c>
    </row>
    <row r="2223" spans="1:7" ht="30" x14ac:dyDescent="0.25">
      <c r="A2223" s="4" t="str">
        <f>HYPERLINK("http://techcrunch.com/2012/06/07/last-fm-passwords-leake/","Last.fm Reveals That “Some” User Passwords Have Been Leaked")</f>
        <v>Last.fm Reveals That “Some” User Passwords Have Been Leaked</v>
      </c>
      <c r="B2223" s="4" t="str">
        <f>HYPERLINK("http://www.facebook.com/8062627951/posts/306762052747511","Uh oh.")</f>
        <v>Uh oh.</v>
      </c>
      <c r="C2223" s="3">
        <v>41067.405972222223</v>
      </c>
      <c r="D2223" s="2">
        <v>15</v>
      </c>
      <c r="E2223" s="2">
        <v>7</v>
      </c>
      <c r="F2223" s="2" t="s">
        <v>7</v>
      </c>
      <c r="G2223" s="2" t="s">
        <v>7</v>
      </c>
    </row>
    <row r="2224" spans="1:7" ht="30" x14ac:dyDescent="0.25">
      <c r="A2224" s="4" t="str">
        <f>HYPERLINK("http://techcrunch.com/2012/06/07/facebook-app-center-mobile/","Behold, Facebook’s New App Center Leaks Into iOS")</f>
        <v>Behold, Facebook’s New App Center Leaks Into iOS</v>
      </c>
      <c r="B2224" s="4" t="str">
        <f>HYPERLINK("http://www.facebook.com/8062627951/posts/114192198720791","Meet Facebook's mobile App Center.")</f>
        <v>Meet Facebook's mobile App Center.</v>
      </c>
      <c r="C2224" s="3">
        <v>41067.370370370372</v>
      </c>
      <c r="D2224" s="2">
        <v>53</v>
      </c>
      <c r="E2224" s="2">
        <v>6</v>
      </c>
      <c r="F2224" s="2" t="s">
        <v>7</v>
      </c>
      <c r="G2224" s="2" t="s">
        <v>7</v>
      </c>
    </row>
    <row r="2225" spans="1:7" ht="30" x14ac:dyDescent="0.25">
      <c r="A2225" s="4" t="str">
        <f>HYPERLINK("http://techcrunch.com/2012/06/07/techcrunch-gadgets-webcast-live-from-e3/","TechCrunch Gadgets Webcast: Live From E3")</f>
        <v>TechCrunch Gadgets Webcast: Live From E3</v>
      </c>
      <c r="B2225" s="4" t="str">
        <f>HYPERLINK("http://www.facebook.com/8062627951/posts/302465649844935","TechCrunch visits E3, the festival of video games.")</f>
        <v>TechCrunch visits E3, the festival of video games.</v>
      </c>
      <c r="C2225" s="3">
        <v>41067.259965277779</v>
      </c>
      <c r="D2225" s="2">
        <v>15</v>
      </c>
      <c r="E2225" s="2">
        <v>1</v>
      </c>
      <c r="F2225" s="2" t="s">
        <v>7</v>
      </c>
      <c r="G2225" s="2" t="s">
        <v>7</v>
      </c>
    </row>
    <row r="2226" spans="1:7" ht="45" x14ac:dyDescent="0.25">
      <c r="A2226" s="4" t="str">
        <f>HYPERLINK("http://techcrunch.com/2012/06/06/foursquare-gets-a-new-look-redesign-makes-checking-in-stickier-and-more-social/","Foursquare Gets A New Look: Redesign Makes Checking In Stickier And More Social")</f>
        <v>Foursquare Gets A New Look: Redesign Makes Checking In Stickier And More Social</v>
      </c>
      <c r="B2226" s="4" t="str">
        <f>HYPERLINK("http://www.facebook.com/8062627951/posts/118986038239924","What do you think of the new look?")</f>
        <v>What do you think of the new look?</v>
      </c>
      <c r="C2226" s="3">
        <v>41066.94159722222</v>
      </c>
      <c r="D2226" s="2">
        <v>64</v>
      </c>
      <c r="E2226" s="2">
        <v>12</v>
      </c>
      <c r="F2226" s="2" t="s">
        <v>8</v>
      </c>
      <c r="G2226" s="2" t="s">
        <v>7</v>
      </c>
    </row>
    <row r="2227" spans="1:7" ht="45" x14ac:dyDescent="0.25">
      <c r="A2227" s="4" t="str">
        <f>HYPERLINK("http://techcrunch.com/2012/06/06/seven-point-one-percent/","Dear Eric Schmidt, It’s Been 6 Months — Where Are Those iOS-Slaying Android Exclusive A...")</f>
        <v>Dear Eric Schmidt, It’s Been 6 Months — Where Are Those iOS-Slaying Android Exclusive A...</v>
      </c>
      <c r="B2227" s="4" t="str">
        <f>HYPERLINK("http://www.facebook.com/8062627951/posts/275587615872800","So, where are they?")</f>
        <v>So, where are they?</v>
      </c>
      <c r="C2227" s="3">
        <v>41066.732581018521</v>
      </c>
      <c r="D2227" s="2">
        <v>72</v>
      </c>
      <c r="E2227" s="2">
        <v>20</v>
      </c>
      <c r="F2227" s="2" t="s">
        <v>8</v>
      </c>
      <c r="G2227" s="2" t="s">
        <v>7</v>
      </c>
    </row>
    <row r="2228" spans="1:7" ht="30" x14ac:dyDescent="0.25">
      <c r="A2228" s="4" t="str">
        <f>HYPERLINK("http://techcrunch.com/2012/06/06/with-its-launch-looming-apple-seeks-injunction-to-stop-galaxy-s-iii-sales/","With Its Launch Looming, Apple Seeks Injunction To Stop Galaxy S III Sales")</f>
        <v>With Its Launch Looming, Apple Seeks Injunction To Stop Galaxy S III Sales</v>
      </c>
      <c r="B2228" s="4" t="str">
        <f>HYPERLINK("http://www.facebook.com/8062627951/posts/317160438369246","Can you believe it?")</f>
        <v>Can you believe it?</v>
      </c>
      <c r="C2228" s="3">
        <v>41066.683113425926</v>
      </c>
      <c r="D2228" s="2">
        <v>44</v>
      </c>
      <c r="E2228" s="2">
        <v>39</v>
      </c>
      <c r="F2228" s="2" t="s">
        <v>8</v>
      </c>
      <c r="G2228" s="2" t="s">
        <v>7</v>
      </c>
    </row>
    <row r="2229" spans="1:7" ht="45" x14ac:dyDescent="0.25">
      <c r="A2229" s="4" t="str">
        <f>HYPERLINK("http://techcrunch.com/2012/06/05/hbo-go-without-hbo/","How Much Would The Average Person Pay For A Standalone HBO GO Subscription? About $12 A...")</f>
        <v>How Much Would The Average Person Pay For A Standalone HBO GO Subscription? About $12 A...</v>
      </c>
      <c r="B2229" s="4" t="str">
        <f>HYPERLINK("http://www.facebook.com/8062627951/posts/406951436010567","Would you pay this much?")</f>
        <v>Would you pay this much?</v>
      </c>
      <c r="C2229" s="3">
        <v>41066.645416666666</v>
      </c>
      <c r="D2229" s="2">
        <v>59</v>
      </c>
      <c r="E2229" s="2">
        <v>27</v>
      </c>
      <c r="F2229" s="2" t="s">
        <v>8</v>
      </c>
      <c r="G2229" s="2" t="s">
        <v>7</v>
      </c>
    </row>
    <row r="2230" spans="1:7" ht="75" x14ac:dyDescent="0.25">
      <c r="A2230" s="4" t="str">
        <f>HYPERLINK("http://techcrunch.com/2012/06/06/goodbye-ray-bradbury/","Goodbye, Ray Bradbury")</f>
        <v>Goodbye, Ray Bradbury</v>
      </c>
      <c r="B2230" s="4" t="s">
        <v>130</v>
      </c>
      <c r="C2230" s="3">
        <v>41066.572881944441</v>
      </c>
      <c r="D2230" s="2">
        <v>206</v>
      </c>
      <c r="E2230" s="2">
        <v>10</v>
      </c>
      <c r="F2230" s="2" t="s">
        <v>7</v>
      </c>
      <c r="G2230" s="2" t="s">
        <v>7</v>
      </c>
    </row>
    <row r="2231" spans="1:7" ht="30" x14ac:dyDescent="0.25">
      <c r="A2231" s="4" t="str">
        <f>HYPERLINK("http://techcrunch.com/2012/06/06/quirky-unveils-the-app-enabled-milk-jug-of-the-future-the-milkmaid/","Quirky Unveils The App-Enabled Milk Jug Of The Future: The Milkmaid")</f>
        <v>Quirky Unveils The App-Enabled Milk Jug Of The Future: The Milkmaid</v>
      </c>
      <c r="B2231" s="4" t="str">
        <f>HYPERLINK("http://www.facebook.com/8062627951/posts/352572451479592","Hey milk drinkers, what do you think of the Milkmaid?")</f>
        <v>Hey milk drinkers, what do you think of the Milkmaid?</v>
      </c>
      <c r="C2231" s="3">
        <v>41066.560046296298</v>
      </c>
      <c r="D2231" s="2">
        <v>67</v>
      </c>
      <c r="E2231" s="2">
        <v>18</v>
      </c>
      <c r="F2231" s="2" t="s">
        <v>8</v>
      </c>
      <c r="G2231" s="2" t="s">
        <v>7</v>
      </c>
    </row>
    <row r="2232" spans="1:7" ht="30" x14ac:dyDescent="0.25">
      <c r="A2232" s="4" t="str">
        <f>HYPERLINK("http://techcrunch.com/2012/06/06/linkedin-speaks-some-of-those-compromised-passwords-are-from-linkedin-accounts/","LinkedIn Confirms Hack And Leak Of “Some” User Passwords")</f>
        <v>LinkedIn Confirms Hack And Leak Of “Some” User Passwords</v>
      </c>
      <c r="B2232" s="4" t="str">
        <f>HYPERLINK("http://www.facebook.com/8062627951/posts/376710582393065","LinkedIn confirms hack. Developing...")</f>
        <v>LinkedIn confirms hack. Developing...</v>
      </c>
      <c r="C2232" s="3">
        <v>41066.505115740743</v>
      </c>
      <c r="D2232" s="2">
        <v>68</v>
      </c>
      <c r="E2232" s="2">
        <v>9</v>
      </c>
      <c r="F2232" s="2" t="s">
        <v>7</v>
      </c>
      <c r="G2232" s="2" t="s">
        <v>7</v>
      </c>
    </row>
    <row r="2233" spans="1:7" ht="45" x14ac:dyDescent="0.25">
      <c r="A2233" s="4" t="str">
        <f>HYPERLINK("http://techcrunch.com/2012/06/06/google-maps-for-mobile-gets-offline-maps/","Google Announces Massively Improved 3D Views For Google Earth, StreetView Backpacks &amp; O...")</f>
        <v>Google Announces Massively Improved 3D Views For Google Earth, StreetView Backpacks &amp; O...</v>
      </c>
      <c r="B2233" s="4" t="str">
        <f>HYPERLINK("http://www.facebook.com/8062627951/posts/241367099312327","Awesome.")</f>
        <v>Awesome.</v>
      </c>
      <c r="C2233" s="3">
        <v>41066.437557870369</v>
      </c>
      <c r="D2233" s="2">
        <v>207</v>
      </c>
      <c r="E2233" s="2">
        <v>9</v>
      </c>
      <c r="F2233" s="2" t="s">
        <v>7</v>
      </c>
      <c r="G2233" s="2" t="s">
        <v>7</v>
      </c>
    </row>
    <row r="2234" spans="1:7" ht="30" x14ac:dyDescent="0.25">
      <c r="A2234" s="4" t="str">
        <f>HYPERLINK("http://techcrunch.com/2012/06/06/6-5-million-linkedin-passwords-reportedly-leaked-linkedin-is-looking-into-it/","6.5 Million LinkedIn Passwords Reportedly Leaked, LinkedIn Is “Looking Into” It")</f>
        <v>6.5 Million LinkedIn Passwords Reportedly Leaked, LinkedIn Is “Looking Into” It</v>
      </c>
      <c r="B2234" s="4" t="str">
        <f>HYPERLINK("http://www.facebook.com/8062627951/posts/185014508293041","Yikes!")</f>
        <v>Yikes!</v>
      </c>
      <c r="C2234" s="3">
        <v>41066.394016203703</v>
      </c>
      <c r="D2234" s="2">
        <v>177</v>
      </c>
      <c r="E2234" s="2">
        <v>54</v>
      </c>
      <c r="F2234" s="2" t="s">
        <v>7</v>
      </c>
      <c r="G2234" s="2" t="s">
        <v>7</v>
      </c>
    </row>
    <row r="2235" spans="1:7" ht="45" x14ac:dyDescent="0.25">
      <c r="A2235" s="4" t="str">
        <f>HYPERLINK("http://tcrn.ch/Lr75mk","TechCrunch | Check Out Twitter’s Optimistic New Bird Logo For A Business Model Taking Flight")</f>
        <v>TechCrunch | Check Out Twitter’s Optimistic New Bird Logo For A Business Model Taking Flight</v>
      </c>
      <c r="B2235" s="4" t="str">
        <f>HYPERLINK("http://www.facebook.com/8062627951/posts/374200792629618","With upturned beak and a slick haircut, this bird's ready to make some money")</f>
        <v>With upturned beak and a slick haircut, this bird's ready to make some money</v>
      </c>
      <c r="C2235" s="3">
        <v>41066.376446759263</v>
      </c>
      <c r="D2235" s="2">
        <v>71</v>
      </c>
      <c r="E2235" s="2">
        <v>0</v>
      </c>
      <c r="F2235" s="2" t="s">
        <v>7</v>
      </c>
      <c r="G2235" s="2" t="s">
        <v>7</v>
      </c>
    </row>
    <row r="2236" spans="1:7" ht="30" x14ac:dyDescent="0.25">
      <c r="A2236" s="4" t="str">
        <f>HYPERLINK("http://techcrunch.com/2012/06/05/sean-parker-airtime-app-platform-cool/","Sean Parker and Shawn Fanning Hint At The Future Of Airtime [TCTV]")</f>
        <v>Sean Parker and Shawn Fanning Hint At The Future Of Airtime [TCTV]</v>
      </c>
      <c r="B2236" s="4" t="str">
        <f>HYPERLINK("http://www.facebook.com/8062627951/posts/321527674593853","What are your thoughts on Airtime? Have you tried it yet?")</f>
        <v>What are your thoughts on Airtime? Have you tried it yet?</v>
      </c>
      <c r="C2236" s="3">
        <v>41065.664004629631</v>
      </c>
      <c r="D2236" s="2">
        <v>33</v>
      </c>
      <c r="E2236" s="2">
        <v>16</v>
      </c>
      <c r="F2236" s="2" t="s">
        <v>8</v>
      </c>
      <c r="G2236" s="2" t="s">
        <v>7</v>
      </c>
    </row>
    <row r="2237" spans="1:7" ht="30" x14ac:dyDescent="0.25">
      <c r="A2237" s="4" t="str">
        <f>HYPERLINK("http://techcrunch.com/2012/06/05/madrona-fund-v-300-million/","More Money For Seattle Startups: Madrona Raises $300M Fund")</f>
        <v>More Money For Seattle Startups: Madrona Raises $300M Fund</v>
      </c>
      <c r="B2237" s="4" t="str">
        <f>HYPERLINK("http://www.facebook.com/8062627951/posts/458439127518834","More money for the startups in Seattle:")</f>
        <v>More money for the startups in Seattle:</v>
      </c>
      <c r="C2237" s="3">
        <v>41065.647916666669</v>
      </c>
      <c r="D2237" s="2">
        <v>33</v>
      </c>
      <c r="E2237" s="2">
        <v>0</v>
      </c>
      <c r="F2237" s="2" t="s">
        <v>7</v>
      </c>
      <c r="G2237" s="2" t="s">
        <v>7</v>
      </c>
    </row>
    <row r="2238" spans="1:7" ht="30" x14ac:dyDescent="0.25">
      <c r="A2238" s="4" t="str">
        <f>HYPERLINK("http://techcrunch.com/2012/06/05/dont-know-how-to-code-use-scroll-kit-to-build-your-next-website/","Don’t Know How To Code? Use Scroll Kit To Build Your Next Website")</f>
        <v>Don’t Know How To Code? Use Scroll Kit To Build Your Next Website</v>
      </c>
      <c r="B2238" s="4" t="str">
        <f>HYPERLINK("http://www.facebook.com/8062627951/posts/262608097179470","Want to build a website, but don't know how to code? No problem. ")</f>
        <v xml:space="preserve">Want to build a website, but don't know how to code? No problem. </v>
      </c>
      <c r="C2238" s="3">
        <v>41065.595856481479</v>
      </c>
      <c r="D2238" s="2">
        <v>166</v>
      </c>
      <c r="E2238" s="2">
        <v>11</v>
      </c>
      <c r="F2238" s="2" t="s">
        <v>8</v>
      </c>
      <c r="G2238" s="2" t="s">
        <v>7</v>
      </c>
    </row>
    <row r="2239" spans="1:7" ht="30" x14ac:dyDescent="0.25">
      <c r="A2239" s="4" t="str">
        <f>HYPERLINK("http://techcrunch.com/2012/06/05/airtime-video-chat/","Airtime Launches A Video Chat Network That’s The New Place To Hangout Online")</f>
        <v>Airtime Launches A Video Chat Network That’s The New Place To Hangout Online</v>
      </c>
      <c r="B2239" s="4" t="str">
        <f>HYPERLINK("http://www.facebook.com/8062627951/posts/480430295303743","Airtime is finally available, and it wants to kill Skype.")</f>
        <v>Airtime is finally available, and it wants to kill Skype.</v>
      </c>
      <c r="C2239" s="3">
        <v>41065.533206018517</v>
      </c>
      <c r="D2239" s="2">
        <v>93</v>
      </c>
      <c r="E2239" s="2">
        <v>24</v>
      </c>
      <c r="F2239" s="2" t="s">
        <v>7</v>
      </c>
      <c r="G2239" s="2" t="s">
        <v>7</v>
      </c>
    </row>
    <row r="2240" spans="1:7" ht="45" x14ac:dyDescent="0.25">
      <c r="A2240" s="4" t="str">
        <f>HYPERLINK("http://techcrunch.com/2012/06/05/smarterer-series-a/","No Resumes, Just Skills: Smarterer Grabs $1.75M From True, Google Ventures; Tony Conrad...")</f>
        <v>No Resumes, Just Skills: Smarterer Grabs $1.75M From True, Google Ventures; Tony Conrad...</v>
      </c>
      <c r="B2240" s="4" t="str">
        <f>HYPERLINK("http://www.facebook.com/8062627951/posts/302882779803896","How many of you hate updating your resumes? ")</f>
        <v xml:space="preserve">How many of you hate updating your resumes? </v>
      </c>
      <c r="C2240" s="3">
        <v>41065.458414351851</v>
      </c>
      <c r="D2240" s="2">
        <v>122</v>
      </c>
      <c r="E2240" s="2">
        <v>11</v>
      </c>
      <c r="F2240" s="2" t="s">
        <v>8</v>
      </c>
      <c r="G2240" s="2" t="s">
        <v>7</v>
      </c>
    </row>
    <row r="2241" spans="1:7" ht="30" x14ac:dyDescent="0.25">
      <c r="A2241" s="4" t="str">
        <f>HYPERLINK("http://techcrunch.com/2012/06/05/onx/","on{X}: The Coolest Thing to Happen to Android. Courtesy of… Microsoft Israel?")</f>
        <v>on{X}: The Coolest Thing to Happen to Android. Courtesy of… Microsoft Israel?</v>
      </c>
      <c r="B2241" s="4" t="str">
        <f>HYPERLINK("http://www.facebook.com/8062627951/posts/485533241463986","Pretty much one of the coolest things to happen to Android. Thanks to... Microsoft. ")</f>
        <v xml:space="preserve">Pretty much one of the coolest things to happen to Android. Thanks to... Microsoft. </v>
      </c>
      <c r="C2241" s="3">
        <v>41065.41547453704</v>
      </c>
      <c r="D2241" s="2">
        <v>181</v>
      </c>
      <c r="E2241" s="2">
        <v>14</v>
      </c>
      <c r="F2241" s="2" t="s">
        <v>7</v>
      </c>
      <c r="G2241" s="2" t="s">
        <v>7</v>
      </c>
    </row>
    <row r="2242" spans="1:7" ht="30" x14ac:dyDescent="0.25">
      <c r="A2242" s="4" t="str">
        <f>HYPERLINK("http://techcrunch.com/2012/06/05/live-from-nintendos-2012-e3-keynote/","http://techcrunch.com/2012/06/05/live-from-nintendos-2012-e3-keynote/")</f>
        <v>http://techcrunch.com/2012/06/05/live-from-nintendos-2012-e3-keynote/</v>
      </c>
      <c r="B2242" s="4" t="str">
        <f>HYPERLINK("http://www.facebook.com/8062627951/posts/425321264169098","Join us for Nintendo's E3 keynote! Wii U time!")</f>
        <v>Join us for Nintendo's E3 keynote! Wii U time!</v>
      </c>
      <c r="C2242" s="3">
        <v>41065.336284722223</v>
      </c>
      <c r="D2242" s="2">
        <v>11</v>
      </c>
      <c r="E2242" s="2">
        <v>1</v>
      </c>
      <c r="F2242" s="2" t="s">
        <v>7</v>
      </c>
      <c r="G2242" s="2" t="s">
        <v>7</v>
      </c>
    </row>
    <row r="2243" spans="1:7" ht="30" x14ac:dyDescent="0.25">
      <c r="A2243" s="4" t="str">
        <f>HYPERLINK("http://techcrunch.com/2012/06/05/airtime-experience-together/","TechCrunch | Face To Face: How Airtime Will Re-Humanize The Internet")</f>
        <v>TechCrunch | Face To Face: How Airtime Will Re-Humanize The Internet</v>
      </c>
      <c r="B2243" s="4" t="str">
        <f>HYPERLINK("http://www.facebook.com/8062627951/posts/317537618332283","Check out Airtime, the video chat network that's making it cool to sit around on the web.")</f>
        <v>Check out Airtime, the video chat network that's making it cool to sit around on the web.</v>
      </c>
      <c r="C2243" s="3">
        <v>41065.288773148146</v>
      </c>
      <c r="D2243" s="2">
        <v>70</v>
      </c>
      <c r="E2243" s="2">
        <v>10</v>
      </c>
      <c r="F2243" s="2" t="s">
        <v>7</v>
      </c>
      <c r="G2243" s="2" t="s">
        <v>7</v>
      </c>
    </row>
    <row r="2244" spans="1:7" x14ac:dyDescent="0.25">
      <c r="A2244" s="4" t="str">
        <f>HYPERLINK("http://techcrunch.com/2012/06/05/an-extremely-rational-bubble/","An Extremely Rational Bubble")</f>
        <v>An Extremely Rational Bubble</v>
      </c>
      <c r="B2244" s="4" t="str">
        <f>HYPERLINK("http://www.facebook.com/8062627951/posts/397261780324705","Bubbleception...")</f>
        <v>Bubbleception...</v>
      </c>
      <c r="C2244" s="3">
        <v>41065.153749999998</v>
      </c>
      <c r="D2244" s="2">
        <v>22</v>
      </c>
      <c r="E2244" s="2">
        <v>2</v>
      </c>
      <c r="F2244" s="2" t="s">
        <v>7</v>
      </c>
      <c r="G2244" s="2" t="s">
        <v>7</v>
      </c>
    </row>
    <row r="2245" spans="1:7" ht="60" x14ac:dyDescent="0.25">
      <c r="A2245" s="4" t="str">
        <f>HYPERLINK("http://www.facebook.com/photo.php?fbid=10151025646412952&amp;set=a.114456157951.118433.8062627951&amp;type=1&amp;relevant_count=1","[Photo]")</f>
        <v>[Photo]</v>
      </c>
      <c r="B2245" s="4" t="str">
        <f>HYPERLINK("http://www.facebook.com/8062627951/posts/10151025646467952","Yer A Wizard, Sony: PlayStation Introduces Wonderbook, The AR Ebook For Kids Complete With Harry Potter Content  http://tcrn.ch/LtP6t5    Is this really a reinvention of the storybook?")</f>
        <v>Yer A Wizard, Sony: PlayStation Introduces Wonderbook, The AR Ebook For Kids Complete With Harry Potter Content  http://tcrn.ch/LtP6t5    Is this really a reinvention of the storybook?</v>
      </c>
      <c r="C2245" s="3">
        <v>41064.764884259261</v>
      </c>
      <c r="D2245" s="2">
        <v>59</v>
      </c>
      <c r="E2245" s="2">
        <v>3</v>
      </c>
      <c r="F2245" s="2" t="s">
        <v>8</v>
      </c>
      <c r="G2245" s="2" t="s">
        <v>8</v>
      </c>
    </row>
    <row r="2246" spans="1:7" ht="30" x14ac:dyDescent="0.25">
      <c r="A2246" s="4" t="str">
        <f>HYPERLINK("http://techcrunch.com/2012/06/04/microsoft-xbox-now-top-selling-console-worldwide/","Microsoft Xbox 360 Now Top Selling Console Worldwide")</f>
        <v>Microsoft Xbox 360 Now Top Selling Console Worldwide</v>
      </c>
      <c r="B2246" s="4" t="str">
        <f>HYPERLINK("http://www.facebook.com/8062627951/posts/167409203389192","Do you have one? ")</f>
        <v xml:space="preserve">Do you have one? </v>
      </c>
      <c r="C2246" s="3">
        <v>41064.745474537034</v>
      </c>
      <c r="D2246" s="2">
        <v>25</v>
      </c>
      <c r="E2246" s="2">
        <v>5</v>
      </c>
      <c r="F2246" s="2" t="s">
        <v>8</v>
      </c>
      <c r="G2246" s="2" t="s">
        <v>7</v>
      </c>
    </row>
    <row r="2247" spans="1:7" ht="45" x14ac:dyDescent="0.25">
      <c r="A2247" s="4" t="str">
        <f>HYPERLINK("http://techcrunch.com/2012/06/04/facebook-news-feed-redesign-photos/","Facebook Bringing Its Mobile News Feed Redesign To the Web, With Larger Photos And Text")</f>
        <v>Facebook Bringing Its Mobile News Feed Redesign To the Web, With Larger Photos And Text</v>
      </c>
      <c r="B2247" s="4" t="str">
        <f>HYPERLINK("http://www.facebook.com/8062627951/posts/220877584698610","Larger photos and text - soon coming to your newsfeed! ")</f>
        <v xml:space="preserve">Larger photos and text - soon coming to your newsfeed! </v>
      </c>
      <c r="C2247" s="3">
        <v>41064.583310185182</v>
      </c>
      <c r="D2247" s="2">
        <v>56</v>
      </c>
      <c r="E2247" s="2">
        <v>11</v>
      </c>
      <c r="F2247" s="2" t="s">
        <v>7</v>
      </c>
      <c r="G2247" s="2" t="s">
        <v>7</v>
      </c>
    </row>
    <row r="2248" spans="1:7" ht="30" x14ac:dyDescent="0.25">
      <c r="A2248" s="4" t="str">
        <f>HYPERLINK("http://techcrunch.com/2012/06/04/confirmed-google-is-buying-meebo-the-startup-that-turned-chat-into-a-business/","Confirmed: Google Is Buying Meebo, The Startup That Turned Chat Into A Business")</f>
        <v>Confirmed: Google Is Buying Meebo, The Startup That Turned Chat Into A Business</v>
      </c>
      <c r="B2248" s="4" t="str">
        <f>HYPERLINK("http://www.facebook.com/8062627951/posts/322818921129740","Confirmed: Meebo has entered into an agreement to be acquired by Google")</f>
        <v>Confirmed: Meebo has entered into an agreement to be acquired by Google</v>
      </c>
      <c r="C2248" s="3">
        <v>41064.511122685188</v>
      </c>
      <c r="D2248" s="2">
        <v>162</v>
      </c>
      <c r="E2248" s="2">
        <v>19</v>
      </c>
      <c r="F2248" s="2" t="s">
        <v>7</v>
      </c>
      <c r="G2248" s="2" t="s">
        <v>7</v>
      </c>
    </row>
    <row r="2249" spans="1:7" ht="45" x14ac:dyDescent="0.25">
      <c r="A2249" s="4" t="str">
        <f>HYPERLINK("http://techcrunch.com/2012/06/04/internet-explorer-will-land-on-the-xbox-360-this-fall/","Internet Explorer Will Land On The Xbox 360 “This Fall” With Kinect Controls In Tow")</f>
        <v>Internet Explorer Will Land On The Xbox 360 “This Fall” With Kinect Controls In Tow</v>
      </c>
      <c r="B2249" s="4" t="str">
        <f>HYPERLINK("http://www.facebook.com/8062627951/posts/244343255679600","“Internet Explorer coupled with the power of Xbox will for the first time deliver a fast, fluid, intuitive web experience in the living room.” - Microsoft’s Marc Whitten")</f>
        <v>“Internet Explorer coupled with the power of Xbox will for the first time deliver a fast, fluid, intuitive web experience in the living room.” - Microsoft’s Marc Whitten</v>
      </c>
      <c r="C2249" s="3">
        <v>41064.474537037036</v>
      </c>
      <c r="D2249" s="2">
        <v>20</v>
      </c>
      <c r="E2249" s="2">
        <v>1</v>
      </c>
      <c r="F2249" s="2" t="s">
        <v>7</v>
      </c>
      <c r="G2249" s="2" t="s">
        <v>7</v>
      </c>
    </row>
    <row r="2250" spans="1:7" x14ac:dyDescent="0.25">
      <c r="A2250" s="4" t="str">
        <f>HYPERLINK("http://techcrunch.com/2012/06/04/the-xbox-360-now-a-true-cable-box-killer/","The Xbox 360, Now A True Cable Box Killer")</f>
        <v>The Xbox 360, Now A True Cable Box Killer</v>
      </c>
      <c r="B2250" s="4" t="str">
        <f>HYPERLINK("http://www.facebook.com/8062627951/posts/239824916132236","Microsoft just threw down at E3 2012:")</f>
        <v>Microsoft just threw down at E3 2012:</v>
      </c>
      <c r="C2250" s="3">
        <v>41064.433229166665</v>
      </c>
      <c r="D2250" s="2">
        <v>70</v>
      </c>
      <c r="E2250" s="2">
        <v>7</v>
      </c>
      <c r="F2250" s="2" t="s">
        <v>7</v>
      </c>
      <c r="G2250" s="2" t="s">
        <v>7</v>
      </c>
    </row>
    <row r="2251" spans="1:7" ht="30" x14ac:dyDescent="0.25">
      <c r="A2251" s="4" t="str">
        <f>HYPERLINK("http://techcrunch.com/2012/06/04/microsoft-introduces-second-screen-feature-xbox-smartglass/","Microsoft Introduces Second-Screen Feature, Xbox SmartGlass")</f>
        <v>Microsoft Introduces Second-Screen Feature, Xbox SmartGlass</v>
      </c>
      <c r="B2251" s="4" t="str">
        <f>HYPERLINK("http://www.facebook.com/8062627951/posts/247560605349642","Microsoft just announced a new feature called Xbox SmartGlass. Awesome. ")</f>
        <v xml:space="preserve">Microsoft just announced a new feature called Xbox SmartGlass. Awesome. </v>
      </c>
      <c r="C2251" s="3">
        <v>41064.410601851851</v>
      </c>
      <c r="D2251" s="2">
        <v>80</v>
      </c>
      <c r="E2251" s="2">
        <v>6</v>
      </c>
      <c r="F2251" s="2" t="s">
        <v>7</v>
      </c>
      <c r="G2251" s="2" t="s">
        <v>7</v>
      </c>
    </row>
    <row r="2252" spans="1:7" ht="30" x14ac:dyDescent="0.25">
      <c r="A2252" s="4" t="str">
        <f>HYPERLINK("http://techcrunch.com/2012/06/04/google-project-glass-is-codenamed-wingman/","Google’s ‘Project Glass’ Is Codenamed “Wingman”")</f>
        <v>Google’s ‘Project Glass’ Is Codenamed “Wingman”</v>
      </c>
      <c r="B2252" s="4" t="str">
        <f>HYPERLINK("http://www.facebook.com/8062627951/posts/165118610286237","Google must be a Top Gun fan. ")</f>
        <v xml:space="preserve">Google must be a Top Gun fan. </v>
      </c>
      <c r="C2252" s="3">
        <v>41064.383194444446</v>
      </c>
      <c r="D2252" s="2">
        <v>55</v>
      </c>
      <c r="E2252" s="2">
        <v>5</v>
      </c>
      <c r="F2252" s="2" t="s">
        <v>7</v>
      </c>
      <c r="G2252" s="2" t="s">
        <v>7</v>
      </c>
    </row>
    <row r="2253" spans="1:7" ht="45" x14ac:dyDescent="0.25">
      <c r="A2253" s="4" t="str">
        <f>HYPERLINK("http://techcrunch.com/2012/06/04/apple-releases-guide-to-ios-security/","Apple Releases Guide To iOS Security")</f>
        <v>Apple Releases Guide To iOS Security</v>
      </c>
      <c r="B2253" s="4" t="str">
        <f>HYPERLINK("http://www.facebook.com/8062627951/posts/475163975843333","Apple's new guide to iOS security includes four sections dedicated to topics like system architecture, encryption and data protection, network security, and device access:")</f>
        <v>Apple's new guide to iOS security includes four sections dedicated to topics like system architecture, encryption and data protection, network security, and device access:</v>
      </c>
      <c r="C2253" s="3">
        <v>41064.367430555554</v>
      </c>
      <c r="D2253" s="2">
        <v>50</v>
      </c>
      <c r="E2253" s="2">
        <v>2</v>
      </c>
      <c r="F2253" s="2" t="s">
        <v>7</v>
      </c>
      <c r="G2253" s="2" t="s">
        <v>7</v>
      </c>
    </row>
    <row r="2254" spans="1:7" ht="30" x14ac:dyDescent="0.25">
      <c r="A2254" s="4" t="str">
        <f>HYPERLINK("http://techcrunch.com/2012/06/03/this-could-be-great/","Meet The Wii U Gamepad, Nintendo’s Answer To Gaming On The iPad")</f>
        <v>Meet The Wii U Gamepad, Nintendo’s Answer To Gaming On The iPad</v>
      </c>
      <c r="B2254" s="4" t="str">
        <f>HYPERLINK("http://www.facebook.com/8062627951/posts/402451863124463","Here it is, Nintendo's Gamepad. ")</f>
        <v xml:space="preserve">Here it is, Nintendo's Gamepad. </v>
      </c>
      <c r="C2254" s="3">
        <v>41063.63417824074</v>
      </c>
      <c r="D2254" s="2">
        <v>48</v>
      </c>
      <c r="E2254" s="2">
        <v>3</v>
      </c>
      <c r="F2254" s="2" t="s">
        <v>7</v>
      </c>
      <c r="G2254" s="2" t="s">
        <v>7</v>
      </c>
    </row>
    <row r="2255" spans="1:7" ht="30" x14ac:dyDescent="0.25">
      <c r="A2255" s="4" t="str">
        <f>HYPERLINK("http://techcrunch.com/2012/06/03/hot-android-to-do-list-app-any-do-comes-to-ios-and-web/","TechCrunch | Hot Android To-Do List App, Any.DO, Comes To iOS And Web")</f>
        <v>TechCrunch | Hot Android To-Do List App, Any.DO, Comes To iOS And Web</v>
      </c>
      <c r="B2255" s="4" t="str">
        <f>HYPERLINK("http://www.facebook.com/8062627951/posts/167102240086930","Have you tried this to-do app yet? ")</f>
        <v xml:space="preserve">Have you tried this to-do app yet? </v>
      </c>
      <c r="C2255" s="3">
        <v>41063.411296296297</v>
      </c>
      <c r="D2255" s="2">
        <v>80</v>
      </c>
      <c r="E2255" s="2">
        <v>10</v>
      </c>
      <c r="F2255" s="2" t="s">
        <v>8</v>
      </c>
      <c r="G2255" s="2" t="s">
        <v>7</v>
      </c>
    </row>
    <row r="2256" spans="1:7" ht="30" x14ac:dyDescent="0.25">
      <c r="A2256" s="4" t="str">
        <f>HYPERLINK("http://techcrunch.com/2012/06/03/for-the-single-founder-who-cant-code/","TechCrunch | For the Single Founder Who Can’t Code")</f>
        <v>TechCrunch | For the Single Founder Who Can’t Code</v>
      </c>
      <c r="B2256" s="4" t="str">
        <f>HYPERLINK("http://www.facebook.com/8062627951/posts/129345487202009","Here's what you can do if you're a single founder who can't code, from an entrepreneur who has done it. ")</f>
        <v xml:space="preserve">Here's what you can do if you're a single founder who can't code, from an entrepreneur who has done it. </v>
      </c>
      <c r="C2256" s="3">
        <v>41063.275613425925</v>
      </c>
      <c r="D2256" s="2">
        <v>193</v>
      </c>
      <c r="E2256" s="2">
        <v>20</v>
      </c>
      <c r="F2256" s="2" t="s">
        <v>7</v>
      </c>
      <c r="G2256" s="2" t="s">
        <v>7</v>
      </c>
    </row>
    <row r="2257" spans="1:7" ht="45" x14ac:dyDescent="0.25">
      <c r="A2257" s="4" t="str">
        <f>HYPERLINK("http://techcrunch.com/2012/06/02/picplz-shutdown-july-3/","The Instagram Effect? Mobile Photo Sharing App PicPlz To Shut Down Permanently On July 3")</f>
        <v>The Instagram Effect? Mobile Photo Sharing App PicPlz To Shut Down Permanently On July 3</v>
      </c>
      <c r="B2257" s="4" t="str">
        <f>HYPERLINK("http://www.facebook.com/8062627951/posts/109515635855352","Mobile photo sharing app PicPlz will close its doors on July 3rd. Surprised? ")</f>
        <v xml:space="preserve">Mobile photo sharing app PicPlz will close its doors on July 3rd. Surprised? </v>
      </c>
      <c r="C2257" s="3">
        <v>41062.617511574077</v>
      </c>
      <c r="D2257" s="2">
        <v>37</v>
      </c>
      <c r="E2257" s="2">
        <v>10</v>
      </c>
      <c r="F2257" s="2" t="s">
        <v>8</v>
      </c>
      <c r="G2257" s="2" t="s">
        <v>7</v>
      </c>
    </row>
    <row r="2258" spans="1:7" ht="30" x14ac:dyDescent="0.25">
      <c r="A2258" s="4" t="str">
        <f>HYPERLINK("http://techcrunch.com/2012/06/02/how-to-cash-in-on-government-as-a-platform/","How To Cash In On Government As A Platform")</f>
        <v>How To Cash In On Government As A Platform</v>
      </c>
      <c r="B2258" s="4" t="str">
        <f>HYPERLINK("http://www.facebook.com/8062627951/posts/182848151843791","How to cash in on government as a platform: ")</f>
        <v xml:space="preserve">How to cash in on government as a platform: </v>
      </c>
      <c r="C2258" s="3">
        <v>41062.488969907405</v>
      </c>
      <c r="D2258" s="2">
        <v>35</v>
      </c>
      <c r="E2258" s="2">
        <v>2</v>
      </c>
      <c r="F2258" s="2" t="s">
        <v>7</v>
      </c>
      <c r="G2258" s="2" t="s">
        <v>7</v>
      </c>
    </row>
    <row r="2259" spans="1:7" ht="30" x14ac:dyDescent="0.25">
      <c r="A2259" s="4" t="str">
        <f>HYPERLINK("http://techcrunch.com/2012/06/02/stop-bashing-facebook-for-all-the-wrong-reasons/","TechCrunch | Bashing Facebook For All The Wrong Reasons")</f>
        <v>TechCrunch | Bashing Facebook For All The Wrong Reasons</v>
      </c>
      <c r="B2259" s="4" t="str">
        <f>HYPERLINK("http://www.facebook.com/8062627951/posts/236695976446031","Do you think people are being unfair to Facebook?  ")</f>
        <v xml:space="preserve">Do you think people are being unfair to Facebook?  </v>
      </c>
      <c r="C2259" s="3">
        <v>41062.239907407406</v>
      </c>
      <c r="D2259" s="2">
        <v>33</v>
      </c>
      <c r="E2259" s="2">
        <v>18</v>
      </c>
      <c r="F2259" s="2" t="s">
        <v>8</v>
      </c>
      <c r="G2259" s="2" t="s">
        <v>7</v>
      </c>
    </row>
    <row r="2260" spans="1:7" ht="45" x14ac:dyDescent="0.25">
      <c r="A2260" s="4" t="str">
        <f>HYPERLINK("http://techcrunch.com/2012/06/01/facebook-ios-6-integration/","After Years Of Flirting, Facebook And Apple Set To Achieve Relationship Status In iOS 6")</f>
        <v>After Years Of Flirting, Facebook And Apple Set To Achieve Relationship Status In iOS 6</v>
      </c>
      <c r="B2260" s="4" t="str">
        <f>HYPERLINK("http://www.facebook.com/8062627951/posts/284463104982451","The flirting between Facebook and Apple is over! ")</f>
        <v xml:space="preserve">The flirting between Facebook and Apple is over! </v>
      </c>
      <c r="C2260" s="3">
        <v>41061.493472222224</v>
      </c>
      <c r="D2260" s="2">
        <v>293</v>
      </c>
      <c r="E2260" s="2">
        <v>32</v>
      </c>
      <c r="F2260" s="2" t="s">
        <v>7</v>
      </c>
      <c r="G2260" s="2" t="s">
        <v>7</v>
      </c>
    </row>
    <row r="2261" spans="1:7" ht="45" x14ac:dyDescent="0.25">
      <c r="A2261" s="4" t="str">
        <f>HYPERLINK("http://techcrunch.com/2012/05/31/is-facebook-down/","Is Facebook Down? Yes It Was For Some But Anonymous Not Responsible For Two-Hour Outage")</f>
        <v>Is Facebook Down? Yes It Was For Some But Anonymous Not Responsible For Two-Hour Outage</v>
      </c>
      <c r="B2261" s="4" t="str">
        <f>HYPERLINK("http://www.facebook.com/8062627951/posts/265090593597954","Update: Looks like the hacker group Anonymous was NOT responsible for the outage: ")</f>
        <v xml:space="preserve">Update: Looks like the hacker group Anonymous was NOT responsible for the outage: </v>
      </c>
      <c r="C2261" s="3">
        <v>41061.454664351855</v>
      </c>
      <c r="D2261" s="2">
        <v>36</v>
      </c>
      <c r="E2261" s="2">
        <v>13</v>
      </c>
      <c r="F2261" s="2" t="s">
        <v>7</v>
      </c>
      <c r="G2261" s="2" t="s">
        <v>7</v>
      </c>
    </row>
    <row r="2262" spans="1:7" ht="30" x14ac:dyDescent="0.25">
      <c r="A2262" s="4" t="str">
        <f>HYPERLINK("http://techcrunch.com/2012/06/01/merging-facebook-with-search-microsoft-rolls-out-new-bing-to-all-of-u-s/","Merging Facebook With Search, Microsoft Rolls Out “New Bing” To All Of U.S.")</f>
        <v>Merging Facebook With Search, Microsoft Rolls Out “New Bing” To All Of U.S.</v>
      </c>
      <c r="B2262" s="4" t="str">
        <f>HYPERLINK("http://www.facebook.com/8062627951/posts/372683539446743","Asking your friends for search suggestions: cool or creepy?")</f>
        <v>Asking your friends for search suggestions: cool or creepy?</v>
      </c>
      <c r="C2262" s="3">
        <v>41061.406180555554</v>
      </c>
      <c r="D2262" s="2">
        <v>20</v>
      </c>
      <c r="E2262" s="2">
        <v>14</v>
      </c>
      <c r="F2262" s="2" t="s">
        <v>8</v>
      </c>
      <c r="G2262" s="2" t="s">
        <v>7</v>
      </c>
    </row>
    <row r="2263" spans="1:7" ht="45" x14ac:dyDescent="0.25">
      <c r="A2263" s="4" t="str">
        <f>HYPERLINK("http://techcrunch.com/2012/06/01/facebook-forced-by-privacy-activist-to-put-policy-changes-up-for-worldwide-vote/","TechCrunch | Facebook Forced By Privacy Activist To Put Policy Changes Up For Worldwide Vote")</f>
        <v>TechCrunch | Facebook Forced By Privacy Activist To Put Policy Changes Up For Worldwide Vote</v>
      </c>
      <c r="B2263" s="4" t="str">
        <f>HYPERLINK("http://www.facebook.com/8062627951/posts/377711255618269","Make your voice heard. Vote here on Facebook privacy changes")</f>
        <v>Make your voice heard. Vote here on Facebook privacy changes</v>
      </c>
      <c r="C2263" s="3">
        <v>41061.366898148146</v>
      </c>
      <c r="D2263" s="2">
        <v>50</v>
      </c>
      <c r="E2263" s="2">
        <v>12</v>
      </c>
      <c r="F2263" s="2" t="s">
        <v>7</v>
      </c>
      <c r="G2263" s="2" t="s">
        <v>7</v>
      </c>
    </row>
    <row r="2264" spans="1:7" ht="30" x14ac:dyDescent="0.25">
      <c r="A2264" s="4" t="str">
        <f>HYPERLINK("http://techcrunch.com/2012/06/01/sick-of-daily-deal-emails-unsubscribedeals-is-there-for-you/","TechCrunch | Sick Of Daily Deal Emails? UnsubscribeDeals Is There For You")</f>
        <v>TechCrunch | Sick Of Daily Deal Emails? UnsubscribeDeals Is There For You</v>
      </c>
      <c r="B2264" s="4" t="str">
        <f>HYPERLINK("http://www.facebook.com/8062627951/posts/415253095186092","This should help in your quest for Inbox Zero.")</f>
        <v>This should help in your quest for Inbox Zero.</v>
      </c>
      <c r="C2264" s="3">
        <v>41061.325555555559</v>
      </c>
      <c r="D2264" s="2">
        <v>15</v>
      </c>
      <c r="E2264" s="2">
        <v>3</v>
      </c>
      <c r="F2264" s="2" t="s">
        <v>7</v>
      </c>
      <c r="G2264" s="2" t="s">
        <v>7</v>
      </c>
    </row>
    <row r="2265" spans="1:7" ht="30" x14ac:dyDescent="0.25">
      <c r="A2265" s="4" t="str">
        <f>HYPERLINK("http://techcrunch.com/2012/06/01/ikea-further-details-its-upcoming-uppleva-hdtv-line/","TechCrunch | Ikea Further Details Its Upcoming Uppleva HDTV Line")</f>
        <v>TechCrunch | Ikea Further Details Its Upcoming Uppleva HDTV Line</v>
      </c>
      <c r="B2265" s="4" t="str">
        <f>HYPERLINK("http://www.facebook.com/8062627951/posts/158168994308314","Ikea gets it.")</f>
        <v>Ikea gets it.</v>
      </c>
      <c r="C2265" s="3">
        <v>41061.271990740737</v>
      </c>
      <c r="D2265" s="2">
        <v>65</v>
      </c>
      <c r="E2265" s="2">
        <v>3</v>
      </c>
      <c r="F2265" s="2" t="s">
        <v>7</v>
      </c>
      <c r="G2265" s="2" t="s">
        <v>7</v>
      </c>
    </row>
    <row r="2266" spans="1:7" ht="30" x14ac:dyDescent="0.25">
      <c r="A2266" s="4" t="str">
        <f>HYPERLINK("http://techcrunch.com/2012/06/01/ecommerce-study-finds-mobile-safari-to-be-fastest-growing-web-browser/","Ecommerce Study Finds Mobile Safari To Be Fastest Growing Web Browser")</f>
        <v>Ecommerce Study Finds Mobile Safari To Be Fastest Growing Web Browser</v>
      </c>
      <c r="B2266" s="4" t="str">
        <f>HYPERLINK("http://www.facebook.com/8062627951/posts/164509163679269","Safari might be the fastest growing web browser.")</f>
        <v>Safari might be the fastest growing web browser.</v>
      </c>
      <c r="C2266" s="3">
        <v>41061.22619212963</v>
      </c>
      <c r="D2266" s="2">
        <v>28</v>
      </c>
      <c r="E2266" s="2">
        <v>17</v>
      </c>
      <c r="F2266" s="2" t="s">
        <v>7</v>
      </c>
      <c r="G2266" s="2" t="s">
        <v>7</v>
      </c>
    </row>
    <row r="2267" spans="1:7" ht="30" x14ac:dyDescent="0.25">
      <c r="A2267" s="4" t="str">
        <f>HYPERLINK("http://techcrunch.com/2012/05/31/facebook-auto-sharing/","Facebook Finally Cracks Down On Auto-Sharing Spam With “10-Second Rule”")</f>
        <v>Facebook Finally Cracks Down On Auto-Sharing Spam With “10-Second Rule”</v>
      </c>
      <c r="B2267" s="4" t="str">
        <f>HYPERLINK("http://www.facebook.com/8062627951/posts/154167001374817","Finally. ")</f>
        <v xml:space="preserve">Finally. </v>
      </c>
      <c r="C2267" s="3">
        <v>41060.826828703706</v>
      </c>
      <c r="D2267" s="2">
        <v>202</v>
      </c>
      <c r="E2267" s="2">
        <v>14</v>
      </c>
      <c r="F2267" s="2" t="s">
        <v>7</v>
      </c>
      <c r="G2267" s="2" t="s">
        <v>7</v>
      </c>
    </row>
    <row r="2268" spans="1:7" ht="45" x14ac:dyDescent="0.25">
      <c r="A2268" s="4" t="str">
        <f>HYPERLINK("http://techcrunch.com/2012/05/31/is-facebook-down/","TechCrunch | Is Facebook Down? Yes For Some. Outage Has Lasted An Hour And Counting")</f>
        <v>TechCrunch | Is Facebook Down? Yes For Some. Outage Has Lasted An Hour And Counting</v>
      </c>
      <c r="B2268" s="4" t="str">
        <f>HYPERLINK("http://www.facebook.com/8062627951/posts/319566888125635","If you're reading this, you're lucky.")</f>
        <v>If you're reading this, you're lucky.</v>
      </c>
      <c r="C2268" s="3">
        <v>41060.695104166669</v>
      </c>
      <c r="D2268" s="2">
        <v>445</v>
      </c>
      <c r="E2268" s="2">
        <v>102</v>
      </c>
      <c r="F2268" s="2" t="s">
        <v>7</v>
      </c>
      <c r="G2268" s="2" t="s">
        <v>7</v>
      </c>
    </row>
    <row r="2269" spans="1:7" ht="45" x14ac:dyDescent="0.25">
      <c r="A2269" s="4" t="str">
        <f>HYPERLINK("http://techcrunch.com/2012/05/31/the-rumored-iphone-5s-four-inch-front-panel-can-nearly-swallow-an-old-iphone-whole/","The Rumored iPhone 5's Four Inch Front Panel Can Nearly Swallow An Old iPhone Whole")</f>
        <v>The Rumored iPhone 5's Four Inch Front Panel Can Nearly Swallow An Old iPhone Whole</v>
      </c>
      <c r="B2269" s="4" t="str">
        <f>HYPERLINK("http://www.facebook.com/8062627951/posts/245505458896110","And the iPhone 5 rumors continue! ")</f>
        <v xml:space="preserve">And the iPhone 5 rumors continue! </v>
      </c>
      <c r="C2269" s="3">
        <v>41060.614618055559</v>
      </c>
      <c r="D2269" s="2">
        <v>84</v>
      </c>
      <c r="E2269" s="2">
        <v>33</v>
      </c>
      <c r="F2269" s="2" t="s">
        <v>7</v>
      </c>
      <c r="G2269" s="2" t="s">
        <v>7</v>
      </c>
    </row>
    <row r="2270" spans="1:7" ht="45" x14ac:dyDescent="0.25">
      <c r="A2270" s="4" t="str">
        <f>HYPERLINK("http://techcrunch.com/2012/05/31/facebook-scheduled-posts/","FB Chips Away At Marketing Providers By Adding Native Page Admin Roles and Scheduled Posts")</f>
        <v>FB Chips Away At Marketing Providers By Adding Native Page Admin Roles and Scheduled Posts</v>
      </c>
      <c r="B2270" s="4" t="str">
        <f>HYPERLINK("http://www.facebook.com/8062627951/posts/397325603639082","Local businesses are gonna love this.")</f>
        <v>Local businesses are gonna love this.</v>
      </c>
      <c r="C2270" s="3">
        <v>41060.573055555556</v>
      </c>
      <c r="D2270" s="2">
        <v>73</v>
      </c>
      <c r="E2270" s="2">
        <v>6</v>
      </c>
      <c r="F2270" s="2" t="s">
        <v>7</v>
      </c>
      <c r="G2270" s="2" t="s">
        <v>7</v>
      </c>
    </row>
    <row r="2271" spans="1:7" ht="30" x14ac:dyDescent="0.25">
      <c r="A2271" s="4" t="str">
        <f>HYPERLINK("http://techcrunch.com/2012/05/31/microsoft-launches-windows-8-release-preview/","Microsoft Launches Windows 8 Release Preview")</f>
        <v>Microsoft Launches Windows 8 Release Preview</v>
      </c>
      <c r="B2271" s="4" t="str">
        <f>HYPERLINK("http://www.facebook.com/8062627951/posts/393874890664472","Download Windows' final pre-release version of Windows 8 now:")</f>
        <v>Download Windows' final pre-release version of Windows 8 now:</v>
      </c>
      <c r="C2271" s="3">
        <v>41060.503900462965</v>
      </c>
      <c r="D2271" s="2">
        <v>85</v>
      </c>
      <c r="E2271" s="2">
        <v>12</v>
      </c>
      <c r="F2271" s="2" t="s">
        <v>7</v>
      </c>
      <c r="G2271" s="2" t="s">
        <v>7</v>
      </c>
    </row>
    <row r="2272" spans="1:7" ht="30" x14ac:dyDescent="0.25">
      <c r="A2272" s="4" t="str">
        <f>HYPERLINK("http://techcrunch.com/2012/05/31/google-applies-for-google-youtube-and-lol-top-level-domains/","Google Applies for .Google, .Docs, .YouTube and .LOL Top-Level Domains")</f>
        <v>Google Applies for .Google, .Docs, .YouTube and .LOL Top-Level Domains</v>
      </c>
      <c r="B2272" s="4" t="str">
        <f>HYPERLINK("http://www.facebook.com/8062627951/posts/127394670731038",".LOL")</f>
        <v>.LOL</v>
      </c>
      <c r="C2272" s="3">
        <v>41060.44327546296</v>
      </c>
      <c r="D2272" s="2">
        <v>203</v>
      </c>
      <c r="E2272" s="2">
        <v>30</v>
      </c>
      <c r="F2272" s="2" t="s">
        <v>7</v>
      </c>
      <c r="G2272" s="2" t="s">
        <v>7</v>
      </c>
    </row>
    <row r="2273" spans="1:7" ht="45" x14ac:dyDescent="0.25">
      <c r="A2273" s="4" t="str">
        <f>HYPERLINK("http://techcrunch.com/2012/05/31/cricket-will-sell-the-first-prepaid-iphones-in-the-united-states-starting-june-22/","Cricket Will Sell The First Prepaid iPhones In The United States Starting June 22")</f>
        <v>Cricket Will Sell The First Prepaid iPhones In The United States Starting June 22</v>
      </c>
      <c r="B2273" s="4" t="str">
        <f>HYPERLINK("http://www.facebook.com/8062627951/posts/398368200202542","Cricket will start selling the iPhone 4 and 4S sans contract starting on June 22, making them the first prepaid carrier in the country to do so.")</f>
        <v>Cricket will start selling the iPhone 4 and 4S sans contract starting on June 22, making them the first prepaid carrier in the country to do so.</v>
      </c>
      <c r="C2273" s="3">
        <v>41060.407037037039</v>
      </c>
      <c r="D2273" s="2">
        <v>51</v>
      </c>
      <c r="E2273" s="2">
        <v>10</v>
      </c>
      <c r="F2273" s="2" t="s">
        <v>7</v>
      </c>
      <c r="G2273" s="2" t="s">
        <v>7</v>
      </c>
    </row>
    <row r="2274" spans="1:7" ht="45" x14ac:dyDescent="0.25">
      <c r="A2274" s="4" t="str">
        <f>HYPERLINK("http://techcrunch.com/2012/05/31/samsungs-s-voice-agrees-with-siri-declares-a-windows-phone-as-the-best-smartphone/","Samsung’s S Voice Agrees With Siri, Declares A Windows Phone As The Best Smartphone")</f>
        <v>Samsung’s S Voice Agrees With Siri, Declares A Windows Phone As The Best Smartphone</v>
      </c>
      <c r="B2274" s="4" t="str">
        <f>HYPERLINK("http://www.facebook.com/8062627951/posts/370456566350822","The computers are trying to tell us something…")</f>
        <v>The computers are trying to tell us something…</v>
      </c>
      <c r="C2274" s="3">
        <v>41060.379675925928</v>
      </c>
      <c r="D2274" s="2">
        <v>80</v>
      </c>
      <c r="E2274" s="2">
        <v>9</v>
      </c>
      <c r="F2274" s="2" t="s">
        <v>7</v>
      </c>
      <c r="G2274" s="2" t="s">
        <v>7</v>
      </c>
    </row>
    <row r="2275" spans="1:7" ht="75" x14ac:dyDescent="0.25">
      <c r="A2275" s="4" t="str">
        <f>HYPERLINK("http://techcrunch.com/2012/05/31/yc-backed-gocardless-launches-paylinks-a-bitly-for-payments/","YC-Backed GoCardless Launches PayLinks, A Bitly For Payments")</f>
        <v>YC-Backed GoCardless Launches PayLinks, A Bitly For Payments</v>
      </c>
      <c r="B2275" s="4" t="s">
        <v>131</v>
      </c>
      <c r="C2275" s="3">
        <v>41060.265914351854</v>
      </c>
      <c r="D2275" s="2">
        <v>22</v>
      </c>
      <c r="E2275" s="2">
        <v>1</v>
      </c>
      <c r="F2275" s="2" t="s">
        <v>7</v>
      </c>
      <c r="G2275" s="2" t="s">
        <v>7</v>
      </c>
    </row>
    <row r="2276" spans="1:7" ht="30" x14ac:dyDescent="0.25">
      <c r="A2276" s="4" t="str">
        <f>HYPERLINK("http://techcrunch.com/2012/05/31/cookoo-move-over-pebble-theres-a-new-e-watch-in-town/","Cookoo: Move Over, Pebble, There’s A New E-Watch In Town")</f>
        <v>Cookoo: Move Over, Pebble, There’s A New E-Watch In Town</v>
      </c>
      <c r="B2276" s="4" t="str">
        <f>HYPERLINK("http://www.facebook.com/8062627951/posts/231229696980472","Here's the latest smartwatch on Kickstarter, the Cookoo.")</f>
        <v>Here's the latest smartwatch on Kickstarter, the Cookoo.</v>
      </c>
      <c r="C2276" s="3">
        <v>41060.187199074076</v>
      </c>
      <c r="D2276" s="2">
        <v>32</v>
      </c>
      <c r="E2276" s="2">
        <v>5</v>
      </c>
      <c r="F2276" s="2" t="s">
        <v>7</v>
      </c>
      <c r="G2276" s="2" t="s">
        <v>7</v>
      </c>
    </row>
    <row r="2277" spans="1:7" ht="45" x14ac:dyDescent="0.25">
      <c r="A2277" s="4" t="str">
        <f>HYPERLINK("http://techcrunch.com/2012/05/30/want-to-be-like-steve-jobs-well-its-probably-not-going-to-happen/","Want To Be Like Steve Jobs? Well It’s Probably Not Going To Happen, Says BFF Larry Ellison")</f>
        <v>Want To Be Like Steve Jobs? Well It’s Probably Not Going To Happen, Says BFF Larry Ellison</v>
      </c>
      <c r="B2277" s="4" t="str">
        <f>HYPERLINK("http://www.facebook.com/8062627951/posts/388936074490349","Do you want to be like Steve Jobs?")</f>
        <v>Do you want to be like Steve Jobs?</v>
      </c>
      <c r="C2277" s="3">
        <v>41059.791319444441</v>
      </c>
      <c r="D2277" s="2">
        <v>174</v>
      </c>
      <c r="E2277" s="2">
        <v>43</v>
      </c>
      <c r="F2277" s="2" t="s">
        <v>8</v>
      </c>
      <c r="G2277" s="2" t="s">
        <v>7</v>
      </c>
    </row>
    <row r="2278" spans="1:7" ht="30" x14ac:dyDescent="0.25">
      <c r="A2278" s="4" t="str">
        <f>HYPERLINK("http://techcrunch.com/2012/05/30/nasdaq-facebook-ipo/","TechCrunch | NASDAQ’s Gamble With Facebook’s Fortune")</f>
        <v>TechCrunch | NASDAQ’s Gamble With Facebook’s Fortune</v>
      </c>
      <c r="B2278" s="4" t="str">
        <f>HYPERLINK("http://www.facebook.com/8062627951/posts/274665795964663","A $104 billion train wreck ")</f>
        <v xml:space="preserve">A $104 billion train wreck </v>
      </c>
      <c r="C2278" s="3">
        <v>41059.674270833333</v>
      </c>
      <c r="D2278" s="2">
        <v>80</v>
      </c>
      <c r="E2278" s="2">
        <v>14</v>
      </c>
      <c r="F2278" s="2" t="s">
        <v>7</v>
      </c>
      <c r="G2278" s="2" t="s">
        <v>7</v>
      </c>
    </row>
    <row r="2279" spans="1:7" ht="30" x14ac:dyDescent="0.25">
      <c r="A2279" s="4" t="str">
        <f>HYPERLINK("http://techcrunch.com/2012/05/30/sean-parker-apple-tried-to-keep-spotify-out-of-the-us/","Sean Parker: Apple Tried To Keep Spotify Out Of The US")</f>
        <v>Sean Parker: Apple Tried To Keep Spotify Out Of The US</v>
      </c>
      <c r="B2279" s="4" t="str">
        <f>HYPERLINK("http://www.facebook.com/8062627951/posts/420275181326911","Looks like Apple tried to keep Spotify out of the US...")</f>
        <v>Looks like Apple tried to keep Spotify out of the US...</v>
      </c>
      <c r="C2279" s="3">
        <v>41059.599340277775</v>
      </c>
      <c r="D2279" s="2">
        <v>38</v>
      </c>
      <c r="E2279" s="2">
        <v>11</v>
      </c>
      <c r="F2279" s="2" t="s">
        <v>7</v>
      </c>
      <c r="G2279" s="2" t="s">
        <v>7</v>
      </c>
    </row>
    <row r="2280" spans="1:7" ht="30" x14ac:dyDescent="0.25">
      <c r="A2280" s="4" t="str">
        <f>HYPERLINK("http://techcrunch.com/2012/05/30/minidates-schedules-real-life-legitimately-blind-dates-for-you/","MiniDates Schedules Real-Life (Legitimately) Blind Dates For You")</f>
        <v>MiniDates Schedules Real-Life (Legitimately) Blind Dates For You</v>
      </c>
      <c r="B2280" s="4" t="str">
        <f>HYPERLINK("http://www.facebook.com/8062627951/posts/307448559342201","Do you like blind dates, or hate them? ")</f>
        <v xml:space="preserve">Do you like blind dates, or hate them? </v>
      </c>
      <c r="C2280" s="3">
        <v>41059.558449074073</v>
      </c>
      <c r="D2280" s="2">
        <v>24</v>
      </c>
      <c r="E2280" s="2">
        <v>4</v>
      </c>
      <c r="F2280" s="2" t="s">
        <v>8</v>
      </c>
      <c r="G2280" s="2" t="s">
        <v>7</v>
      </c>
    </row>
    <row r="2281" spans="1:7" ht="45" x14ac:dyDescent="0.25">
      <c r="A2281" s="4" t="str">
        <f>HYPERLINK("http://techcrunch.com/2012/05/30/instaedu/","TechCrunch | InstaEDU On-Demand Video Tutoring Gets An A+ and $1.1M Seed Round")</f>
        <v>TechCrunch | InstaEDU On-Demand Video Tutoring Gets An A+ and $1.1M Seed Round</v>
      </c>
      <c r="B2281" s="4" t="str">
        <f>HYPERLINK("http://www.facebook.com/8062627951/posts/183285295131609","Ace your next exam or job interview thanks to 24/7 video chat tutoring")</f>
        <v>Ace your next exam or job interview thanks to 24/7 video chat tutoring</v>
      </c>
      <c r="C2281" s="3">
        <v>41059.495995370373</v>
      </c>
      <c r="D2281" s="2">
        <v>44</v>
      </c>
      <c r="E2281" s="2">
        <v>5</v>
      </c>
      <c r="F2281" s="2" t="s">
        <v>7</v>
      </c>
      <c r="G2281" s="2" t="s">
        <v>7</v>
      </c>
    </row>
    <row r="2282" spans="1:7" x14ac:dyDescent="0.25">
      <c r="A2282" s="4" t="str">
        <f>HYPERLINK("http://techcrunch.com/2012/05/30/if-the-spec-is-dead-so-is-the-nexus-tablet/","If The Spec Is Dead, So Is The Nexus Tablet")</f>
        <v>If The Spec Is Dead, So Is The Nexus Tablet</v>
      </c>
      <c r="B2282" s="4" t="str">
        <f>HYPERLINK("http://www.facebook.com/8062627951/posts/357872817612655","Does the Google Nexus Tablet stand a chance without 4G?")</f>
        <v>Does the Google Nexus Tablet stand a chance without 4G?</v>
      </c>
      <c r="C2282" s="3">
        <v>41059.437071759261</v>
      </c>
      <c r="D2282" s="2">
        <v>39</v>
      </c>
      <c r="E2282" s="2">
        <v>14</v>
      </c>
      <c r="F2282" s="2" t="s">
        <v>8</v>
      </c>
      <c r="G2282" s="2" t="s">
        <v>7</v>
      </c>
    </row>
    <row r="2283" spans="1:7" ht="30" x14ac:dyDescent="0.25">
      <c r="A2283" s="4" t="str">
        <f>HYPERLINK("http://techcrunch.com/2012/05/30/slickflick-app-lets-you-tell-stories-with-your-photos-signs-getty-deal/","SlickFlick App Lets You Tell Stories With Your Photos, Signs Getty Deal")</f>
        <v>SlickFlick App Lets You Tell Stories With Your Photos, Signs Getty Deal</v>
      </c>
      <c r="B2283" s="4" t="str">
        <f>HYPERLINK("http://www.facebook.com/8062627951/posts/475470119133076","SlickFlick lets you create fun stories around your pictures. Who wouldn't want that? ")</f>
        <v xml:space="preserve">SlickFlick lets you create fun stories around your pictures. Who wouldn't want that? </v>
      </c>
      <c r="C2283" s="3">
        <v>41059.421932870369</v>
      </c>
      <c r="D2283" s="2">
        <v>44</v>
      </c>
      <c r="E2283" s="2">
        <v>2</v>
      </c>
      <c r="F2283" s="2" t="s">
        <v>8</v>
      </c>
      <c r="G2283" s="2" t="s">
        <v>7</v>
      </c>
    </row>
    <row r="2284" spans="1:7" ht="45" x14ac:dyDescent="0.25">
      <c r="A2284" s="4" t="str">
        <f>HYPERLINK("http://techcrunch.com/2012/05/30/google-looks-to-one-up-facebook-with-google-local-a-more-social-google-places-with-a-twist-of-zagat/","Google Looks To One-Up Facebook With Google+ Local: A More Social Google Places, With A...")</f>
        <v>Google Looks To One-Up Facebook With Google+ Local: A More Social Google Places, With A...</v>
      </c>
      <c r="B2284" s="4" t="str">
        <f>HYPERLINK("http://www.facebook.com/8062627951/posts/300585260030053","Facebookers, what do you think of Google+ Local?")</f>
        <v>Facebookers, what do you think of Google+ Local?</v>
      </c>
      <c r="C2284" s="3">
        <v>41059.383946759262</v>
      </c>
      <c r="D2284" s="2">
        <v>86</v>
      </c>
      <c r="E2284" s="2">
        <v>33</v>
      </c>
      <c r="F2284" s="2" t="s">
        <v>8</v>
      </c>
      <c r="G2284" s="2" t="s">
        <v>7</v>
      </c>
    </row>
    <row r="2285" spans="1:7" ht="45" x14ac:dyDescent="0.25">
      <c r="A2285" s="4" t="str">
        <f>HYPERLINK("http://techcrunch.com/2012/05/30/heres-kleiner-partner-mary-meekers-latest-data-dump-mind-the-mobile-monetization-gap/","Here’s Kleiner Partner Mary Meeker’s Latest Data Dump: Mind The Mobile Monetization Gap")</f>
        <v>Here’s Kleiner Partner Mary Meeker’s Latest Data Dump: Mind The Mobile Monetization Gap</v>
      </c>
      <c r="B2285" s="4" t="str">
        <f>HYPERLINK("http://www.facebook.com/8062627951/posts/344610452278871","Mary Meeker, famed Internet analyst-turned-Kleiner Perkins partner, has released her latest data dump. ")</f>
        <v xml:space="preserve">Mary Meeker, famed Internet analyst-turned-Kleiner Perkins partner, has released her latest data dump. </v>
      </c>
      <c r="C2285" s="3">
        <v>41059.37605324074</v>
      </c>
      <c r="D2285" s="2">
        <v>79</v>
      </c>
      <c r="E2285" s="2">
        <v>5</v>
      </c>
      <c r="F2285" s="2" t="s">
        <v>7</v>
      </c>
      <c r="G2285" s="2" t="s">
        <v>7</v>
      </c>
    </row>
    <row r="2286" spans="1:7" ht="30" x14ac:dyDescent="0.25">
      <c r="A2286" s="4" t="str">
        <f>HYPERLINK("http://techcrunch.com/2012/05/30/play-safe-for-android-locks-down-your-phone-so-kids-can-safely-play/","Play Safe For Android Locks Down Your Phone So Kids Can (Safely) Play")</f>
        <v>Play Safe For Android Locks Down Your Phone So Kids Can (Safely) Play</v>
      </c>
      <c r="B2286" s="4" t="str">
        <f>HYPERLINK("http://www.facebook.com/8062627951/posts/126442344159189","Parents, take note. You might need this for your phone.")</f>
        <v>Parents, take note. You might need this for your phone.</v>
      </c>
      <c r="C2286" s="3">
        <v>41059.297280092593</v>
      </c>
      <c r="D2286" s="2">
        <v>65</v>
      </c>
      <c r="E2286" s="2">
        <v>7</v>
      </c>
      <c r="F2286" s="2" t="s">
        <v>7</v>
      </c>
      <c r="G2286" s="2" t="s">
        <v>7</v>
      </c>
    </row>
    <row r="2287" spans="1:7" ht="30" x14ac:dyDescent="0.25">
      <c r="A2287" s="4" t="str">
        <f>HYPERLINK("http://techcrunch.com/2012/05/30/the-nest-thermostat-is-now-available-at-the-apple-store/","The Nest Thermostat Is Now Available At The Apple Store")</f>
        <v>The Nest Thermostat Is Now Available At The Apple Store</v>
      </c>
      <c r="B2287" s="4" t="str">
        <f>HYPERLINK("http://www.facebook.com/8062627951/posts/369743459740801","Yet another place to buy the awesome (and pricey) Nest Learning Thermostat.")</f>
        <v>Yet another place to buy the awesome (and pricey) Nest Learning Thermostat.</v>
      </c>
      <c r="C2287" s="3">
        <v>41059.252118055556</v>
      </c>
      <c r="D2287" s="2">
        <v>100</v>
      </c>
      <c r="E2287" s="2">
        <v>11</v>
      </c>
      <c r="F2287" s="2" t="s">
        <v>7</v>
      </c>
      <c r="G2287" s="2" t="s">
        <v>7</v>
      </c>
    </row>
    <row r="2288" spans="1:7" ht="45" x14ac:dyDescent="0.25">
      <c r="A2288" s="4" t="str">
        <f>HYPERLINK("http://techcrunch.com/2012/05/30/southeast-meetup-reminders-savannah-raleigh-and-charlotte-are-set-atlanta-still-iffy/","Southeast Meetup Reminders: Savannah, Raleigh, And Charlotte Are Set, Atlanta Still Iffy")</f>
        <v>Southeast Meetup Reminders: Savannah, Raleigh, And Charlotte Are Set, Atlanta Still Iffy</v>
      </c>
      <c r="B2288" s="4" t="str">
        <f>HYPERLINK("http://www.facebook.com/8062627951/posts/454275921267600","We're going to the South! ")</f>
        <v xml:space="preserve">We're going to the South! </v>
      </c>
      <c r="C2288" s="3">
        <v>41059.195752314816</v>
      </c>
      <c r="D2288" s="2">
        <v>24</v>
      </c>
      <c r="E2288" s="2">
        <v>6</v>
      </c>
      <c r="F2288" s="2" t="s">
        <v>7</v>
      </c>
      <c r="G2288" s="2" t="s">
        <v>7</v>
      </c>
    </row>
    <row r="2289" spans="1:7" ht="45" x14ac:dyDescent="0.25">
      <c r="A2289" s="4" t="str">
        <f>HYPERLINK("http://techcrunch.com/2012/05/29/cook-reveals-more-details-about-apples-product-naming-policies-and-yes-the-s-stands-for-siri/","Cook Reveals More Details About Apple’s Product Naming Policies, And Yes, The ‘S’ Stand...")</f>
        <v>Cook Reveals More Details About Apple’s Product Naming Policies, And Yes, The ‘S’ Stand...</v>
      </c>
      <c r="B2289" s="4" t="str">
        <f>HYPERLINK("http://www.facebook.com/8062627951/posts/390349027667027","Any guesses on what Apple will call the iPhone 5?")</f>
        <v>Any guesses on what Apple will call the iPhone 5?</v>
      </c>
      <c r="C2289" s="3">
        <v>41058.917395833334</v>
      </c>
      <c r="D2289" s="2">
        <v>78</v>
      </c>
      <c r="E2289" s="2">
        <v>80</v>
      </c>
      <c r="F2289" s="2" t="s">
        <v>8</v>
      </c>
      <c r="G2289" s="2" t="s">
        <v>7</v>
      </c>
    </row>
    <row r="2290" spans="1:7" ht="30" x14ac:dyDescent="0.25">
      <c r="A2290" s="4" t="str">
        <f>HYPERLINK("http://techcrunch.com/2012/05/29/the-most-important-lesson-tim-cook-learned-from-steve-jobs-focus-is-key/","The Most Important Lesson Tim Cook Learned From Steve Jobs: “Focus Is Key”")</f>
        <v>The Most Important Lesson Tim Cook Learned From Steve Jobs: “Focus Is Key”</v>
      </c>
      <c r="B2290" s="4" t="str">
        <f>HYPERLINK("http://www.facebook.com/8062627951/posts/106449892828127","“The joy is in the journey.” “Life is fragile,” Cook said, “We’re not guaranteed a tomorrow so give it everything you’ve got.”")</f>
        <v>“The joy is in the journey.” “Life is fragile,” Cook said, “We’re not guaranteed a tomorrow so give it everything you’ve got.”</v>
      </c>
      <c r="C2290" s="3">
        <v>41058.791250000002</v>
      </c>
      <c r="D2290" s="2">
        <v>165</v>
      </c>
      <c r="E2290" s="2">
        <v>13</v>
      </c>
      <c r="F2290" s="2" t="s">
        <v>7</v>
      </c>
      <c r="G2290" s="2" t="s">
        <v>7</v>
      </c>
    </row>
    <row r="2291" spans="1:7" ht="45" x14ac:dyDescent="0.25">
      <c r="A2291" s="4" t="str">
        <f>HYPERLINK("http://techcrunch.com/2012/05/29/groupon-picks-up-breadcrumb-for-a-little-pos-magic/","Groupon Picks Up Breadcrumb For A Little Point-of-Sale Magic")</f>
        <v>Groupon Picks Up Breadcrumb For A Little Point-of-Sale Magic</v>
      </c>
      <c r="B2291" s="4" t="str">
        <f>HYPERLINK("http://www.facebook.com/8062627951/posts/162943740502176","Groupon has acquired Breadcrumb, the creators of an affordable point of sale system &amp; iPad app that targets local restaurants.")</f>
        <v>Groupon has acquired Breadcrumb, the creators of an affordable point of sale system &amp; iPad app that targets local restaurants.</v>
      </c>
      <c r="C2291" s="3">
        <v>41058.750381944446</v>
      </c>
      <c r="D2291" s="2">
        <v>62</v>
      </c>
      <c r="E2291" s="2">
        <v>5</v>
      </c>
      <c r="F2291" s="2" t="s">
        <v>7</v>
      </c>
      <c r="G2291" s="2" t="s">
        <v>7</v>
      </c>
    </row>
    <row r="2292" spans="1:7" ht="30" x14ac:dyDescent="0.25">
      <c r="A2292" s="4" t="str">
        <f>HYPERLINK("http://techcrunch.com/2012/05/29/google-brings-chromeos-to-the-desktop-launches-its-first-chromebox/","Google Brings ChromeOS To The Desktop, Launches Its First Chromebox")</f>
        <v>Google Brings ChromeOS To The Desktop, Launches Its First Chromebox</v>
      </c>
      <c r="B2292" s="4" t="str">
        <f>HYPERLINK("http://www.facebook.com/8062627951/posts/398256363549503","Google, together with Samsung, launches a new Chromebook &amp; its 1st desktop Chromebox. ")</f>
        <v xml:space="preserve">Google, together with Samsung, launches a new Chromebook &amp; its 1st desktop Chromebox. </v>
      </c>
      <c r="C2292" s="3">
        <v>41058.662743055553</v>
      </c>
      <c r="D2292" s="2">
        <v>249</v>
      </c>
      <c r="E2292" s="2">
        <v>31</v>
      </c>
      <c r="F2292" s="2" t="s">
        <v>7</v>
      </c>
      <c r="G2292" s="2" t="s">
        <v>7</v>
      </c>
    </row>
    <row r="2293" spans="1:7" ht="45" x14ac:dyDescent="0.25">
      <c r="A2293" s="4" t="str">
        <f>HYPERLINK("http://techcrunch.com/2012/05/29/why-facebook-is-still-the-perfect-startup-slides/","Why Facebook Is Still The Perfect Startup (Slides)")</f>
        <v>Why Facebook Is Still The Perfect Startup (Slides)</v>
      </c>
      <c r="B2293" s="4" t="s">
        <v>132</v>
      </c>
      <c r="C2293" s="3">
        <v>41058.626145833332</v>
      </c>
      <c r="D2293" s="2">
        <v>91</v>
      </c>
      <c r="E2293" s="2">
        <v>10</v>
      </c>
      <c r="F2293" s="2" t="s">
        <v>8</v>
      </c>
      <c r="G2293" s="2" t="s">
        <v>7</v>
      </c>
    </row>
    <row r="2294" spans="1:7" ht="30" x14ac:dyDescent="0.25">
      <c r="A2294" s="4" t="str">
        <f>HYPERLINK("http://techcrunch.com/2012/05/29/bitly-update-user-reaction/","Bitly Goes Beyond Link Shortening, But Its Users Are Not Amused")</f>
        <v>Bitly Goes Beyond Link Shortening, But Its Users Are Not Amused</v>
      </c>
      <c r="B2294" s="4" t="str">
        <f>HYPERLINK("http://www.facebook.com/8062627951/posts/418406931526449","Were you surprised by Bitly's update? ")</f>
        <v xml:space="preserve">Were you surprised by Bitly's update? </v>
      </c>
      <c r="C2294" s="3">
        <v>41058.568310185183</v>
      </c>
      <c r="D2294" s="2">
        <v>53</v>
      </c>
      <c r="E2294" s="2">
        <v>36</v>
      </c>
      <c r="F2294" s="2" t="s">
        <v>8</v>
      </c>
      <c r="G2294" s="2" t="s">
        <v>7</v>
      </c>
    </row>
    <row r="2295" spans="1:7" ht="30" x14ac:dyDescent="0.25">
      <c r="A2295" s="4" t="str">
        <f>HYPERLINK("http://techcrunch.com/2012/05/29/facebook-has-lost-about-35-billion-in-value-since-ipo-as-shares-dip-below-29/","Facebook Has Lost About $35 Billion In Value Since IPO As Shares Dip Below $29")</f>
        <v>Facebook Has Lost About $35 Billion In Value Since IPO As Shares Dip Below $29</v>
      </c>
      <c r="B2295" s="4" t="str">
        <f>HYPERLINK("http://www.facebook.com/8062627951/posts/249421135162549","Pain, pain, and more pain for Facebook's stock. Facepalm. ")</f>
        <v xml:space="preserve">Pain, pain, and more pain for Facebook's stock. Facepalm. </v>
      </c>
      <c r="C2295" s="3">
        <v>41058.520520833335</v>
      </c>
      <c r="D2295" s="2">
        <v>248</v>
      </c>
      <c r="E2295" s="2">
        <v>64</v>
      </c>
      <c r="F2295" s="2" t="s">
        <v>7</v>
      </c>
      <c r="G2295" s="2" t="s">
        <v>7</v>
      </c>
    </row>
    <row r="2296" spans="1:7" ht="30" x14ac:dyDescent="0.25">
      <c r="A2296" s="4" t="str">
        <f>HYPERLINK("http://techcrunch.com/2012/05/28/death-to-powerpoint-piccsy-rethinks-the-pitchdeck-gets-tons-of-pageviews/","Death To Powerpoint! Piccsy Rethinks The Pitchdeck, Gets Tons Of Pageviews")</f>
        <v>Death To Powerpoint! Piccsy Rethinks The Pitchdeck, Gets Tons Of Pageviews</v>
      </c>
      <c r="B2296" s="4" t="str">
        <f>HYPERLINK("http://www.facebook.com/8062627951/posts/199547663500405","Powerpoint users, what do you think of Piccsy?")</f>
        <v>Powerpoint users, what do you think of Piccsy?</v>
      </c>
      <c r="C2296" s="3">
        <v>41058.471354166664</v>
      </c>
      <c r="D2296" s="2">
        <v>124</v>
      </c>
      <c r="E2296" s="2">
        <v>11</v>
      </c>
      <c r="F2296" s="2" t="s">
        <v>8</v>
      </c>
      <c r="G2296" s="2" t="s">
        <v>7</v>
      </c>
    </row>
    <row r="2297" spans="1:7" ht="30" x14ac:dyDescent="0.25">
      <c r="A2297" s="4" t="str">
        <f>HYPERLINK("http://techcrunch.com/2012/05/29/new-ios-6-maps-app-reportedly-caught-on-film-ahead-of-wwdc/","New iOS 6 Maps App Reportedly Caught On Film Ahead Of WWDC")</f>
        <v>New iOS 6 Maps App Reportedly Caught On Film Ahead Of WWDC</v>
      </c>
      <c r="B2297" s="4" t="str">
        <f>HYPERLINK("http://www.facebook.com/8062627951/posts/213992345388095","Could it be a new, Google-free iOS Maps app? ")</f>
        <v xml:space="preserve">Could it be a new, Google-free iOS Maps app? </v>
      </c>
      <c r="C2297" s="3">
        <v>41058.442337962966</v>
      </c>
      <c r="D2297" s="2">
        <v>119</v>
      </c>
      <c r="E2297" s="2">
        <v>29</v>
      </c>
      <c r="F2297" s="2" t="s">
        <v>8</v>
      </c>
      <c r="G2297" s="2" t="s">
        <v>7</v>
      </c>
    </row>
    <row r="2298" spans="1:7" ht="30" x14ac:dyDescent="0.25">
      <c r="A2298" s="4" t="str">
        <f>HYPERLINK("http://techcrunch.com/2012/05/29/think-of-the-docks-could-the-new-iphone-have-a-microusb-connector/","Think Of The Docks! Could The New iPhone Have A Micro USB Connector?")</f>
        <v>Think Of The Docks! Could The New iPhone Have A Micro USB Connector?</v>
      </c>
      <c r="B2298" s="4" t="str">
        <f>HYPERLINK("http://www.facebook.com/8062627951/posts/393669930683667","Hey, it could happen! ")</f>
        <v xml:space="preserve">Hey, it could happen! </v>
      </c>
      <c r="C2298" s="3">
        <v>41058.399039351854</v>
      </c>
      <c r="D2298" s="2">
        <v>98</v>
      </c>
      <c r="E2298" s="2">
        <v>31</v>
      </c>
      <c r="F2298" s="2" t="s">
        <v>7</v>
      </c>
      <c r="G2298" s="2" t="s">
        <v>7</v>
      </c>
    </row>
    <row r="2299" spans="1:7" ht="30" x14ac:dyDescent="0.25">
      <c r="A2299" s="4" t="str">
        <f>HYPERLINK("http://techcrunch.com/2012/05/29/face-com-is-definitely-being-acquired-by-facebook-say-sources/","TechCrunch | Face.com Is Definitely Being Acquired By Facebook Say Sources")</f>
        <v>TechCrunch | Face.com Is Definitely Being Acquired By Facebook Say Sources</v>
      </c>
      <c r="B2299" s="4" t="str">
        <f>HYPERLINK("http://www.facebook.com/8062627951/posts/245537465552686","Facebook's next big purchase.")</f>
        <v>Facebook's next big purchase.</v>
      </c>
      <c r="C2299" s="3">
        <v>41058.357754629629</v>
      </c>
      <c r="D2299" s="2">
        <v>123</v>
      </c>
      <c r="E2299" s="2">
        <v>13</v>
      </c>
      <c r="F2299" s="2" t="s">
        <v>7</v>
      </c>
      <c r="G2299" s="2" t="s">
        <v>7</v>
      </c>
    </row>
    <row r="2300" spans="1:7" ht="30" x14ac:dyDescent="0.25">
      <c r="A2300" s="4" t="str">
        <f>HYPERLINK("http://techcrunch.com/2012/05/29/dell-finally-does-an-all-in-one-pc-right-by-cloning-the-imac/","Dell Finally Does An All-In-One PC Right (By Cloning The iMac)")</f>
        <v>Dell Finally Does An All-In-One PC Right (By Cloning The iMac)</v>
      </c>
      <c r="B2300" s="4" t="str">
        <f>HYPERLINK("http://www.facebook.com/8062627951/posts/440678019275658","Is Dell dead in the water?")</f>
        <v>Is Dell dead in the water?</v>
      </c>
      <c r="C2300" s="3">
        <v>41058.314363425925</v>
      </c>
      <c r="D2300" s="2">
        <v>112</v>
      </c>
      <c r="E2300" s="2">
        <v>33</v>
      </c>
      <c r="F2300" s="2" t="s">
        <v>8</v>
      </c>
      <c r="G2300" s="2" t="s">
        <v>7</v>
      </c>
    </row>
    <row r="2301" spans="1:7" ht="30" x14ac:dyDescent="0.25">
      <c r="A2301" s="4" t="str">
        <f>HYPERLINK("http://techcrunch.com/2012/05/28/the-art-of-raising-seed-youre-either-hot-or-you-make-your-own-heat/","The Art of Raising Seed: You’re Either Hot, Or You Make Your Own Heat")</f>
        <v>The Art of Raising Seed: You’re Either Hot, Or You Make Your Own Heat</v>
      </c>
      <c r="B2301" s="4" t="str">
        <f>HYPERLINK("http://www.facebook.com/8062627951/posts/155870344537969","The art of raising seed. ")</f>
        <v xml:space="preserve">The art of raising seed. </v>
      </c>
      <c r="C2301" s="3">
        <v>41057.942141203705</v>
      </c>
      <c r="D2301" s="2">
        <v>96</v>
      </c>
      <c r="E2301" s="2">
        <v>1</v>
      </c>
      <c r="F2301" s="2" t="s">
        <v>7</v>
      </c>
      <c r="G2301" s="2" t="s">
        <v>7</v>
      </c>
    </row>
    <row r="2302" spans="1:7" ht="30" x14ac:dyDescent="0.25">
      <c r="A2302" s="4" t="str">
        <f>HYPERLINK("http://techcrunch.com/2012/05/27/facebook-phone-3/","It’ll Be A Miracle If The Facebook Phone Doesn’t Suck")</f>
        <v>It’ll Be A Miracle If The Facebook Phone Doesn’t Suck</v>
      </c>
      <c r="B2302" s="4" t="str">
        <f>HYPERLINK("http://www.facebook.com/8062627951/posts/443944615617634","Does Facebook need a phone? ")</f>
        <v xml:space="preserve">Does Facebook need a phone? </v>
      </c>
      <c r="C2302" s="3">
        <v>41057.649201388886</v>
      </c>
      <c r="D2302" s="2">
        <v>176</v>
      </c>
      <c r="E2302" s="2">
        <v>52</v>
      </c>
      <c r="F2302" s="2" t="s">
        <v>8</v>
      </c>
      <c r="G2302" s="2" t="s">
        <v>7</v>
      </c>
    </row>
    <row r="2303" spans="1:7" ht="30" x14ac:dyDescent="0.25">
      <c r="A2303" s="4" t="str">
        <f>HYPERLINK("http://techcrunch.com/2012/05/28/a-bit-too-much-klout-user-says-he-can-sign-in-to-someone-elses-account/","A Bit Too Much Klout: User Says He Can Sign In To Someone Else’s Account")</f>
        <v>A Bit Too Much Klout: User Says He Can Sign In To Someone Else’s Account</v>
      </c>
      <c r="B2303" s="4" t="str">
        <f>HYPERLINK("http://www.facebook.com/8062627951/posts/423065831046797","Maybe it's a new Klout perk.")</f>
        <v>Maybe it's a new Klout perk.</v>
      </c>
      <c r="C2303" s="3">
        <v>41057.316817129627</v>
      </c>
      <c r="D2303" s="2">
        <v>41</v>
      </c>
      <c r="E2303" s="2">
        <v>3</v>
      </c>
      <c r="F2303" s="2" t="s">
        <v>7</v>
      </c>
      <c r="G2303" s="2" t="s">
        <v>7</v>
      </c>
    </row>
    <row r="2304" spans="1:7" ht="30" x14ac:dyDescent="0.25">
      <c r="A2304" s="4" t="str">
        <f>HYPERLINK("http://techcrunch.com/2012/05/28/protip-do-not-post-a-pic-of-a-pile-of-cash-to-facebook/","Protip: Do Not Post A Pic Of A Pile Of Cash To Facebook")</f>
        <v>Protip: Do Not Post A Pic Of A Pile Of Cash To Facebook</v>
      </c>
      <c r="B2304" s="4" t="str">
        <f>HYPERLINK("http://www.facebook.com/8062627951/posts/151488541650694","Sigh.")</f>
        <v>Sigh.</v>
      </c>
      <c r="C2304" s="3">
        <v>41057.211319444446</v>
      </c>
      <c r="D2304" s="2">
        <v>146</v>
      </c>
      <c r="E2304" s="2">
        <v>16</v>
      </c>
      <c r="F2304" s="2" t="s">
        <v>7</v>
      </c>
      <c r="G2304" s="2" t="s">
        <v>7</v>
      </c>
    </row>
    <row r="2305" spans="1:7" ht="75" x14ac:dyDescent="0.25">
      <c r="A2305" s="4" t="str">
        <f>HYPERLINK("http://techcrunch.com/2012/05/27/hey-kids-get-off-my-lawn-the-once-and-future-visual-programming-environment/","Hey Kids, Get Off My Lawn: The Once And Future Visual Programming Environment")</f>
        <v>Hey Kids, Get Off My Lawn: The Once And Future Visual Programming Environment</v>
      </c>
      <c r="B2305" s="4" t="s">
        <v>133</v>
      </c>
      <c r="C2305" s="3">
        <v>41056.524618055555</v>
      </c>
      <c r="D2305" s="2">
        <v>266</v>
      </c>
      <c r="E2305" s="2">
        <v>7</v>
      </c>
      <c r="F2305" s="2" t="s">
        <v>7</v>
      </c>
      <c r="G2305" s="2" t="s">
        <v>7</v>
      </c>
    </row>
    <row r="2306" spans="1:7" x14ac:dyDescent="0.25">
      <c r="A2306" s="4" t="s">
        <v>9</v>
      </c>
      <c r="B2306" s="4" t="str">
        <f>HYPERLINK("http://www.facebook.com/8062627951/posts/10151004405082952","Hey techies, any plans for Memorial Day weekend?")</f>
        <v>Hey techies, any plans for Memorial Day weekend?</v>
      </c>
      <c r="C2306" s="3">
        <v>41056.516388888886</v>
      </c>
      <c r="D2306" s="2">
        <v>21</v>
      </c>
      <c r="E2306" s="2">
        <v>33</v>
      </c>
      <c r="F2306" s="2" t="s">
        <v>8</v>
      </c>
      <c r="G2306" s="2" t="s">
        <v>7</v>
      </c>
    </row>
    <row r="2307" spans="1:7" x14ac:dyDescent="0.25">
      <c r="A2307" s="4" t="str">
        <f>HYPERLINK("http://techcrunch.com/2012/05/26/10-reasons-to-quit-your-job-right-now/","10 Reasons To Quit Your Job Right Now!")</f>
        <v>10 Reasons To Quit Your Job Right Now!</v>
      </c>
      <c r="B2307" s="4" t="str">
        <f>HYPERLINK("http://www.facebook.com/8062627951/posts/179873125473253","Do you agree with this, or no? ")</f>
        <v xml:space="preserve">Do you agree with this, or no? </v>
      </c>
      <c r="C2307" s="3">
        <v>41055.799942129626</v>
      </c>
      <c r="D2307" s="2">
        <v>431</v>
      </c>
      <c r="E2307" s="2">
        <v>71</v>
      </c>
      <c r="F2307" s="2" t="s">
        <v>8</v>
      </c>
      <c r="G2307" s="2" t="s">
        <v>7</v>
      </c>
    </row>
    <row r="2308" spans="1:7" ht="30" x14ac:dyDescent="0.25">
      <c r="A2308" s="4" t="str">
        <f>HYPERLINK("http://techcrunch.com/2012/05/26/twitter-get-better/","TechCrunch | The Mysterious Words You Can’t Tweet")</f>
        <v>TechCrunch | The Mysterious Words You Can’t Tweet</v>
      </c>
      <c r="B2308" s="4" t="str">
        <f>HYPERLINK("http://www.facebook.com/8062627951/posts/160908477373546","Let's bust this myth.")</f>
        <v>Let's bust this myth.</v>
      </c>
      <c r="C2308" s="3">
        <v>41055.450208333335</v>
      </c>
      <c r="D2308" s="2">
        <v>140</v>
      </c>
      <c r="E2308" s="2">
        <v>4</v>
      </c>
      <c r="F2308" s="2" t="s">
        <v>7</v>
      </c>
      <c r="G2308" s="2" t="s">
        <v>7</v>
      </c>
    </row>
    <row r="2309" spans="1:7" ht="45" x14ac:dyDescent="0.25">
      <c r="A2309" s="4" t="str">
        <f>HYPERLINK("http://techcrunch.com/2012/05/24/facebook-bolt-peters/","TechCrunch | Facebook Acq-Hires Part Of Design Firm Bolt | Peters To Beef Up User Research Team")</f>
        <v>TechCrunch | Facebook Acq-Hires Part Of Design Firm Bolt | Peters To Beef Up User Research Team</v>
      </c>
      <c r="B2309" s="4" t="str">
        <f>HYPERLINK("http://www.facebook.com/8062627951/posts/322300691179565","Meet the guy whose job is to make you hate Facebook less")</f>
        <v>Meet the guy whose job is to make you hate Facebook less</v>
      </c>
      <c r="C2309" s="3">
        <v>41055.321006944447</v>
      </c>
      <c r="D2309" s="2">
        <v>83</v>
      </c>
      <c r="E2309" s="2">
        <v>9</v>
      </c>
      <c r="F2309" s="2" t="s">
        <v>7</v>
      </c>
      <c r="G2309" s="2" t="s">
        <v>7</v>
      </c>
    </row>
    <row r="2310" spans="1:7" ht="60" x14ac:dyDescent="0.25">
      <c r="A2310" s="4" t="str">
        <f>HYPERLINK("http://techcrunch.com/2012/05/25/gadget-of-the-week-the-parrot-ar-drone-2-0/","Gadget Of The Week: The Parrot AR.Drone 2.0")</f>
        <v>Gadget Of The Week: The Parrot AR.Drone 2.0</v>
      </c>
      <c r="B2310" s="4" t="s">
        <v>134</v>
      </c>
      <c r="C2310" s="3">
        <v>41054.685335648152</v>
      </c>
      <c r="D2310" s="2">
        <v>98</v>
      </c>
      <c r="E2310" s="2">
        <v>2</v>
      </c>
      <c r="F2310" s="2" t="s">
        <v>7</v>
      </c>
      <c r="G2310" s="2" t="s">
        <v>7</v>
      </c>
    </row>
    <row r="2311" spans="1:7" ht="45" x14ac:dyDescent="0.25">
      <c r="A2311" s="4" t="str">
        <f>HYPERLINK("http://techcrunch.com/2012/05/25/facebook-feed-gaming/","TechCrunch | Death To The Install! Facebook Games Can Now Be Played Straight From News Feed")</f>
        <v>TechCrunch | Death To The Install! Facebook Games Can Now Be Played Straight From News Feed</v>
      </c>
      <c r="B2311" s="4" t="str">
        <f>HYPERLINK("http://www.facebook.com/8062627951/posts/235065366603625","Play first, install later. ")</f>
        <v xml:space="preserve">Play first, install later. </v>
      </c>
      <c r="C2311" s="3">
        <v>41054.531018518515</v>
      </c>
      <c r="D2311" s="2">
        <v>141</v>
      </c>
      <c r="E2311" s="2">
        <v>13</v>
      </c>
      <c r="F2311" s="2" t="s">
        <v>7</v>
      </c>
      <c r="G2311" s="2" t="s">
        <v>7</v>
      </c>
    </row>
    <row r="2312" spans="1:7" ht="30" x14ac:dyDescent="0.25">
      <c r="A2312" s="4" t="str">
        <f>HYPERLINK("http://techcrunch.com/2012/05/25/simplyus/","SimplyUs Brings Couples Closer, With An App For Organizing Their Lives Together")</f>
        <v>SimplyUs Brings Couples Closer, With An App For Organizing Their Lives Together</v>
      </c>
      <c r="B2312" s="4" t="str">
        <f>HYPERLINK("http://www.facebook.com/8062627951/posts/236472316462751","SimplyUs aims to make couples happier by adding a little organization into their lives. Couples, would you use this?")</f>
        <v>SimplyUs aims to make couples happier by adding a little organization into their lives. Couples, would you use this?</v>
      </c>
      <c r="C2312" s="3">
        <v>41054.48846064815</v>
      </c>
      <c r="D2312" s="2">
        <v>49</v>
      </c>
      <c r="E2312" s="2">
        <v>13</v>
      </c>
      <c r="F2312" s="2" t="s">
        <v>8</v>
      </c>
      <c r="G2312" s="2" t="s">
        <v>7</v>
      </c>
    </row>
    <row r="2313" spans="1:7" ht="45" x14ac:dyDescent="0.25">
      <c r="A2313" s="4" t="str">
        <f>HYPERLINK("http://techcrunch.com/2012/05/25/facebook-camera-app-overload/","TechCrunch | Facebook Camera Could Backfire and Get All Of FB’s Apps Buried In A Folder")</f>
        <v>TechCrunch | Facebook Camera Could Backfire and Get All Of FB’s Apps Buried In A Folder</v>
      </c>
      <c r="B2313" s="4" t="str">
        <f>HYPERLINK("http://www.facebook.com/8062627951/posts/383833118329766","Are there too many Facebook apps now?")</f>
        <v>Are there too many Facebook apps now?</v>
      </c>
      <c r="C2313" s="3">
        <v>41054.431238425925</v>
      </c>
      <c r="D2313" s="2">
        <v>170</v>
      </c>
      <c r="E2313" s="2">
        <v>66</v>
      </c>
      <c r="F2313" s="2" t="s">
        <v>8</v>
      </c>
      <c r="G2313" s="2" t="s">
        <v>7</v>
      </c>
    </row>
    <row r="2314" spans="1:7" x14ac:dyDescent="0.25">
      <c r="A2314" s="4" t="str">
        <f>HYPERLINK("http://techcrunch.com/2012/05/25/the-techcrunch-ipad-app-is-now-live/","The TechCrunch iPad App Is Now Live")</f>
        <v>The TechCrunch iPad App Is Now Live</v>
      </c>
      <c r="B2314" s="4" t="str">
        <f>HYPERLINK("http://www.facebook.com/8062627951/posts/233940170055167","Download it now!")</f>
        <v>Download it now!</v>
      </c>
      <c r="C2314" s="3">
        <v>41054.310671296298</v>
      </c>
      <c r="D2314" s="2">
        <v>61</v>
      </c>
      <c r="E2314" s="2">
        <v>10</v>
      </c>
      <c r="F2314" s="2" t="s">
        <v>7</v>
      </c>
      <c r="G2314" s="2" t="s">
        <v>7</v>
      </c>
    </row>
    <row r="2315" spans="1:7" ht="45" x14ac:dyDescent="0.25">
      <c r="A2315" s="4" t="str">
        <f>HYPERLINK("http://techcrunch.com/2012/05/25/watch-sheryl-sandbergs-speech-to-harvard-business-school-graduates/","Watch Facebook’s Sheryl Sandberg Deliver Her Speech To Harvard Business School Graduates")</f>
        <v>Watch Facebook’s Sheryl Sandberg Deliver Her Speech To Harvard Business School Graduates</v>
      </c>
      <c r="B2315" s="4" t="str">
        <f>HYPERLINK("http://www.facebook.com/8062627951/posts/362859323779071","“Keep in touch via Facebook; this is critical to your future success. And since we’re public now, could you click on an ad or two while you’re there?”")</f>
        <v>“Keep in touch via Facebook; this is critical to your future success. And since we’re public now, could you click on an ad or two while you’re there?”</v>
      </c>
      <c r="C2315" s="3">
        <v>41054.282581018517</v>
      </c>
      <c r="D2315" s="2">
        <v>150</v>
      </c>
      <c r="E2315" s="2">
        <v>26</v>
      </c>
      <c r="F2315" s="2" t="s">
        <v>8</v>
      </c>
      <c r="G2315" s="2" t="s">
        <v>7</v>
      </c>
    </row>
    <row r="2316" spans="1:7" ht="45" x14ac:dyDescent="0.25">
      <c r="A2316" s="4" t="str">
        <f>HYPERLINK("http://techcrunch.com/2012/05/24/facebook-bolt-peters/","Facebook Acq-Hires Part Of Design Firm Bolt | Peters To Beef Up User Research Team")</f>
        <v>Facebook Acq-Hires Part Of Design Firm Bolt | Peters To Beef Up User Research Team</v>
      </c>
      <c r="B2316" s="4" t="str">
        <f>HYPERLINK("http://www.facebook.com/8062627951/posts/388811381169543","Bolt | Peters + Facebook = OMG")</f>
        <v>Bolt | Peters + Facebook = OMG</v>
      </c>
      <c r="C2316" s="3">
        <v>41053.569155092591</v>
      </c>
      <c r="D2316" s="2">
        <v>78</v>
      </c>
      <c r="E2316" s="2">
        <v>8</v>
      </c>
      <c r="F2316" s="2" t="s">
        <v>7</v>
      </c>
      <c r="G2316" s="2" t="s">
        <v>7</v>
      </c>
    </row>
    <row r="2317" spans="1:7" ht="45" x14ac:dyDescent="0.25">
      <c r="A2317" s="4" t="str">
        <f>HYPERLINK("http://techcrunch.com/2012/05/24/facebook-camera/","FB Launches Facebook Camera – An Instagram-Style Photo Filtering, Sharing, Viewing iOS App")</f>
        <v>FB Launches Facebook Camera – An Instagram-Style Photo Filtering, Sharing, Viewing iOS App</v>
      </c>
      <c r="B2317" s="4" t="str">
        <f>HYPERLINK("http://www.facebook.com/8062627951/posts/367032220011802","Go download the new FB Photos app, with filters!")</f>
        <v>Go download the new FB Photos app, with filters!</v>
      </c>
      <c r="C2317" s="3">
        <v>41053.408530092594</v>
      </c>
      <c r="D2317" s="2">
        <v>220</v>
      </c>
      <c r="E2317" s="2">
        <v>41</v>
      </c>
      <c r="F2317" s="2" t="s">
        <v>7</v>
      </c>
      <c r="G2317" s="2" t="s">
        <v>7</v>
      </c>
    </row>
    <row r="2318" spans="1:7" ht="45" x14ac:dyDescent="0.25">
      <c r="A2318" s="4" t="str">
        <f>HYPERLINK("http://techcrunch.com/2012/05/23/uberconference-wins-techcrunch-disrupt-nyc/","And The Winner Of The Third Annual TechCrunch Disrupt NYC Is UberConference")</f>
        <v>And The Winner Of The Third Annual TechCrunch Disrupt NYC Is UberConference</v>
      </c>
      <c r="B2318" s="4" t="str">
        <f>HYPERLINK("http://www.facebook.com/8062627951/posts/284843711611230","Help us congratulate UberConference in winning Disrupt NYC 2012!")</f>
        <v>Help us congratulate UberConference in winning Disrupt NYC 2012!</v>
      </c>
      <c r="C2318" s="3">
        <v>41052.638912037037</v>
      </c>
      <c r="D2318" s="2">
        <v>121</v>
      </c>
      <c r="E2318" s="2">
        <v>10</v>
      </c>
      <c r="F2318" s="2" t="s">
        <v>7</v>
      </c>
      <c r="G2318" s="2" t="s">
        <v>7</v>
      </c>
    </row>
    <row r="2319" spans="1:7" ht="30" x14ac:dyDescent="0.25">
      <c r="A2319" s="4" t="str">
        <f>HYPERLINK("http://techcrunch.com/2012/05/23/techcrunch-fuck-yeah/","Memes Of TechCrunch Disrupt New York")</f>
        <v>Memes Of TechCrunch Disrupt New York</v>
      </c>
      <c r="B2319" s="4" t="str">
        <f>HYPERLINK("http://www.facebook.com/8062627951/posts/424868654210101","Before we announce the winner of Disrupt NYC 2012, take a look at how things got silly. ")</f>
        <v xml:space="preserve">Before we announce the winner of Disrupt NYC 2012, take a look at how things got silly. </v>
      </c>
      <c r="C2319" s="3">
        <v>41052.591608796298</v>
      </c>
      <c r="D2319" s="2">
        <v>32</v>
      </c>
      <c r="E2319" s="2">
        <v>3</v>
      </c>
      <c r="F2319" s="2" t="s">
        <v>7</v>
      </c>
      <c r="G2319" s="2" t="s">
        <v>7</v>
      </c>
    </row>
    <row r="2320" spans="1:7" ht="30" x14ac:dyDescent="0.25">
      <c r="A2320" s="4" t="str">
        <f>HYPERLINK("http://techcrunch.com/2012/05/23/techcrunch-disrupt-nyc-live-day-three-tcdisrupt/","TechCrunch Disrupt NYC LIVE: Day Three! #TCDisrupt")</f>
        <v>TechCrunch Disrupt NYC LIVE: Day Three! #TCDisrupt</v>
      </c>
      <c r="B2320" s="4" t="str">
        <f>HYPERLINK("http://www.facebook.com/8062627951/posts/368717889855620","The Startup Battlefield finals are about to begin. Who do you think will win the Disrupt Cup? Make sure to tune in! ")</f>
        <v xml:space="preserve">The Startup Battlefield finals are about to begin. Who do you think will win the Disrupt Cup? Make sure to tune in! </v>
      </c>
      <c r="C2320" s="3">
        <v>41052.47760416667</v>
      </c>
      <c r="D2320" s="2">
        <v>21</v>
      </c>
      <c r="E2320" s="2">
        <v>0</v>
      </c>
      <c r="F2320" s="2" t="s">
        <v>8</v>
      </c>
      <c r="G2320" s="2" t="s">
        <v>7</v>
      </c>
    </row>
    <row r="2321" spans="1:7" ht="45" x14ac:dyDescent="0.25">
      <c r="A2321" s="4" t="str">
        <f>HYPERLINK("http://techcrunch.com/2012/05/23/sonar-rolls-out-here-now-social-network/","Sonar Rolls Out “Here-Now” Social Network")</f>
        <v>Sonar Rolls Out “Here-Now” Social Network</v>
      </c>
      <c r="B2321" s="4" t="str">
        <f>HYPERLINK("http://www.facebook.com/8062627951/posts/364662966920548","Sonar is rolling out a major update to its mobile app that will allow them to finally become the “Here-Now” social network.")</f>
        <v>Sonar is rolling out a major update to its mobile app that will allow them to finally become the “Here-Now” social network.</v>
      </c>
      <c r="C2321" s="3">
        <v>41052.443645833337</v>
      </c>
      <c r="D2321" s="2">
        <v>50</v>
      </c>
      <c r="E2321" s="2">
        <v>4</v>
      </c>
      <c r="F2321" s="2" t="s">
        <v>7</v>
      </c>
      <c r="G2321" s="2" t="s">
        <v>7</v>
      </c>
    </row>
    <row r="2322" spans="1:7" ht="30" x14ac:dyDescent="0.25">
      <c r="A2322" s="4" t="str">
        <f>HYPERLINK("http://techcrunch.com/2012/05/23/todays-google-doodle-is-an-awesome-playable-moog-synthesizer/","Today’s Google Doodle Is An Awesome, Playable Moog Synthesizer")</f>
        <v>Today’s Google Doodle Is An Awesome, Playable Moog Synthesizer</v>
      </c>
      <c r="B2322" s="4" t="str">
        <f>HYPERLINK("http://www.facebook.com/8062627951/posts/311303682284693","Pretty cool Google Doodle. ")</f>
        <v xml:space="preserve">Pretty cool Google Doodle. </v>
      </c>
      <c r="C2322" s="3">
        <v>41052.388449074075</v>
      </c>
      <c r="D2322" s="2">
        <v>234</v>
      </c>
      <c r="E2322" s="2">
        <v>18</v>
      </c>
      <c r="F2322" s="2" t="s">
        <v>7</v>
      </c>
      <c r="G2322" s="2" t="s">
        <v>7</v>
      </c>
    </row>
    <row r="2323" spans="1:7" ht="30" x14ac:dyDescent="0.25">
      <c r="A2323" s="4" t="str">
        <f>HYPERLINK("http://techcrunch.com/2012/05/23/welcome-to-hardware-alley-at-techcrunch-disrupt-nyc/","Welcome To Hardware Alley At TechCrunch Disrupt NYC!")</f>
        <v>Welcome To Hardware Alley At TechCrunch Disrupt NYC!</v>
      </c>
      <c r="B2323" s="4" t="str">
        <f>HYPERLINK("http://www.facebook.com/8062627951/posts/367060010024755","Be sure to check out all of the Hardware Alley participants. They're awesome! ")</f>
        <v xml:space="preserve">Be sure to check out all of the Hardware Alley participants. They're awesome! </v>
      </c>
      <c r="C2323" s="3">
        <v>41052.349016203705</v>
      </c>
      <c r="D2323" s="2">
        <v>25</v>
      </c>
      <c r="E2323" s="2">
        <v>1</v>
      </c>
      <c r="F2323" s="2" t="s">
        <v>7</v>
      </c>
      <c r="G2323" s="2" t="s">
        <v>7</v>
      </c>
    </row>
    <row r="2324" spans="1:7" ht="45" x14ac:dyDescent="0.25">
      <c r="A2324" s="4" t="str">
        <f>HYPERLINK("http://techcrunch.com/2012/05/23/techcrunch-disrupt-nyc-live-day-three-tcdisrupt/","TechCrunch Disrupt NYC LIVE: Day Three! #TCDisrupt")</f>
        <v>TechCrunch Disrupt NYC LIVE: Day Three! #TCDisrupt</v>
      </c>
      <c r="B2324" s="4" t="str">
        <f>HYPERLINK("http://www.facebook.com/8062627951/posts/361748503885736","We’ve got a rockstar lineup on our final day, including a sit down with a handful of local maker types, Chi-Hua Chien and a Hollywood star. Be sure to tune in. ")</f>
        <v xml:space="preserve">We’ve got a rockstar lineup on our final day, including a sit down with a handful of local maker types, Chi-Hua Chien and a Hollywood star. Be sure to tune in. </v>
      </c>
      <c r="C2324" s="3">
        <v>41052.234780092593</v>
      </c>
      <c r="D2324" s="2">
        <v>27</v>
      </c>
      <c r="E2324" s="2">
        <v>1</v>
      </c>
      <c r="F2324" s="2" t="s">
        <v>7</v>
      </c>
      <c r="G2324" s="2" t="s">
        <v>7</v>
      </c>
    </row>
    <row r="2325" spans="1:7" ht="30" x14ac:dyDescent="0.25">
      <c r="A2325" s="4" t="str">
        <f>HYPERLINK("http://techcrunch.com/2012/05/23/more/","Breaking: Social Media Site Vitrue Has Been Bought By Oracle For $300M")</f>
        <v>Breaking: Social Media Site Vitrue Has Been Bought By Oracle For $300M</v>
      </c>
      <c r="B2325" s="4" t="str">
        <f>HYPERLINK("http://www.facebook.com/8062627951/posts/225810924188648","Breaking: Oracle buys Vitrue for $300 million. ")</f>
        <v xml:space="preserve">Breaking: Oracle buys Vitrue for $300 million. </v>
      </c>
      <c r="C2325" s="3">
        <v>41052.21266203704</v>
      </c>
      <c r="D2325" s="2">
        <v>116</v>
      </c>
      <c r="E2325" s="2">
        <v>9</v>
      </c>
      <c r="F2325" s="2" t="s">
        <v>7</v>
      </c>
      <c r="G2325" s="2" t="s">
        <v>7</v>
      </c>
    </row>
    <row r="2326" spans="1:7" ht="45" x14ac:dyDescent="0.25">
      <c r="A2326" s="4" t="str">
        <f>HYPERLINK("http://techcrunch.com/2012/05/22/the-final-six-disrupt-nyc-startups-ark-babelverse-gtar-open-garden-sunglass-uberconference/","TechCrunch | The Final Six Disrupt NYC Startups: Ark, Babelverse, gTar, Open Garden, Sunglass, Uberc")</f>
        <v>TechCrunch | The Final Six Disrupt NYC Startups: Ark, Babelverse, gTar, Open Garden, Sunglass, Uberc</v>
      </c>
      <c r="B2326" s="4" t="str">
        <f>HYPERLINK("http://www.facebook.com/8062627951/posts/372149472841870","Best of luck to the finalists!")</f>
        <v>Best of luck to the finalists!</v>
      </c>
      <c r="C2326" s="3">
        <v>41052.18</v>
      </c>
      <c r="D2326" s="2">
        <v>59</v>
      </c>
      <c r="E2326" s="2">
        <v>1</v>
      </c>
      <c r="F2326" s="2" t="s">
        <v>7</v>
      </c>
      <c r="G2326" s="2" t="s">
        <v>7</v>
      </c>
    </row>
    <row r="2327" spans="1:7" ht="30" x14ac:dyDescent="0.25">
      <c r="A2327" s="4" t="str">
        <f>HYPERLINK("http://techcrunch.com/2012/05/22/disrupt-nyc-day-2-your-startup-battlefield-companies/","The 15 Startups That Launched At Disrupt NYC Day 2. Who’s Your Favorite?")</f>
        <v>The 15 Startups That Launched At Disrupt NYC Day 2. Who’s Your Favorite?</v>
      </c>
      <c r="B2327" s="4" t="str">
        <f>HYPERLINK("http://www.facebook.com/8062627951/posts/360193427368507","And that's a wrap on Disrupt NYC day 2. Who do you think will go to the finals? ")</f>
        <v xml:space="preserve">And that's a wrap on Disrupt NYC day 2. Who do you think will go to the finals? </v>
      </c>
      <c r="C2327" s="3">
        <v>41051.613402777781</v>
      </c>
      <c r="D2327" s="2">
        <v>41</v>
      </c>
      <c r="E2327" s="2">
        <v>1</v>
      </c>
      <c r="F2327" s="2" t="s">
        <v>8</v>
      </c>
      <c r="G2327" s="2" t="s">
        <v>7</v>
      </c>
    </row>
    <row r="2328" spans="1:7" ht="30" x14ac:dyDescent="0.25">
      <c r="A2328" s="4" t="str">
        <f>HYPERLINK("http://techcrunch.com/2012/05/22/techcrunch-disrupt-nyc-live-day-two-tcdisrupt/","TechCrunch Disrupt NYC LIVE: Day Two! #TCDisrupt")</f>
        <v>TechCrunch Disrupt NYC LIVE: Day Two! #TCDisrupt</v>
      </c>
      <c r="B2328" s="4" t="str">
        <f>HYPERLINK("http://www.facebook.com/8062627951/posts/394711290570112","Day 2 of the Startup Battlefield competition has begun! Make sure to tune in. ")</f>
        <v xml:space="preserve">Day 2 of the Startup Battlefield competition has begun! Make sure to tune in. </v>
      </c>
      <c r="C2328" s="3">
        <v>41051.441030092596</v>
      </c>
      <c r="D2328" s="2">
        <v>15</v>
      </c>
      <c r="E2328" s="2">
        <v>0</v>
      </c>
      <c r="F2328" s="2" t="s">
        <v>7</v>
      </c>
      <c r="G2328" s="2" t="s">
        <v>7</v>
      </c>
    </row>
    <row r="2329" spans="1:7" ht="60" x14ac:dyDescent="0.25">
      <c r="A2329" s="4" t="str">
        <f>HYPERLINK("http://techcrunch.com/2012/05/22/kleiner-perkins-sexual-harassment-lawsuit-ellen-pao/","Kleiner Perkins Sued By Partner Ellen Pao For Alleged Sexual Harassment, Gender Discrim...")</f>
        <v>Kleiner Perkins Sued By Partner Ellen Pao For Alleged Sexual Harassment, Gender Discrim...</v>
      </c>
      <c r="B2329" s="4" t="str">
        <f>HYPERLINK("http://www.facebook.com/8062627951/posts/444492328896158","Kleiner Perkins Caulfield and Byers, one of the most storied and well-respected venture capital firms in Silicon Valley, has been sued by Ellen Pao, an investment partner with the firm.")</f>
        <v>Kleiner Perkins Caulfield and Byers, one of the most storied and well-respected venture capital firms in Silicon Valley, has been sued by Ellen Pao, an investment partner with the firm.</v>
      </c>
      <c r="C2329" s="3">
        <v>41051.360196759262</v>
      </c>
      <c r="D2329" s="2">
        <v>20</v>
      </c>
      <c r="E2329" s="2">
        <v>6</v>
      </c>
      <c r="F2329" s="2" t="s">
        <v>7</v>
      </c>
      <c r="G2329" s="2" t="s">
        <v>7</v>
      </c>
    </row>
    <row r="2330" spans="1:7" ht="45" x14ac:dyDescent="0.25">
      <c r="A2330" s="4" t="str">
        <f>HYPERLINK("http://techcrunch.com/2012/05/22/elon-musk-competing-with-zuck-for-best-week-ever-announces-tesla-milestone-launches-rocket-to-iss/","Elon Musk Competing With Zuck For Best Week Ever: Announces Tesla Milestone, Launches R...")</f>
        <v>Elon Musk Competing With Zuck For Best Week Ever: Announces Tesla Milestone, Launches R...</v>
      </c>
      <c r="B2330" s="4" t="str">
        <f>HYPERLINK("http://www.facebook.com/8062627951/posts/431427083543173","Who had the better week, Elon Musk or Mark Zuckerberg? ")</f>
        <v xml:space="preserve">Who had the better week, Elon Musk or Mark Zuckerberg? </v>
      </c>
      <c r="C2330" s="3">
        <v>41051.267141203702</v>
      </c>
      <c r="D2330" s="2">
        <v>79</v>
      </c>
      <c r="E2330" s="2">
        <v>25</v>
      </c>
      <c r="F2330" s="2" t="s">
        <v>8</v>
      </c>
      <c r="G2330" s="2" t="s">
        <v>7</v>
      </c>
    </row>
    <row r="2331" spans="1:7" ht="30" x14ac:dyDescent="0.25">
      <c r="A2331" s="4" t="str">
        <f>HYPERLINK("http://techcrunch.com/2012/05/22/techcrunch-disrupt-nyc-live-day-two-tcdisrupt/","TechCrunch Disrupt NYC LIVE: Day Two! #TCDisrupt")</f>
        <v>TechCrunch Disrupt NYC LIVE: Day Two! #TCDisrupt</v>
      </c>
      <c r="B2331" s="4" t="str">
        <f>HYPERLINK("http://www.facebook.com/8062627951/posts/416104078434980","We are LIVE! Be sure to tune in and follow along. #TCDisrupt ")</f>
        <v xml:space="preserve">We are LIVE! Be sure to tune in and follow along. #TCDisrupt </v>
      </c>
      <c r="C2331" s="3">
        <v>41051.230902777781</v>
      </c>
      <c r="D2331" s="2">
        <v>26</v>
      </c>
      <c r="E2331" s="2">
        <v>0</v>
      </c>
      <c r="F2331" s="2" t="s">
        <v>7</v>
      </c>
      <c r="G2331" s="2" t="s">
        <v>7</v>
      </c>
    </row>
    <row r="2332" spans="1:7" ht="30" x14ac:dyDescent="0.25">
      <c r="A2332" s="4" t="str">
        <f>HYPERLINK("http://techcrunch.com/2012/05/22/larry-page-google-glasse/","Larry Page Spotted Wearing Google Glasses In England!")</f>
        <v>Larry Page Spotted Wearing Google Glasses In England!</v>
      </c>
      <c r="B2332" s="4" t="str">
        <f>HYPERLINK("http://www.facebook.com/8062627951/posts/309626719120686","Spotted! ")</f>
        <v xml:space="preserve">Spotted! </v>
      </c>
      <c r="C2332" s="3">
        <v>41051.225104166668</v>
      </c>
      <c r="D2332" s="2">
        <v>223</v>
      </c>
      <c r="E2332" s="2">
        <v>17</v>
      </c>
      <c r="F2332" s="2" t="s">
        <v>7</v>
      </c>
      <c r="G2332" s="2" t="s">
        <v>7</v>
      </c>
    </row>
    <row r="2333" spans="1:7" ht="30" x14ac:dyDescent="0.25">
      <c r="A2333" s="4" t="str">
        <f>HYPERLINK("http://techcrunch.com/2012/05/21/disrupt-nyc-day-1-your-startup-battlefield-companies/","Disrupt NYC Day 1: Your Startup Battlefield Companies")</f>
        <v>Disrupt NYC Day 1: Your Startup Battlefield Companies</v>
      </c>
      <c r="B2333" s="4" t="str">
        <f>HYPERLINK("http://www.facebook.com/8062627951/posts/279048192191571","And that's a wrap! Which Startup Battlefield company was your favorite? ")</f>
        <v xml:space="preserve">And that's a wrap! Which Startup Battlefield company was your favorite? </v>
      </c>
      <c r="C2333" s="3">
        <v>41050.634745370371</v>
      </c>
      <c r="D2333" s="2">
        <v>31</v>
      </c>
      <c r="E2333" s="2">
        <v>8</v>
      </c>
      <c r="F2333" s="2" t="s">
        <v>8</v>
      </c>
      <c r="G2333" s="2" t="s">
        <v>7</v>
      </c>
    </row>
    <row r="2334" spans="1:7" ht="30" x14ac:dyDescent="0.25">
      <c r="A2334" s="4" t="str">
        <f>HYPERLINK("http://techcrunch.com/2012/05/21/a-stroll-down-startup-alley-bras-coffee-and-lots-of-photovideo-sharing/","A Stroll Down Startup Alley: Bras, Coffee, And Lots Of Photo/Video Sharing")</f>
        <v>A Stroll Down Startup Alley: Bras, Coffee, And Lots Of Photo/Video Sharing</v>
      </c>
      <c r="B2334" s="4" t="str">
        <f>HYPERLINK("http://www.facebook.com/8062627951/posts/369709939743518","[Video] This year’s Startup Alley batch is above-and-beyond impressive.")</f>
        <v>[Video] This year’s Startup Alley batch is above-and-beyond impressive.</v>
      </c>
      <c r="C2334" s="3">
        <v>41050.492696759262</v>
      </c>
      <c r="D2334" s="2">
        <v>38</v>
      </c>
      <c r="E2334" s="2">
        <v>0</v>
      </c>
      <c r="F2334" s="2" t="s">
        <v>7</v>
      </c>
      <c r="G2334" s="2" t="s">
        <v>7</v>
      </c>
    </row>
    <row r="2335" spans="1:7" ht="30" x14ac:dyDescent="0.25">
      <c r="A2335" s="4" t="str">
        <f>HYPERLINK("http://techcrunch.com/2012/05/21/techcrunch-disrupt-nyc-live-day-one-tcdisrupt/","TechCrunch Disrupt NYC LIVE: Day One! #TCDisrupt")</f>
        <v>TechCrunch Disrupt NYC LIVE: Day One! #TCDisrupt</v>
      </c>
      <c r="B2335" s="4" t="str">
        <f>HYPERLINK("http://www.facebook.com/8062627951/posts/348992865165768","Are you watching? The Startup Battlefield rounds have officially begun. ")</f>
        <v xml:space="preserve">Are you watching? The Startup Battlefield rounds have officially begun. </v>
      </c>
      <c r="C2335" s="3">
        <v>41050.447280092594</v>
      </c>
      <c r="D2335" s="2">
        <v>22</v>
      </c>
      <c r="E2335" s="2">
        <v>1</v>
      </c>
      <c r="F2335" s="2" t="s">
        <v>8</v>
      </c>
      <c r="G2335" s="2" t="s">
        <v>7</v>
      </c>
    </row>
    <row r="2336" spans="1:7" ht="30" x14ac:dyDescent="0.25">
      <c r="A2336" s="4" t="str">
        <f>HYPERLINK("http://techcrunch.com/2012/05/21/brad-garlinghouses-suggestion-to-save-yahoo-buy-flipboard-and-gravity/","Brad Garlinghouse’s Suggestion To Save Yahoo? Buy Flipboard And Gravity")</f>
        <v>Brad Garlinghouse’s Suggestion To Save Yahoo? Buy Flipboard And Gravity</v>
      </c>
      <c r="B2336" s="4" t="str">
        <f>HYPERLINK("http://www.facebook.com/8062627951/posts/253886358051640","Can anything save Yahoo?")</f>
        <v>Can anything save Yahoo?</v>
      </c>
      <c r="C2336" s="3">
        <v>41050.430509259262</v>
      </c>
      <c r="D2336" s="2">
        <v>32</v>
      </c>
      <c r="E2336" s="2">
        <v>22</v>
      </c>
      <c r="F2336" s="2" t="s">
        <v>8</v>
      </c>
      <c r="G2336" s="2" t="s">
        <v>7</v>
      </c>
    </row>
    <row r="2337" spans="1:7" ht="30" x14ac:dyDescent="0.25">
      <c r="A2337" s="4" t="str">
        <f>HYPERLINK("http://techcrunch.com/2012/05/21/david-karp-tumblrs-revenue-model-is-all-about-telling-stories/","David Karp: Tumblr’s Revenue Model Is All About Telling Stories")</f>
        <v>David Karp: Tumblr’s Revenue Model Is All About Telling Stories</v>
      </c>
      <c r="B2337" s="4" t="str">
        <f>HYPERLINK("http://www.facebook.com/8062627951/posts/334214669983981","How many of you have your own Tumblr? ")</f>
        <v xml:space="preserve">How many of you have your own Tumblr? </v>
      </c>
      <c r="C2337" s="3">
        <v>41050.395833333336</v>
      </c>
      <c r="D2337" s="2">
        <v>68</v>
      </c>
      <c r="E2337" s="2">
        <v>10</v>
      </c>
      <c r="F2337" s="2" t="s">
        <v>8</v>
      </c>
      <c r="G2337" s="2" t="s">
        <v>7</v>
      </c>
    </row>
    <row r="2338" spans="1:7" ht="30" x14ac:dyDescent="0.25">
      <c r="A2338" s="4" t="str">
        <f>HYPERLINK("http://techcrunch.com/2012/05/21/facebook-shares-fall-below-38-slipping-more-than-4-in-pre-market-trading/","Facebook Shares Slide Nearly 12% To $33.76 On Second Trading Day After IPO")</f>
        <v>Facebook Shares Slide Nearly 12% To $33.76 On Second Trading Day After IPO</v>
      </c>
      <c r="B2338" s="4" t="str">
        <f>HYPERLINK("http://www.facebook.com/8062627951/posts/312336645512990","Do you think Facebook can continue to prove its worth? ")</f>
        <v xml:space="preserve">Do you think Facebook can continue to prove its worth? </v>
      </c>
      <c r="C2338" s="3">
        <v>41050.339733796296</v>
      </c>
      <c r="D2338" s="2">
        <v>86</v>
      </c>
      <c r="E2338" s="2">
        <v>45</v>
      </c>
      <c r="F2338" s="2" t="s">
        <v>8</v>
      </c>
      <c r="G2338" s="2" t="s">
        <v>7</v>
      </c>
    </row>
    <row r="2339" spans="1:7" ht="75" x14ac:dyDescent="0.25">
      <c r="A2339" s="4" t="s">
        <v>135</v>
      </c>
      <c r="B2339" s="4" t="str">
        <f>HYPERLINK("http://www.facebook.com/8062627951/posts/228284463941180","Google refused to buy Twitter, built Google+ instead. Oops.")</f>
        <v>Google refused to buy Twitter, built Google+ instead. Oops.</v>
      </c>
      <c r="C2339" s="3">
        <v>41050.315358796295</v>
      </c>
      <c r="D2339" s="2">
        <v>170</v>
      </c>
      <c r="E2339" s="2">
        <v>37</v>
      </c>
      <c r="F2339" s="2" t="s">
        <v>7</v>
      </c>
      <c r="G2339" s="2" t="s">
        <v>7</v>
      </c>
    </row>
    <row r="2340" spans="1:7" ht="30" x14ac:dyDescent="0.25">
      <c r="A2340" s="4" t="str">
        <f>HYPERLINK("http://techcrunch.com/2012/05/21/techcrunch-disrupt-nyc-live-day-one-tcdisrupt/","TechCrunch Disrupt NYC LIVE: Day One! #TCDisrupt")</f>
        <v>TechCrunch Disrupt NYC LIVE: Day One! #TCDisrupt</v>
      </c>
      <c r="B2340" s="4" t="str">
        <f>HYPERLINK("http://www.facebook.com/8062627951/posts/179204985539494","TechCrunch Disrupt NYC is about to begin. Make sure to follow along! ")</f>
        <v xml:space="preserve">TechCrunch Disrupt NYC is about to begin. Make sure to follow along! </v>
      </c>
      <c r="C2340" s="3">
        <v>41050.209328703706</v>
      </c>
      <c r="D2340" s="2">
        <v>32</v>
      </c>
      <c r="E2340" s="2">
        <v>2</v>
      </c>
      <c r="F2340" s="2" t="s">
        <v>7</v>
      </c>
      <c r="G2340" s="2" t="s">
        <v>7</v>
      </c>
    </row>
    <row r="2341" spans="1:7" x14ac:dyDescent="0.25">
      <c r="A2341" s="4" t="str">
        <f>HYPERLINK("http://techcrunch.com/2012/05/20/mr-zuckerberg/","Married Mr. Zuckerberg, Business Man?")</f>
        <v>Married Mr. Zuckerberg, Business Man?</v>
      </c>
      <c r="B2341" s="4" t="str">
        <f>HYPERLINK("http://www.facebook.com/8062627951/posts/253955801378980","Mr. Zuckerberg, Mr. Business Man. ")</f>
        <v xml:space="preserve">Mr. Zuckerberg, Mr. Business Man. </v>
      </c>
      <c r="C2341" s="3">
        <v>41050.12059027778</v>
      </c>
      <c r="D2341" s="2">
        <v>65</v>
      </c>
      <c r="E2341" s="2">
        <v>2</v>
      </c>
      <c r="F2341" s="2" t="s">
        <v>7</v>
      </c>
      <c r="G2341" s="2" t="s">
        <v>7</v>
      </c>
    </row>
    <row r="2342" spans="1:7" ht="30" x14ac:dyDescent="0.25">
      <c r="A2342" s="4" t="str">
        <f>HYPERLINK("http://techcrunch.com/2012/05/20/stanford-bases-finale/","TechCrunch | $150,000 Is Up For Grabs At Stanford’s BASES Finale This Week")</f>
        <v>TechCrunch | $150,000 Is Up For Grabs At Stanford’s BASES Finale This Week</v>
      </c>
      <c r="B2342" s="4" t="str">
        <f>HYPERLINK("http://www.facebook.com/8062627951/posts/222313801220836","Homework for today: Found a startup")</f>
        <v>Homework for today: Found a startup</v>
      </c>
      <c r="C2342" s="3">
        <v>41049.95140046296</v>
      </c>
      <c r="D2342" s="2">
        <v>78</v>
      </c>
      <c r="E2342" s="2">
        <v>1</v>
      </c>
      <c r="F2342" s="2" t="s">
        <v>7</v>
      </c>
      <c r="G2342" s="2" t="s">
        <v>7</v>
      </c>
    </row>
    <row r="2343" spans="1:7" ht="45" x14ac:dyDescent="0.25">
      <c r="A2343" s="4" t="str">
        <f>HYPERLINK("http://techcrunch.com/2012/05/20/the-story-behind-payment-disruptor-stripe-com-and-its-founder-patrick-collison/","The Story Behind Payment Disruptor Stripe.com And Its Founder Patrick Collison")</f>
        <v>The Story Behind Payment Disruptor Stripe.com And Its Founder Patrick Collison</v>
      </c>
      <c r="B2343" s="4" t="str">
        <f>HYPERLINK("http://www.facebook.com/8062627951/posts/408881135809199","The story behind payment disruptor Stripe.com. ")</f>
        <v xml:space="preserve">The story behind payment disruptor Stripe.com. </v>
      </c>
      <c r="C2343" s="3">
        <v>41049.863761574074</v>
      </c>
      <c r="D2343" s="2">
        <v>78</v>
      </c>
      <c r="E2343" s="2">
        <v>9</v>
      </c>
      <c r="F2343" s="2" t="s">
        <v>7</v>
      </c>
      <c r="G2343" s="2" t="s">
        <v>7</v>
      </c>
    </row>
    <row r="2344" spans="1:7" ht="30" x14ac:dyDescent="0.25">
      <c r="A2344" s="4" t="str">
        <f>HYPERLINK("http://techcrunch.com/2012/05/20/tcgadgets-webcast-live-from-disrupt-nyc/","TC/Gadgets Webcast: Live From Disrupt NYC")</f>
        <v>TC/Gadgets Webcast: Live From Disrupt NYC</v>
      </c>
      <c r="B2344" s="4" t="str">
        <f>HYPERLINK("http://www.facebook.com/8062627951/posts/394876503884064","[Video] We're gearing up for the big show tomorrow. ")</f>
        <v xml:space="preserve">[Video] We're gearing up for the big show tomorrow. </v>
      </c>
      <c r="C2344" s="3">
        <v>41049.628032407411</v>
      </c>
      <c r="D2344" s="2">
        <v>32</v>
      </c>
      <c r="E2344" s="2">
        <v>1</v>
      </c>
      <c r="F2344" s="2" t="s">
        <v>7</v>
      </c>
      <c r="G2344" s="2" t="s">
        <v>7</v>
      </c>
    </row>
    <row r="2345" spans="1:7" ht="45" x14ac:dyDescent="0.25">
      <c r="A2345" s="4" t="str">
        <f>HYPERLINK("http://techcrunch.com/2012/05/20/silicon-valley-can-do-better-than-facebook/","Silicon Valley Can Do Better Than Facebook")</f>
        <v>Silicon Valley Can Do Better Than Facebook</v>
      </c>
      <c r="B2345" s="4" t="s">
        <v>136</v>
      </c>
      <c r="C2345" s="3">
        <v>41049.587361111109</v>
      </c>
      <c r="D2345" s="2">
        <v>230</v>
      </c>
      <c r="E2345" s="2">
        <v>38</v>
      </c>
      <c r="F2345" s="2" t="s">
        <v>7</v>
      </c>
      <c r="G2345" s="2" t="s">
        <v>7</v>
      </c>
    </row>
    <row r="2346" spans="1:7" ht="30" x14ac:dyDescent="0.25">
      <c r="A2346" s="4" t="str">
        <f>HYPERLINK("http://techcrunch.com/2012/05/19/day-after-ipo-mark-zuckerberg-marries-longtime-girlfriend-priscilla-chan/","Day After IPO, Mark Zuckerberg Marries Longtime Girlfriend Priscilla Chan")</f>
        <v>Day After IPO, Mark Zuckerberg Marries Longtime Girlfriend Priscilla Chan</v>
      </c>
      <c r="B2346" s="4" t="str">
        <f>HYPERLINK("http://www.facebook.com/8062627951/posts/408978632457889","OH, and by the way, congrats to Mark Zuckerberg and Priscilla Chan! ")</f>
        <v xml:space="preserve">OH, and by the way, congrats to Mark Zuckerberg and Priscilla Chan! </v>
      </c>
      <c r="C2346" s="3">
        <v>41049.491365740738</v>
      </c>
      <c r="D2346" s="2">
        <v>202</v>
      </c>
      <c r="E2346" s="2">
        <v>36</v>
      </c>
      <c r="F2346" s="2" t="s">
        <v>7</v>
      </c>
      <c r="G2346" s="2" t="s">
        <v>7</v>
      </c>
    </row>
    <row r="2347" spans="1:7" ht="45" x14ac:dyDescent="0.25">
      <c r="A2347" s="4" t="str">
        <f>HYPERLINK("http://techcrunch.com/2012/05/20/introducing-our-2012-disrupt-nyc-hackathon-winners-thingscription-poachbase-and-practikhan/","TechCrunch | Introducing Our 2012 Disrupt NYC Hackathon Winners: Thingscription, PoachBase, And Prac")</f>
        <v>TechCrunch | Introducing Our 2012 Disrupt NYC Hackathon Winners: Thingscription, PoachBase, And Prac</v>
      </c>
      <c r="B2347" s="4" t="str">
        <f>HYPERLINK("http://www.facebook.com/8062627951/posts/336271859779889","And we have the winners!")</f>
        <v>And we have the winners!</v>
      </c>
      <c r="C2347" s="3">
        <v>41049.459247685183</v>
      </c>
      <c r="D2347" s="2">
        <v>53</v>
      </c>
      <c r="E2347" s="2">
        <v>1</v>
      </c>
      <c r="F2347" s="2" t="s">
        <v>7</v>
      </c>
      <c r="G2347" s="2" t="s">
        <v>7</v>
      </c>
    </row>
    <row r="2348" spans="1:7" ht="45" x14ac:dyDescent="0.25">
      <c r="A2348" s="4" t="str">
        <f>HYPERLINK("http://snpy.tv/JcGBCb","TechCrunch Disrupt NY Hackathon 2012 on TechCrunch TV: CityGrid - Backend Data Application for Local")</f>
        <v>TechCrunch Disrupt NY Hackathon 2012 on TechCrunch TV: CityGrid - Backend Data Application for Local</v>
      </c>
      <c r="B2348" s="4" t="str">
        <f>HYPERLINK("http://www.facebook.com/8062627951/posts/431169780234457","One of the crowd's favorite hacks so far is a dynamic, mobile app for IKEA Manuals. ")</f>
        <v xml:space="preserve">One of the crowd's favorite hacks so far is a dynamic, mobile app for IKEA Manuals. </v>
      </c>
      <c r="C2348" s="3">
        <v>41049.39565972222</v>
      </c>
      <c r="D2348" s="2">
        <v>84</v>
      </c>
      <c r="E2348" s="2">
        <v>11</v>
      </c>
      <c r="F2348" s="2" t="s">
        <v>7</v>
      </c>
      <c r="G2348" s="2" t="s">
        <v>7</v>
      </c>
    </row>
    <row r="2349" spans="1:7" ht="30" x14ac:dyDescent="0.25">
      <c r="A2349" s="4" t="str">
        <f>HYPERLINK("http://techcrunch.com/2012/05/20/watch-the-hackathon-presentations-live/","TechCrunch | Watch The Hackathon Presentations Live!")</f>
        <v>TechCrunch | Watch The Hackathon Presentations Live!</v>
      </c>
      <c r="B2349" s="4" t="str">
        <f>HYPERLINK("http://www.facebook.com/8062627951/posts/340120602721515","Watch the Hackathon presentations live! ")</f>
        <v xml:space="preserve">Watch the Hackathon presentations live! </v>
      </c>
      <c r="C2349" s="3">
        <v>41049.300347222219</v>
      </c>
      <c r="D2349" s="2">
        <v>49</v>
      </c>
      <c r="E2349" s="2">
        <v>2</v>
      </c>
      <c r="F2349" s="2" t="s">
        <v>7</v>
      </c>
      <c r="G2349" s="2" t="s">
        <v>7</v>
      </c>
    </row>
    <row r="2350" spans="1:7" ht="90" x14ac:dyDescent="0.25">
      <c r="A2350" s="4" t="str">
        <f>HYPERLINK("http://techcrunch.com/2012/05/20/report-pakistan-blocks-twitter-over-blasphemous-content-facebook-complies/","TechCrunch | Report: Pakistan Blocks Twitter Over Blasphemous Content, Facebook Complies?")</f>
        <v>TechCrunch | Report: Pakistan Blocks Twitter Over Blasphemous Content, Facebook Complies?</v>
      </c>
      <c r="B2350" s="4" t="s">
        <v>137</v>
      </c>
      <c r="C2350" s="3">
        <v>41049.22184027778</v>
      </c>
      <c r="D2350" s="2">
        <v>51</v>
      </c>
      <c r="E2350" s="2">
        <v>28</v>
      </c>
      <c r="F2350" s="2" t="s">
        <v>7</v>
      </c>
      <c r="G2350" s="2" t="s">
        <v>7</v>
      </c>
    </row>
    <row r="2351" spans="1:7" ht="30" x14ac:dyDescent="0.25">
      <c r="A2351" s="4" t="str">
        <f>HYPERLINK("http://techcrunch.com/2012/05/19/the-art-of-expression-t-shirts-of-the-disrupt-nyc-2012-hackathon/","The Art Of Expression: T-Shirts Of The Disrupt NYC 2012 Hackathon")</f>
        <v>The Art Of Expression: T-Shirts Of The Disrupt NYC 2012 Hackathon</v>
      </c>
      <c r="B2351" s="4" t="str">
        <f>HYPERLINK("http://www.facebook.com/8062627951/posts/150743681717597","The hackers are rocking some awesome t-shirts at the Hackathon. Which one is your fav?")</f>
        <v>The hackers are rocking some awesome t-shirts at the Hackathon. Which one is your fav?</v>
      </c>
      <c r="C2351" s="3">
        <v>41048.607766203706</v>
      </c>
      <c r="D2351" s="2">
        <v>52</v>
      </c>
      <c r="E2351" s="2">
        <v>6</v>
      </c>
      <c r="F2351" s="2" t="s">
        <v>8</v>
      </c>
      <c r="G2351" s="2" t="s">
        <v>7</v>
      </c>
    </row>
    <row r="2352" spans="1:7" ht="30" x14ac:dyDescent="0.25">
      <c r="A2352" s="4" t="str">
        <f>HYPERLINK("http://www.facebook.com/photo.php?v=3733116020733","Nerf Gun Fight at TechCrunch Disrupt Hackathon")</f>
        <v>Nerf Gun Fight at TechCrunch Disrupt Hackathon</v>
      </c>
      <c r="B2352" s="4" t="str">
        <f>HYPERLINK("http://www.facebook.com/8062627951/posts/3733116020733","The Nerf guns are out at the Hackathon.")</f>
        <v>The Nerf guns are out at the Hackathon.</v>
      </c>
      <c r="C2352" s="3">
        <v>41048.565613425926</v>
      </c>
      <c r="D2352" s="2">
        <v>37</v>
      </c>
      <c r="E2352" s="2">
        <v>7</v>
      </c>
      <c r="F2352" s="2" t="s">
        <v>7</v>
      </c>
      <c r="G2352" s="2" t="s">
        <v>7</v>
      </c>
    </row>
    <row r="2353" spans="1:7" ht="30" x14ac:dyDescent="0.25">
      <c r="A2353" s="4" t="str">
        <f>HYPERLINK("http://techcrunch.com/2012/05/18/diy-doorbell-will-send-pictures-of-your-guests-to-your-iphone/","DIY Doorbell Will Send Pictures Of Your Guests To Your iPhone")</f>
        <v>DIY Doorbell Will Send Pictures Of Your Guests To Your iPhone</v>
      </c>
      <c r="B2353" s="4" t="str">
        <f>HYPERLINK("http://www.facebook.com/8062627951/posts/374371879276793","Never be afraid to answer your door again. ")</f>
        <v xml:space="preserve">Never be afraid to answer your door again. </v>
      </c>
      <c r="C2353" s="3">
        <v>41048.517129629632</v>
      </c>
      <c r="D2353" s="2">
        <v>362</v>
      </c>
      <c r="E2353" s="2">
        <v>19</v>
      </c>
      <c r="F2353" s="2" t="s">
        <v>7</v>
      </c>
      <c r="G2353" s="2" t="s">
        <v>7</v>
      </c>
    </row>
    <row r="2354" spans="1:7" ht="45" x14ac:dyDescent="0.25">
      <c r="A2354" s="4" t="str">
        <f>HYPERLINK("http://techcrunch.com/2012/05/18/likers-gonna-like/","TechCrunch | Facebook Says Haters Gonna Hate, Likers Gonna Like")</f>
        <v>TechCrunch | Facebook Says Haters Gonna Hate, Likers Gonna Like</v>
      </c>
      <c r="B2354" s="4" t="s">
        <v>138</v>
      </c>
      <c r="C2354" s="3">
        <v>41048.370497685188</v>
      </c>
      <c r="D2354" s="2">
        <v>119</v>
      </c>
      <c r="E2354" s="2">
        <v>16</v>
      </c>
      <c r="F2354" s="2" t="s">
        <v>7</v>
      </c>
      <c r="G2354" s="2" t="s">
        <v>7</v>
      </c>
    </row>
    <row r="2355" spans="1:7" ht="30" x14ac:dyDescent="0.25">
      <c r="A2355" s="4" t="str">
        <f>HYPERLINK("http://techcrunch.com/2012/05/19/marketing-lessons-startups-need-to-learn-from-googles-project-glass-concept-video/","Marketing Lessons Startups Need to Learn from Google’s Project Glass Concept Video")</f>
        <v>Marketing Lessons Startups Need to Learn from Google’s Project Glass Concept Video</v>
      </c>
      <c r="B2355" s="4" t="str">
        <f>HYPERLINK("http://www.facebook.com/8062627951/posts/135453963255572","Startups, take some notes. ")</f>
        <v xml:space="preserve">Startups, take some notes. </v>
      </c>
      <c r="C2355" s="3">
        <v>41048.287974537037</v>
      </c>
      <c r="D2355" s="2">
        <v>158</v>
      </c>
      <c r="E2355" s="2">
        <v>6</v>
      </c>
      <c r="F2355" s="2" t="s">
        <v>7</v>
      </c>
      <c r="G2355" s="2" t="s">
        <v>7</v>
      </c>
    </row>
    <row r="2356" spans="1:7" ht="45" x14ac:dyDescent="0.25">
      <c r="A2356" s="4" t="str">
        <f>HYPERLINK("http://techcrunch.com/2012/05/19/spacexs-historic-launch-aborted-less-than-a-second-prior-to-launch/","SpaceX’s Historic Launch Aborted Less Than A Second Prior To Launch")</f>
        <v>SpaceX’s Historic Launch Aborted Less Than A Second Prior To Launch</v>
      </c>
      <c r="B2356" s="4" t="str">
        <f>HYPERLINK("http://www.facebook.com/8062627951/posts/363876580328383","“Entering terminal count autosequence. 60 seconds to engine fire. #DragonLaunch,” tweeted Elon Musk as his space company was less than a minute away from its historic flight..")</f>
        <v>“Entering terminal count autosequence. 60 seconds to engine fire. #DragonLaunch,” tweeted Elon Musk as his space company was less than a minute away from its historic flight..</v>
      </c>
      <c r="C2356" s="3">
        <v>41048.219340277778</v>
      </c>
      <c r="D2356" s="2">
        <v>43</v>
      </c>
      <c r="E2356" s="2">
        <v>7</v>
      </c>
      <c r="F2356" s="2" t="s">
        <v>7</v>
      </c>
      <c r="G2356" s="2" t="s">
        <v>7</v>
      </c>
    </row>
    <row r="2357" spans="1:7" ht="30" x14ac:dyDescent="0.25">
      <c r="A2357" s="4" t="str">
        <f>HYPERLINK("http://techcrunch.com/2012/05/18/study-twitter-sentiment-mirrored-facebooks-stock-price-today/","Study: Twitter Sentiment Mirrored Facebook’s Stock Price Today")</f>
        <v>Study: Twitter Sentiment Mirrored Facebook’s Stock Price Today</v>
      </c>
      <c r="B2357" s="4" t="str">
        <f>HYPERLINK("http://www.facebook.com/8062627951/posts/361315467261852","Interesting....  How many of you tweeted about Facebook today?")</f>
        <v>Interesting....  How many of you tweeted about Facebook today?</v>
      </c>
      <c r="C2357" s="3">
        <v>41047.855046296296</v>
      </c>
      <c r="D2357" s="2">
        <v>108</v>
      </c>
      <c r="E2357" s="2">
        <v>38</v>
      </c>
      <c r="F2357" s="2" t="s">
        <v>8</v>
      </c>
      <c r="G2357" s="2" t="s">
        <v>7</v>
      </c>
    </row>
    <row r="2358" spans="1:7" ht="30" x14ac:dyDescent="0.25">
      <c r="A2358" s="4" t="str">
        <f>HYPERLINK("http://techcrunch.com/2012/05/18/zuckerberg-gets-his-own-bizarre-animated-news-video-on-ipo-day/","TechCrunch | Zuckerberg Gets His Own Bizarre Animated News Video On IPO Day")</f>
        <v>TechCrunch | Zuckerberg Gets His Own Bizarre Animated News Video On IPO Day</v>
      </c>
      <c r="B2358" s="4" t="str">
        <f>HYPERLINK("http://www.facebook.com/8062627951/posts/305384826213911","Zuckerberg rampages through the city impaling investors...in this animated clip")</f>
        <v>Zuckerberg rampages through the city impaling investors...in this animated clip</v>
      </c>
      <c r="C2358" s="3">
        <v>41047.668414351851</v>
      </c>
      <c r="D2358" s="2">
        <v>28</v>
      </c>
      <c r="E2358" s="2">
        <v>1</v>
      </c>
      <c r="F2358" s="2" t="s">
        <v>7</v>
      </c>
      <c r="G2358" s="2" t="s">
        <v>7</v>
      </c>
    </row>
    <row r="2359" spans="1:7" ht="45" x14ac:dyDescent="0.25">
      <c r="A2359" s="4" t="str">
        <f>HYPERLINK("http://techcrunch.com/2012/05/18/facebook-acquires-karma/","TechCrunch | Facebook’s Acquisition of Karma Brings Mobile Commerce, App Monetization Prowess")</f>
        <v>TechCrunch | Facebook’s Acquisition of Karma Brings Mobile Commerce, App Monetization Prowess</v>
      </c>
      <c r="B2359" s="4" t="str">
        <f>HYPERLINK("http://www.facebook.com/8062627951/posts/301572583261573","Ditch the lame birthday wall post. Karma lets you buy real gifts for friends.")</f>
        <v>Ditch the lame birthday wall post. Karma lets you buy real gifts for friends.</v>
      </c>
      <c r="C2359" s="3">
        <v>41047.632916666669</v>
      </c>
      <c r="D2359" s="2">
        <v>107</v>
      </c>
      <c r="E2359" s="2">
        <v>6</v>
      </c>
      <c r="F2359" s="2" t="s">
        <v>7</v>
      </c>
      <c r="G2359" s="2" t="s">
        <v>7</v>
      </c>
    </row>
    <row r="2360" spans="1:7" ht="45" x14ac:dyDescent="0.25">
      <c r="A2360" s="4" t="str">
        <f>HYPERLINK("http://techcrunch.com/2012/05/18/bankers-got-too-aggressive-with-pricing-facebook-as-shares-barely-break-above-38/","Bankers Got Too Aggressive With Pricing Facebook As Shares Barely Break Above $38")</f>
        <v>Bankers Got Too Aggressive With Pricing Facebook As Shares Barely Break Above $38</v>
      </c>
      <c r="B2360" s="4" t="str">
        <f>HYPERLINK("http://www.facebook.com/8062627951/posts/429234087101631","Wall Street screwed itself out of billions")</f>
        <v>Wall Street screwed itself out of billions</v>
      </c>
      <c r="C2360" s="3">
        <v>41047.540300925924</v>
      </c>
      <c r="D2360" s="2">
        <v>165</v>
      </c>
      <c r="E2360" s="2">
        <v>35</v>
      </c>
      <c r="F2360" s="2" t="s">
        <v>7</v>
      </c>
      <c r="G2360" s="2" t="s">
        <v>7</v>
      </c>
    </row>
    <row r="2361" spans="1:7" ht="30" x14ac:dyDescent="0.25">
      <c r="A2361" s="4" t="str">
        <f>HYPERLINK("http://techcrunch.com/2012/05/18/microsoft-announces-its-back-to-school-promotion-buy-a-pc-get-a-free-xbox/","Microsoft Announces Its Back-To-School Promotion: Buy A PC, Get A Free Xbox")</f>
        <v>Microsoft Announces Its Back-To-School Promotion: Buy A PC, Get A Free Xbox</v>
      </c>
      <c r="B2361" s="4" t="str">
        <f>HYPERLINK("http://www.facebook.com/8062627951/posts/463147063711872","Anyone want a free Xbox? Just go out and buy a new PC.")</f>
        <v>Anyone want a free Xbox? Just go out and buy a new PC.</v>
      </c>
      <c r="C2361" s="3">
        <v>41047.478321759256</v>
      </c>
      <c r="D2361" s="2">
        <v>105</v>
      </c>
      <c r="E2361" s="2">
        <v>28</v>
      </c>
      <c r="F2361" s="2" t="s">
        <v>8</v>
      </c>
      <c r="G2361" s="2" t="s">
        <v>7</v>
      </c>
    </row>
    <row r="2362" spans="1:7" ht="30" x14ac:dyDescent="0.25">
      <c r="A2362" s="4" t="str">
        <f>HYPERLINK("http://techcrunch.com/2012/05/18/zuckerberg-opening-remarks/","Zuckerberg Receives Hoodie, Thanks Facebook's Users In Pre-IPO Ceremony")</f>
        <v>Zuckerberg Receives Hoodie, Thanks Facebook's Users In Pre-IPO Ceremony</v>
      </c>
      <c r="B2362" s="4" t="s">
        <v>139</v>
      </c>
      <c r="C2362" s="3">
        <v>41047.40792824074</v>
      </c>
      <c r="D2362" s="2">
        <v>48</v>
      </c>
      <c r="E2362" s="2">
        <v>11</v>
      </c>
      <c r="F2362" s="2" t="s">
        <v>7</v>
      </c>
      <c r="G2362" s="2" t="s">
        <v>7</v>
      </c>
    </row>
    <row r="2363" spans="1:7" ht="30" x14ac:dyDescent="0.25">
      <c r="A2363" s="4" t="str">
        <f>HYPERLINK("http://techcrunch.com/2012/05/18/zynga-share-price-facebook-ipo/","TechCrunch | Zynga’s Share Price Falls Off A Cliff As Facebook IPOs")</f>
        <v>TechCrunch | Zynga’s Share Price Falls Off A Cliff As Facebook IPOs</v>
      </c>
      <c r="B2363" s="4" t="str">
        <f>HYPERLINK("http://www.facebook.com/8062627951/posts/224960964274234","Everyone's selling their sheep, err, shares")</f>
        <v>Everyone's selling their sheep, err, shares</v>
      </c>
      <c r="C2363" s="3">
        <v>41047.350173611114</v>
      </c>
      <c r="D2363" s="2">
        <v>117</v>
      </c>
      <c r="E2363" s="2">
        <v>24</v>
      </c>
      <c r="F2363" s="2" t="s">
        <v>7</v>
      </c>
      <c r="G2363" s="2" t="s">
        <v>7</v>
      </c>
    </row>
    <row r="2364" spans="1:7" ht="30" x14ac:dyDescent="0.25">
      <c r="A2364" s="4" t="str">
        <f>HYPERLINK("http://techcrunch.com/2012/05/18/facebook-share-open-10-5-higher-at-42/","Facebook Shares Open 10.5% Higher At $42")</f>
        <v>Facebook Shares Open 10.5% Higher At $42</v>
      </c>
      <c r="B2364" s="4" t="str">
        <f>HYPERLINK("http://www.facebook.com/8062627951/posts/452879668062509","Facebook shares opened at $42.05, a 10.5 percent increase from its final price last night at $38: ")</f>
        <v xml:space="preserve">Facebook shares opened at $42.05, a 10.5 percent increase from its final price last night at $38: </v>
      </c>
      <c r="C2364" s="3">
        <v>41047.318865740737</v>
      </c>
      <c r="D2364" s="2">
        <v>221</v>
      </c>
      <c r="E2364" s="2">
        <v>33</v>
      </c>
      <c r="F2364" s="2" t="s">
        <v>7</v>
      </c>
      <c r="G2364" s="2" t="s">
        <v>7</v>
      </c>
    </row>
    <row r="2365" spans="1:7" ht="30" x14ac:dyDescent="0.25">
      <c r="A2365" s="4" t="str">
        <f>HYPERLINK("http://techcrunch.com/2012/05/18/how-facebook-hacked-the-nasdaq-button/","How Facebook Hacked The NASDAQ Button")</f>
        <v>How Facebook Hacked The NASDAQ Button</v>
      </c>
      <c r="B2365" s="4" t="str">
        <f>HYPERLINK("http://www.facebook.com/8062627951/posts/309946655754935","Ha! ")</f>
        <v xml:space="preserve">Ha! </v>
      </c>
      <c r="C2365" s="3">
        <v>41047.302442129629</v>
      </c>
      <c r="D2365" s="2">
        <v>221</v>
      </c>
      <c r="E2365" s="2">
        <v>1</v>
      </c>
      <c r="F2365" s="2" t="s">
        <v>7</v>
      </c>
      <c r="G2365" s="2" t="s">
        <v>7</v>
      </c>
    </row>
    <row r="2366" spans="1:7" ht="30" x14ac:dyDescent="0.25">
      <c r="A2366" s="4" t="str">
        <f>HYPERLINK("http://techcrunch.com/2012/05/18/photos-facebook-ceo-mark-zuckerberg-rings-in-the-nasdaq-bell/","Photos: Facebook CEO Mark Zuckerberg Rings In The NASDAQ Bell")</f>
        <v>Photos: Facebook CEO Mark Zuckerberg Rings In The NASDAQ Bell</v>
      </c>
      <c r="B2366" s="4" t="str">
        <f>HYPERLINK("http://www.facebook.com/8062627951/posts/294254403998795","Check out pics from the celebration.")</f>
        <v>Check out pics from the celebration.</v>
      </c>
      <c r="C2366" s="3">
        <v>41047.282824074071</v>
      </c>
      <c r="D2366" s="2">
        <v>55</v>
      </c>
      <c r="E2366" s="2">
        <v>3</v>
      </c>
      <c r="F2366" s="2" t="s">
        <v>7</v>
      </c>
      <c r="G2366" s="2" t="s">
        <v>7</v>
      </c>
    </row>
    <row r="2367" spans="1:7" ht="45" x14ac:dyDescent="0.25">
      <c r="A2367" s="4" t="str">
        <f>HYPERLINK("http://techcrunch.com/2012/05/18/european-activists-force-facebooks-new-privacy-changes-to-a-worldwide-vote/","European Activists Could Force Facebook’s New Privacy Changes To A Worldwide Vote")</f>
        <v>European Activists Could Force Facebook’s New Privacy Changes To A Worldwide Vote</v>
      </c>
      <c r="B2367" s="4" t="str">
        <f>HYPERLINK("http://www.facebook.com/8062627951/posts/173313786131429","These activists say Facebook shouldn't use your personal data to target ads. Do you agree?")</f>
        <v>These activists say Facebook shouldn't use your personal data to target ads. Do you agree?</v>
      </c>
      <c r="C2367" s="3">
        <v>41047.188425925924</v>
      </c>
      <c r="D2367" s="2">
        <v>114</v>
      </c>
      <c r="E2367" s="2">
        <v>47</v>
      </c>
      <c r="F2367" s="2" t="s">
        <v>8</v>
      </c>
      <c r="G2367" s="2" t="s">
        <v>7</v>
      </c>
    </row>
    <row r="2368" spans="1:7" ht="30" x14ac:dyDescent="0.25">
      <c r="A2368" s="4" t="str">
        <f>HYPERLINK("http://techcrunch.com/2012/05/18/want-facebook-shares-hks-8-securities-offers-200-of-them-if-you-join-its-trading-platform/","Want Facebook Shares? HK’s 8 Securities Offers $200 Of Them If You Join")</f>
        <v>Want Facebook Shares? HK’s 8 Securities Offers $200 Of Them If You Join</v>
      </c>
      <c r="B2368" s="4" t="str">
        <f>HYPERLINK("http://www.facebook.com/8062627951/posts/314564135291094","Get yourself some Facebook.")</f>
        <v>Get yourself some Facebook.</v>
      </c>
      <c r="C2368" s="3">
        <v>41047.066851851851</v>
      </c>
      <c r="D2368" s="2">
        <v>65</v>
      </c>
      <c r="E2368" s="2">
        <v>7</v>
      </c>
      <c r="F2368" s="2" t="s">
        <v>7</v>
      </c>
      <c r="G2368" s="2" t="s">
        <v>7</v>
      </c>
    </row>
    <row r="2369" spans="1:7" ht="45" x14ac:dyDescent="0.25">
      <c r="A2369" s="4" t="str">
        <f>HYPERLINK("http://techcrunch.com/2012/05/17/facebook-notification-controls/","Facebook Keeps Shipping. Silence Spammy Apps And More With New Notification Controls")</f>
        <v>Facebook Keeps Shipping. Silence Spammy Apps And More With New Notification Controls</v>
      </c>
      <c r="B2369" s="4" t="s">
        <v>140</v>
      </c>
      <c r="C2369" s="3">
        <v>41046.78197916667</v>
      </c>
      <c r="D2369" s="2">
        <v>123</v>
      </c>
      <c r="E2369" s="2">
        <v>9</v>
      </c>
      <c r="F2369" s="2" t="s">
        <v>7</v>
      </c>
      <c r="G2369" s="2" t="s">
        <v>7</v>
      </c>
    </row>
    <row r="2370" spans="1:7" x14ac:dyDescent="0.25">
      <c r="A2370" s="4" t="str">
        <f>HYPERLINK("http://techcrunch.com/2012/05/17/facebook-credits-about-to-grow-up-fast/","Facebook Credits About to Grow Up…. Fast")</f>
        <v>Facebook Credits About to Grow Up…. Fast</v>
      </c>
      <c r="B2370" s="4" t="str">
        <f>HYPERLINK("http://www.facebook.com/8062627951/posts/393346907375576","Facebook is about to kick off the training wheels. ")</f>
        <v xml:space="preserve">Facebook is about to kick off the training wheels. </v>
      </c>
      <c r="C2370" s="3">
        <v>41046.700208333335</v>
      </c>
      <c r="D2370" s="2">
        <v>82</v>
      </c>
      <c r="E2370" s="2">
        <v>9</v>
      </c>
      <c r="F2370" s="2" t="s">
        <v>7</v>
      </c>
      <c r="G2370" s="2" t="s">
        <v>7</v>
      </c>
    </row>
    <row r="2371" spans="1:7" ht="45" x14ac:dyDescent="0.25">
      <c r="A2371" s="4" t="str">
        <f>HYPERLINK("http://techcrunch.com/2012/05/17/facebook-confirms-ipo-share-price/","TechCrunch | Facebook Will Have The Biggest Tech IPO Ever, Raising $16 Billion With $38 Share Price")</f>
        <v>TechCrunch | Facebook Will Have The Biggest Tech IPO Ever, Raising $16 Billion With $38 Share Price</v>
      </c>
      <c r="B2371" s="4" t="str">
        <f>HYPERLINK("http://www.facebook.com/8062627951/posts/342889059110088","Wow. Bigger than Google. ")</f>
        <v xml:space="preserve">Wow. Bigger than Google. </v>
      </c>
      <c r="C2371" s="3">
        <v>41046.533576388887</v>
      </c>
      <c r="D2371" s="2">
        <v>241</v>
      </c>
      <c r="E2371" s="2">
        <v>39</v>
      </c>
      <c r="F2371" s="2" t="s">
        <v>7</v>
      </c>
      <c r="G2371" s="2" t="s">
        <v>7</v>
      </c>
    </row>
    <row r="2372" spans="1:7" ht="45" x14ac:dyDescent="0.25">
      <c r="A2372" s="4" t="str">
        <f>HYPERLINK("http://techcrunch.com/2012/05/17/how-facebook-could-make-more-money/","The Google AdSense Killer And 3 Other Ways Facebook Could Make A Lot More Money")</f>
        <v>The Google AdSense Killer And 3 Other Ways Facebook Could Make A Lot More Money</v>
      </c>
      <c r="B2372" s="4" t="str">
        <f>HYPERLINK("http://www.facebook.com/8062627951/posts/466910133324311","Here's how Facebook could actually earn $100 billion.")</f>
        <v>Here's how Facebook could actually earn $100 billion.</v>
      </c>
      <c r="C2372" s="3">
        <v>41046.485127314816</v>
      </c>
      <c r="D2372" s="2">
        <v>108</v>
      </c>
      <c r="E2372" s="2">
        <v>16</v>
      </c>
      <c r="F2372" s="2" t="s">
        <v>7</v>
      </c>
      <c r="G2372" s="2" t="s">
        <v>7</v>
      </c>
    </row>
    <row r="2373" spans="1:7" ht="30" x14ac:dyDescent="0.25">
      <c r="A2373" s="4" t="str">
        <f>HYPERLINK("http://techcrunch.com/2012/05/17/hps-stock-price-is-climbing-amid-massive-layoff-rumors/","HP’s Stock Price Is Climbing Amid Massive Layoff Rumors")</f>
        <v>HP’s Stock Price Is Climbing Amid Massive Layoff Rumors</v>
      </c>
      <c r="B2373" s="4" t="str">
        <f>HYPERLINK("http://www.facebook.com/8062627951/posts/356849947703942","The latest of new CEO Meg Whitman’s drastic changes within HP: ")</f>
        <v xml:space="preserve">The latest of new CEO Meg Whitman’s drastic changes within HP: </v>
      </c>
      <c r="C2373" s="3">
        <v>41046.465370370373</v>
      </c>
      <c r="D2373" s="2">
        <v>38</v>
      </c>
      <c r="E2373" s="2">
        <v>28</v>
      </c>
      <c r="F2373" s="2" t="s">
        <v>7</v>
      </c>
      <c r="G2373" s="2" t="s">
        <v>7</v>
      </c>
    </row>
    <row r="2374" spans="1:7" ht="45" x14ac:dyDescent="0.25">
      <c r="A2374" s="4" t="str">
        <f>HYPERLINK("http://techcrunch.com/2012/05/17/getaround-wants-to-get-you-to-techcrunch-disrupt/","Getaround Wants To Get You To TechCrunch Disrupt")</f>
        <v>Getaround Wants To Get You To TechCrunch Disrupt</v>
      </c>
      <c r="B2374" s="4" t="str">
        <f>HYPERLINK("http://www.facebook.com/8062627951/posts/309350272478692","Getaround, last year's Disrupt NYC winner, is giving away 4 free tickets to this year's show. If you want to come, make sure you enter. ")</f>
        <v xml:space="preserve">Getaround, last year's Disrupt NYC winner, is giving away 4 free tickets to this year's show. If you want to come, make sure you enter. </v>
      </c>
      <c r="C2374" s="3">
        <v>41046.410937499997</v>
      </c>
      <c r="D2374" s="2">
        <v>18</v>
      </c>
      <c r="E2374" s="2">
        <v>1</v>
      </c>
      <c r="F2374" s="2" t="s">
        <v>7</v>
      </c>
      <c r="G2374" s="2" t="s">
        <v>7</v>
      </c>
    </row>
    <row r="2375" spans="1:7" ht="30" x14ac:dyDescent="0.25">
      <c r="A2375" s="4" t="str">
        <f>HYPERLINK("http://techcrunch.com/2012/05/17/reuters-agrees-the-next-iphone-will-be-larger/","TechCrunch | Reuters Agrees: The Next iPhone Will Be Larger")</f>
        <v>TechCrunch | Reuters Agrees: The Next iPhone Will Be Larger</v>
      </c>
      <c r="B2375" s="4" t="str">
        <f>HYPERLINK("http://www.facebook.com/8062627951/posts/307173802697623","All signs point to a larger iPhone.")</f>
        <v>All signs point to a larger iPhone.</v>
      </c>
      <c r="C2375" s="3">
        <v>41046.265648148146</v>
      </c>
      <c r="D2375" s="2">
        <v>119</v>
      </c>
      <c r="E2375" s="2">
        <v>22</v>
      </c>
      <c r="F2375" s="2" t="s">
        <v>7</v>
      </c>
      <c r="G2375" s="2" t="s">
        <v>7</v>
      </c>
    </row>
    <row r="2376" spans="1:7" ht="45" x14ac:dyDescent="0.25">
      <c r="A2376" s="4" t="str">
        <f>HYPERLINK("http://techcrunch.com/2012/05/17/still-smiling-eduardo-senators-schumer-casey-want-to-collect-your-67m-in-facebook-taxes-anyway/","TechCrunch | Still Smiling, Eduardo? Senators Schumer, Casey Want To Collect Your $67M In Facebook T")</f>
        <v>TechCrunch | Still Smiling, Eduardo? Senators Schumer, Casey Want To Collect Your $67M In Facebook T</v>
      </c>
      <c r="B2376" s="4" t="str">
        <f>HYPERLINK("http://www.facebook.com/8062627951/posts/466011550081538","Fighting dirty.")</f>
        <v>Fighting dirty.</v>
      </c>
      <c r="C2376" s="3">
        <v>41046.221226851849</v>
      </c>
      <c r="D2376" s="2">
        <v>141</v>
      </c>
      <c r="E2376" s="2">
        <v>71</v>
      </c>
      <c r="F2376" s="2" t="s">
        <v>7</v>
      </c>
      <c r="G2376" s="2" t="s">
        <v>7</v>
      </c>
    </row>
    <row r="2377" spans="1:7" ht="45" x14ac:dyDescent="0.25">
      <c r="A2377" s="4" t="str">
        <f>HYPERLINK("http://techcrunch.com/2012/05/16/disney-video-beta/","Disney Video Launches In Beta, Bringing Kid-Friendly Clips And Trailers To All Your Dev...")</f>
        <v>Disney Video Launches In Beta, Bringing Kid-Friendly Clips And Trailers To All Your Dev...</v>
      </c>
      <c r="B2377" s="4" t="str">
        <f>HYPERLINK("http://www.facebook.com/8062627951/posts/275356779226232","For all of the young at heart, there's a new product that just came out of Disney Labs. ")</f>
        <v xml:space="preserve">For all of the young at heart, there's a new product that just came out of Disney Labs. </v>
      </c>
      <c r="C2377" s="3">
        <v>41045.787916666668</v>
      </c>
      <c r="D2377" s="2">
        <v>53</v>
      </c>
      <c r="E2377" s="2">
        <v>4</v>
      </c>
      <c r="F2377" s="2" t="s">
        <v>7</v>
      </c>
      <c r="G2377" s="2" t="s">
        <v>7</v>
      </c>
    </row>
    <row r="2378" spans="1:7" ht="30" x14ac:dyDescent="0.25">
      <c r="A2378" s="4" t="str">
        <f>HYPERLINK("http://techcrunch.com/2012/05/16/sleepover-time-all-night-hackathon-precedes-ipo-at-facebook-headquarters/","Sleepover Time! All-Night Hackathon Precedes Facebook IPO At Headquarters")</f>
        <v>Sleepover Time! All-Night Hackathon Precedes Facebook IPO At Headquarters</v>
      </c>
      <c r="B2378" s="4" t="str">
        <f>HYPERLINK("http://www.facebook.com/8062627951/posts/133414676793360","How many of you have participated in a Hackathon before?")</f>
        <v>How many of you have participated in a Hackathon before?</v>
      </c>
      <c r="C2378" s="3">
        <v>41045.593425925923</v>
      </c>
      <c r="D2378" s="2">
        <v>145</v>
      </c>
      <c r="E2378" s="2">
        <v>21</v>
      </c>
      <c r="F2378" s="2" t="s">
        <v>8</v>
      </c>
      <c r="G2378" s="2" t="s">
        <v>7</v>
      </c>
    </row>
    <row r="2379" spans="1:7" x14ac:dyDescent="0.25">
      <c r="A2379" s="4" t="str">
        <f>HYPERLINK("http://techcrunch.com/2012/05/16/its-time-for-a-larger-iphone/","It’s Time For A Larger iPhone")</f>
        <v>It’s Time For A Larger iPhone</v>
      </c>
      <c r="B2379" s="4" t="str">
        <f>HYPERLINK("http://www.facebook.com/8062627951/posts/133527330115398","Anyone else want a larger iPhone? ")</f>
        <v xml:space="preserve">Anyone else want a larger iPhone? </v>
      </c>
      <c r="C2379" s="3">
        <v>41045.522789351853</v>
      </c>
      <c r="D2379" s="2">
        <v>324</v>
      </c>
      <c r="E2379" s="2">
        <v>67</v>
      </c>
      <c r="F2379" s="2" t="s">
        <v>8</v>
      </c>
      <c r="G2379" s="2" t="s">
        <v>7</v>
      </c>
    </row>
    <row r="2380" spans="1:7" ht="45" x14ac:dyDescent="0.25">
      <c r="A2380" s="4" t="str">
        <f>HYPERLINK("http://techcrunch.com/2012/05/16/more-google-in-gmail-improved-circle-integration-circle-search-and-quick-access-to-contact-details/","More Google+ In Gmail: Improved Circle Integration, Circle Search and Quick Access To C...")</f>
        <v>More Google+ In Gmail: Improved Circle Integration, Circle Search and Quick Access To C...</v>
      </c>
      <c r="B2380" s="4" t="str">
        <f>HYPERLINK("http://www.facebook.com/8062627951/posts/240558779376887","Oh look, here's more! ")</f>
        <v xml:space="preserve">Oh look, here's more! </v>
      </c>
      <c r="C2380" s="3">
        <v>41045.503229166665</v>
      </c>
      <c r="D2380" s="2">
        <v>69</v>
      </c>
      <c r="E2380" s="2">
        <v>4</v>
      </c>
      <c r="F2380" s="2" t="s">
        <v>7</v>
      </c>
      <c r="G2380" s="2" t="s">
        <v>7</v>
      </c>
    </row>
    <row r="2381" spans="1:7" ht="30" x14ac:dyDescent="0.25">
      <c r="A2381" s="4" t="str">
        <f>HYPERLINK("http://techcrunch.com/2012/05/16/how-many-daily-downloads-does-it-take-to-reach-the-top-of-the-app-store/","How Many Daily Downloads Does It Take To Reach The Top Of The App Store?")</f>
        <v>How Many Daily Downloads Does It Take To Reach The Top Of The App Store?</v>
      </c>
      <c r="B2381" s="4" t="str">
        <f>HYPERLINK("http://www.facebook.com/8062627951/posts/326916520711024","Any guesses? ")</f>
        <v xml:space="preserve">Any guesses? </v>
      </c>
      <c r="C2381" s="3">
        <v>41045.467546296299</v>
      </c>
      <c r="D2381" s="2">
        <v>78</v>
      </c>
      <c r="E2381" s="2">
        <v>14</v>
      </c>
      <c r="F2381" s="2" t="s">
        <v>8</v>
      </c>
      <c r="G2381" s="2" t="s">
        <v>7</v>
      </c>
    </row>
    <row r="2382" spans="1:7" ht="30" x14ac:dyDescent="0.25">
      <c r="A2382" s="4" t="str">
        <f>HYPERLINK("http://techcrunch.com/2012/05/16/office-hours-at-tc-disrupt-this-year-will-be-all-about-design-apply-now/","Office Hours At TC Disrupt This Year Will Be All About Design. Apply Now.")</f>
        <v>Office Hours At TC Disrupt This Year Will Be All About Design. Apply Now.</v>
      </c>
      <c r="B2382" s="4" t="str">
        <f>HYPERLINK("http://www.facebook.com/8062627951/posts/310001622415613","Disrupt Office Hours are back! This year it's all about design. Apply within. ")</f>
        <v xml:space="preserve">Disrupt Office Hours are back! This year it's all about design. Apply within. </v>
      </c>
      <c r="C2382" s="3">
        <v>41045.431203703702</v>
      </c>
      <c r="D2382" s="2">
        <v>20</v>
      </c>
      <c r="E2382" s="2">
        <v>1</v>
      </c>
      <c r="F2382" s="2" t="s">
        <v>7</v>
      </c>
      <c r="G2382" s="2" t="s">
        <v>7</v>
      </c>
    </row>
    <row r="2383" spans="1:7" ht="30" x14ac:dyDescent="0.25">
      <c r="A2383" s="4" t="str">
        <f>HYPERLINK("http://techcrunch.com/2012/05/16/google-just-got-a-whole-lot-smarter-launches-its-knowledge-graph/","Google Just Got A Whole Lot Smarter, Launches Its Knowledge Graph")</f>
        <v>Google Just Got A Whole Lot Smarter, Launches Its Knowledge Graph</v>
      </c>
      <c r="B2383" s="4" t="str">
        <f>HYPERLINK("http://www.facebook.com/8062627951/posts/311167958963690","Today, Google is launching one of its most ambitious and interesting updates to its search engine in recent months. ")</f>
        <v xml:space="preserve">Today, Google is launching one of its most ambitious and interesting updates to its search engine in recent months. </v>
      </c>
      <c r="C2383" s="3">
        <v>41045.382199074076</v>
      </c>
      <c r="D2383" s="2">
        <v>602</v>
      </c>
      <c r="E2383" s="2">
        <v>25</v>
      </c>
      <c r="F2383" s="2" t="s">
        <v>7</v>
      </c>
      <c r="G2383" s="2" t="s">
        <v>7</v>
      </c>
    </row>
    <row r="2384" spans="1:7" ht="45" x14ac:dyDescent="0.25">
      <c r="A2384" s="4" t="str">
        <f>HYPERLINK("http://techcrunch.com/events/disrupt-ny-2012/agenda/","TechCrunch | Agenda")</f>
        <v>TechCrunch | Agenda</v>
      </c>
      <c r="B2384" s="4" t="str">
        <f>HYPERLINK("http://www.facebook.com/8062627951/posts/242698222497280","Like beer? What will Adrian Grenier, Justin Hawkins &amp; Ryan Sowards have to say about it? Not sure, but we will find out http://tcrn.ch/JxY0HW ")</f>
        <v xml:space="preserve">Like beer? What will Adrian Grenier, Justin Hawkins &amp; Ryan Sowards have to say about it? Not sure, but we will find out http://tcrn.ch/JxY0HW </v>
      </c>
      <c r="C2384" s="3">
        <v>41045.338923611111</v>
      </c>
      <c r="D2384" s="2">
        <v>12</v>
      </c>
      <c r="E2384" s="2">
        <v>1</v>
      </c>
      <c r="F2384" s="2" t="s">
        <v>8</v>
      </c>
      <c r="G2384" s="2" t="s">
        <v>7</v>
      </c>
    </row>
    <row r="2385" spans="1:7" ht="30" x14ac:dyDescent="0.25">
      <c r="A2385" s="4" t="str">
        <f>HYPERLINK("http://techcrunch.com/2012/05/16/thirst-aims-to-slake-your-hunger-for-relevant-twitter-content/","TechCrunch | Thirst Aims To Slake Your Hunger For Relevant Twitter Content")</f>
        <v>TechCrunch | Thirst Aims To Slake Your Hunger For Relevant Twitter Content</v>
      </c>
      <c r="B2385" s="4" t="str">
        <f>HYPERLINK("http://www.facebook.com/8062627951/posts/189453331177100","You need to try this app.")</f>
        <v>You need to try this app.</v>
      </c>
      <c r="C2385" s="3">
        <v>41045.298217592594</v>
      </c>
      <c r="D2385" s="2">
        <v>39</v>
      </c>
      <c r="E2385" s="2">
        <v>1</v>
      </c>
      <c r="F2385" s="2" t="s">
        <v>7</v>
      </c>
      <c r="G2385" s="2" t="s">
        <v>7</v>
      </c>
    </row>
    <row r="2386" spans="1:7" ht="45" x14ac:dyDescent="0.25">
      <c r="A2386" s="4" t="str">
        <f>HYPERLINK("http://techcrunch.com/2012/05/16/facebook-data-val-you-calculator/","TechCrunch | Facebook May Be Worth $100B, But What Are You Worth To Facebook?")</f>
        <v>TechCrunch | Facebook May Be Worth $100B, But What Are You Worth To Facebook?</v>
      </c>
      <c r="B2386" s="4" t="str">
        <f>HYPERLINK("http://www.facebook.com/8062627951/posts/249447241830097","What are you worth to Facebook? ")</f>
        <v xml:space="preserve">What are you worth to Facebook? </v>
      </c>
      <c r="C2386" s="3">
        <v>41045.188483796293</v>
      </c>
      <c r="D2386" s="2">
        <v>83</v>
      </c>
      <c r="E2386" s="2">
        <v>18</v>
      </c>
      <c r="F2386" s="2" t="s">
        <v>8</v>
      </c>
      <c r="G2386" s="2" t="s">
        <v>7</v>
      </c>
    </row>
    <row r="2387" spans="1:7" ht="30" x14ac:dyDescent="0.25">
      <c r="A2387" s="4" t="str">
        <f>HYPERLINK("http://techcrunch.com/2012/05/15/pandora-marriage-proposal/","Ultra-Targeted Advertising: Man Uses Pandora For Marriage Proposal")</f>
        <v>Ultra-Targeted Advertising: Man Uses Pandora For Marriage Proposal</v>
      </c>
      <c r="B2387" s="4" t="str">
        <f>HYPERLINK("http://www.facebook.com/8062627951/posts/226885674089845","Creative. And somewhat adorable. How were you proposed to? If you weren't, how did you propose? ")</f>
        <v xml:space="preserve">Creative. And somewhat adorable. How were you proposed to? If you weren't, how did you propose? </v>
      </c>
      <c r="C2387" s="3">
        <v>41044.840127314812</v>
      </c>
      <c r="D2387" s="2">
        <v>172</v>
      </c>
      <c r="E2387" s="2">
        <v>35</v>
      </c>
      <c r="F2387" s="2" t="s">
        <v>8</v>
      </c>
      <c r="G2387" s="2" t="s">
        <v>7</v>
      </c>
    </row>
    <row r="2388" spans="1:7" ht="30" x14ac:dyDescent="0.25">
      <c r="A2388" s="4" t="str">
        <f>HYPERLINK("http://techcrunch.com/2012/05/15/heres-what-could-kill-facebook/","Here’s What Could Kill Facebook")</f>
        <v>Here’s What Could Kill Facebook</v>
      </c>
      <c r="B2388" s="4" t="str">
        <f>HYPERLINK("http://www.facebook.com/8062627951/posts/406640939376885","Four things that could ruin Mark Zuckerberg’s dream of a single site that connects the world.")</f>
        <v>Four things that could ruin Mark Zuckerberg’s dream of a single site that connects the world.</v>
      </c>
      <c r="C2388" s="3">
        <v>41044.780949074076</v>
      </c>
      <c r="D2388" s="2">
        <v>254</v>
      </c>
      <c r="E2388" s="2">
        <v>59</v>
      </c>
      <c r="F2388" s="2" t="s">
        <v>7</v>
      </c>
      <c r="G2388" s="2" t="s">
        <v>7</v>
      </c>
    </row>
    <row r="2389" spans="1:7" ht="30" x14ac:dyDescent="0.25">
      <c r="A2389" s="4" t="str">
        <f>HYPERLINK("http://techcrunch.com/2012/05/15/hey-yall-techcrunch-is-headed-to-savannah-atlanta-raleigh-and-charlotte/","Hey Y’all: TechCrunch Is Headed To Savannah, Atlanta, Raleigh, And Charlotte")</f>
        <v>Hey Y’all: TechCrunch Is Headed To Savannah, Atlanta, Raleigh, And Charlotte</v>
      </c>
      <c r="B2389" s="4" t="str">
        <f>HYPERLINK("http://www.facebook.com/8062627951/posts/206913106096188","Y'all should come meet up with us! Seriously. ")</f>
        <v xml:space="preserve">Y'all should come meet up with us! Seriously. </v>
      </c>
      <c r="C2389" s="3">
        <v>41044.751331018517</v>
      </c>
      <c r="D2389" s="2">
        <v>70</v>
      </c>
      <c r="E2389" s="2">
        <v>20</v>
      </c>
      <c r="F2389" s="2" t="s">
        <v>7</v>
      </c>
      <c r="G2389" s="2" t="s">
        <v>7</v>
      </c>
    </row>
    <row r="2390" spans="1:7" ht="45" x14ac:dyDescent="0.25">
      <c r="A2390" s="4" t="str">
        <f>HYPERLINK("http://techcrunch.com/2012/05/15/3997-models-android-fragmentation-as-seen-by-the-developers-of-opensignalmaps/","3,997 Models: Android Fragmentation As Seen By The Developers Of OpenSignalMaps")</f>
        <v>3,997 Models: Android Fragmentation As Seen By The Developers Of OpenSignalMaps</v>
      </c>
      <c r="B2390" s="4" t="str">
        <f>HYPERLINK("http://www.facebook.com/8062627951/posts/133424893458269","This highlights rather nicely how big a headache fragmentation can be for developers..")</f>
        <v>This highlights rather nicely how big a headache fragmentation can be for developers..</v>
      </c>
      <c r="C2390" s="3">
        <v>41044.697465277779</v>
      </c>
      <c r="D2390" s="2">
        <v>167</v>
      </c>
      <c r="E2390" s="2">
        <v>30</v>
      </c>
      <c r="F2390" s="2" t="s">
        <v>7</v>
      </c>
      <c r="G2390" s="2" t="s">
        <v>7</v>
      </c>
    </row>
    <row r="2391" spans="1:7" ht="30" x14ac:dyDescent="0.25">
      <c r="A2391" s="4" t="str">
        <f>HYPERLINK("http://techcrunch.com/2012/05/15/the-x1-carbon-shows-lenovo-can-think-different/","The X1 Carbon Shows Lenovo Can Think Different")</f>
        <v>The X1 Carbon Shows Lenovo Can Think Different</v>
      </c>
      <c r="B2391" s="4" t="str">
        <f>HYPERLINK("http://www.facebook.com/8062627951/posts/405681436121759","Hey look! A notebook that's not a MacBook clone.")</f>
        <v>Hey look! A notebook that's not a MacBook clone.</v>
      </c>
      <c r="C2391" s="3">
        <v>41044.610532407409</v>
      </c>
      <c r="D2391" s="2">
        <v>142</v>
      </c>
      <c r="E2391" s="2">
        <v>28</v>
      </c>
      <c r="F2391" s="2" t="s">
        <v>7</v>
      </c>
      <c r="G2391" s="2" t="s">
        <v>7</v>
      </c>
    </row>
    <row r="2392" spans="1:7" x14ac:dyDescent="0.25">
      <c r="A2392" s="4" t="str">
        <f>HYPERLINK("http://techcrunch.com/2012/05/15/how-to-win-disrupt-tips-from-getaround/","How To Win Disrupt, Tips From Getaround")</f>
        <v>How To Win Disrupt, Tips From Getaround</v>
      </c>
      <c r="B2392" s="4" t="str">
        <f>HYPERLINK("http://www.facebook.com/8062627951/posts/330931026977904","Think you have what it takes to win Disrupt? ")</f>
        <v xml:space="preserve">Think you have what it takes to win Disrupt? </v>
      </c>
      <c r="C2392" s="3">
        <v>41044.558148148149</v>
      </c>
      <c r="D2392" s="2">
        <v>31</v>
      </c>
      <c r="E2392" s="2">
        <v>1</v>
      </c>
      <c r="F2392" s="2" t="s">
        <v>8</v>
      </c>
      <c r="G2392" s="2" t="s">
        <v>7</v>
      </c>
    </row>
    <row r="2393" spans="1:7" x14ac:dyDescent="0.25">
      <c r="A2393" s="4" t="str">
        <f>HYPERLINK("http://techcrunch.com/2012/05/15/amazon-killed-the-book-reviewer-star/","Amazon Killed The Book Reviewer Star")</f>
        <v>Amazon Killed The Book Reviewer Star</v>
      </c>
      <c r="B2393" s="4" t="str">
        <f>HYPERLINK("http://www.facebook.com/8062627951/posts/407685449253341","How do you feel about Amazon reviewers? ")</f>
        <v xml:space="preserve">How do you feel about Amazon reviewers? </v>
      </c>
      <c r="C2393" s="3">
        <v>41044.508750000001</v>
      </c>
      <c r="D2393" s="2">
        <v>139</v>
      </c>
      <c r="E2393" s="2">
        <v>21</v>
      </c>
      <c r="F2393" s="2" t="s">
        <v>8</v>
      </c>
      <c r="G2393" s="2" t="s">
        <v>7</v>
      </c>
    </row>
    <row r="2394" spans="1:7" ht="30" x14ac:dyDescent="0.25">
      <c r="A2394" s="4" t="str">
        <f>HYPERLINK("http://techcrunch.com/2012/05/15/chrome-19-launches-now-features-built-in-tab-syncing/","Chrome 19 Launches, Now Features Built-In Tab Syncing")</f>
        <v>Chrome 19 Launches, Now Features Built-In Tab Syncing</v>
      </c>
      <c r="B2394" s="4" t="str">
        <f>HYPERLINK("http://www.facebook.com/8062627951/posts/292204850870756","Chrome fans, are you excited? ")</f>
        <v xml:space="preserve">Chrome fans, are you excited? </v>
      </c>
      <c r="C2394" s="3">
        <v>41044.469710648147</v>
      </c>
      <c r="D2394" s="2">
        <v>634</v>
      </c>
      <c r="E2394" s="2">
        <v>63</v>
      </c>
      <c r="F2394" s="2" t="s">
        <v>8</v>
      </c>
      <c r="G2394" s="2" t="s">
        <v>7</v>
      </c>
    </row>
    <row r="2395" spans="1:7" ht="45" x14ac:dyDescent="0.25">
      <c r="A2395" s="4" t="str">
        <f>HYPERLINK("http://techcrunch.com/2012/05/15/facebook-lightbox/","Facebook Hires Team From Android Photosharing App Dev Lightbox To Quiet Mobile Fears")</f>
        <v>Facebook Hires Team From Android Photosharing App Dev Lightbox To Quiet Mobile Fears</v>
      </c>
      <c r="B2395" s="4" t="str">
        <f>HYPERLINK("http://www.facebook.com/8062627951/posts/399386473455680","More mobile engineers = Faster mobile apps. Thankfully.")</f>
        <v>More mobile engineers = Faster mobile apps. Thankfully.</v>
      </c>
      <c r="C2395" s="3">
        <v>41044.398564814815</v>
      </c>
      <c r="D2395" s="2">
        <v>178</v>
      </c>
      <c r="E2395" s="2">
        <v>16</v>
      </c>
      <c r="F2395" s="2" t="s">
        <v>7</v>
      </c>
      <c r="G2395" s="2" t="s">
        <v>7</v>
      </c>
    </row>
    <row r="2396" spans="1:7" ht="45" x14ac:dyDescent="0.25">
      <c r="A2396" s="4" t="str">
        <f>HYPERLINK("http://techcrunch.com/2012/05/15/watch-out-google-zoho-just-launched-a-better-diy-website-builder-and-it-does-mobile-too/","TechCrunch | Watch Out Google, Zoho Just Launched A Better DIY Website Builder (And It Does Mobile,.")</f>
        <v>TechCrunch | Watch Out Google, Zoho Just Launched A Better DIY Website Builder (And It Does Mobile,.</v>
      </c>
      <c r="B2396" s="4" t="str">
        <f>HYPERLINK("http://www.facebook.com/8062627951/posts/173295676132629","Zoho, making the web a better place.")</f>
        <v>Zoho, making the web a better place.</v>
      </c>
      <c r="C2396" s="3">
        <v>41044.328634259262</v>
      </c>
      <c r="D2396" s="2">
        <v>149</v>
      </c>
      <c r="E2396" s="2">
        <v>11</v>
      </c>
      <c r="F2396" s="2" t="s">
        <v>7</v>
      </c>
      <c r="G2396" s="2" t="s">
        <v>7</v>
      </c>
    </row>
    <row r="2397" spans="1:7" ht="45" x14ac:dyDescent="0.25">
      <c r="A2397" s="4" t="str">
        <f>HYPERLINK("http://techcrunch.com/2012/05/15/kaiser-worldpanel-android-dominates-smartphone-sales-overall-in-u-s-ios-closing-in/","TechCrunch | Kaiser Worldpanel: Android Dominates Smartphone Sales Overall; In U.S. iOS Closing In")</f>
        <v>TechCrunch | Kaiser Worldpanel: Android Dominates Smartphone Sales Overall; In U.S. iOS Closing In</v>
      </c>
      <c r="B2397" s="4" t="str">
        <f>HYPERLINK("http://www.facebook.com/8062627951/posts/370270309687222","Another day, another mobile platform analysis report. This one has Android winning worldwide but with iOS gaining ground in the US. ")</f>
        <v xml:space="preserve">Another day, another mobile platform analysis report. This one has Android winning worldwide but with iOS gaining ground in the US. </v>
      </c>
      <c r="C2397" s="3">
        <v>41044.212164351855</v>
      </c>
      <c r="D2397" s="2">
        <v>65</v>
      </c>
      <c r="E2397" s="2">
        <v>10</v>
      </c>
      <c r="F2397" s="2" t="s">
        <v>7</v>
      </c>
      <c r="G2397" s="2" t="s">
        <v>7</v>
      </c>
    </row>
    <row r="2398" spans="1:7" ht="45" x14ac:dyDescent="0.25">
      <c r="A2398" s="4" t="str">
        <f>HYPERLINK("http://techcrunch.com/2012/05/14/facebook-greenshoe/","To Capitalize On Demand, Facebook May Sell 50 Million Extra Shares At Increased $34-$38...")</f>
        <v>To Capitalize On Demand, Facebook May Sell 50 Million Extra Shares At Increased $34-$38...</v>
      </c>
      <c r="B2398" s="4" t="str">
        <f>HYPERLINK("http://www.facebook.com/8062627951/posts/413013418720097","Everyone wants a piece of Facebook.")</f>
        <v>Everyone wants a piece of Facebook.</v>
      </c>
      <c r="C2398" s="3">
        <v>41043.856956018521</v>
      </c>
      <c r="D2398" s="2">
        <v>121</v>
      </c>
      <c r="E2398" s="2">
        <v>18</v>
      </c>
      <c r="F2398" s="2" t="s">
        <v>7</v>
      </c>
      <c r="G2398" s="2" t="s">
        <v>7</v>
      </c>
    </row>
    <row r="2399" spans="1:7" ht="45" x14ac:dyDescent="0.25">
      <c r="A2399" s="4" t="str">
        <f>HYPERLINK("http://techcrunch.com/2012/05/12/marc-andreessen-visits-peter-thiels-stanford-class-to-talk-startups-how-he-invests-the-future/","Marc Andreessen Visits Peter Thiel’s Stanford Class To Talk Startups, How He Invests &amp;...")</f>
        <v>Marc Andreessen Visits Peter Thiel’s Stanford Class To Talk Startups, How He Invests &amp;...</v>
      </c>
      <c r="B2399" s="4" t="str">
        <f>HYPERLINK("http://www.facebook.com/8062627951/posts/463219030360078","Did you know Peter Thiel taught a class about startups? ")</f>
        <v xml:space="preserve">Did you know Peter Thiel taught a class about startups? </v>
      </c>
      <c r="C2399" s="3">
        <v>41043.639120370368</v>
      </c>
      <c r="D2399" s="2">
        <v>116</v>
      </c>
      <c r="E2399" s="2">
        <v>10</v>
      </c>
      <c r="F2399" s="2" t="s">
        <v>8</v>
      </c>
      <c r="G2399" s="2" t="s">
        <v>7</v>
      </c>
    </row>
    <row r="2400" spans="1:7" ht="45" x14ac:dyDescent="0.25">
      <c r="A2400" s="4" t="str">
        <f>HYPERLINK("http://techcrunch.com/2012/05/14/quora-raises-50-at-400m-from-peter-thiel-dangelo-puts-20m-of-his-own-money/","Quora Raises $50M At $400M From Peter Thiel, D’Angelo Puts In $20M Of His Own Money")</f>
        <v>Quora Raises $50M At $400M From Peter Thiel, D’Angelo Puts In $20M Of His Own Money</v>
      </c>
      <c r="B2400" s="4" t="str">
        <f>HYPERLINK("http://www.facebook.com/8062627951/posts/433032783381920","Q&amp;A site Quora has raised $50 million at a $400 million valuation. Do you use it? ")</f>
        <v xml:space="preserve">Q&amp;A site Quora has raised $50 million at a $400 million valuation. Do you use it? </v>
      </c>
      <c r="C2400" s="3">
        <v>41043.582407407404</v>
      </c>
      <c r="D2400" s="2">
        <v>149</v>
      </c>
      <c r="E2400" s="2">
        <v>57</v>
      </c>
      <c r="F2400" s="2" t="s">
        <v>8</v>
      </c>
      <c r="G2400" s="2" t="s">
        <v>7</v>
      </c>
    </row>
    <row r="2401" spans="1:7" ht="45" x14ac:dyDescent="0.25">
      <c r="A2401" s="4" t="str">
        <f>HYPERLINK("http://techcrunch.com/2012/05/14/announcing-your-disrupt-nyc-finals-judges-chien-wilson-arrington-botha-mayer-and-dixon/","Announcing Your Disrupt NYC Finals Judges: Chien, Wilson, Arrington, Botha, Mayer and D...")</f>
        <v>Announcing Your Disrupt NYC Finals Judges: Chien, Wilson, Arrington, Botha, Mayer and D...</v>
      </c>
      <c r="B2401" s="4" t="str">
        <f>HYPERLINK("http://www.facebook.com/8062627951/posts/363385927052132","Here are your Disrupt NYC finals judges! ")</f>
        <v xml:space="preserve">Here are your Disrupt NYC finals judges! </v>
      </c>
      <c r="C2401" s="3">
        <v>41043.566840277781</v>
      </c>
      <c r="D2401" s="2">
        <v>21</v>
      </c>
      <c r="E2401" s="2">
        <v>0</v>
      </c>
      <c r="F2401" s="2" t="s">
        <v>7</v>
      </c>
      <c r="G2401" s="2" t="s">
        <v>7</v>
      </c>
    </row>
    <row r="2402" spans="1:7" ht="30" x14ac:dyDescent="0.25">
      <c r="A2402" s="4" t="str">
        <f>HYPERLINK("http://techcrunch.com/2012/05/14/facebook-rings-bell-ipo-menlo-park/","Zuckerberg Will Ring In Facebook IPO From Menlo Park HQ On Friday")</f>
        <v>Zuckerberg Will Ring In Facebook IPO From Menlo Park HQ On Friday</v>
      </c>
      <c r="B2402" s="4" t="str">
        <f>HYPERLINK("http://www.facebook.com/8062627951/posts/359445370783999","It's almost time. ")</f>
        <v xml:space="preserve">It's almost time. </v>
      </c>
      <c r="C2402" s="3">
        <v>41043.534687500003</v>
      </c>
      <c r="D2402" s="2">
        <v>208</v>
      </c>
      <c r="E2402" s="2">
        <v>13</v>
      </c>
      <c r="F2402" s="2" t="s">
        <v>7</v>
      </c>
      <c r="G2402" s="2" t="s">
        <v>7</v>
      </c>
    </row>
    <row r="2403" spans="1:7" ht="45" x14ac:dyDescent="0.25">
      <c r="A2403" s="4" t="str">
        <f>HYPERLINK("http://techcrunch.com/2012/05/14/facebook-mobile-redesign/","Facebook Takes A Cue From Instagram, Redesigns Mobile To Make News Feed Photos 3X Larger")</f>
        <v>Facebook Takes A Cue From Instagram, Redesigns Mobile To Make News Feed Photos 3X Larger</v>
      </c>
      <c r="B2403" s="4" t="str">
        <f>HYPERLINK("http://www.facebook.com/8062627951/posts/302074889878349","What do you think of Facebook's mobile redesign?")</f>
        <v>What do you think of Facebook's mobile redesign?</v>
      </c>
      <c r="C2403" s="3">
        <v>41043.464861111112</v>
      </c>
      <c r="D2403" s="2">
        <v>372</v>
      </c>
      <c r="E2403" s="2">
        <v>51</v>
      </c>
      <c r="F2403" s="2" t="s">
        <v>8</v>
      </c>
      <c r="G2403" s="2" t="s">
        <v>7</v>
      </c>
    </row>
    <row r="2404" spans="1:7" ht="75" x14ac:dyDescent="0.25">
      <c r="A2404" s="4" t="str">
        <f>HYPERLINK("http://techcrunch.com/2012/05/14/vcs-at-work-the-anatomy-of-a-killer-startup/","How To Appeal To Investors: Top VCs Reveal The Anatomy Of A Successful Entrepreneur")</f>
        <v>How To Appeal To Investors: Top VCs Reveal The Anatomy Of A Successful Entrepreneur</v>
      </c>
      <c r="B2404" s="4" t="s">
        <v>141</v>
      </c>
      <c r="C2404" s="3">
        <v>41043.430497685185</v>
      </c>
      <c r="D2404" s="2">
        <v>149</v>
      </c>
      <c r="E2404" s="2">
        <v>11</v>
      </c>
      <c r="F2404" s="2" t="s">
        <v>7</v>
      </c>
      <c r="G2404" s="2" t="s">
        <v>7</v>
      </c>
    </row>
    <row r="2405" spans="1:7" ht="45" x14ac:dyDescent="0.25">
      <c r="A2405" s="4" t="str">
        <f>HYPERLINK("http://techcrunch.com/2012/05/14/from-tc50-to-a-25m-funding-round-and-a-spin-off-yexts-howard-lerman-tells-all/","TechCrunch | From TC50 To A $25M Funding Round And A Spin-Off, Yext’s Howard Lerman Tells All")</f>
        <v>TechCrunch | From TC50 To A $25M Funding Round And A Spin-Off, Yext’s Howard Lerman Tells All</v>
      </c>
      <c r="B2405" s="4" t="str">
        <f>HYPERLINK("http://www.facebook.com/8062627951/posts/215441141905914","Another fantastic success story.")</f>
        <v>Another fantastic success story.</v>
      </c>
      <c r="C2405" s="3">
        <v>41043.392256944448</v>
      </c>
      <c r="D2405" s="2">
        <v>24</v>
      </c>
      <c r="E2405" s="2">
        <v>1</v>
      </c>
      <c r="F2405" s="2" t="s">
        <v>7</v>
      </c>
      <c r="G2405" s="2" t="s">
        <v>7</v>
      </c>
    </row>
    <row r="2406" spans="1:7" ht="30" x14ac:dyDescent="0.25">
      <c r="A2406" s="4" t="str">
        <f>HYPERLINK("http://techcrunch.com/2012/05/14/keeping-the-mbp-a-professional-notebook/","TechCrunch | Apple Poised To Keep The “Pro” In MacBook Pro, Says Rumor")</f>
        <v>TechCrunch | Apple Poised To Keep The “Pro” In MacBook Pro, Says Rumor</v>
      </c>
      <c r="B2406" s="4" t="str">
        <f>HYPERLINK("http://www.facebook.com/8062627951/posts/358811800842093","Who's ready for a thinner MacBook Pro?")</f>
        <v>Who's ready for a thinner MacBook Pro?</v>
      </c>
      <c r="C2406" s="3">
        <v>41043.298009259262</v>
      </c>
      <c r="D2406" s="2">
        <v>219</v>
      </c>
      <c r="E2406" s="2">
        <v>35</v>
      </c>
      <c r="F2406" s="2" t="s">
        <v>8</v>
      </c>
      <c r="G2406" s="2" t="s">
        <v>7</v>
      </c>
    </row>
    <row r="2407" spans="1:7" ht="45" x14ac:dyDescent="0.25">
      <c r="A2407" s="4" t="str">
        <f>HYPERLINK("http://techcrunch.com/2012/05/14/itu-there-are-now-over-1-billion-users-of-social-media-worldwide-most-on-mobile/","TechCrunch | ITU: There Are Now Over 1 Billion Users Of Social Media Worldwide, Most On Mobile")</f>
        <v>TechCrunch | ITU: There Are Now Over 1 Billion Users Of Social Media Worldwide, Most On Mobile</v>
      </c>
      <c r="B2407" s="4" t="str">
        <f>HYPERLINK("http://www.facebook.com/8062627951/posts/335639979836059","In case there was any doubt regarding mobile as the dominate platform...")</f>
        <v>In case there was any doubt regarding mobile as the dominate platform...</v>
      </c>
      <c r="C2407" s="3">
        <v>41043.245729166665</v>
      </c>
      <c r="D2407" s="2">
        <v>141</v>
      </c>
      <c r="E2407" s="2">
        <v>11</v>
      </c>
      <c r="F2407" s="2" t="s">
        <v>7</v>
      </c>
      <c r="G2407" s="2" t="s">
        <v>7</v>
      </c>
    </row>
    <row r="2408" spans="1:7" x14ac:dyDescent="0.25">
      <c r="A2408" s="4" t="str">
        <f>HYPERLINK("http://techcrunch.com/2012/05/13/how-to-raise-1m-seed-round/","How To Raise A $1M Seed Round")</f>
        <v>How To Raise A $1M Seed Round</v>
      </c>
      <c r="B2408" s="4" t="str">
        <f>HYPERLINK("http://www.facebook.com/8062627951/posts/412238368797878","Here's how you do it. ")</f>
        <v xml:space="preserve">Here's how you do it. </v>
      </c>
      <c r="C2408" s="3">
        <v>41042.790150462963</v>
      </c>
      <c r="D2408" s="2">
        <v>191</v>
      </c>
      <c r="E2408" s="2">
        <v>12</v>
      </c>
      <c r="F2408" s="2" t="s">
        <v>7</v>
      </c>
      <c r="G2408" s="2" t="s">
        <v>7</v>
      </c>
    </row>
    <row r="2409" spans="1:7" ht="30" x14ac:dyDescent="0.25">
      <c r="A2409" s="4" t="str">
        <f>HYPERLINK("http://techcrunch.com/2012/05/13/with-its-new-google-app-google-finally-gets-it-right/","TechCrunch | With Its New Google+ App, Google Finally Gets It Right")</f>
        <v>TechCrunch | With Its New Google+ App, Google Finally Gets It Right</v>
      </c>
      <c r="B2409" s="4" t="str">
        <f>HYPERLINK("http://www.facebook.com/8062627951/posts/299479613469175","What do you think of the new Google+ iPhone App? ")</f>
        <v xml:space="preserve">What do you think of the new Google+ iPhone App? </v>
      </c>
      <c r="C2409" s="3">
        <v>41042.589062500003</v>
      </c>
      <c r="D2409" s="2">
        <v>401</v>
      </c>
      <c r="E2409" s="2">
        <v>106</v>
      </c>
      <c r="F2409" s="2" t="s">
        <v>8</v>
      </c>
      <c r="G2409" s="2" t="s">
        <v>7</v>
      </c>
    </row>
    <row r="2410" spans="1:7" ht="45" x14ac:dyDescent="0.25">
      <c r="A2410" s="4" t="str">
        <f>HYPERLINK("http://techcrunch.com/2012/05/13/no-more-beating-around-the-bush-at-yahoo-thompson-is-out-levinsohn-in-as-ceo-effectively-immediately-amoroso-new-chairman/","TechCrunch | No More Beating Around The Bush At Yahoo: Thompson Is Out, Levinsohn In As CEO, Effecti")</f>
        <v>TechCrunch | No More Beating Around The Bush At Yahoo: Thompson Is Out, Levinsohn In As CEO, Effecti</v>
      </c>
      <c r="B2410" s="4" t="str">
        <f>HYPERLINK("http://www.facebook.com/8062627951/posts/152479268216885","Maybe you knew this was coming?")</f>
        <v>Maybe you knew this was coming?</v>
      </c>
      <c r="C2410" s="3">
        <v>41042.50273148148</v>
      </c>
      <c r="D2410" s="2">
        <v>116</v>
      </c>
      <c r="E2410" s="2">
        <v>29</v>
      </c>
      <c r="F2410" s="2" t="s">
        <v>8</v>
      </c>
      <c r="G2410" s="2" t="s">
        <v>7</v>
      </c>
    </row>
    <row r="2411" spans="1:7" ht="45" x14ac:dyDescent="0.25">
      <c r="A2411" s="4" t="str">
        <f>HYPERLINK("http://techcrunch.com/2012/05/13/box-the-path-from-arringtons-backyard-to-a-billion-dollar-business/","TechCrunch | Box: The Path From Arrington’s Backyard To A Billion Dollar Business")</f>
        <v>TechCrunch | Box: The Path From Arrington’s Backyard To A Billion Dollar Business</v>
      </c>
      <c r="B2411" s="4" t="str">
        <f>HYPERLINK("http://www.facebook.com/8062627951/posts/302448813172524","Here's how Box became a billion dollar business.")</f>
        <v>Here's how Box became a billion dollar business.</v>
      </c>
      <c r="C2411" s="3">
        <v>41042.43240740741</v>
      </c>
      <c r="D2411" s="2">
        <v>202</v>
      </c>
      <c r="E2411" s="2">
        <v>10</v>
      </c>
      <c r="F2411" s="2" t="s">
        <v>7</v>
      </c>
      <c r="G2411" s="2" t="s">
        <v>7</v>
      </c>
    </row>
    <row r="2412" spans="1:7" ht="45" x14ac:dyDescent="0.25">
      <c r="A2412" s="4" t="str">
        <f>HYPERLINK("http://techcrunch.com/2012/05/12/mobile-facebook-and-google-cant-live-with-it-and-they-cant-live-without-it/","TechCrunch | Mobile – Facebook And Google Can’t Live With It And They Can’t Live Without It")</f>
        <v>TechCrunch | Mobile – Facebook And Google Can’t Live With It And They Can’t Live Without It</v>
      </c>
      <c r="B2412" s="4" t="str">
        <f>HYPERLINK("http://www.facebook.com/8062627951/posts/373141709402707","Death or Mobile? ")</f>
        <v xml:space="preserve">Death or Mobile? </v>
      </c>
      <c r="C2412" s="3">
        <v>41041.528182870374</v>
      </c>
      <c r="D2412" s="2">
        <v>193</v>
      </c>
      <c r="E2412" s="2">
        <v>6</v>
      </c>
      <c r="F2412" s="2" t="s">
        <v>8</v>
      </c>
      <c r="G2412" s="2" t="s">
        <v>7</v>
      </c>
    </row>
    <row r="2413" spans="1:7" ht="45" x14ac:dyDescent="0.25">
      <c r="A2413" s="4" t="str">
        <f>HYPERLINK("http://techcrunch.com/2012/05/12/warren-buffett-is-a-punk/","Warren Buffett Is A Punk")</f>
        <v>Warren Buffett Is A Punk</v>
      </c>
      <c r="B2413" s="4" t="s">
        <v>142</v>
      </c>
      <c r="C2413" s="3">
        <v>41041.320856481485</v>
      </c>
      <c r="D2413" s="2">
        <v>185</v>
      </c>
      <c r="E2413" s="2">
        <v>53</v>
      </c>
      <c r="F2413" s="2" t="s">
        <v>7</v>
      </c>
      <c r="G2413" s="2" t="s">
        <v>7</v>
      </c>
    </row>
    <row r="2414" spans="1:7" ht="30" x14ac:dyDescent="0.25">
      <c r="A2414" s="4" t="str">
        <f>HYPERLINK("http://techcrunch.com/2012/05/11/the-importance-of-social-media-in-elections-mostly-hot-air/","TechCrunch | The Importance Of Social Media In Elections: Mostly Hot Air")</f>
        <v>TechCrunch | The Importance Of Social Media In Elections: Mostly Hot Air</v>
      </c>
      <c r="B2414" s="4" t="str">
        <f>HYPERLINK("http://www.facebook.com/8062627951/posts/124089824393883","Do you think Facebook and Twitter can make a difference in the elections this year?  ")</f>
        <v xml:space="preserve">Do you think Facebook and Twitter can make a difference in the elections this year?  </v>
      </c>
      <c r="C2414" s="3">
        <v>41040.944664351853</v>
      </c>
      <c r="D2414" s="2">
        <v>75</v>
      </c>
      <c r="E2414" s="2">
        <v>22</v>
      </c>
      <c r="F2414" s="2" t="s">
        <v>8</v>
      </c>
      <c r="G2414" s="2" t="s">
        <v>7</v>
      </c>
    </row>
    <row r="2415" spans="1:7" ht="30" x14ac:dyDescent="0.25">
      <c r="A2415" s="4" t="str">
        <f>HYPERLINK("http://techcrunch.com/2012/05/11/circle-if-highlight-and-path-had-a-beautiful-ambient-location-child/","Circle: If Highlight And Path Had A Beautiful Ambient Location Child")</f>
        <v>Circle: If Highlight And Path Had A Beautiful Ambient Location Child</v>
      </c>
      <c r="B2415" s="4" t="str">
        <f>HYPERLINK("http://www.facebook.com/8062627951/posts/360624097328602","What do you think so far of the new app Circle? ")</f>
        <v xml:space="preserve">What do you think so far of the new app Circle? </v>
      </c>
      <c r="C2415" s="3">
        <v>41040.793113425927</v>
      </c>
      <c r="D2415" s="2">
        <v>69</v>
      </c>
      <c r="E2415" s="2">
        <v>10</v>
      </c>
      <c r="F2415" s="2" t="s">
        <v>8</v>
      </c>
      <c r="G2415" s="2" t="s">
        <v>7</v>
      </c>
    </row>
    <row r="2416" spans="1:7" ht="30" x14ac:dyDescent="0.25">
      <c r="A2416" s="4" t="str">
        <f>HYPERLINK("http://techcrunch.com/2012/05/11/from-disrupt-ny-to-a-43-million-skype-acquisition-groupme-tells-all/","From Disrupt NY To A $43 Million Skype Acquisition, GroupMe Tells All")</f>
        <v>From Disrupt NY To A $43 Million Skype Acquisition, GroupMe Tells All</v>
      </c>
      <c r="B2416" s="4" t="str">
        <f>HYPERLINK("http://www.facebook.com/8062627951/posts/312867542127486","Disrupt Startups: Where They Are Now - GroupMe. ")</f>
        <v xml:space="preserve">Disrupt Startups: Where They Are Now - GroupMe. </v>
      </c>
      <c r="C2416" s="3">
        <v>41040.676168981481</v>
      </c>
      <c r="D2416" s="2">
        <v>51</v>
      </c>
      <c r="E2416" s="2">
        <v>1</v>
      </c>
      <c r="F2416" s="2" t="s">
        <v>7</v>
      </c>
      <c r="G2416" s="2" t="s">
        <v>7</v>
      </c>
    </row>
    <row r="2417" spans="1:7" ht="30" x14ac:dyDescent="0.25">
      <c r="A2417" s="4" t="str">
        <f>HYPERLINK("http://techcrunch.com/2012/05/11/ios-6-and-the-sundance-kid/","iOS 6 “Sundance” And The Sunsetting Of Google Maps")</f>
        <v>iOS 6 “Sundance” And The Sunsetting Of Google Maps</v>
      </c>
      <c r="B2417" s="4" t="str">
        <f>HYPERLINK("http://www.facebook.com/8062627951/posts/378126892233660","For Google Maps, winter is coming. Potentially. ")</f>
        <v xml:space="preserve">For Google Maps, winter is coming. Potentially. </v>
      </c>
      <c r="C2417" s="3">
        <v>41040.600983796299</v>
      </c>
      <c r="D2417" s="2">
        <v>88</v>
      </c>
      <c r="E2417" s="2">
        <v>26</v>
      </c>
      <c r="F2417" s="2" t="s">
        <v>7</v>
      </c>
      <c r="G2417" s="2" t="s">
        <v>7</v>
      </c>
    </row>
    <row r="2418" spans="1:7" ht="30" x14ac:dyDescent="0.25">
      <c r="A2418" s="4" t="str">
        <f>HYPERLINK("http://techcrunch.com/2012/05/11/come-ios-6-apple-will-reportedly-kiss-google-maps-goodbye/","Come iOS 6, Apple Will Reportedly Kiss Google Maps Goodbye")</f>
        <v>Come iOS 6, Apple Will Reportedly Kiss Google Maps Goodbye</v>
      </c>
      <c r="B2418" s="4" t="str">
        <f>HYPERLINK("http://www.facebook.com/8062627951/posts/341305375934594","Come iOS 6, say goodbye to Google Maps. ")</f>
        <v xml:space="preserve">Come iOS 6, say goodbye to Google Maps. </v>
      </c>
      <c r="C2418" s="3">
        <v>41040.57371527778</v>
      </c>
      <c r="D2418" s="2">
        <v>275</v>
      </c>
      <c r="E2418" s="2">
        <v>55</v>
      </c>
      <c r="F2418" s="2" t="s">
        <v>7</v>
      </c>
      <c r="G2418" s="2" t="s">
        <v>7</v>
      </c>
    </row>
    <row r="2419" spans="1:7" ht="45" x14ac:dyDescent="0.25">
      <c r="A2419" s="4" t="str">
        <f>HYPERLINK("http://techcrunch.com/2012/05/11/text-the-rainbow-color-text-messages-nabs-top-social-app-spot-from-facebook-twitter/","Text The Rainbow: Color Text Messages+ Nabs Top Social App Spot From Facebook, Twitter")</f>
        <v>Text The Rainbow: Color Text Messages+ Nabs Top Social App Spot From Facebook, Twitter</v>
      </c>
      <c r="B2419" s="4" t="str">
        <f>HYPERLINK("http://www.facebook.com/8062627951/posts/341131639287765","This new app has just taken the App Store by storm - a very colorful, rainbowful storm. ")</f>
        <v xml:space="preserve">This new app has just taken the App Store by storm - a very colorful, rainbowful storm. </v>
      </c>
      <c r="C2419" s="3">
        <v>41040.500937500001</v>
      </c>
      <c r="D2419" s="2">
        <v>100</v>
      </c>
      <c r="E2419" s="2">
        <v>43</v>
      </c>
      <c r="F2419" s="2" t="s">
        <v>7</v>
      </c>
      <c r="G2419" s="2" t="s">
        <v>7</v>
      </c>
    </row>
    <row r="2420" spans="1:7" ht="45" x14ac:dyDescent="0.25">
      <c r="A2420" s="4" t="str">
        <f>HYPERLINK("http://techcrunch.com/2012/05/11/eduardo-saverin-facebook-ipo-us-citizenshi/","Just In Time For A Facebook IPO Tax Break, Eduardo Saverin Renounces U.S. Citizenship")</f>
        <v>Just In Time For A Facebook IPO Tax Break, Eduardo Saverin Renounces U.S. Citizenship</v>
      </c>
      <c r="B2420" s="4" t="str">
        <f>HYPERLINK("http://www.facebook.com/8062627951/posts/359766284085105","Well that's some slick timing....")</f>
        <v>Well that's some slick timing....</v>
      </c>
      <c r="C2420" s="3">
        <v>41040.409560185188</v>
      </c>
      <c r="D2420" s="2">
        <v>252</v>
      </c>
      <c r="E2420" s="2">
        <v>66</v>
      </c>
      <c r="F2420" s="2" t="s">
        <v>7</v>
      </c>
      <c r="G2420" s="2" t="s">
        <v>7</v>
      </c>
    </row>
    <row r="2421" spans="1:7" ht="30" x14ac:dyDescent="0.25">
      <c r="A2421" s="4" t="str">
        <f>HYPERLINK("http://techcrunch.com/2012/05/11/facebook-privacy-policy-changes/","Facebook Fleshes Out Privacy Policy To Comply With Data Protection Audits")</f>
        <v>Facebook Fleshes Out Privacy Policy To Comply With Data Protection Audits</v>
      </c>
      <c r="B2421" s="4" t="str">
        <f>HYPERLINK("http://www.facebook.com/8062627951/posts/270626753033428","See how Facebook's privacy policy changes affect you:")</f>
        <v>See how Facebook's privacy policy changes affect you:</v>
      </c>
      <c r="C2421" s="3">
        <v>41040.365451388891</v>
      </c>
      <c r="D2421" s="2">
        <v>50</v>
      </c>
      <c r="E2421" s="2">
        <v>3</v>
      </c>
      <c r="F2421" s="2" t="s">
        <v>7</v>
      </c>
      <c r="G2421" s="2" t="s">
        <v>7</v>
      </c>
    </row>
    <row r="2422" spans="1:7" ht="30" x14ac:dyDescent="0.25">
      <c r="A2422" s="4" t="str">
        <f>HYPERLINK("http://techcrunch.com/2012/05/11/techcrunch-giveaway-last-chance-to-win-tickets-to-disrupt-nyc-tcdisrupt/","TechCrunch Giveaway: Last Chance To Win Tickets To Disrupt NYC #TCDisrupt")</f>
        <v>TechCrunch Giveaway: Last Chance To Win Tickets To Disrupt NYC #TCDisrupt</v>
      </c>
      <c r="B2422" s="4" t="str">
        <f>HYPERLINK("http://www.facebook.com/8062627951/posts/331045096962166","This is your last chance to win tickets to Disrupt NYC! Make sure you enter. ")</f>
        <v xml:space="preserve">This is your last chance to win tickets to Disrupt NYC! Make sure you enter. </v>
      </c>
      <c r="C2422" s="3">
        <v>41040.335358796299</v>
      </c>
      <c r="D2422" s="2">
        <v>28</v>
      </c>
      <c r="E2422" s="2">
        <v>2</v>
      </c>
      <c r="F2422" s="2" t="s">
        <v>7</v>
      </c>
      <c r="G2422" s="2" t="s">
        <v>7</v>
      </c>
    </row>
    <row r="2423" spans="1:7" ht="30" x14ac:dyDescent="0.25">
      <c r="A2423" s="4" t="str">
        <f>HYPERLINK("http://techcrunch.com/2012/05/11/foxconn-chief-confirms-the-apple-itv/","TechCrunch | Foxconn Chief Confirms The Apple iTV")</f>
        <v>TechCrunch | Foxconn Chief Confirms The Apple iTV</v>
      </c>
      <c r="B2423" s="4" t="str">
        <f>HYPERLINK("http://www.facebook.com/8062627951/posts/439285396100290","The Apple iTV is coming! The Apple iTV is coming! ")</f>
        <v xml:space="preserve">The Apple iTV is coming! The Apple iTV is coming! </v>
      </c>
      <c r="C2423" s="3">
        <v>41040.280914351853</v>
      </c>
      <c r="D2423" s="2">
        <v>345</v>
      </c>
      <c r="E2423" s="2">
        <v>40</v>
      </c>
      <c r="F2423" s="2" t="s">
        <v>7</v>
      </c>
      <c r="G2423" s="2" t="s">
        <v>7</v>
      </c>
    </row>
    <row r="2424" spans="1:7" ht="45" x14ac:dyDescent="0.25">
      <c r="A2424" s="4" t="str">
        <f>HYPERLINK("http://techcrunch.com/2012/05/11/qype-the-yelp-of-europe-reaches-860000-places-reviewed-and-expands-its-daily-deals-service/","TechCrunch | Qype, The Yelp Of Europe, Claims Top Dog Status With 860,000 Places Reviewed, Expands D")</f>
        <v>TechCrunch | Qype, The Yelp Of Europe, Claims Top Dog Status With 860,000 Places Reviewed, Expands D</v>
      </c>
      <c r="B2424" s="4" t="str">
        <f>HYPERLINK("http://www.facebook.com/8062627951/posts/222240041221285","Qype wins Europe. ")</f>
        <v xml:space="preserve">Qype wins Europe. </v>
      </c>
      <c r="C2424" s="3">
        <v>41040.195219907408</v>
      </c>
      <c r="D2424" s="2">
        <v>39</v>
      </c>
      <c r="E2424" s="2">
        <v>1</v>
      </c>
      <c r="F2424" s="2" t="s">
        <v>7</v>
      </c>
      <c r="G2424" s="2" t="s">
        <v>7</v>
      </c>
    </row>
    <row r="2425" spans="1:7" ht="30" x14ac:dyDescent="0.25">
      <c r="A2425" s="4" t="str">
        <f>HYPERLINK("http://techcrunch.com/2012/05/10/heres-what-the-facebook-app-center-is-really-about/","Here’s What The Facebook App Center Is Really About")</f>
        <v>Here’s What The Facebook App Center Is Really About</v>
      </c>
      <c r="B2425" s="4" t="str">
        <f>HYPERLINK("http://www.facebook.com/8062627951/posts/457137710978897","What the Facebook App Center REALLY means.")</f>
        <v>What the Facebook App Center REALLY means.</v>
      </c>
      <c r="C2425" s="3">
        <v>41039.988194444442</v>
      </c>
      <c r="D2425" s="2">
        <v>86</v>
      </c>
      <c r="E2425" s="2">
        <v>4</v>
      </c>
      <c r="F2425" s="2" t="s">
        <v>7</v>
      </c>
      <c r="G2425" s="2" t="s">
        <v>7</v>
      </c>
    </row>
    <row r="2426" spans="1:7" ht="30" x14ac:dyDescent="0.25">
      <c r="A2426" s="4" t="str">
        <f>HYPERLINK("http://techcrunch.com/2012/05/10/dev-boot-camp-is-a-ruby-success/","Startups Court Dev Bootcamp’s Ruby Grads: 88% Have Offers At Average Of $79K")</f>
        <v>Startups Court Dev Bootcamp’s Ruby Grads: 88% Have Offers At Average Of $79K</v>
      </c>
      <c r="B2426" s="4" t="str">
        <f>HYPERLINK("http://www.facebook.com/8062627951/posts/403381636361106","Want to become a developer? You have to check this out. ")</f>
        <v xml:space="preserve">Want to become a developer? You have to check this out. </v>
      </c>
      <c r="C2426" s="3">
        <v>41039.883321759262</v>
      </c>
      <c r="D2426" s="2">
        <v>176</v>
      </c>
      <c r="E2426" s="2">
        <v>9</v>
      </c>
      <c r="F2426" s="2" t="s">
        <v>8</v>
      </c>
      <c r="G2426" s="2"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techcrunch-Status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Woolf</dc:creator>
  <cp:lastModifiedBy>Max Woolf</cp:lastModifiedBy>
  <dcterms:created xsi:type="dcterms:W3CDTF">2013-01-01T02:01:19Z</dcterms:created>
  <dcterms:modified xsi:type="dcterms:W3CDTF">2013-01-01T02:02:44Z</dcterms:modified>
</cp:coreProperties>
</file>