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8_{3EE53FDA-B882-4953-83C8-D74E5348FD7F}" xr6:coauthVersionLast="36" xr6:coauthVersionMax="36" xr10:uidLastSave="{00000000-0000-0000-0000-000000000000}"/>
  <bookViews>
    <workbookView xWindow="0" yWindow="0" windowWidth="13692" windowHeight="5556" xr2:uid="{12195077-7D25-4CB5-92DD-E116F87F30C0}"/>
  </bookViews>
  <sheets>
    <sheet name="Sep22"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0" i="1" l="1"/>
  <c r="J69" i="1"/>
  <c r="J68" i="1"/>
  <c r="I62" i="1"/>
  <c r="I63" i="1" s="1"/>
  <c r="G57" i="1"/>
  <c r="G58" i="1" s="1"/>
  <c r="G59" i="1" s="1"/>
  <c r="G60" i="1" s="1"/>
  <c r="G61" i="1" s="1"/>
  <c r="J54" i="1"/>
  <c r="L52" i="1"/>
  <c r="F44" i="1"/>
  <c r="J44" i="1" s="1"/>
  <c r="N43" i="1"/>
  <c r="O42" i="1"/>
  <c r="O41" i="1"/>
  <c r="O40" i="1"/>
  <c r="I37" i="1"/>
  <c r="O36" i="1"/>
  <c r="I36" i="1"/>
  <c r="K35" i="1"/>
  <c r="E35" i="1"/>
  <c r="G35" i="1" s="1"/>
  <c r="J35" i="1" s="1"/>
  <c r="B35" i="1"/>
  <c r="D35" i="1" s="1"/>
  <c r="L35" i="1" s="1"/>
  <c r="K34" i="1"/>
  <c r="E34" i="1"/>
  <c r="G34" i="1" s="1"/>
  <c r="J34" i="1" s="1"/>
  <c r="B34" i="1"/>
  <c r="D34" i="1" s="1"/>
  <c r="L34" i="1" s="1"/>
  <c r="K33" i="1"/>
  <c r="E33" i="1"/>
  <c r="G33" i="1" s="1"/>
  <c r="J33" i="1" s="1"/>
  <c r="B33" i="1"/>
  <c r="D33" i="1" s="1"/>
  <c r="L33" i="1" s="1"/>
  <c r="P33" i="1" s="1"/>
  <c r="K32" i="1"/>
  <c r="E32" i="1"/>
  <c r="G32" i="1" s="1"/>
  <c r="J32" i="1" s="1"/>
  <c r="B32" i="1"/>
  <c r="D32" i="1" s="1"/>
  <c r="L32" i="1" s="1"/>
  <c r="N32" i="1" s="1"/>
  <c r="K31" i="1"/>
  <c r="E31" i="1"/>
  <c r="G31" i="1" s="1"/>
  <c r="J31" i="1" s="1"/>
  <c r="B31" i="1"/>
  <c r="D31" i="1" s="1"/>
  <c r="L31" i="1" s="1"/>
  <c r="K30" i="1"/>
  <c r="E30" i="1"/>
  <c r="G30" i="1" s="1"/>
  <c r="J30" i="1" s="1"/>
  <c r="B30" i="1"/>
  <c r="D30" i="1" s="1"/>
  <c r="L30" i="1" s="1"/>
  <c r="K29" i="1"/>
  <c r="E29" i="1"/>
  <c r="G29" i="1" s="1"/>
  <c r="J29" i="1" s="1"/>
  <c r="B29" i="1"/>
  <c r="D29" i="1" s="1"/>
  <c r="L29" i="1" s="1"/>
  <c r="K28" i="1"/>
  <c r="E28" i="1"/>
  <c r="G28" i="1" s="1"/>
  <c r="J28" i="1" s="1"/>
  <c r="B28" i="1"/>
  <c r="D28" i="1" s="1"/>
  <c r="L28" i="1" s="1"/>
  <c r="Q28" i="1" s="1"/>
  <c r="K27" i="1"/>
  <c r="G27" i="1"/>
  <c r="J27" i="1" s="1"/>
  <c r="E27" i="1"/>
  <c r="B27" i="1"/>
  <c r="D27" i="1" s="1"/>
  <c r="L27" i="1" s="1"/>
  <c r="K26" i="1"/>
  <c r="E26" i="1"/>
  <c r="G26" i="1" s="1"/>
  <c r="J26" i="1" s="1"/>
  <c r="B26" i="1"/>
  <c r="D26" i="1" s="1"/>
  <c r="L26" i="1" s="1"/>
  <c r="K25" i="1"/>
  <c r="E25" i="1"/>
  <c r="G25" i="1" s="1"/>
  <c r="J25" i="1" s="1"/>
  <c r="B25" i="1"/>
  <c r="D25" i="1" s="1"/>
  <c r="L25" i="1" s="1"/>
  <c r="K24" i="1"/>
  <c r="E24" i="1"/>
  <c r="G24" i="1" s="1"/>
  <c r="J24" i="1" s="1"/>
  <c r="B24" i="1"/>
  <c r="D24" i="1" s="1"/>
  <c r="L24" i="1" s="1"/>
  <c r="K23" i="1"/>
  <c r="E23" i="1"/>
  <c r="G23" i="1" s="1"/>
  <c r="J23" i="1" s="1"/>
  <c r="B23" i="1"/>
  <c r="D23" i="1" s="1"/>
  <c r="L23" i="1" s="1"/>
  <c r="K22" i="1"/>
  <c r="E22" i="1"/>
  <c r="G22" i="1" s="1"/>
  <c r="J22" i="1" s="1"/>
  <c r="B22" i="1"/>
  <c r="D22" i="1" s="1"/>
  <c r="L22" i="1" s="1"/>
  <c r="Q22" i="1" s="1"/>
  <c r="K21" i="1"/>
  <c r="E21" i="1"/>
  <c r="G21" i="1" s="1"/>
  <c r="J21" i="1" s="1"/>
  <c r="B21" i="1"/>
  <c r="D21" i="1" s="1"/>
  <c r="L21" i="1" s="1"/>
  <c r="Q21" i="1" s="1"/>
  <c r="K20" i="1"/>
  <c r="E20" i="1"/>
  <c r="G20" i="1" s="1"/>
  <c r="J20" i="1" s="1"/>
  <c r="B20" i="1"/>
  <c r="D20" i="1" s="1"/>
  <c r="L20" i="1" s="1"/>
  <c r="K19" i="1"/>
  <c r="E19" i="1"/>
  <c r="G19" i="1" s="1"/>
  <c r="J19" i="1" s="1"/>
  <c r="B19" i="1"/>
  <c r="D19" i="1" s="1"/>
  <c r="L19" i="1" s="1"/>
  <c r="N19" i="1" s="1"/>
  <c r="K18" i="1"/>
  <c r="E18" i="1"/>
  <c r="G18" i="1" s="1"/>
  <c r="J18" i="1" s="1"/>
  <c r="B18" i="1"/>
  <c r="D18" i="1" s="1"/>
  <c r="L18" i="1" s="1"/>
  <c r="K17" i="1"/>
  <c r="E17" i="1"/>
  <c r="G17" i="1" s="1"/>
  <c r="J17" i="1" s="1"/>
  <c r="B17" i="1"/>
  <c r="D17" i="1" s="1"/>
  <c r="L17" i="1" s="1"/>
  <c r="K16" i="1"/>
  <c r="E16" i="1"/>
  <c r="G16" i="1" s="1"/>
  <c r="J16" i="1" s="1"/>
  <c r="B16" i="1"/>
  <c r="D16" i="1" s="1"/>
  <c r="L16" i="1" s="1"/>
  <c r="Q16" i="1" s="1"/>
  <c r="K15" i="1"/>
  <c r="E15" i="1"/>
  <c r="G15" i="1" s="1"/>
  <c r="J15" i="1" s="1"/>
  <c r="B15" i="1"/>
  <c r="D15" i="1" s="1"/>
  <c r="L15" i="1" s="1"/>
  <c r="K14" i="1"/>
  <c r="E14" i="1"/>
  <c r="G14" i="1" s="1"/>
  <c r="J14" i="1" s="1"/>
  <c r="B14" i="1"/>
  <c r="D14" i="1" s="1"/>
  <c r="L14" i="1" s="1"/>
  <c r="K13" i="1"/>
  <c r="E13" i="1"/>
  <c r="G13" i="1" s="1"/>
  <c r="J13" i="1" s="1"/>
  <c r="B13" i="1"/>
  <c r="D13" i="1" s="1"/>
  <c r="L13" i="1" s="1"/>
  <c r="K12" i="1"/>
  <c r="E12" i="1"/>
  <c r="G12" i="1" s="1"/>
  <c r="J12" i="1" s="1"/>
  <c r="B12" i="1"/>
  <c r="D12" i="1" s="1"/>
  <c r="L12" i="1" s="1"/>
  <c r="K11" i="1"/>
  <c r="E11" i="1"/>
  <c r="G11" i="1" s="1"/>
  <c r="J11" i="1" s="1"/>
  <c r="B11" i="1"/>
  <c r="D11" i="1" s="1"/>
  <c r="L11" i="1" s="1"/>
  <c r="K10" i="1"/>
  <c r="E10" i="1"/>
  <c r="G10" i="1" s="1"/>
  <c r="J10" i="1" s="1"/>
  <c r="B10" i="1"/>
  <c r="D10" i="1" s="1"/>
  <c r="L10" i="1" s="1"/>
  <c r="K9" i="1"/>
  <c r="E9" i="1"/>
  <c r="G9" i="1" s="1"/>
  <c r="J9" i="1" s="1"/>
  <c r="B9" i="1"/>
  <c r="D9" i="1" s="1"/>
  <c r="L9" i="1" s="1"/>
  <c r="K8" i="1"/>
  <c r="E8" i="1"/>
  <c r="G8" i="1" s="1"/>
  <c r="J8" i="1" s="1"/>
  <c r="B8" i="1"/>
  <c r="D8" i="1" s="1"/>
  <c r="L8" i="1" s="1"/>
  <c r="P8" i="1" s="1"/>
  <c r="K7" i="1"/>
  <c r="E7" i="1"/>
  <c r="G7" i="1" s="1"/>
  <c r="J7" i="1" s="1"/>
  <c r="B7" i="1"/>
  <c r="D7" i="1" s="1"/>
  <c r="L7" i="1" s="1"/>
  <c r="K6" i="1"/>
  <c r="G6" i="1"/>
  <c r="J6" i="1" s="1"/>
  <c r="D6" i="1"/>
  <c r="L6" i="1" s="1"/>
  <c r="M6" i="1" s="1"/>
  <c r="O43" i="1" l="1"/>
  <c r="K36" i="1"/>
  <c r="M19" i="1"/>
  <c r="Q24" i="1"/>
  <c r="M24" i="1"/>
  <c r="P24" i="1"/>
  <c r="N24" i="1"/>
  <c r="Q18" i="1"/>
  <c r="P18" i="1"/>
  <c r="N18" i="1"/>
  <c r="M18" i="1"/>
  <c r="Q17" i="1"/>
  <c r="P17" i="1"/>
  <c r="N17" i="1"/>
  <c r="M17" i="1"/>
  <c r="P6" i="1"/>
  <c r="N6" i="1"/>
  <c r="L36" i="1"/>
  <c r="L37" i="1"/>
  <c r="Q6" i="1"/>
  <c r="M9" i="1"/>
  <c r="N9" i="1"/>
  <c r="P15" i="1"/>
  <c r="Q15" i="1"/>
  <c r="N15" i="1"/>
  <c r="M15" i="1"/>
  <c r="N22" i="1"/>
  <c r="M22" i="1"/>
  <c r="P22" i="1"/>
  <c r="M25" i="1"/>
  <c r="Q25" i="1"/>
  <c r="N25" i="1"/>
  <c r="P25" i="1"/>
  <c r="N30" i="1"/>
  <c r="Q30" i="1"/>
  <c r="P30" i="1"/>
  <c r="M30" i="1"/>
  <c r="Q7" i="1"/>
  <c r="P7" i="1"/>
  <c r="M20" i="1"/>
  <c r="Q20" i="1"/>
  <c r="Q31" i="1"/>
  <c r="P31" i="1"/>
  <c r="N31" i="1"/>
  <c r="N34" i="1"/>
  <c r="M34" i="1"/>
  <c r="P34" i="1"/>
  <c r="Q12" i="1"/>
  <c r="M12" i="1"/>
  <c r="P12" i="1"/>
  <c r="N12" i="1"/>
  <c r="P9" i="1"/>
  <c r="P23" i="1"/>
  <c r="N23" i="1"/>
  <c r="M23" i="1"/>
  <c r="Q23" i="1"/>
  <c r="M7" i="1"/>
  <c r="N10" i="1"/>
  <c r="M10" i="1"/>
  <c r="P10" i="1"/>
  <c r="M13" i="1"/>
  <c r="Q13" i="1"/>
  <c r="P13" i="1"/>
  <c r="N13" i="1"/>
  <c r="N20" i="1"/>
  <c r="M31" i="1"/>
  <c r="Q34" i="1"/>
  <c r="N7" i="1"/>
  <c r="P20" i="1"/>
  <c r="P29" i="1"/>
  <c r="N29" i="1"/>
  <c r="M29" i="1"/>
  <c r="Q29" i="1"/>
  <c r="Q32" i="1"/>
  <c r="P32" i="1"/>
  <c r="M32" i="1"/>
  <c r="P35" i="1"/>
  <c r="N35" i="1"/>
  <c r="M35" i="1"/>
  <c r="Q35" i="1"/>
  <c r="M8" i="1"/>
  <c r="Q8" i="1"/>
  <c r="M21" i="1"/>
  <c r="N21" i="1"/>
  <c r="P27" i="1"/>
  <c r="N27" i="1"/>
  <c r="M27" i="1"/>
  <c r="Q27" i="1"/>
  <c r="N26" i="1"/>
  <c r="Q26" i="1"/>
  <c r="P26" i="1"/>
  <c r="M26" i="1"/>
  <c r="Q9" i="1"/>
  <c r="Q10" i="1"/>
  <c r="N14" i="1"/>
  <c r="M14" i="1"/>
  <c r="Q14" i="1"/>
  <c r="P14" i="1"/>
  <c r="D37" i="1"/>
  <c r="P11" i="1"/>
  <c r="N11" i="1"/>
  <c r="M11" i="1"/>
  <c r="Q11" i="1"/>
  <c r="P19" i="1"/>
  <c r="Q19" i="1"/>
  <c r="J37" i="1"/>
  <c r="J36" i="1"/>
  <c r="N8" i="1"/>
  <c r="P21" i="1"/>
  <c r="M33" i="1"/>
  <c r="Q33" i="1"/>
  <c r="N33" i="1"/>
  <c r="N28" i="1"/>
  <c r="K37" i="1"/>
  <c r="D36" i="1"/>
  <c r="I44" i="1"/>
  <c r="M16" i="1"/>
  <c r="M28" i="1"/>
  <c r="N16" i="1"/>
  <c r="P16" i="1"/>
  <c r="P28" i="1"/>
  <c r="P37" i="1" l="1"/>
  <c r="M36" i="1"/>
  <c r="Q36" i="1"/>
  <c r="N37" i="1"/>
</calcChain>
</file>

<file path=xl/sharedStrings.xml><?xml version="1.0" encoding="utf-8"?>
<sst xmlns="http://schemas.openxmlformats.org/spreadsheetml/2006/main" count="38" uniqueCount="38">
  <si>
    <t>DAILY ENERGY DISPATCH STATISTIC</t>
  </si>
  <si>
    <t>SEPTEMBER 2022</t>
  </si>
  <si>
    <t>DATE</t>
  </si>
  <si>
    <t>PREVIOUS DAY ACTIVE ENERGY READING (KWh)</t>
  </si>
  <si>
    <t>ACTIVE ENERGY READING (KWh)</t>
  </si>
  <si>
    <t>DISPATCH ACTIVE ENERGY</t>
  </si>
  <si>
    <t>PREVIOUS DAY REACTIVE ENERGY READING (KVarh)</t>
  </si>
  <si>
    <t>REACTIVE ENERGY READING (KVarh)</t>
  </si>
  <si>
    <t>DISPATCH REACTIVE ENERGY</t>
  </si>
  <si>
    <t>M.F.</t>
  </si>
  <si>
    <t>TOTAL ROOF DAY ACCUMULATION (MJ/m2)</t>
  </si>
  <si>
    <t>TOTAL DISPATCH REACTIVE ENERGY (Kvarh)</t>
  </si>
  <si>
    <t>MINIMUM ACTIVE ENERGY REQUIREMENT (KWh)</t>
  </si>
  <si>
    <t>TOTAL DISPATCH ACTIVE ENERGY (KWh)</t>
  </si>
  <si>
    <t>DIFFERENCE (KWh)</t>
  </si>
  <si>
    <t>PLANT FACTOR (%)</t>
  </si>
  <si>
    <t>OUTAGES (h)</t>
  </si>
  <si>
    <t>AVERAGE LOAD (MW)</t>
  </si>
  <si>
    <t>Daily Income ($)</t>
  </si>
  <si>
    <t>TOTAL</t>
  </si>
  <si>
    <t>AVERAGE</t>
  </si>
  <si>
    <t>Inverter</t>
  </si>
  <si>
    <t>PV Module</t>
  </si>
  <si>
    <t>String</t>
  </si>
  <si>
    <t>Radiation-1</t>
  </si>
  <si>
    <t>Radiation-2</t>
  </si>
  <si>
    <t>Average Radiation</t>
  </si>
  <si>
    <t>Dispatch P</t>
  </si>
  <si>
    <t>Dispatch Q</t>
  </si>
  <si>
    <t>Peak P</t>
  </si>
  <si>
    <t>Peak Q</t>
  </si>
  <si>
    <t>Total</t>
  </si>
  <si>
    <t>Area</t>
  </si>
  <si>
    <t>eff</t>
  </si>
  <si>
    <t>With the combination of ML and solar data, there are several research directions that you can explore. Here are some potential research topics:
1. Solar energy forecasting: Use ML algorithms to predict solar energy generation based on historical solar data, weather conditions, and other relevant factors. This can help in optimizing solar energy utilization and grid integration.
2. Solar panel performance analysis: Apply ML techniques to analyze the performance of solar panels and identify factors that affect efficiency, such as temperature, shading, or panel degradation. This can aid in predictive maintenance and optimizing energy output.
3. Fault detection and diagnosis: Utilize ML algorithms to detect and diagnose faults in solar energy systems. By analyzing data from solar panels and associated equipment, you can identify anomalies, malfunctions, or potential failures in real-time, leading to improved maintenance and system reliability.
4. Solar energy optimization: Develop ML models to optimize solar energy utilization by considering factors like panel orientation, tilt angle, and shading analysis. This can help maximize the energy output and efficiency of solar installations.
5. Load and energy management: Use ML algorithms to predict energy demand and consumption patterns based on solar energy availability, historical data, and other relevant parameters. This information can be used for load balancing, energy storage management, and grid integration planning.
6. Solar energy system design: Employ ML algorithms to assist in designing efficient solar energy systems. By analyzing factors such as location, weather patterns, and energy requirements, ML can help determine the optimal sizing, configuration, and placement of solar panels.
7. Energy pricing and revenue optimization: Apply ML techniques to analyze solar energy market data, consumer behavior, and energy pricing models. This can help optimize revenue generation for solar energy providers and facilitate the integration of solar energy into existing energy markets.
These research directions can contribute to improving the efficiency, reliability, and cost-effectiveness of solar energy systems. It's important to note that the specific research topic would depend on the objectives of your study and the available data.</t>
  </si>
  <si>
    <t>For the given dataset, you can consider various supervised and unsupervised classification algorithms depending on the specific problem you want to solve. Here are some commonly used algorithms for each type:
Supervised Classification Algorithms:
1. Logistic Regression: It is suitable for binary classification problems where the output variable is categorical.
2. Random Forest: This ensemble algorithm is effective for both binary and multi-class classification tasks. It combines multiple decision trees to make predictions.
3. Support Vector Machines (SVM): It is useful for both linear and non-linear classification problems, with the ability to handle high-dimensional data.
4. Gradient Boosting algorithms (e.g., XGBoost, LightGBM): These algorithms create an ensemble of weak learners (decision trees) to achieve high predictive accuracy.
5. Naive Bayes: It is a simple and fast algorithm based on Bayes' theorem, suitable for text classification and other problems with high-dimensional feature spaces.
6. Neural Networks: Deep learning models like Multilayer Perceptron (MLP), Convolutional Neural Networks (CNN), or Recurrent Neural Networks (RNN) can be used for complex classification tasks.
Unsupervised Classification Algorithms:
1. K-means clustering: It is a popular algorithm for partitioning data into clusters based on similarity or distance measures.
2. Hierarchical clustering: This algorithm creates a tree-like structure of clusters, which can be useful for understanding hierarchical relationships in the data.
3. DBSCAN (Density-Based Spatial Clustering of Applications with Noise): It is effective in identifying clusters of arbitrary shapes based on density connectivity.
4. Gaussian Mixture Models (GMM): It assumes that the data points are generated from a mixture of Gaussian distributions and can capture complex data distributions.
5. Self-Organizing Maps (SOM): It is an artificial neural network-based technique that maps high-dimensional data onto a lower-dimensional grid, preserving the topological properties of the input space.
It's important to note that the selection of an algorithm depends on the nature of the problem, the characteristics of the dataset, and the specific goals of your research. It's advisable to experiment with multiple algorithms, evaluate their performance using appropriate metrics, and choose the one that best suits your needs.</t>
  </si>
  <si>
    <t>With the provided dataset, there are several potential research directions and applications of machine learning (ML). Here are a few possibilities:
1. Energy forecasting: You can use ML algorithms to develop models for predicting future energy consumption based on historical data. This could help in optimizing energy production and distribution, resource planning, and load management.
2. Anomaly detection: ML techniques can be applied to identify anomalies or unusual patterns in energy consumption or production. This can help in detecting faults, equipment malfunctions, or energy theft, leading to improved maintenance and operational efficiency.
3. Energy optimization: ML algorithms can be used to optimize energy usage by analyzing historical data and identifying patterns that can help in reducing energy consumption, improving efficiency, and minimizing costs.
4. Load forecasting: ML models can be trained to forecast energy demand and load patterns. This information can be used for better capacity planning, load balancing, and optimizing the operation of power plants and grids.
5. Energy efficiency analysis: ML algorithms can analyze the relationship between energy consumption and various factors such as weather conditions, time of day, and operational parameters. This analysis can provide insights into energy-saving opportunities and strategies.
6. Performance prediction: ML models can be developed to predict the performance of renewable energy sources, such as solar or wind power, based on environmental factors. This information can be used for better integration of renewable energy into the grid and optimizing power generation.
7. Energy pricing and revenue optimization: ML techniques can be used to analyze energy market data and consumer behavior to develop pricing models and optimize revenue generation for energy providers.
These are just a few examples of how ML can be applied to the given dataset. The specific research direction would depend on the objectives and goals of the project, as well as the availability of additional relevant data.</t>
  </si>
  <si>
    <t xml:space="preserve"> 7.6 MWp GRID CONNECTED SOLAR PV POWER 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</si>
</sst>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 #,##0.00_ ;_ * \-#,##0.00_ ;_ * &quot;-&quot;??_ ;_ @_ "/>
    <numFmt numFmtId="165" formatCode="0.000"/>
    <numFmt numFmtId="166" formatCode="_ * #,##0.000_ ;_ * \-#,##0.000_ ;_ * &quot;-&quot;??_ ;_ @_ "/>
  </numFmts>
  <fonts count="13" x14ac:knownFonts="1">
    <font>
      <sz val="11"/>
      <color theme="1"/>
      <name val="Calibri"/>
      <family val="2"/>
      <scheme val="minor"/>
    </font>
    <font>
      <sz val="11"/>
      <color theme="1"/>
      <name val="Calibri"/>
      <family val="2"/>
      <scheme val="minor"/>
    </font>
    <font>
      <b/>
      <sz val="14"/>
      <color theme="1"/>
      <name val="Times New Roman"/>
      <family val="1"/>
    </font>
    <font>
      <b/>
      <sz val="14"/>
      <color theme="1"/>
      <name val="Calibri"/>
      <family val="2"/>
      <charset val="1"/>
      <scheme val="minor"/>
    </font>
    <font>
      <sz val="14"/>
      <color theme="1"/>
      <name val="Calibri"/>
      <family val="2"/>
      <scheme val="minor"/>
    </font>
    <font>
      <b/>
      <sz val="12"/>
      <color theme="1"/>
      <name val="Times New Roman"/>
      <family val="1"/>
    </font>
    <font>
      <sz val="12"/>
      <color theme="1"/>
      <name val="Times New Roman"/>
      <family val="1"/>
    </font>
    <font>
      <sz val="12"/>
      <color theme="1"/>
      <name val="Calibri"/>
      <family val="2"/>
      <scheme val="minor"/>
    </font>
    <font>
      <sz val="10"/>
      <color rgb="FF000000"/>
      <name val="Times New Roman"/>
      <family val="1"/>
    </font>
    <font>
      <sz val="12"/>
      <color rgb="FF000000"/>
      <name val="Times New Roman"/>
      <family val="1"/>
    </font>
    <font>
      <b/>
      <sz val="12"/>
      <color theme="1"/>
      <name val="Calibri"/>
      <family val="2"/>
      <scheme val="minor"/>
    </font>
    <font>
      <b/>
      <sz val="14"/>
      <color theme="1"/>
      <name val="Calibri"/>
      <family val="2"/>
      <scheme val="minor"/>
    </font>
    <font>
      <sz val="14"/>
      <color theme="1"/>
      <name val="Times New Roman"/>
      <family val="1"/>
    </font>
  </fonts>
  <fills count="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43" fontId="1" fillId="0" borderId="0" applyFont="0" applyFill="0" applyBorder="0" applyAlignment="0" applyProtection="0"/>
    <xf numFmtId="0" fontId="8" fillId="0" borderId="0"/>
  </cellStyleXfs>
  <cellXfs count="61">
    <xf numFmtId="0" fontId="0" fillId="0" borderId="0" xfId="0"/>
    <xf numFmtId="0" fontId="2" fillId="0" borderId="0" xfId="0" applyFont="1"/>
    <xf numFmtId="0" fontId="3" fillId="0" borderId="0" xfId="0" applyFont="1"/>
    <xf numFmtId="0" fontId="4" fillId="0" borderId="0" xfId="0" applyFont="1"/>
    <xf numFmtId="49" fontId="2" fillId="0" borderId="0" xfId="1" applyNumberFormat="1" applyFont="1" applyBorder="1" applyAlignment="1">
      <alignment vertical="center"/>
    </xf>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5" fillId="2" borderId="2" xfId="0" applyFont="1" applyFill="1" applyBorder="1" applyAlignment="1">
      <alignment horizontal="center" vertical="center" wrapText="1"/>
    </xf>
    <xf numFmtId="0" fontId="2" fillId="0" borderId="2" xfId="0" applyFont="1" applyBorder="1" applyAlignment="1">
      <alignment horizontal="center" vertical="center" wrapText="1"/>
    </xf>
    <xf numFmtId="14" fontId="6" fillId="0" borderId="2" xfId="0" applyNumberFormat="1" applyFont="1" applyBorder="1" applyAlignment="1">
      <alignment horizontal="center" vertical="center"/>
    </xf>
    <xf numFmtId="165" fontId="6" fillId="0" borderId="2" xfId="0" applyNumberFormat="1" applyFont="1" applyBorder="1" applyAlignment="1">
      <alignment horizontal="center" vertical="center"/>
    </xf>
    <xf numFmtId="2" fontId="6" fillId="0" borderId="2" xfId="0" applyNumberFormat="1" applyFont="1" applyBorder="1" applyAlignment="1">
      <alignment horizontal="center" vertical="center"/>
    </xf>
    <xf numFmtId="166" fontId="6" fillId="0" borderId="2" xfId="1" applyNumberFormat="1" applyFont="1" applyBorder="1" applyAlignment="1">
      <alignment horizontal="center" vertical="center"/>
    </xf>
    <xf numFmtId="166" fontId="6" fillId="2" borderId="2" xfId="1" applyNumberFormat="1" applyFont="1" applyFill="1" applyBorder="1" applyAlignment="1">
      <alignment horizontal="center" vertical="center"/>
    </xf>
    <xf numFmtId="2" fontId="7" fillId="0" borderId="2" xfId="0" applyNumberFormat="1" applyFont="1" applyBorder="1" applyAlignment="1">
      <alignment horizontal="center"/>
    </xf>
    <xf numFmtId="164" fontId="4" fillId="0" borderId="2" xfId="0" applyNumberFormat="1" applyFont="1" applyBorder="1"/>
    <xf numFmtId="165" fontId="9" fillId="3" borderId="2" xfId="2" applyNumberFormat="1" applyFont="1" applyFill="1" applyBorder="1" applyAlignment="1">
      <alignment horizontal="center" vertical="center" wrapText="1"/>
    </xf>
    <xf numFmtId="2" fontId="9" fillId="3" borderId="2" xfId="2" applyNumberFormat="1" applyFont="1" applyFill="1" applyBorder="1" applyAlignment="1">
      <alignment horizontal="center" vertical="center" wrapText="1"/>
    </xf>
    <xf numFmtId="165" fontId="6" fillId="3" borderId="2" xfId="0" applyNumberFormat="1" applyFont="1" applyFill="1" applyBorder="1" applyAlignment="1">
      <alignment horizontal="center" vertical="center"/>
    </xf>
    <xf numFmtId="166" fontId="6" fillId="3" borderId="2" xfId="1" applyNumberFormat="1" applyFont="1" applyFill="1" applyBorder="1" applyAlignment="1">
      <alignment horizontal="center" vertical="center"/>
    </xf>
    <xf numFmtId="0" fontId="4" fillId="3" borderId="0" xfId="0" applyFont="1" applyFill="1"/>
    <xf numFmtId="165" fontId="9" fillId="4" borderId="2" xfId="2" applyNumberFormat="1" applyFont="1" applyFill="1" applyBorder="1" applyAlignment="1">
      <alignment horizontal="center" vertical="center" wrapText="1"/>
    </xf>
    <xf numFmtId="0" fontId="5" fillId="0" borderId="2" xfId="0" applyFont="1" applyBorder="1"/>
    <xf numFmtId="165" fontId="5" fillId="0" borderId="2" xfId="0" applyNumberFormat="1" applyFont="1" applyBorder="1" applyAlignment="1">
      <alignment horizontal="center" vertical="center"/>
    </xf>
    <xf numFmtId="43" fontId="6" fillId="0" borderId="2" xfId="1" applyFont="1" applyBorder="1" applyAlignment="1">
      <alignment vertical="center"/>
    </xf>
    <xf numFmtId="2" fontId="5" fillId="0" borderId="2" xfId="0" applyNumberFormat="1" applyFont="1" applyBorder="1" applyAlignment="1">
      <alignment horizontal="center"/>
    </xf>
    <xf numFmtId="43" fontId="5" fillId="0" borderId="2" xfId="1" applyFont="1" applyBorder="1"/>
    <xf numFmtId="166" fontId="5" fillId="0" borderId="2" xfId="1" applyNumberFormat="1" applyFont="1" applyBorder="1" applyAlignment="1">
      <alignment horizontal="center" vertical="center"/>
    </xf>
    <xf numFmtId="166" fontId="5" fillId="2" borderId="2" xfId="1" applyNumberFormat="1" applyFont="1" applyFill="1" applyBorder="1"/>
    <xf numFmtId="2" fontId="5" fillId="0" borderId="2" xfId="0" applyNumberFormat="1" applyFont="1" applyBorder="1" applyAlignment="1">
      <alignment horizontal="center" vertical="center"/>
    </xf>
    <xf numFmtId="0" fontId="10" fillId="0" borderId="2" xfId="0" applyFont="1" applyBorder="1"/>
    <xf numFmtId="164" fontId="11" fillId="0" borderId="2" xfId="0" applyNumberFormat="1" applyFont="1" applyBorder="1"/>
    <xf numFmtId="0" fontId="11" fillId="0" borderId="0" xfId="0" applyFont="1"/>
    <xf numFmtId="0" fontId="5" fillId="0" borderId="2" xfId="0" applyFont="1" applyBorder="1" applyAlignment="1">
      <alignment horizontal="center"/>
    </xf>
    <xf numFmtId="165" fontId="5" fillId="0" borderId="2" xfId="0" applyNumberFormat="1" applyFont="1" applyBorder="1" applyAlignment="1">
      <alignment horizontal="center"/>
    </xf>
    <xf numFmtId="166" fontId="5" fillId="0" borderId="2" xfId="1" applyNumberFormat="1" applyFont="1" applyBorder="1" applyAlignment="1">
      <alignment horizontal="center"/>
    </xf>
    <xf numFmtId="166" fontId="5" fillId="2" borderId="2" xfId="1" applyNumberFormat="1" applyFont="1" applyFill="1" applyBorder="1" applyAlignment="1">
      <alignment horizontal="center" vertical="center"/>
    </xf>
    <xf numFmtId="2" fontId="10" fillId="0" borderId="2" xfId="0" applyNumberFormat="1" applyFont="1" applyBorder="1" applyAlignment="1">
      <alignment horizontal="center"/>
    </xf>
    <xf numFmtId="0" fontId="4" fillId="0" borderId="2" xfId="0" applyFont="1" applyBorder="1"/>
    <xf numFmtId="0" fontId="4" fillId="2" borderId="0" xfId="0" applyFont="1" applyFill="1"/>
    <xf numFmtId="0" fontId="4" fillId="0" borderId="2" xfId="0" applyFont="1" applyBorder="1" applyAlignment="1">
      <alignment horizontal="center" vertical="center"/>
    </xf>
    <xf numFmtId="43" fontId="4" fillId="2" borderId="0" xfId="1" applyFont="1" applyFill="1"/>
    <xf numFmtId="164" fontId="4" fillId="0" borderId="0" xfId="0" applyNumberFormat="1" applyFont="1"/>
    <xf numFmtId="20" fontId="4" fillId="0" borderId="0" xfId="0" applyNumberFormat="1" applyFont="1"/>
    <xf numFmtId="0" fontId="12" fillId="0" borderId="0" xfId="0" applyFont="1" applyAlignment="1">
      <alignment horizontal="center" vertical="center"/>
    </xf>
    <xf numFmtId="2" fontId="4" fillId="2" borderId="0" xfId="0" applyNumberFormat="1" applyFont="1" applyFill="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horizontal="center"/>
    </xf>
    <xf numFmtId="2" fontId="4" fillId="0" borderId="2" xfId="0" applyNumberFormat="1" applyFont="1" applyBorder="1" applyAlignment="1">
      <alignment horizontal="center"/>
    </xf>
    <xf numFmtId="2" fontId="4" fillId="0" borderId="0" xfId="0" applyNumberFormat="1" applyFont="1"/>
    <xf numFmtId="43" fontId="4" fillId="0" borderId="0" xfId="1" applyFont="1"/>
    <xf numFmtId="0" fontId="4" fillId="0" borderId="0" xfId="0" applyFont="1" applyAlignment="1">
      <alignment horizontal="center" vertical="center"/>
    </xf>
    <xf numFmtId="164" fontId="4" fillId="2" borderId="0" xfId="0" applyNumberFormat="1" applyFont="1" applyFill="1"/>
    <xf numFmtId="166" fontId="4" fillId="0" borderId="0" xfId="0" applyNumberFormat="1" applyFont="1"/>
    <xf numFmtId="0" fontId="4" fillId="0" borderId="0" xfId="0" applyFont="1" applyAlignment="1">
      <alignment wrapText="1"/>
    </xf>
    <xf numFmtId="0" fontId="2" fillId="0" borderId="0" xfId="0" applyFont="1" applyAlignment="1">
      <alignment horizontal="center" vertical="center"/>
    </xf>
    <xf numFmtId="0" fontId="2" fillId="0" borderId="0" xfId="0" applyFont="1" applyAlignment="1">
      <alignment horizontal="center"/>
    </xf>
    <xf numFmtId="49" fontId="2" fillId="0" borderId="0" xfId="1" applyNumberFormat="1" applyFont="1" applyBorder="1" applyAlignment="1">
      <alignment horizontal="center" vertical="center"/>
    </xf>
    <xf numFmtId="49" fontId="2" fillId="0" borderId="1" xfId="1" applyNumberFormat="1" applyFont="1" applyBorder="1" applyAlignment="1">
      <alignment horizontal="center" vertical="center"/>
    </xf>
    <xf numFmtId="43" fontId="6" fillId="0" borderId="3" xfId="1" applyFont="1" applyBorder="1" applyAlignment="1">
      <alignment horizontal="center" vertical="center"/>
    </xf>
    <xf numFmtId="43" fontId="6" fillId="0" borderId="4" xfId="1" applyFont="1" applyBorder="1" applyAlignment="1">
      <alignment horizontal="center" vertical="center"/>
    </xf>
  </cellXfs>
  <cellStyles count="3">
    <cellStyle name="Comma" xfId="1" builtinId="3"/>
    <cellStyle name="Normal" xfId="0" builtinId="0"/>
    <cellStyle name="Normal 6" xfId="2" xr:uid="{FA957D54-3F9E-4D89-9BB5-559A49E5BA8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A2B1-1A51-4341-97BF-733119291087}">
  <dimension ref="A1:AQ88"/>
  <sheetViews>
    <sheetView tabSelected="1" workbookViewId="0">
      <selection sqref="A1:P1"/>
    </sheetView>
  </sheetViews>
  <sheetFormatPr defaultColWidth="8.88671875" defaultRowHeight="18" x14ac:dyDescent="0.35"/>
  <cols>
    <col min="1" max="1" width="14.6640625" style="3" customWidth="1"/>
    <col min="2" max="2" width="16.77734375" style="3" customWidth="1"/>
    <col min="3" max="3" width="13.5546875" style="3" customWidth="1"/>
    <col min="4" max="4" width="15.5546875" style="3" customWidth="1"/>
    <col min="5" max="5" width="15.6640625" style="3" customWidth="1"/>
    <col min="6" max="6" width="16" style="3" customWidth="1"/>
    <col min="7" max="7" width="15.88671875" style="3" customWidth="1"/>
    <col min="8" max="8" width="13.77734375" style="3" customWidth="1"/>
    <col min="9" max="9" width="23.44140625" style="3" customWidth="1"/>
    <col min="10" max="10" width="19.33203125" style="3" customWidth="1"/>
    <col min="11" max="11" width="20.109375" style="3" customWidth="1"/>
    <col min="12" max="12" width="20.109375" style="39" customWidth="1"/>
    <col min="13" max="13" width="19.6640625" style="3" customWidth="1"/>
    <col min="14" max="14" width="13.88671875" style="3" customWidth="1"/>
    <col min="15" max="15" width="14.77734375" style="3" customWidth="1"/>
    <col min="16" max="16" width="15" style="3" customWidth="1"/>
    <col min="17" max="17" width="19.21875" style="3" customWidth="1"/>
    <col min="18" max="16384" width="8.88671875" style="3"/>
  </cols>
  <sheetData>
    <row r="1" spans="1:43" ht="30" customHeight="1" x14ac:dyDescent="0.35">
      <c r="A1" s="55" t="s">
        <v>37</v>
      </c>
      <c r="B1" s="55"/>
      <c r="C1" s="55"/>
      <c r="D1" s="55"/>
      <c r="E1" s="55"/>
      <c r="F1" s="55"/>
      <c r="G1" s="55"/>
      <c r="H1" s="55"/>
      <c r="I1" s="55"/>
      <c r="J1" s="55"/>
      <c r="K1" s="55"/>
      <c r="L1" s="55"/>
      <c r="M1" s="55"/>
      <c r="N1" s="55"/>
      <c r="O1" s="55"/>
      <c r="P1" s="55"/>
      <c r="Q1" s="1"/>
      <c r="R1" s="1"/>
      <c r="S1" s="1"/>
      <c r="T1" s="1"/>
      <c r="U1" s="1"/>
      <c r="V1" s="1"/>
      <c r="W1" s="1"/>
      <c r="X1" s="1"/>
      <c r="Y1" s="1"/>
      <c r="Z1" s="1"/>
      <c r="AA1" s="1"/>
      <c r="AB1" s="1"/>
      <c r="AC1" s="1"/>
      <c r="AD1" s="1"/>
      <c r="AE1" s="1"/>
      <c r="AF1" s="1"/>
      <c r="AG1" s="1"/>
      <c r="AH1" s="1"/>
      <c r="AI1" s="1"/>
      <c r="AJ1" s="1"/>
      <c r="AK1" s="1"/>
      <c r="AL1" s="1"/>
      <c r="AM1" s="1"/>
      <c r="AN1" s="1"/>
      <c r="AO1" s="1"/>
      <c r="AP1" s="1"/>
      <c r="AQ1" s="2"/>
    </row>
    <row r="2" spans="1:43" ht="22.8" customHeight="1" x14ac:dyDescent="0.35">
      <c r="A2" s="56" t="s">
        <v>0</v>
      </c>
      <c r="B2" s="56"/>
      <c r="C2" s="56"/>
      <c r="D2" s="56"/>
      <c r="E2" s="56"/>
      <c r="F2" s="56"/>
      <c r="G2" s="56"/>
      <c r="H2" s="56"/>
      <c r="I2" s="56"/>
      <c r="J2" s="56"/>
      <c r="K2" s="56"/>
      <c r="L2" s="56"/>
      <c r="M2" s="56"/>
      <c r="N2" s="56"/>
      <c r="O2" s="56"/>
      <c r="P2" s="56"/>
      <c r="Q2" s="1"/>
      <c r="R2" s="1"/>
      <c r="S2" s="1"/>
      <c r="T2" s="1"/>
      <c r="U2" s="1"/>
      <c r="V2" s="1"/>
      <c r="W2" s="1"/>
      <c r="X2" s="1"/>
      <c r="Y2" s="1"/>
      <c r="Z2" s="1"/>
      <c r="AA2" s="1"/>
      <c r="AB2" s="1"/>
      <c r="AC2" s="1"/>
      <c r="AD2" s="1"/>
      <c r="AE2" s="1"/>
      <c r="AF2" s="1"/>
      <c r="AG2" s="1"/>
      <c r="AH2" s="1"/>
      <c r="AI2" s="1"/>
      <c r="AJ2" s="1"/>
      <c r="AK2" s="1"/>
      <c r="AL2" s="1"/>
      <c r="AM2" s="1"/>
      <c r="AN2" s="1"/>
      <c r="AO2" s="1"/>
      <c r="AP2" s="1"/>
      <c r="AQ2" s="2"/>
    </row>
    <row r="3" spans="1:43" ht="22.8" customHeight="1" x14ac:dyDescent="0.35">
      <c r="A3" s="57" t="s">
        <v>1</v>
      </c>
      <c r="B3" s="57"/>
      <c r="C3" s="57"/>
      <c r="D3" s="57"/>
      <c r="E3" s="57"/>
      <c r="F3" s="57"/>
      <c r="G3" s="57"/>
      <c r="H3" s="57"/>
      <c r="I3" s="57"/>
      <c r="J3" s="57"/>
      <c r="K3" s="57"/>
      <c r="L3" s="57"/>
      <c r="M3" s="57"/>
      <c r="N3" s="57"/>
      <c r="O3" s="57"/>
      <c r="P3" s="57"/>
      <c r="Q3" s="4"/>
      <c r="R3" s="4"/>
      <c r="S3" s="4"/>
      <c r="T3" s="4"/>
      <c r="U3" s="4"/>
      <c r="V3" s="4"/>
      <c r="W3" s="4"/>
      <c r="X3" s="4"/>
      <c r="Y3" s="4"/>
      <c r="Z3" s="4"/>
      <c r="AA3" s="4"/>
      <c r="AB3" s="4"/>
      <c r="AC3" s="4"/>
      <c r="AD3" s="4"/>
      <c r="AE3" s="4"/>
      <c r="AF3" s="4"/>
      <c r="AG3" s="4"/>
      <c r="AH3" s="4"/>
      <c r="AI3" s="4"/>
      <c r="AJ3" s="4"/>
      <c r="AK3" s="4"/>
      <c r="AL3" s="4"/>
      <c r="AM3" s="4"/>
      <c r="AN3" s="4"/>
      <c r="AO3" s="4"/>
      <c r="AP3" s="4"/>
      <c r="AQ3" s="4"/>
    </row>
    <row r="4" spans="1:43" ht="26.4" customHeight="1" x14ac:dyDescent="0.35">
      <c r="A4" s="58"/>
      <c r="B4" s="58"/>
      <c r="C4" s="58"/>
      <c r="D4" s="58"/>
      <c r="E4" s="58"/>
      <c r="F4" s="58"/>
      <c r="G4" s="58"/>
      <c r="H4" s="58"/>
      <c r="I4" s="58"/>
      <c r="J4" s="58"/>
      <c r="K4" s="58"/>
      <c r="L4" s="58"/>
      <c r="M4" s="58"/>
      <c r="N4" s="58"/>
      <c r="O4" s="58"/>
      <c r="P4" s="58"/>
      <c r="Q4" s="4"/>
      <c r="R4" s="4"/>
      <c r="S4" s="4"/>
      <c r="T4" s="4"/>
      <c r="U4" s="4"/>
      <c r="V4" s="4"/>
      <c r="W4" s="4"/>
      <c r="X4" s="4"/>
      <c r="Y4" s="4"/>
      <c r="Z4" s="4"/>
      <c r="AA4" s="4"/>
      <c r="AB4" s="4"/>
      <c r="AC4" s="4"/>
      <c r="AD4" s="4"/>
      <c r="AE4" s="4"/>
      <c r="AF4" s="4"/>
      <c r="AG4" s="4"/>
      <c r="AH4" s="4"/>
      <c r="AI4" s="4"/>
      <c r="AJ4" s="4"/>
      <c r="AK4" s="4"/>
      <c r="AL4" s="4"/>
      <c r="AM4" s="4"/>
      <c r="AN4" s="4"/>
      <c r="AO4" s="4"/>
      <c r="AP4" s="4"/>
      <c r="AQ4" s="4"/>
    </row>
    <row r="5" spans="1:43" s="1" customFormat="1" ht="100.8" customHeight="1" x14ac:dyDescent="0.3">
      <c r="A5" s="5" t="s">
        <v>2</v>
      </c>
      <c r="B5" s="6" t="s">
        <v>3</v>
      </c>
      <c r="C5" s="6" t="s">
        <v>4</v>
      </c>
      <c r="D5" s="6" t="s">
        <v>5</v>
      </c>
      <c r="E5" s="6" t="s">
        <v>6</v>
      </c>
      <c r="F5" s="6" t="s">
        <v>7</v>
      </c>
      <c r="G5" s="6" t="s">
        <v>8</v>
      </c>
      <c r="H5" s="6" t="s">
        <v>9</v>
      </c>
      <c r="I5" s="6" t="s">
        <v>10</v>
      </c>
      <c r="J5" s="6" t="s">
        <v>11</v>
      </c>
      <c r="K5" s="6" t="s">
        <v>12</v>
      </c>
      <c r="L5" s="7" t="s">
        <v>13</v>
      </c>
      <c r="M5" s="6" t="s">
        <v>14</v>
      </c>
      <c r="N5" s="6" t="s">
        <v>15</v>
      </c>
      <c r="O5" s="6" t="s">
        <v>16</v>
      </c>
      <c r="P5" s="6" t="s">
        <v>17</v>
      </c>
      <c r="Q5" s="8" t="s">
        <v>18</v>
      </c>
    </row>
    <row r="6" spans="1:43" x14ac:dyDescent="0.35">
      <c r="A6" s="9">
        <v>44805</v>
      </c>
      <c r="B6" s="10">
        <v>259.09800000000001</v>
      </c>
      <c r="C6" s="10">
        <v>259.36399999999998</v>
      </c>
      <c r="D6" s="10">
        <f>C6-B6</f>
        <v>0.26599999999996271</v>
      </c>
      <c r="E6" s="10">
        <v>180.68299999999999</v>
      </c>
      <c r="F6" s="10">
        <v>180.875</v>
      </c>
      <c r="G6" s="10">
        <f>F6-E6</f>
        <v>0.19200000000000728</v>
      </c>
      <c r="H6" s="59">
        <v>60000</v>
      </c>
      <c r="I6" s="11">
        <v>8.84</v>
      </c>
      <c r="J6" s="10">
        <f t="shared" ref="J6:J35" si="0">G6*$H$6</f>
        <v>11520.000000000437</v>
      </c>
      <c r="K6" s="12">
        <f>(I6/3.6)*840*6.12</f>
        <v>12623.519999999999</v>
      </c>
      <c r="L6" s="13">
        <f>D6*$H$6</f>
        <v>15959.999999997763</v>
      </c>
      <c r="M6" s="12">
        <f>L6-K6</f>
        <v>3336.479999997764</v>
      </c>
      <c r="N6" s="11">
        <f>(L6/(6.12*1000*24))*100</f>
        <v>10.866013071893901</v>
      </c>
      <c r="O6" s="10">
        <v>0</v>
      </c>
      <c r="P6" s="14">
        <f t="shared" ref="P6:P35" si="1">L6/(1000*(12-O6))</f>
        <v>1.3299999999998136</v>
      </c>
      <c r="Q6" s="15">
        <f>L6*0.133076</f>
        <v>2123.8929599997023</v>
      </c>
    </row>
    <row r="7" spans="1:43" x14ac:dyDescent="0.35">
      <c r="A7" s="9">
        <v>44806</v>
      </c>
      <c r="B7" s="10">
        <f>C6</f>
        <v>259.36399999999998</v>
      </c>
      <c r="C7" s="10">
        <v>259.76</v>
      </c>
      <c r="D7" s="10">
        <f t="shared" ref="D7:D35" si="2">C7-B7</f>
        <v>0.39600000000001501</v>
      </c>
      <c r="E7" s="10">
        <f>F6</f>
        <v>180.875</v>
      </c>
      <c r="F7" s="10">
        <v>181.15199999999999</v>
      </c>
      <c r="G7" s="10">
        <f t="shared" ref="G7:G35" si="3">F7-E7</f>
        <v>0.27699999999998681</v>
      </c>
      <c r="H7" s="60"/>
      <c r="I7" s="11">
        <v>14.86</v>
      </c>
      <c r="J7" s="10">
        <f t="shared" si="0"/>
        <v>16619.999999999207</v>
      </c>
      <c r="K7" s="12">
        <f t="shared" ref="K7:K35" si="4">(I7/3.6)*840*6.12</f>
        <v>21220.079999999998</v>
      </c>
      <c r="L7" s="13">
        <f t="shared" ref="L7:L35" si="5">D7*$H$6</f>
        <v>23760.000000000902</v>
      </c>
      <c r="M7" s="12">
        <f t="shared" ref="M7:M35" si="6">L7-K7</f>
        <v>2539.9200000009041</v>
      </c>
      <c r="N7" s="11">
        <f t="shared" ref="N7:N35" si="7">(L7/(6.12*1000*24))*100</f>
        <v>16.176470588235908</v>
      </c>
      <c r="O7" s="10">
        <v>0</v>
      </c>
      <c r="P7" s="14">
        <f t="shared" si="1"/>
        <v>1.9800000000000753</v>
      </c>
      <c r="Q7" s="15">
        <f t="shared" ref="Q7:Q35" si="8">L7*0.133076</f>
        <v>3161.8857600001202</v>
      </c>
    </row>
    <row r="8" spans="1:43" x14ac:dyDescent="0.35">
      <c r="A8" s="9">
        <v>44807</v>
      </c>
      <c r="B8" s="10">
        <f t="shared" ref="B8:B35" si="9">C7</f>
        <v>259.76</v>
      </c>
      <c r="C8" s="10">
        <v>260.18299999999999</v>
      </c>
      <c r="D8" s="10">
        <f t="shared" si="2"/>
        <v>0.42300000000000182</v>
      </c>
      <c r="E8" s="10">
        <f t="shared" ref="E8:E35" si="10">F7</f>
        <v>181.15199999999999</v>
      </c>
      <c r="F8" s="10">
        <v>181.45</v>
      </c>
      <c r="G8" s="10">
        <f t="shared" si="3"/>
        <v>0.29800000000000182</v>
      </c>
      <c r="H8" s="60"/>
      <c r="I8" s="11">
        <v>14.9</v>
      </c>
      <c r="J8" s="10">
        <f t="shared" si="0"/>
        <v>17880.000000000109</v>
      </c>
      <c r="K8" s="12">
        <f t="shared" si="4"/>
        <v>21277.200000000001</v>
      </c>
      <c r="L8" s="13">
        <f t="shared" si="5"/>
        <v>25380.000000000109</v>
      </c>
      <c r="M8" s="12">
        <f t="shared" si="6"/>
        <v>4102.8000000001084</v>
      </c>
      <c r="N8" s="11">
        <f t="shared" si="7"/>
        <v>17.279411764705959</v>
      </c>
      <c r="O8" s="10">
        <v>0</v>
      </c>
      <c r="P8" s="14">
        <f t="shared" si="1"/>
        <v>2.1150000000000091</v>
      </c>
      <c r="Q8" s="15">
        <f t="shared" si="8"/>
        <v>3377.4688800000145</v>
      </c>
    </row>
    <row r="9" spans="1:43" x14ac:dyDescent="0.35">
      <c r="A9" s="9">
        <v>44808</v>
      </c>
      <c r="B9" s="10">
        <f t="shared" si="9"/>
        <v>260.18299999999999</v>
      </c>
      <c r="C9" s="16">
        <v>260.64</v>
      </c>
      <c r="D9" s="10">
        <f t="shared" si="2"/>
        <v>0.45699999999999363</v>
      </c>
      <c r="E9" s="10">
        <f t="shared" si="10"/>
        <v>181.45</v>
      </c>
      <c r="F9" s="16">
        <v>181.77199999999999</v>
      </c>
      <c r="G9" s="10">
        <f t="shared" si="3"/>
        <v>0.32200000000000273</v>
      </c>
      <c r="H9" s="60"/>
      <c r="I9" s="17">
        <v>15.68</v>
      </c>
      <c r="J9" s="10">
        <f t="shared" si="0"/>
        <v>19320.000000000164</v>
      </c>
      <c r="K9" s="12">
        <f>(I9/3.6)*840*6.12</f>
        <v>22391.040000000001</v>
      </c>
      <c r="L9" s="13">
        <f t="shared" si="5"/>
        <v>27419.999999999618</v>
      </c>
      <c r="M9" s="12">
        <f>L9-K9</f>
        <v>5028.9599999996171</v>
      </c>
      <c r="N9" s="11">
        <f t="shared" si="7"/>
        <v>18.66830065359451</v>
      </c>
      <c r="O9" s="10">
        <v>0</v>
      </c>
      <c r="P9" s="14">
        <f t="shared" si="1"/>
        <v>2.2849999999999682</v>
      </c>
      <c r="Q9" s="15">
        <f t="shared" si="8"/>
        <v>3648.9439199999492</v>
      </c>
    </row>
    <row r="10" spans="1:43" x14ac:dyDescent="0.35">
      <c r="A10" s="9">
        <v>44809</v>
      </c>
      <c r="B10" s="10">
        <f t="shared" si="9"/>
        <v>260.64</v>
      </c>
      <c r="C10" s="16">
        <v>260.82400000000001</v>
      </c>
      <c r="D10" s="10">
        <f t="shared" si="2"/>
        <v>0.18400000000002592</v>
      </c>
      <c r="E10" s="10">
        <f t="shared" si="10"/>
        <v>181.77199999999999</v>
      </c>
      <c r="F10" s="16">
        <v>181.90299999999999</v>
      </c>
      <c r="G10" s="10">
        <f t="shared" si="3"/>
        <v>0.13100000000000023</v>
      </c>
      <c r="H10" s="60"/>
      <c r="I10" s="17">
        <v>5.84</v>
      </c>
      <c r="J10" s="10">
        <f t="shared" si="0"/>
        <v>7860.0000000000136</v>
      </c>
      <c r="K10" s="12">
        <f t="shared" si="4"/>
        <v>8339.52</v>
      </c>
      <c r="L10" s="13">
        <f t="shared" si="5"/>
        <v>11040.000000001555</v>
      </c>
      <c r="M10" s="12">
        <f t="shared" si="6"/>
        <v>2700.4800000015548</v>
      </c>
      <c r="N10" s="11">
        <f t="shared" si="7"/>
        <v>7.5163398692821044</v>
      </c>
      <c r="O10" s="10">
        <v>0</v>
      </c>
      <c r="P10" s="14">
        <f t="shared" si="1"/>
        <v>0.9200000000001296</v>
      </c>
      <c r="Q10" s="15">
        <f t="shared" si="8"/>
        <v>1469.1590400002069</v>
      </c>
    </row>
    <row r="11" spans="1:43" s="20" customFormat="1" x14ac:dyDescent="0.35">
      <c r="A11" s="9">
        <v>44810</v>
      </c>
      <c r="B11" s="10">
        <f t="shared" si="9"/>
        <v>260.82400000000001</v>
      </c>
      <c r="C11" s="10">
        <v>261.15800000000002</v>
      </c>
      <c r="D11" s="18">
        <f t="shared" si="2"/>
        <v>0.33400000000000318</v>
      </c>
      <c r="E11" s="18">
        <f t="shared" si="10"/>
        <v>181.90299999999999</v>
      </c>
      <c r="F11" s="10">
        <v>182.14</v>
      </c>
      <c r="G11" s="18">
        <f t="shared" si="3"/>
        <v>0.23699999999999477</v>
      </c>
      <c r="H11" s="60"/>
      <c r="I11" s="11">
        <v>11.02</v>
      </c>
      <c r="J11" s="18">
        <f t="shared" si="0"/>
        <v>14219.999999999687</v>
      </c>
      <c r="K11" s="12">
        <f t="shared" si="4"/>
        <v>15736.559999999998</v>
      </c>
      <c r="L11" s="13">
        <f t="shared" si="5"/>
        <v>20040.000000000189</v>
      </c>
      <c r="M11" s="19">
        <f>L11-K11</f>
        <v>4303.4400000001915</v>
      </c>
      <c r="N11" s="11">
        <f t="shared" si="7"/>
        <v>13.643790849673332</v>
      </c>
      <c r="O11" s="10">
        <v>0</v>
      </c>
      <c r="P11" s="14">
        <f t="shared" si="1"/>
        <v>1.6700000000000157</v>
      </c>
      <c r="Q11" s="15">
        <f t="shared" si="8"/>
        <v>2666.8430400000252</v>
      </c>
    </row>
    <row r="12" spans="1:43" x14ac:dyDescent="0.35">
      <c r="A12" s="9">
        <v>44811</v>
      </c>
      <c r="B12" s="10">
        <f t="shared" si="9"/>
        <v>261.15800000000002</v>
      </c>
      <c r="C12" s="10">
        <v>261.76499999999999</v>
      </c>
      <c r="D12" s="10">
        <f t="shared" si="2"/>
        <v>0.6069999999999709</v>
      </c>
      <c r="E12" s="10">
        <f t="shared" si="10"/>
        <v>182.14</v>
      </c>
      <c r="F12" s="10">
        <v>182.56299999999999</v>
      </c>
      <c r="G12" s="10">
        <f t="shared" si="3"/>
        <v>0.42300000000000182</v>
      </c>
      <c r="H12" s="60"/>
      <c r="I12" s="11">
        <v>22.43</v>
      </c>
      <c r="J12" s="10">
        <f t="shared" si="0"/>
        <v>25380.000000000109</v>
      </c>
      <c r="K12" s="12">
        <f t="shared" si="4"/>
        <v>32030.039999999997</v>
      </c>
      <c r="L12" s="13">
        <f t="shared" si="5"/>
        <v>36419.999999998254</v>
      </c>
      <c r="M12" s="12">
        <f t="shared" si="6"/>
        <v>4389.9599999982565</v>
      </c>
      <c r="N12" s="11">
        <f t="shared" si="7"/>
        <v>24.795751633985738</v>
      </c>
      <c r="O12" s="10">
        <v>0</v>
      </c>
      <c r="P12" s="14">
        <f t="shared" si="1"/>
        <v>3.0349999999998545</v>
      </c>
      <c r="Q12" s="15">
        <f t="shared" si="8"/>
        <v>4846.627919999768</v>
      </c>
    </row>
    <row r="13" spans="1:43" x14ac:dyDescent="0.35">
      <c r="A13" s="9">
        <v>44812</v>
      </c>
      <c r="B13" s="10">
        <f t="shared" si="9"/>
        <v>261.76499999999999</v>
      </c>
      <c r="C13" s="16">
        <v>262.26499999999999</v>
      </c>
      <c r="D13" s="10">
        <f t="shared" si="2"/>
        <v>0.5</v>
      </c>
      <c r="E13" s="10">
        <f t="shared" si="10"/>
        <v>182.56299999999999</v>
      </c>
      <c r="F13" s="16">
        <v>182.91200000000001</v>
      </c>
      <c r="G13" s="10">
        <f t="shared" si="3"/>
        <v>0.34900000000001796</v>
      </c>
      <c r="H13" s="60"/>
      <c r="I13" s="17">
        <v>19.28</v>
      </c>
      <c r="J13" s="10">
        <f t="shared" si="0"/>
        <v>20940.000000001077</v>
      </c>
      <c r="K13" s="12">
        <f t="shared" si="4"/>
        <v>27531.840000000004</v>
      </c>
      <c r="L13" s="13">
        <f t="shared" si="5"/>
        <v>30000</v>
      </c>
      <c r="M13" s="12">
        <f t="shared" si="6"/>
        <v>2468.1599999999962</v>
      </c>
      <c r="N13" s="11">
        <f t="shared" si="7"/>
        <v>20.424836601307188</v>
      </c>
      <c r="O13" s="10">
        <v>0</v>
      </c>
      <c r="P13" s="14">
        <f t="shared" si="1"/>
        <v>2.5</v>
      </c>
      <c r="Q13" s="15">
        <f t="shared" si="8"/>
        <v>3992.28</v>
      </c>
    </row>
    <row r="14" spans="1:43" x14ac:dyDescent="0.35">
      <c r="A14" s="9">
        <v>44813</v>
      </c>
      <c r="B14" s="10">
        <f t="shared" si="9"/>
        <v>262.26499999999999</v>
      </c>
      <c r="C14" s="10">
        <v>262.892</v>
      </c>
      <c r="D14" s="10">
        <f t="shared" si="2"/>
        <v>0.62700000000000955</v>
      </c>
      <c r="E14" s="10">
        <f t="shared" si="10"/>
        <v>182.91200000000001</v>
      </c>
      <c r="F14" s="10">
        <v>183.34800000000001</v>
      </c>
      <c r="G14" s="10">
        <f t="shared" si="3"/>
        <v>0.43600000000000705</v>
      </c>
      <c r="H14" s="60"/>
      <c r="I14" s="11">
        <v>23.48</v>
      </c>
      <c r="J14" s="10">
        <f t="shared" si="0"/>
        <v>26160.000000000422</v>
      </c>
      <c r="K14" s="12">
        <f t="shared" si="4"/>
        <v>33529.440000000002</v>
      </c>
      <c r="L14" s="13">
        <f t="shared" si="5"/>
        <v>37620.000000000575</v>
      </c>
      <c r="M14" s="12">
        <f t="shared" si="6"/>
        <v>4090.5600000005725</v>
      </c>
      <c r="N14" s="11">
        <f t="shared" si="7"/>
        <v>25.612745098039607</v>
      </c>
      <c r="O14" s="10">
        <v>0</v>
      </c>
      <c r="P14" s="14">
        <f t="shared" si="1"/>
        <v>3.1350000000000477</v>
      </c>
      <c r="Q14" s="15">
        <f t="shared" si="8"/>
        <v>5006.3191200000765</v>
      </c>
    </row>
    <row r="15" spans="1:43" x14ac:dyDescent="0.35">
      <c r="A15" s="9">
        <v>44814</v>
      </c>
      <c r="B15" s="10">
        <f t="shared" si="9"/>
        <v>262.892</v>
      </c>
      <c r="C15" s="16">
        <v>263.37</v>
      </c>
      <c r="D15" s="10">
        <f t="shared" si="2"/>
        <v>0.47800000000000864</v>
      </c>
      <c r="E15" s="10">
        <f t="shared" si="10"/>
        <v>183.34800000000001</v>
      </c>
      <c r="F15" s="16">
        <v>183.684</v>
      </c>
      <c r="G15" s="10">
        <f t="shared" si="3"/>
        <v>0.33599999999998431</v>
      </c>
      <c r="H15" s="60"/>
      <c r="I15" s="11">
        <v>18.690000000000001</v>
      </c>
      <c r="J15" s="10">
        <f t="shared" si="0"/>
        <v>20159.999999999058</v>
      </c>
      <c r="K15" s="12">
        <f t="shared" si="4"/>
        <v>26689.320000000007</v>
      </c>
      <c r="L15" s="13">
        <f t="shared" si="5"/>
        <v>28680.000000000517</v>
      </c>
      <c r="M15" s="12">
        <f t="shared" si="6"/>
        <v>1990.6800000005096</v>
      </c>
      <c r="N15" s="11">
        <f t="shared" si="7"/>
        <v>19.526143790850025</v>
      </c>
      <c r="O15" s="10">
        <v>0</v>
      </c>
      <c r="P15" s="14">
        <f t="shared" si="1"/>
        <v>2.3900000000000432</v>
      </c>
      <c r="Q15" s="15">
        <f t="shared" si="8"/>
        <v>3816.6196800000689</v>
      </c>
    </row>
    <row r="16" spans="1:43" x14ac:dyDescent="0.35">
      <c r="A16" s="9">
        <v>44815</v>
      </c>
      <c r="B16" s="10">
        <f t="shared" si="9"/>
        <v>263.37</v>
      </c>
      <c r="C16" s="10">
        <v>263.81900000000002</v>
      </c>
      <c r="D16" s="10">
        <f>C16-B16</f>
        <v>0.44900000000001228</v>
      </c>
      <c r="E16" s="10">
        <f t="shared" si="10"/>
        <v>183.684</v>
      </c>
      <c r="F16" s="10">
        <v>183.99799999999999</v>
      </c>
      <c r="G16" s="10">
        <f t="shared" si="3"/>
        <v>0.31399999999999295</v>
      </c>
      <c r="H16" s="60"/>
      <c r="I16" s="11">
        <v>16.690000000000001</v>
      </c>
      <c r="J16" s="10">
        <f t="shared" si="0"/>
        <v>18839.999999999578</v>
      </c>
      <c r="K16" s="12">
        <f t="shared" si="4"/>
        <v>23833.32</v>
      </c>
      <c r="L16" s="13">
        <f t="shared" si="5"/>
        <v>26940.000000000735</v>
      </c>
      <c r="M16" s="12">
        <f>L16-K16</f>
        <v>3106.6800000007352</v>
      </c>
      <c r="N16" s="11">
        <f t="shared" si="7"/>
        <v>18.341503267974357</v>
      </c>
      <c r="O16" s="10">
        <v>0</v>
      </c>
      <c r="P16" s="14">
        <f t="shared" si="1"/>
        <v>2.2450000000000614</v>
      </c>
      <c r="Q16" s="15">
        <f t="shared" si="8"/>
        <v>3585.0674400000976</v>
      </c>
    </row>
    <row r="17" spans="1:17" x14ac:dyDescent="0.35">
      <c r="A17" s="9">
        <v>44816</v>
      </c>
      <c r="B17" s="10">
        <f>C16</f>
        <v>263.81900000000002</v>
      </c>
      <c r="C17" s="10">
        <v>264.178</v>
      </c>
      <c r="D17" s="10">
        <f t="shared" si="2"/>
        <v>0.35899999999998045</v>
      </c>
      <c r="E17" s="10">
        <f t="shared" si="10"/>
        <v>183.99799999999999</v>
      </c>
      <c r="F17" s="10">
        <v>184.251</v>
      </c>
      <c r="G17" s="10">
        <f t="shared" si="3"/>
        <v>0.25300000000001432</v>
      </c>
      <c r="H17" s="60"/>
      <c r="I17" s="11">
        <v>12.35</v>
      </c>
      <c r="J17" s="10">
        <f t="shared" si="0"/>
        <v>15180.000000000859</v>
      </c>
      <c r="K17" s="12">
        <f t="shared" si="4"/>
        <v>17635.8</v>
      </c>
      <c r="L17" s="13">
        <f t="shared" si="5"/>
        <v>21539.999999998829</v>
      </c>
      <c r="M17" s="12">
        <f t="shared" si="6"/>
        <v>3904.1999999988293</v>
      </c>
      <c r="N17" s="11">
        <f t="shared" si="7"/>
        <v>14.665032679737763</v>
      </c>
      <c r="O17" s="10">
        <v>0</v>
      </c>
      <c r="P17" s="14">
        <f t="shared" si="1"/>
        <v>1.7949999999999025</v>
      </c>
      <c r="Q17" s="15">
        <f t="shared" si="8"/>
        <v>2866.4570399998443</v>
      </c>
    </row>
    <row r="18" spans="1:17" x14ac:dyDescent="0.35">
      <c r="A18" s="9">
        <v>44817</v>
      </c>
      <c r="B18" s="10">
        <f t="shared" si="9"/>
        <v>264.178</v>
      </c>
      <c r="C18" s="21">
        <v>264.24</v>
      </c>
      <c r="D18" s="10">
        <f t="shared" si="2"/>
        <v>6.2000000000011823E-2</v>
      </c>
      <c r="E18" s="10">
        <f t="shared" si="10"/>
        <v>184.251</v>
      </c>
      <c r="F18" s="21">
        <v>184.29599999999999</v>
      </c>
      <c r="G18" s="10">
        <f>F18-E18</f>
        <v>4.4999999999987494E-2</v>
      </c>
      <c r="H18" s="60"/>
      <c r="I18" s="11">
        <v>1.86</v>
      </c>
      <c r="J18" s="10">
        <f t="shared" si="0"/>
        <v>2699.9999999992497</v>
      </c>
      <c r="K18" s="12">
        <f t="shared" si="4"/>
        <v>2656.0800000000004</v>
      </c>
      <c r="L18" s="13">
        <f t="shared" si="5"/>
        <v>3720.0000000007094</v>
      </c>
      <c r="M18" s="12">
        <f t="shared" si="6"/>
        <v>1063.920000000709</v>
      </c>
      <c r="N18" s="11">
        <f t="shared" si="7"/>
        <v>2.5326797385625746</v>
      </c>
      <c r="O18" s="10">
        <v>0</v>
      </c>
      <c r="P18" s="14">
        <f t="shared" si="1"/>
        <v>0.31000000000005912</v>
      </c>
      <c r="Q18" s="15">
        <f t="shared" si="8"/>
        <v>495.04272000009439</v>
      </c>
    </row>
    <row r="19" spans="1:17" x14ac:dyDescent="0.35">
      <c r="A19" s="9">
        <v>44818</v>
      </c>
      <c r="B19" s="10">
        <f t="shared" si="9"/>
        <v>264.24</v>
      </c>
      <c r="C19" s="10">
        <v>264.40100000000001</v>
      </c>
      <c r="D19" s="10">
        <f>C19-B19</f>
        <v>0.16100000000000136</v>
      </c>
      <c r="E19" s="10">
        <f>F18</f>
        <v>184.29599999999999</v>
      </c>
      <c r="F19" s="10">
        <v>184.411</v>
      </c>
      <c r="G19" s="10">
        <f t="shared" si="3"/>
        <v>0.11500000000000909</v>
      </c>
      <c r="H19" s="60"/>
      <c r="I19" s="11">
        <v>5.5</v>
      </c>
      <c r="J19" s="10">
        <f t="shared" si="0"/>
        <v>6900.0000000005457</v>
      </c>
      <c r="K19" s="12">
        <f t="shared" si="4"/>
        <v>7854</v>
      </c>
      <c r="L19" s="13">
        <f t="shared" si="5"/>
        <v>9660.0000000000819</v>
      </c>
      <c r="M19" s="12">
        <f>L19-K19</f>
        <v>1806.0000000000819</v>
      </c>
      <c r="N19" s="11">
        <f t="shared" si="7"/>
        <v>6.5767973856209707</v>
      </c>
      <c r="O19" s="10">
        <v>0</v>
      </c>
      <c r="P19" s="14">
        <f t="shared" si="1"/>
        <v>0.80500000000000682</v>
      </c>
      <c r="Q19" s="15">
        <f>L19*0.133076</f>
        <v>1285.5141600000109</v>
      </c>
    </row>
    <row r="20" spans="1:17" x14ac:dyDescent="0.35">
      <c r="A20" s="9">
        <v>44819</v>
      </c>
      <c r="B20" s="10">
        <f>C19</f>
        <v>264.40100000000001</v>
      </c>
      <c r="C20" s="10">
        <v>264.79700000000003</v>
      </c>
      <c r="D20" s="10">
        <f t="shared" si="2"/>
        <v>0.39600000000001501</v>
      </c>
      <c r="E20" s="10">
        <f t="shared" si="10"/>
        <v>184.411</v>
      </c>
      <c r="F20" s="10">
        <v>184.68799999999999</v>
      </c>
      <c r="G20" s="10">
        <f t="shared" si="3"/>
        <v>0.27699999999998681</v>
      </c>
      <c r="H20" s="60"/>
      <c r="I20" s="11">
        <v>14.09</v>
      </c>
      <c r="J20" s="10">
        <f t="shared" si="0"/>
        <v>16619.999999999207</v>
      </c>
      <c r="K20" s="12">
        <f t="shared" si="4"/>
        <v>20120.52</v>
      </c>
      <c r="L20" s="13">
        <f t="shared" si="5"/>
        <v>23760.000000000902</v>
      </c>
      <c r="M20" s="12">
        <f t="shared" si="6"/>
        <v>3639.4800000009018</v>
      </c>
      <c r="N20" s="11">
        <f t="shared" si="7"/>
        <v>16.176470588235908</v>
      </c>
      <c r="O20" s="10">
        <v>0</v>
      </c>
      <c r="P20" s="14">
        <f t="shared" si="1"/>
        <v>1.9800000000000753</v>
      </c>
      <c r="Q20" s="15">
        <f t="shared" si="8"/>
        <v>3161.8857600001202</v>
      </c>
    </row>
    <row r="21" spans="1:17" x14ac:dyDescent="0.35">
      <c r="A21" s="9">
        <v>44820</v>
      </c>
      <c r="B21" s="10">
        <f t="shared" si="9"/>
        <v>264.79700000000003</v>
      </c>
      <c r="C21" s="10">
        <v>265.274</v>
      </c>
      <c r="D21" s="10">
        <f t="shared" si="2"/>
        <v>0.47699999999997544</v>
      </c>
      <c r="E21" s="10">
        <f t="shared" si="10"/>
        <v>184.68799999999999</v>
      </c>
      <c r="F21" s="10">
        <v>185.023</v>
      </c>
      <c r="G21" s="10">
        <f t="shared" si="3"/>
        <v>0.33500000000000796</v>
      </c>
      <c r="H21" s="60"/>
      <c r="I21" s="11">
        <v>15.9</v>
      </c>
      <c r="J21" s="10">
        <f t="shared" si="0"/>
        <v>20100.000000000477</v>
      </c>
      <c r="K21" s="12">
        <f t="shared" si="4"/>
        <v>22705.200000000004</v>
      </c>
      <c r="L21" s="13">
        <f t="shared" si="5"/>
        <v>28619.999999998527</v>
      </c>
      <c r="M21" s="12">
        <f t="shared" si="6"/>
        <v>5914.7999999985223</v>
      </c>
      <c r="N21" s="11">
        <f t="shared" si="7"/>
        <v>19.485294117646056</v>
      </c>
      <c r="O21" s="10">
        <v>0</v>
      </c>
      <c r="P21" s="14">
        <f>L21/(1000*(12-O21))</f>
        <v>2.3849999999998772</v>
      </c>
      <c r="Q21" s="15">
        <f t="shared" si="8"/>
        <v>3808.6351199998039</v>
      </c>
    </row>
    <row r="22" spans="1:17" x14ac:dyDescent="0.35">
      <c r="A22" s="9">
        <v>44821</v>
      </c>
      <c r="B22" s="10">
        <f t="shared" si="9"/>
        <v>265.274</v>
      </c>
      <c r="C22" s="10">
        <v>265.834</v>
      </c>
      <c r="D22" s="10">
        <f>C22-B22</f>
        <v>0.56000000000000227</v>
      </c>
      <c r="E22" s="10">
        <f t="shared" si="10"/>
        <v>185.023</v>
      </c>
      <c r="F22" s="10">
        <v>185.41399999999999</v>
      </c>
      <c r="G22" s="10">
        <f t="shared" si="3"/>
        <v>0.39099999999999113</v>
      </c>
      <c r="H22" s="60"/>
      <c r="I22" s="11">
        <v>20.72</v>
      </c>
      <c r="J22" s="10">
        <f t="shared" si="0"/>
        <v>23459.999999999469</v>
      </c>
      <c r="K22" s="12">
        <f t="shared" si="4"/>
        <v>29588.160000000003</v>
      </c>
      <c r="L22" s="13">
        <f t="shared" si="5"/>
        <v>33600.000000000138</v>
      </c>
      <c r="M22" s="12">
        <f t="shared" si="6"/>
        <v>4011.8400000001348</v>
      </c>
      <c r="N22" s="11">
        <f t="shared" si="7"/>
        <v>22.875816993464145</v>
      </c>
      <c r="O22" s="10">
        <v>0</v>
      </c>
      <c r="P22" s="14">
        <f t="shared" si="1"/>
        <v>2.8000000000000114</v>
      </c>
      <c r="Q22" s="15">
        <f t="shared" si="8"/>
        <v>4471.3536000000186</v>
      </c>
    </row>
    <row r="23" spans="1:17" x14ac:dyDescent="0.35">
      <c r="A23" s="9">
        <v>44822</v>
      </c>
      <c r="B23" s="10">
        <f t="shared" si="9"/>
        <v>265.834</v>
      </c>
      <c r="C23" s="10">
        <v>266.08300000000003</v>
      </c>
      <c r="D23" s="10">
        <f t="shared" si="2"/>
        <v>0.24900000000002365</v>
      </c>
      <c r="E23" s="10">
        <f t="shared" si="10"/>
        <v>185.41399999999999</v>
      </c>
      <c r="F23" s="10">
        <v>185.596</v>
      </c>
      <c r="G23" s="10">
        <f t="shared" si="3"/>
        <v>0.18200000000001637</v>
      </c>
      <c r="H23" s="60"/>
      <c r="I23" s="11">
        <v>8.4700000000000006</v>
      </c>
      <c r="J23" s="10">
        <f t="shared" si="0"/>
        <v>10920.000000000982</v>
      </c>
      <c r="K23" s="12">
        <f t="shared" si="4"/>
        <v>12095.160000000002</v>
      </c>
      <c r="L23" s="13">
        <f t="shared" si="5"/>
        <v>14940.000000001419</v>
      </c>
      <c r="M23" s="12">
        <f t="shared" si="6"/>
        <v>2844.8400000014171</v>
      </c>
      <c r="N23" s="11">
        <f t="shared" si="7"/>
        <v>10.171568627451947</v>
      </c>
      <c r="O23" s="10">
        <v>0</v>
      </c>
      <c r="P23" s="14">
        <f t="shared" si="1"/>
        <v>1.2450000000001182</v>
      </c>
      <c r="Q23" s="15">
        <f t="shared" si="8"/>
        <v>1988.1554400001887</v>
      </c>
    </row>
    <row r="24" spans="1:17" x14ac:dyDescent="0.35">
      <c r="A24" s="9">
        <v>44823</v>
      </c>
      <c r="B24" s="10">
        <f t="shared" si="9"/>
        <v>266.08300000000003</v>
      </c>
      <c r="C24" s="10">
        <v>266.50799999999998</v>
      </c>
      <c r="D24" s="10">
        <f t="shared" si="2"/>
        <v>0.42499999999995453</v>
      </c>
      <c r="E24" s="10">
        <f t="shared" si="10"/>
        <v>185.596</v>
      </c>
      <c r="F24" s="10">
        <v>185.89099999999999</v>
      </c>
      <c r="G24" s="10">
        <f t="shared" si="3"/>
        <v>0.29499999999998749</v>
      </c>
      <c r="H24" s="60"/>
      <c r="I24" s="11">
        <v>16.14</v>
      </c>
      <c r="J24" s="10">
        <f t="shared" si="0"/>
        <v>17699.999999999251</v>
      </c>
      <c r="K24" s="12">
        <f t="shared" si="4"/>
        <v>23047.920000000002</v>
      </c>
      <c r="L24" s="13">
        <f t="shared" si="5"/>
        <v>25499.999999997272</v>
      </c>
      <c r="M24" s="12">
        <f t="shared" si="6"/>
        <v>2452.0799999972696</v>
      </c>
      <c r="N24" s="11">
        <f t="shared" si="7"/>
        <v>17.361111111109253</v>
      </c>
      <c r="O24" s="10">
        <v>0</v>
      </c>
      <c r="P24" s="14">
        <f t="shared" si="1"/>
        <v>2.1249999999997726</v>
      </c>
      <c r="Q24" s="15">
        <f t="shared" si="8"/>
        <v>3393.4379999996368</v>
      </c>
    </row>
    <row r="25" spans="1:17" x14ac:dyDescent="0.35">
      <c r="A25" s="9">
        <v>44824</v>
      </c>
      <c r="B25" s="10">
        <f>C24</f>
        <v>266.50799999999998</v>
      </c>
      <c r="C25" s="10">
        <v>267.02199999999999</v>
      </c>
      <c r="D25" s="10">
        <f t="shared" si="2"/>
        <v>0.51400000000001</v>
      </c>
      <c r="E25" s="10">
        <f t="shared" si="10"/>
        <v>185.89099999999999</v>
      </c>
      <c r="F25" s="10">
        <v>186.251</v>
      </c>
      <c r="G25" s="10">
        <f t="shared" si="3"/>
        <v>0.36000000000001364</v>
      </c>
      <c r="H25" s="60"/>
      <c r="I25" s="11">
        <v>18.57</v>
      </c>
      <c r="J25" s="10">
        <f t="shared" si="0"/>
        <v>21600.000000000819</v>
      </c>
      <c r="K25" s="12">
        <f t="shared" si="4"/>
        <v>26517.96</v>
      </c>
      <c r="L25" s="13">
        <f t="shared" si="5"/>
        <v>30840.0000000006</v>
      </c>
      <c r="M25" s="12">
        <f t="shared" si="6"/>
        <v>4322.0400000006011</v>
      </c>
      <c r="N25" s="11">
        <f t="shared" si="7"/>
        <v>20.996732026144198</v>
      </c>
      <c r="O25" s="10">
        <v>0</v>
      </c>
      <c r="P25" s="14">
        <f t="shared" si="1"/>
        <v>2.57000000000005</v>
      </c>
      <c r="Q25" s="15">
        <f t="shared" si="8"/>
        <v>4104.0638400000798</v>
      </c>
    </row>
    <row r="26" spans="1:17" x14ac:dyDescent="0.35">
      <c r="A26" s="9">
        <v>44825</v>
      </c>
      <c r="B26" s="10">
        <f t="shared" si="9"/>
        <v>267.02199999999999</v>
      </c>
      <c r="C26" s="10">
        <v>267.51299999999998</v>
      </c>
      <c r="D26" s="10">
        <f t="shared" si="2"/>
        <v>0.49099999999998545</v>
      </c>
      <c r="E26" s="10">
        <f t="shared" si="10"/>
        <v>186.251</v>
      </c>
      <c r="F26" s="10">
        <v>186.59399999999999</v>
      </c>
      <c r="G26" s="10">
        <f>F26-E26</f>
        <v>0.34299999999998931</v>
      </c>
      <c r="H26" s="60"/>
      <c r="I26" s="11">
        <v>18.45</v>
      </c>
      <c r="J26" s="10">
        <f t="shared" si="0"/>
        <v>20579.99999999936</v>
      </c>
      <c r="K26" s="12">
        <f t="shared" si="4"/>
        <v>26346.600000000002</v>
      </c>
      <c r="L26" s="13">
        <f t="shared" si="5"/>
        <v>29459.999999999127</v>
      </c>
      <c r="M26" s="12">
        <f t="shared" si="6"/>
        <v>3113.3999999991247</v>
      </c>
      <c r="N26" s="11">
        <f t="shared" si="7"/>
        <v>20.057189542483066</v>
      </c>
      <c r="O26" s="10">
        <v>0</v>
      </c>
      <c r="P26" s="14">
        <f t="shared" si="1"/>
        <v>2.4549999999999272</v>
      </c>
      <c r="Q26" s="15">
        <f t="shared" si="8"/>
        <v>3920.418959999884</v>
      </c>
    </row>
    <row r="27" spans="1:17" x14ac:dyDescent="0.35">
      <c r="A27" s="9">
        <v>44826</v>
      </c>
      <c r="B27" s="10">
        <f t="shared" si="9"/>
        <v>267.51299999999998</v>
      </c>
      <c r="C27" s="10">
        <v>268.09699999999998</v>
      </c>
      <c r="D27" s="10">
        <f t="shared" si="2"/>
        <v>0.58400000000000318</v>
      </c>
      <c r="E27" s="10">
        <f t="shared" si="10"/>
        <v>186.59399999999999</v>
      </c>
      <c r="F27" s="10">
        <v>187.00299999999999</v>
      </c>
      <c r="G27" s="10">
        <f t="shared" si="3"/>
        <v>0.40899999999999181</v>
      </c>
      <c r="H27" s="60"/>
      <c r="I27" s="11">
        <v>21.17</v>
      </c>
      <c r="J27" s="10">
        <f t="shared" si="0"/>
        <v>24539.999999999509</v>
      </c>
      <c r="K27" s="12">
        <f t="shared" si="4"/>
        <v>30230.760000000002</v>
      </c>
      <c r="L27" s="13">
        <f t="shared" si="5"/>
        <v>35040.000000000189</v>
      </c>
      <c r="M27" s="12">
        <f t="shared" si="6"/>
        <v>4809.2400000001871</v>
      </c>
      <c r="N27" s="11">
        <f t="shared" si="7"/>
        <v>23.856209150326926</v>
      </c>
      <c r="O27" s="10">
        <v>0</v>
      </c>
      <c r="P27" s="14">
        <f t="shared" si="1"/>
        <v>2.9200000000000159</v>
      </c>
      <c r="Q27" s="15">
        <f t="shared" si="8"/>
        <v>4662.9830400000255</v>
      </c>
    </row>
    <row r="28" spans="1:17" x14ac:dyDescent="0.35">
      <c r="A28" s="9">
        <v>44827</v>
      </c>
      <c r="B28" s="10">
        <f t="shared" si="9"/>
        <v>268.09699999999998</v>
      </c>
      <c r="C28" s="10">
        <v>268.63400000000001</v>
      </c>
      <c r="D28" s="10">
        <f t="shared" si="2"/>
        <v>0.53700000000003456</v>
      </c>
      <c r="E28" s="10">
        <f t="shared" si="10"/>
        <v>187.00299999999999</v>
      </c>
      <c r="F28" s="10">
        <v>187.37700000000001</v>
      </c>
      <c r="G28" s="10">
        <f t="shared" si="3"/>
        <v>0.37400000000002365</v>
      </c>
      <c r="H28" s="60"/>
      <c r="I28" s="11">
        <v>19.84</v>
      </c>
      <c r="J28" s="10">
        <f t="shared" si="0"/>
        <v>22440.000000001419</v>
      </c>
      <c r="K28" s="12">
        <f t="shared" si="4"/>
        <v>28331.52</v>
      </c>
      <c r="L28" s="13">
        <f t="shared" si="5"/>
        <v>32220.000000002074</v>
      </c>
      <c r="M28" s="12">
        <f t="shared" si="6"/>
        <v>3888.4800000020732</v>
      </c>
      <c r="N28" s="11">
        <f t="shared" si="7"/>
        <v>21.936274509805333</v>
      </c>
      <c r="O28" s="10">
        <v>0</v>
      </c>
      <c r="P28" s="14">
        <f t="shared" si="1"/>
        <v>2.6850000000001728</v>
      </c>
      <c r="Q28" s="15">
        <f t="shared" si="8"/>
        <v>4287.7087200002761</v>
      </c>
    </row>
    <row r="29" spans="1:17" x14ac:dyDescent="0.35">
      <c r="A29" s="9">
        <v>44828</v>
      </c>
      <c r="B29" s="10">
        <f t="shared" si="9"/>
        <v>268.63400000000001</v>
      </c>
      <c r="C29" s="10">
        <v>269.10199999999998</v>
      </c>
      <c r="D29" s="10">
        <f t="shared" si="2"/>
        <v>0.46799999999996089</v>
      </c>
      <c r="E29" s="10">
        <f t="shared" si="10"/>
        <v>187.37700000000001</v>
      </c>
      <c r="F29" s="10">
        <v>187.708</v>
      </c>
      <c r="G29" s="10">
        <f t="shared" si="3"/>
        <v>0.33099999999998886</v>
      </c>
      <c r="H29" s="60"/>
      <c r="I29" s="11">
        <v>16.440000000000001</v>
      </c>
      <c r="J29" s="10">
        <f t="shared" si="0"/>
        <v>19859.999999999331</v>
      </c>
      <c r="K29" s="12">
        <f t="shared" si="4"/>
        <v>23476.320000000003</v>
      </c>
      <c r="L29" s="13">
        <f t="shared" si="5"/>
        <v>28079.999999997654</v>
      </c>
      <c r="M29" s="12">
        <f t="shared" si="6"/>
        <v>4603.6799999976502</v>
      </c>
      <c r="N29" s="11">
        <f t="shared" si="7"/>
        <v>19.117647058821934</v>
      </c>
      <c r="O29" s="10">
        <v>0</v>
      </c>
      <c r="P29" s="14">
        <f t="shared" si="1"/>
        <v>2.3399999999998045</v>
      </c>
      <c r="Q29" s="15">
        <f t="shared" si="8"/>
        <v>3736.7740799996877</v>
      </c>
    </row>
    <row r="30" spans="1:17" x14ac:dyDescent="0.35">
      <c r="A30" s="9">
        <v>44829</v>
      </c>
      <c r="B30" s="10">
        <f t="shared" si="9"/>
        <v>269.10199999999998</v>
      </c>
      <c r="C30" s="10">
        <v>269.50200000000001</v>
      </c>
      <c r="D30" s="10">
        <f t="shared" si="2"/>
        <v>0.40000000000003411</v>
      </c>
      <c r="E30" s="10">
        <f t="shared" si="10"/>
        <v>187.708</v>
      </c>
      <c r="F30" s="10">
        <v>187.99</v>
      </c>
      <c r="G30" s="10">
        <f t="shared" si="3"/>
        <v>0.28200000000001069</v>
      </c>
      <c r="H30" s="60"/>
      <c r="I30" s="11">
        <v>13.79</v>
      </c>
      <c r="J30" s="10">
        <f>G30*$H$6</f>
        <v>16920.00000000064</v>
      </c>
      <c r="K30" s="12">
        <f t="shared" si="4"/>
        <v>19692.12</v>
      </c>
      <c r="L30" s="13">
        <f t="shared" si="5"/>
        <v>24000.000000002045</v>
      </c>
      <c r="M30" s="12">
        <f t="shared" si="6"/>
        <v>4307.8800000020456</v>
      </c>
      <c r="N30" s="11">
        <f t="shared" si="7"/>
        <v>16.339869281047143</v>
      </c>
      <c r="O30" s="10">
        <v>0</v>
      </c>
      <c r="P30" s="14">
        <f t="shared" si="1"/>
        <v>2.0000000000001705</v>
      </c>
      <c r="Q30" s="15">
        <f t="shared" si="8"/>
        <v>3193.824000000272</v>
      </c>
    </row>
    <row r="31" spans="1:17" x14ac:dyDescent="0.35">
      <c r="A31" s="9">
        <v>44830</v>
      </c>
      <c r="B31" s="10">
        <f t="shared" si="9"/>
        <v>269.50200000000001</v>
      </c>
      <c r="C31" s="10">
        <v>270.00400000000002</v>
      </c>
      <c r="D31" s="10">
        <f t="shared" si="2"/>
        <v>0.50200000000000955</v>
      </c>
      <c r="E31" s="10">
        <f t="shared" si="10"/>
        <v>187.99</v>
      </c>
      <c r="F31" s="10">
        <v>188.34</v>
      </c>
      <c r="G31" s="10">
        <f t="shared" si="3"/>
        <v>0.34999999999999432</v>
      </c>
      <c r="H31" s="60"/>
      <c r="I31" s="11">
        <v>19.34</v>
      </c>
      <c r="J31" s="10">
        <f t="shared" si="0"/>
        <v>20999.999999999658</v>
      </c>
      <c r="K31" s="12">
        <f t="shared" si="4"/>
        <v>27617.519999999997</v>
      </c>
      <c r="L31" s="13">
        <f t="shared" si="5"/>
        <v>30120.000000000575</v>
      </c>
      <c r="M31" s="12">
        <f t="shared" si="6"/>
        <v>2502.480000000578</v>
      </c>
      <c r="N31" s="11">
        <f t="shared" si="7"/>
        <v>20.506535947712809</v>
      </c>
      <c r="O31" s="10">
        <v>0</v>
      </c>
      <c r="P31" s="14">
        <f t="shared" si="1"/>
        <v>2.5100000000000477</v>
      </c>
      <c r="Q31" s="15">
        <f t="shared" si="8"/>
        <v>4008.2491200000763</v>
      </c>
    </row>
    <row r="32" spans="1:17" x14ac:dyDescent="0.35">
      <c r="A32" s="9">
        <v>44831</v>
      </c>
      <c r="B32" s="10">
        <f t="shared" si="9"/>
        <v>270.00400000000002</v>
      </c>
      <c r="C32" s="10">
        <v>270.34699999999998</v>
      </c>
      <c r="D32" s="10">
        <f t="shared" si="2"/>
        <v>0.34299999999996089</v>
      </c>
      <c r="E32" s="10">
        <f t="shared" si="10"/>
        <v>188.34</v>
      </c>
      <c r="F32" s="10">
        <v>188.58</v>
      </c>
      <c r="G32" s="10">
        <f t="shared" si="3"/>
        <v>0.24000000000000909</v>
      </c>
      <c r="H32" s="60"/>
      <c r="I32" s="11">
        <v>12.69</v>
      </c>
      <c r="J32" s="10">
        <f t="shared" si="0"/>
        <v>14400.000000000546</v>
      </c>
      <c r="K32" s="12">
        <f t="shared" si="4"/>
        <v>18121.32</v>
      </c>
      <c r="L32" s="13">
        <f t="shared" si="5"/>
        <v>20579.999999997654</v>
      </c>
      <c r="M32" s="12">
        <f t="shared" si="6"/>
        <v>2458.6799999976538</v>
      </c>
      <c r="N32" s="11">
        <f t="shared" si="7"/>
        <v>14.011437908495134</v>
      </c>
      <c r="O32" s="10">
        <v>0</v>
      </c>
      <c r="P32" s="14">
        <f t="shared" si="1"/>
        <v>1.7149999999998045</v>
      </c>
      <c r="Q32" s="15">
        <f t="shared" si="8"/>
        <v>2738.7040799996876</v>
      </c>
    </row>
    <row r="33" spans="1:17" x14ac:dyDescent="0.35">
      <c r="A33" s="9">
        <v>44832</v>
      </c>
      <c r="B33" s="10">
        <f t="shared" si="9"/>
        <v>270.34699999999998</v>
      </c>
      <c r="C33" s="10">
        <v>270.75599999999997</v>
      </c>
      <c r="D33" s="10">
        <f t="shared" si="2"/>
        <v>0.40899999999999181</v>
      </c>
      <c r="E33" s="10">
        <f t="shared" si="10"/>
        <v>188.58</v>
      </c>
      <c r="F33" s="10">
        <v>188.86799999999999</v>
      </c>
      <c r="G33" s="10">
        <f t="shared" si="3"/>
        <v>0.28799999999998249</v>
      </c>
      <c r="H33" s="60"/>
      <c r="I33" s="11">
        <v>14.7</v>
      </c>
      <c r="J33" s="10">
        <f t="shared" si="0"/>
        <v>17279.999999998949</v>
      </c>
      <c r="K33" s="12">
        <f>(I33/3.6)*840*6.12</f>
        <v>20991.599999999999</v>
      </c>
      <c r="L33" s="13">
        <f t="shared" si="5"/>
        <v>24539.999999999509</v>
      </c>
      <c r="M33" s="12">
        <f t="shared" si="6"/>
        <v>3548.3999999995103</v>
      </c>
      <c r="N33" s="11">
        <f t="shared" si="7"/>
        <v>16.707516339868945</v>
      </c>
      <c r="O33" s="10">
        <v>0</v>
      </c>
      <c r="P33" s="14">
        <f t="shared" si="1"/>
        <v>2.0449999999999591</v>
      </c>
      <c r="Q33" s="15">
        <f t="shared" si="8"/>
        <v>3265.6850399999348</v>
      </c>
    </row>
    <row r="34" spans="1:17" x14ac:dyDescent="0.35">
      <c r="A34" s="9">
        <v>44833</v>
      </c>
      <c r="B34" s="10">
        <f t="shared" si="9"/>
        <v>270.75599999999997</v>
      </c>
      <c r="C34" s="10">
        <v>271.17599999999999</v>
      </c>
      <c r="D34" s="10">
        <f t="shared" si="2"/>
        <v>0.42000000000001592</v>
      </c>
      <c r="E34" s="10">
        <f t="shared" si="10"/>
        <v>188.86799999999999</v>
      </c>
      <c r="F34" s="10">
        <v>189.16200000000001</v>
      </c>
      <c r="G34" s="10">
        <f t="shared" si="3"/>
        <v>0.29400000000001114</v>
      </c>
      <c r="H34" s="60"/>
      <c r="I34" s="11">
        <v>13.8</v>
      </c>
      <c r="J34" s="10">
        <f t="shared" si="0"/>
        <v>17640.000000000669</v>
      </c>
      <c r="K34" s="12">
        <f t="shared" si="4"/>
        <v>19706.400000000001</v>
      </c>
      <c r="L34" s="13">
        <f t="shared" si="5"/>
        <v>25200.000000000953</v>
      </c>
      <c r="M34" s="12">
        <f t="shared" si="6"/>
        <v>5493.6000000009517</v>
      </c>
      <c r="N34" s="11">
        <f t="shared" si="7"/>
        <v>17.156862745098689</v>
      </c>
      <c r="O34" s="10">
        <v>0</v>
      </c>
      <c r="P34" s="14">
        <f t="shared" si="1"/>
        <v>2.1000000000000796</v>
      </c>
      <c r="Q34" s="15">
        <f t="shared" si="8"/>
        <v>3353.5152000001267</v>
      </c>
    </row>
    <row r="35" spans="1:17" x14ac:dyDescent="0.35">
      <c r="A35" s="9">
        <v>44834</v>
      </c>
      <c r="B35" s="10">
        <f t="shared" si="9"/>
        <v>271.17599999999999</v>
      </c>
      <c r="C35" s="10">
        <v>271.72300000000001</v>
      </c>
      <c r="D35" s="10">
        <f t="shared" si="2"/>
        <v>0.54700000000002547</v>
      </c>
      <c r="E35" s="10">
        <f t="shared" si="10"/>
        <v>189.16200000000001</v>
      </c>
      <c r="F35" s="10">
        <v>189.54300000000001</v>
      </c>
      <c r="G35" s="10">
        <f t="shared" si="3"/>
        <v>0.38100000000000023</v>
      </c>
      <c r="H35" s="60"/>
      <c r="I35" s="11">
        <v>20.010000000000002</v>
      </c>
      <c r="J35" s="10">
        <f t="shared" si="0"/>
        <v>22860.000000000015</v>
      </c>
      <c r="K35" s="12">
        <f t="shared" si="4"/>
        <v>28574.28</v>
      </c>
      <c r="L35" s="13">
        <f t="shared" si="5"/>
        <v>32820.000000001528</v>
      </c>
      <c r="M35" s="12">
        <f t="shared" si="6"/>
        <v>4245.7200000015291</v>
      </c>
      <c r="N35" s="11">
        <f t="shared" si="7"/>
        <v>22.344771241831104</v>
      </c>
      <c r="O35" s="10">
        <v>0</v>
      </c>
      <c r="P35" s="14">
        <f t="shared" si="1"/>
        <v>2.7350000000001273</v>
      </c>
      <c r="Q35" s="15">
        <f t="shared" si="8"/>
        <v>4367.554320000203</v>
      </c>
    </row>
    <row r="36" spans="1:17" s="32" customFormat="1" x14ac:dyDescent="0.35">
      <c r="A36" s="5" t="s">
        <v>19</v>
      </c>
      <c r="B36" s="22"/>
      <c r="C36" s="22"/>
      <c r="D36" s="23">
        <f>SUM(D6:D35)</f>
        <v>12.625</v>
      </c>
      <c r="E36" s="23"/>
      <c r="F36" s="23"/>
      <c r="G36" s="23"/>
      <c r="H36" s="24"/>
      <c r="I36" s="25">
        <f>SUM(I6:I35)</f>
        <v>455.53999999999996</v>
      </c>
      <c r="J36" s="26">
        <f>SUM(J6:J35)</f>
        <v>531600.00000000081</v>
      </c>
      <c r="K36" s="27">
        <f>SUM(K6:K35)</f>
        <v>650511.12</v>
      </c>
      <c r="L36" s="28">
        <f>SUM(L6:L35)</f>
        <v>757500</v>
      </c>
      <c r="M36" s="27">
        <f>SUM(M6:M35)</f>
        <v>106988.87999999998</v>
      </c>
      <c r="N36" s="29"/>
      <c r="O36" s="23">
        <f>SUM(O6:O35)</f>
        <v>0</v>
      </c>
      <c r="P36" s="30"/>
      <c r="Q36" s="31">
        <f>SUM(Q6:Q35)</f>
        <v>100805.06999999999</v>
      </c>
    </row>
    <row r="37" spans="1:17" x14ac:dyDescent="0.35">
      <c r="A37" s="5" t="s">
        <v>20</v>
      </c>
      <c r="B37" s="33"/>
      <c r="C37" s="33"/>
      <c r="D37" s="34">
        <f>AVERAGE(D6:D35)</f>
        <v>0.42083333333333334</v>
      </c>
      <c r="E37" s="34"/>
      <c r="F37" s="34"/>
      <c r="G37" s="34"/>
      <c r="H37" s="34"/>
      <c r="I37" s="25">
        <f>AVERAGE(I6:I35)</f>
        <v>15.184666666666665</v>
      </c>
      <c r="J37" s="34">
        <f>AVERAGE(J6:J35)</f>
        <v>17720.000000000025</v>
      </c>
      <c r="K37" s="35">
        <f>AVERAGE(K6:K35)</f>
        <v>21683.704000000002</v>
      </c>
      <c r="L37" s="36">
        <f>AVERAGE(L6:L35)</f>
        <v>25250</v>
      </c>
      <c r="M37" s="35"/>
      <c r="N37" s="25">
        <f>AVERAGE(N6:N35)</f>
        <v>17.190904139433549</v>
      </c>
      <c r="O37" s="34"/>
      <c r="P37" s="37">
        <f>AVERAGE(P6:P35)</f>
        <v>2.1041666666666665</v>
      </c>
      <c r="Q37" s="38"/>
    </row>
    <row r="39" spans="1:17" x14ac:dyDescent="0.35">
      <c r="M39" s="40" t="s">
        <v>21</v>
      </c>
      <c r="N39" s="40" t="s">
        <v>22</v>
      </c>
      <c r="O39" s="40" t="s">
        <v>23</v>
      </c>
    </row>
    <row r="40" spans="1:17" x14ac:dyDescent="0.35">
      <c r="L40" s="41"/>
      <c r="M40" s="40">
        <v>1</v>
      </c>
      <c r="N40" s="40">
        <v>7500</v>
      </c>
      <c r="O40" s="40">
        <f>N40/20</f>
        <v>375</v>
      </c>
      <c r="Q40" s="42"/>
    </row>
    <row r="41" spans="1:17" x14ac:dyDescent="0.35">
      <c r="M41" s="40">
        <v>2</v>
      </c>
      <c r="N41" s="40">
        <v>7640</v>
      </c>
      <c r="O41" s="40">
        <f t="shared" ref="O41:O42" si="11">N41/20</f>
        <v>382</v>
      </c>
    </row>
    <row r="42" spans="1:17" x14ac:dyDescent="0.35">
      <c r="E42" s="43"/>
      <c r="K42" s="44"/>
      <c r="L42" s="45"/>
      <c r="M42" s="40">
        <v>3</v>
      </c>
      <c r="N42" s="40">
        <v>7480</v>
      </c>
      <c r="O42" s="40">
        <f t="shared" si="11"/>
        <v>374</v>
      </c>
    </row>
    <row r="43" spans="1:17" ht="36" x14ac:dyDescent="0.35">
      <c r="D43" s="40" t="s">
        <v>24</v>
      </c>
      <c r="E43" s="46" t="s">
        <v>25</v>
      </c>
      <c r="F43" s="46" t="s">
        <v>26</v>
      </c>
      <c r="G43" s="40" t="s">
        <v>27</v>
      </c>
      <c r="H43" s="40" t="s">
        <v>28</v>
      </c>
      <c r="I43" s="40" t="s">
        <v>29</v>
      </c>
      <c r="J43" s="40" t="s">
        <v>30</v>
      </c>
      <c r="K43" s="44"/>
      <c r="L43" s="45"/>
      <c r="M43" s="40" t="s">
        <v>31</v>
      </c>
      <c r="N43" s="40">
        <f>SUM(N40:N42)</f>
        <v>22620</v>
      </c>
      <c r="O43" s="40">
        <f>SUM(O40:O42)</f>
        <v>1131</v>
      </c>
    </row>
    <row r="44" spans="1:17" x14ac:dyDescent="0.35">
      <c r="C44" s="43">
        <v>0.54166666666666663</v>
      </c>
      <c r="D44" s="40">
        <v>958</v>
      </c>
      <c r="E44" s="40">
        <v>907</v>
      </c>
      <c r="F44" s="40">
        <f>(D44+E44)/2</f>
        <v>932.5</v>
      </c>
      <c r="G44" s="47">
        <v>4.8899999999999997</v>
      </c>
      <c r="H44" s="40">
        <v>3.02</v>
      </c>
      <c r="I44" s="48">
        <f>(1000/F44)*G44</f>
        <v>5.2439678284182305</v>
      </c>
      <c r="J44" s="48">
        <f>(1000/F44)*H44</f>
        <v>3.2386058981233248</v>
      </c>
      <c r="K44" s="44"/>
      <c r="L44" s="45"/>
      <c r="M44" s="49"/>
      <c r="O44" s="50"/>
      <c r="P44" s="50"/>
    </row>
    <row r="45" spans="1:17" x14ac:dyDescent="0.35">
      <c r="D45" s="51"/>
      <c r="E45" s="51"/>
      <c r="F45" s="51"/>
      <c r="K45" s="44"/>
      <c r="L45" s="45"/>
      <c r="M45" s="42"/>
      <c r="O45" s="42"/>
    </row>
    <row r="46" spans="1:17" x14ac:dyDescent="0.35">
      <c r="K46" s="44"/>
      <c r="L46" s="45"/>
      <c r="M46" s="42"/>
    </row>
    <row r="49" spans="6:15" x14ac:dyDescent="0.35">
      <c r="L49" s="52"/>
      <c r="O49" s="42"/>
    </row>
    <row r="50" spans="6:15" x14ac:dyDescent="0.35">
      <c r="L50" s="39">
        <v>75961.3</v>
      </c>
    </row>
    <row r="51" spans="6:15" x14ac:dyDescent="0.35">
      <c r="L51" s="39">
        <v>70282.899999999994</v>
      </c>
      <c r="N51" s="53"/>
    </row>
    <row r="52" spans="6:15" x14ac:dyDescent="0.35">
      <c r="L52" s="39">
        <f>L50-L51</f>
        <v>5678.4000000000087</v>
      </c>
    </row>
    <row r="54" spans="6:15" x14ac:dyDescent="0.35">
      <c r="J54" s="3">
        <f>1964+59</f>
        <v>2023</v>
      </c>
    </row>
    <row r="57" spans="6:15" x14ac:dyDescent="0.35">
      <c r="F57" s="3" t="s">
        <v>32</v>
      </c>
      <c r="G57" s="3">
        <f>1956*992</f>
        <v>1940352</v>
      </c>
    </row>
    <row r="58" spans="6:15" x14ac:dyDescent="0.35">
      <c r="G58" s="3">
        <f>G57/1000000</f>
        <v>1.9403520000000001</v>
      </c>
    </row>
    <row r="59" spans="6:15" x14ac:dyDescent="0.35">
      <c r="G59" s="3">
        <f>345/G58</f>
        <v>177.80279042153177</v>
      </c>
    </row>
    <row r="60" spans="6:15" x14ac:dyDescent="0.35">
      <c r="G60" s="3">
        <f>G59/1000</f>
        <v>0.17780279042153177</v>
      </c>
    </row>
    <row r="61" spans="6:15" x14ac:dyDescent="0.35">
      <c r="F61" s="3" t="s">
        <v>33</v>
      </c>
      <c r="G61" s="3">
        <f>G60*100</f>
        <v>17.780279042153175</v>
      </c>
    </row>
    <row r="62" spans="6:15" x14ac:dyDescent="0.35">
      <c r="I62" s="3">
        <f>11684*1000</f>
        <v>11684000</v>
      </c>
    </row>
    <row r="63" spans="6:15" x14ac:dyDescent="0.35">
      <c r="I63" s="3">
        <f>I62/365</f>
        <v>32010.95890410959</v>
      </c>
    </row>
    <row r="68" spans="10:10" x14ac:dyDescent="0.35">
      <c r="J68" s="3">
        <f>584*1710</f>
        <v>998640</v>
      </c>
    </row>
    <row r="69" spans="10:10" x14ac:dyDescent="0.35">
      <c r="J69" s="3">
        <f>590*1710</f>
        <v>1008900</v>
      </c>
    </row>
    <row r="70" spans="10:10" x14ac:dyDescent="0.35">
      <c r="J70" s="3">
        <f>594*1710</f>
        <v>1015740</v>
      </c>
    </row>
    <row r="86" spans="1:5" ht="409.2" customHeight="1" x14ac:dyDescent="0.35">
      <c r="A86" s="54" t="s">
        <v>34</v>
      </c>
      <c r="C86" s="54" t="s">
        <v>35</v>
      </c>
      <c r="E86" s="54" t="s">
        <v>36</v>
      </c>
    </row>
    <row r="87" spans="1:5" x14ac:dyDescent="0.35">
      <c r="A87" s="54"/>
    </row>
    <row r="88" spans="1:5" x14ac:dyDescent="0.35">
      <c r="A88" s="54"/>
    </row>
  </sheetData>
  <mergeCells count="5">
    <mergeCell ref="A1:P1"/>
    <mergeCell ref="A2:P2"/>
    <mergeCell ref="A3:P3"/>
    <mergeCell ref="A4:P4"/>
    <mergeCell ref="H6:H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Sep22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Turza</dc:creator>
  <cp:lastModifiedBy>Asus</cp:lastModifiedBy>
  <dcterms:created xsi:type="dcterms:W3CDTF">2022-10-25T13:21:29Z</dcterms:created>
  <dcterms:modified xsi:type="dcterms:W3CDTF">2024-09-30T14:55:57Z</dcterms:modified>
</cp:coreProperties>
</file>