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13_ncr:1_{804DAF65-FE9A-45B4-A5CA-374DFB934387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Bull Thesis Buy DCF" sheetId="1" r:id="rId1"/>
    <sheet name="Bull Comps Val" sheetId="5" r:id="rId2"/>
    <sheet name="Hold Thesis DCF" sheetId="6" r:id="rId3"/>
    <sheet name="Hold Comps Val" sheetId="11" r:id="rId4"/>
    <sheet name="Bear Thesis Sell DCF" sheetId="8" r:id="rId5"/>
    <sheet name="Bear Comps Val" sheetId="10" r:id="rId6"/>
    <sheet name="FactSet Screenshot" sheetId="16" r:id="rId7"/>
    <sheet name="Exhibit 4 Extra" sheetId="14" r:id="rId8"/>
    <sheet name="Exhibit 5 Extra" sheetId="15" r:id="rId9"/>
    <sheet name="AnalystDCF net cash n change" sheetId="4" r:id="rId10"/>
  </sheets>
  <definedNames>
    <definedName name="IQ_ADDIN" hidden="1">"AUTO"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E12" i="10"/>
  <c r="E7" i="10"/>
  <c r="B14" i="10"/>
  <c r="B7" i="10"/>
  <c r="L26" i="8"/>
  <c r="L26" i="6"/>
  <c r="E13" i="8"/>
  <c r="F13" i="8"/>
  <c r="G13" i="8"/>
  <c r="H13" i="8"/>
  <c r="D13" i="8"/>
  <c r="L7" i="8"/>
  <c r="E14" i="11"/>
  <c r="B20" i="11" s="1"/>
  <c r="E12" i="11"/>
  <c r="B14" i="11"/>
  <c r="B19" i="11" s="1"/>
  <c r="E7" i="11"/>
  <c r="B7" i="11"/>
  <c r="L7" i="6"/>
  <c r="E4" i="6"/>
  <c r="F4" i="6" s="1"/>
  <c r="G4" i="6" s="1"/>
  <c r="H4" i="6" s="1"/>
  <c r="D4" i="6"/>
  <c r="E14" i="5"/>
  <c r="B20" i="5" s="1"/>
  <c r="B21" i="5" s="1"/>
  <c r="B23" i="5" s="1"/>
  <c r="E12" i="5"/>
  <c r="E7" i="5"/>
  <c r="B14" i="5"/>
  <c r="B7" i="5"/>
  <c r="L26" i="1"/>
  <c r="N5" i="1"/>
  <c r="M5" i="1"/>
  <c r="L7" i="1"/>
  <c r="E8" i="1"/>
  <c r="F8" i="1"/>
  <c r="G8" i="1"/>
  <c r="H8" i="1"/>
  <c r="D8" i="1"/>
  <c r="E6" i="1"/>
  <c r="F6" i="1"/>
  <c r="G6" i="1"/>
  <c r="H6" i="1"/>
  <c r="D6" i="1"/>
  <c r="E4" i="1"/>
  <c r="F4" i="1" s="1"/>
  <c r="G4" i="1" s="1"/>
  <c r="H4" i="1" s="1"/>
  <c r="D4" i="1"/>
  <c r="B20" i="10"/>
  <c r="B19" i="10"/>
  <c r="B21" i="10" s="1"/>
  <c r="B23" i="10" s="1"/>
  <c r="B19" i="5"/>
  <c r="B24" i="8"/>
  <c r="B25" i="8" s="1"/>
  <c r="B23" i="8"/>
  <c r="E16" i="8"/>
  <c r="F16" i="8" s="1"/>
  <c r="G16" i="8" s="1"/>
  <c r="B7" i="8"/>
  <c r="B5" i="8"/>
  <c r="B6" i="8" s="1"/>
  <c r="B8" i="8" s="1"/>
  <c r="B26" i="8" s="1"/>
  <c r="C4" i="8"/>
  <c r="C24" i="6"/>
  <c r="C25" i="6" s="1"/>
  <c r="B24" i="6"/>
  <c r="B25" i="6" s="1"/>
  <c r="B23" i="6"/>
  <c r="E16" i="6"/>
  <c r="F16" i="6" s="1"/>
  <c r="G16" i="6" s="1"/>
  <c r="B7" i="6"/>
  <c r="B6" i="6"/>
  <c r="B8" i="6" s="1"/>
  <c r="B5" i="6"/>
  <c r="C4" i="6"/>
  <c r="C5" i="6" s="1"/>
  <c r="C6" i="6" s="1"/>
  <c r="B21" i="11" l="1"/>
  <c r="B23" i="11" s="1"/>
  <c r="C24" i="8"/>
  <c r="C25" i="8" s="1"/>
  <c r="C5" i="8"/>
  <c r="C6" i="8" s="1"/>
  <c r="C23" i="8"/>
  <c r="C7" i="8"/>
  <c r="D4" i="8"/>
  <c r="B26" i="6"/>
  <c r="C7" i="6"/>
  <c r="C8" i="6" s="1"/>
  <c r="C26" i="6" s="1"/>
  <c r="C23" i="6"/>
  <c r="C8" i="8" l="1"/>
  <c r="C26" i="8" s="1"/>
  <c r="D24" i="8"/>
  <c r="D5" i="8"/>
  <c r="D6" i="8" s="1"/>
  <c r="D23" i="8"/>
  <c r="D11" i="8" s="1"/>
  <c r="D7" i="8"/>
  <c r="E4" i="8"/>
  <c r="D5" i="6"/>
  <c r="D6" i="6" s="1"/>
  <c r="D23" i="6"/>
  <c r="D11" i="6" s="1"/>
  <c r="D7" i="6"/>
  <c r="D24" i="6"/>
  <c r="D8" i="6" l="1"/>
  <c r="D10" i="6" s="1"/>
  <c r="D8" i="8"/>
  <c r="D10" i="8"/>
  <c r="D25" i="8"/>
  <c r="D26" i="8" s="1"/>
  <c r="D12" i="8"/>
  <c r="E24" i="8"/>
  <c r="E5" i="8"/>
  <c r="E6" i="8" s="1"/>
  <c r="E23" i="8"/>
  <c r="E11" i="8" s="1"/>
  <c r="E7" i="8"/>
  <c r="F4" i="8"/>
  <c r="D12" i="6"/>
  <c r="D25" i="6"/>
  <c r="E23" i="6"/>
  <c r="E11" i="6" s="1"/>
  <c r="E7" i="6"/>
  <c r="E24" i="6"/>
  <c r="E5" i="6"/>
  <c r="E6" i="6" s="1"/>
  <c r="E8" i="6" s="1"/>
  <c r="D26" i="6" l="1"/>
  <c r="E8" i="8"/>
  <c r="E10" i="8" s="1"/>
  <c r="F24" i="8"/>
  <c r="F5" i="8"/>
  <c r="F6" i="8" s="1"/>
  <c r="F23" i="8"/>
  <c r="F11" i="8" s="1"/>
  <c r="F7" i="8"/>
  <c r="G4" i="8"/>
  <c r="E25" i="8"/>
  <c r="E12" i="8"/>
  <c r="D14" i="8"/>
  <c r="D27" i="8"/>
  <c r="D27" i="6"/>
  <c r="D13" i="6"/>
  <c r="D14" i="6" s="1"/>
  <c r="E10" i="6"/>
  <c r="E12" i="6"/>
  <c r="E25" i="6"/>
  <c r="E26" i="6" s="1"/>
  <c r="F23" i="6"/>
  <c r="F11" i="6" s="1"/>
  <c r="F7" i="6"/>
  <c r="F24" i="6"/>
  <c r="F5" i="6"/>
  <c r="F6" i="6" s="1"/>
  <c r="F8" i="6" s="1"/>
  <c r="F8" i="8" l="1"/>
  <c r="F10" i="8" s="1"/>
  <c r="E26" i="8"/>
  <c r="F12" i="8"/>
  <c r="F25" i="8"/>
  <c r="E14" i="8"/>
  <c r="E27" i="8"/>
  <c r="G24" i="8"/>
  <c r="G5" i="8"/>
  <c r="G6" i="8" s="1"/>
  <c r="G23" i="8"/>
  <c r="G11" i="8" s="1"/>
  <c r="G7" i="8"/>
  <c r="H4" i="8"/>
  <c r="F10" i="6"/>
  <c r="E13" i="6"/>
  <c r="E14" i="6" s="1"/>
  <c r="E27" i="6"/>
  <c r="F12" i="6"/>
  <c r="F25" i="6"/>
  <c r="F26" i="6" s="1"/>
  <c r="G23" i="6"/>
  <c r="G11" i="6" s="1"/>
  <c r="G7" i="6"/>
  <c r="G24" i="6"/>
  <c r="G5" i="6"/>
  <c r="G6" i="6" s="1"/>
  <c r="G8" i="6" s="1"/>
  <c r="F26" i="8" l="1"/>
  <c r="G8" i="8"/>
  <c r="G10" i="8" s="1"/>
  <c r="F14" i="8"/>
  <c r="F27" i="8"/>
  <c r="G12" i="8"/>
  <c r="G25" i="8"/>
  <c r="H24" i="8"/>
  <c r="H12" i="8" s="1"/>
  <c r="H5" i="8"/>
  <c r="H6" i="8" s="1"/>
  <c r="H8" i="8" s="1"/>
  <c r="H10" i="8" s="1"/>
  <c r="H23" i="8"/>
  <c r="H11" i="8" s="1"/>
  <c r="H7" i="8"/>
  <c r="G10" i="6"/>
  <c r="H23" i="6"/>
  <c r="H11" i="6" s="1"/>
  <c r="H7" i="6"/>
  <c r="H24" i="6"/>
  <c r="H12" i="6" s="1"/>
  <c r="H5" i="6"/>
  <c r="H6" i="6" s="1"/>
  <c r="H8" i="6" s="1"/>
  <c r="H10" i="6" s="1"/>
  <c r="H13" i="6" s="1"/>
  <c r="F13" i="6"/>
  <c r="F14" i="6" s="1"/>
  <c r="F27" i="6"/>
  <c r="G12" i="6"/>
  <c r="G25" i="6"/>
  <c r="G26" i="6" s="1"/>
  <c r="G26" i="8" l="1"/>
  <c r="G14" i="8"/>
  <c r="H14" i="8" s="1"/>
  <c r="G27" i="8"/>
  <c r="G13" i="6"/>
  <c r="G14" i="6" s="1"/>
  <c r="H14" i="6" s="1"/>
  <c r="G27" i="6"/>
  <c r="E23" i="14" l="1"/>
  <c r="E14" i="14"/>
  <c r="H29" i="15" l="1"/>
  <c r="G29" i="15"/>
  <c r="F29" i="15"/>
  <c r="H28" i="15"/>
  <c r="F28" i="15"/>
  <c r="F27" i="15"/>
  <c r="F30" i="15" s="1"/>
  <c r="D27" i="15"/>
  <c r="H27" i="15" s="1"/>
  <c r="D26" i="15"/>
  <c r="H26" i="15" s="1"/>
  <c r="F23" i="15"/>
  <c r="D23" i="15"/>
  <c r="G23" i="15" s="1"/>
  <c r="F22" i="15"/>
  <c r="D22" i="15"/>
  <c r="H22" i="15" s="1"/>
  <c r="F21" i="15"/>
  <c r="D21" i="15"/>
  <c r="G21" i="15" s="1"/>
  <c r="F20" i="15"/>
  <c r="D20" i="15"/>
  <c r="H20" i="15" s="1"/>
  <c r="F19" i="15"/>
  <c r="D19" i="15"/>
  <c r="G19" i="15" s="1"/>
  <c r="F18" i="15"/>
  <c r="D18" i="15"/>
  <c r="H18" i="15" s="1"/>
  <c r="F17" i="15"/>
  <c r="D17" i="15"/>
  <c r="G17" i="15" s="1"/>
  <c r="F14" i="15"/>
  <c r="D14" i="15"/>
  <c r="H14" i="15" s="1"/>
  <c r="F13" i="15"/>
  <c r="D13" i="15"/>
  <c r="H13" i="15" s="1"/>
  <c r="F12" i="15"/>
  <c r="D12" i="15"/>
  <c r="H12" i="15" s="1"/>
  <c r="G29" i="14"/>
  <c r="F29" i="14"/>
  <c r="E29" i="14"/>
  <c r="G23" i="14"/>
  <c r="F23" i="14"/>
  <c r="G14" i="14"/>
  <c r="F14" i="14"/>
  <c r="G12" i="15" l="1"/>
  <c r="G14" i="15"/>
  <c r="F24" i="15"/>
  <c r="F15" i="15"/>
  <c r="H30" i="15"/>
  <c r="H15" i="15"/>
  <c r="H17" i="15"/>
  <c r="H19" i="15"/>
  <c r="H21" i="15"/>
  <c r="H23" i="15"/>
  <c r="G18" i="15"/>
  <c r="G20" i="15"/>
  <c r="G22" i="15"/>
  <c r="G13" i="15"/>
  <c r="G15" i="15" s="1"/>
  <c r="G27" i="15"/>
  <c r="G30" i="15" s="1"/>
  <c r="G24" i="15" l="1"/>
  <c r="H24" i="15"/>
  <c r="E3" i="11" l="1"/>
  <c r="B3" i="11"/>
  <c r="L11" i="8" l="1"/>
  <c r="L12" i="8" s="1"/>
  <c r="L13" i="8"/>
  <c r="L11" i="6"/>
  <c r="L12" i="6" s="1"/>
  <c r="L13" i="6" l="1"/>
  <c r="L14" i="6" s="1"/>
  <c r="L14" i="8"/>
  <c r="L16" i="8" s="1"/>
  <c r="K20" i="8" l="1"/>
  <c r="L21" i="8"/>
  <c r="K22" i="8"/>
  <c r="L22" i="8"/>
  <c r="L20" i="8"/>
  <c r="K21" i="8"/>
  <c r="L21" i="6"/>
  <c r="K21" i="6"/>
  <c r="L20" i="6"/>
  <c r="K20" i="6"/>
  <c r="L22" i="6"/>
  <c r="L16" i="6"/>
  <c r="K22" i="6"/>
  <c r="B26" i="4" l="1"/>
  <c r="B27" i="4" s="1"/>
  <c r="B25" i="4"/>
  <c r="E18" i="4"/>
  <c r="F18" i="4" s="1"/>
  <c r="G18" i="4" s="1"/>
  <c r="L7" i="4"/>
  <c r="B7" i="4"/>
  <c r="B5" i="4"/>
  <c r="B6" i="4" s="1"/>
  <c r="C4" i="4"/>
  <c r="C25" i="4" s="1"/>
  <c r="B8" i="4" l="1"/>
  <c r="D4" i="4"/>
  <c r="D26" i="4" s="1"/>
  <c r="C26" i="4"/>
  <c r="C27" i="4" s="1"/>
  <c r="C7" i="4"/>
  <c r="B28" i="4"/>
  <c r="C5" i="4"/>
  <c r="C6" i="4" s="1"/>
  <c r="C8" i="4" s="1"/>
  <c r="C28" i="4" s="1"/>
  <c r="D12" i="4" l="1"/>
  <c r="D25" i="4"/>
  <c r="D11" i="4" s="1"/>
  <c r="E4" i="4"/>
  <c r="E25" i="4" s="1"/>
  <c r="D5" i="4"/>
  <c r="D7" i="4"/>
  <c r="D27" i="4"/>
  <c r="D6" i="4"/>
  <c r="D8" i="4" s="1"/>
  <c r="E7" i="4"/>
  <c r="E5" i="4"/>
  <c r="E6" i="4" s="1"/>
  <c r="E26" i="4" l="1"/>
  <c r="F4" i="4"/>
  <c r="F5" i="4" s="1"/>
  <c r="F6" i="4" s="1"/>
  <c r="E8" i="4"/>
  <c r="E10" i="4" s="1"/>
  <c r="E11" i="4"/>
  <c r="D10" i="4"/>
  <c r="D28" i="4"/>
  <c r="E27" i="4"/>
  <c r="E12" i="4"/>
  <c r="F7" i="4"/>
  <c r="G4" i="4"/>
  <c r="F25" i="4"/>
  <c r="F11" i="4" s="1"/>
  <c r="F26" i="4"/>
  <c r="E16" i="1"/>
  <c r="F16" i="1" s="1"/>
  <c r="G16" i="1" s="1"/>
  <c r="B24" i="1"/>
  <c r="B25" i="1" s="1"/>
  <c r="B23" i="1"/>
  <c r="B7" i="1"/>
  <c r="B5" i="1"/>
  <c r="B6" i="1" s="1"/>
  <c r="C4" i="1"/>
  <c r="E28" i="4" l="1"/>
  <c r="D23" i="1"/>
  <c r="D7" i="1"/>
  <c r="D5" i="1"/>
  <c r="C23" i="1"/>
  <c r="F8" i="4"/>
  <c r="F10" i="4"/>
  <c r="G25" i="4"/>
  <c r="G11" i="4" s="1"/>
  <c r="G5" i="4"/>
  <c r="G6" i="4" s="1"/>
  <c r="G7" i="4"/>
  <c r="G26" i="4"/>
  <c r="H4" i="4"/>
  <c r="E13" i="4"/>
  <c r="E14" i="4" s="1"/>
  <c r="E29" i="4"/>
  <c r="F27" i="4"/>
  <c r="F28" i="4" s="1"/>
  <c r="F12" i="4"/>
  <c r="D29" i="4"/>
  <c r="D13" i="4"/>
  <c r="D14" i="4" s="1"/>
  <c r="B8" i="1"/>
  <c r="B26" i="1" s="1"/>
  <c r="C7" i="1"/>
  <c r="C24" i="1"/>
  <c r="C25" i="1" s="1"/>
  <c r="C5" i="1"/>
  <c r="C6" i="1" s="1"/>
  <c r="E7" i="1" l="1"/>
  <c r="E5" i="1"/>
  <c r="D11" i="1"/>
  <c r="G8" i="4"/>
  <c r="G10" i="4" s="1"/>
  <c r="G12" i="4"/>
  <c r="G27" i="4"/>
  <c r="F29" i="4"/>
  <c r="F13" i="4"/>
  <c r="F14" i="4" s="1"/>
  <c r="H26" i="4"/>
  <c r="H12" i="4" s="1"/>
  <c r="H25" i="4"/>
  <c r="H11" i="4" s="1"/>
  <c r="H5" i="4"/>
  <c r="H6" i="4" s="1"/>
  <c r="H7" i="4"/>
  <c r="C8" i="1"/>
  <c r="C26" i="1" s="1"/>
  <c r="D24" i="1"/>
  <c r="D12" i="1" s="1"/>
  <c r="F7" i="1" l="1"/>
  <c r="F5" i="1"/>
  <c r="H8" i="4"/>
  <c r="H10" i="4" s="1"/>
  <c r="H13" i="4" s="1"/>
  <c r="L11" i="4" s="1"/>
  <c r="L12" i="4" s="1"/>
  <c r="G28" i="4"/>
  <c r="G29" i="4"/>
  <c r="G13" i="4"/>
  <c r="G14" i="4" s="1"/>
  <c r="H14" i="4" s="1"/>
  <c r="L13" i="4" s="1"/>
  <c r="D10" i="1"/>
  <c r="E23" i="1"/>
  <c r="E11" i="1" s="1"/>
  <c r="E24" i="1"/>
  <c r="E12" i="1" s="1"/>
  <c r="D25" i="1"/>
  <c r="G7" i="1" l="1"/>
  <c r="G5" i="1"/>
  <c r="L14" i="4"/>
  <c r="L16" i="4" s="1"/>
  <c r="L18" i="4" s="1"/>
  <c r="K22" i="4"/>
  <c r="L24" i="4"/>
  <c r="K23" i="4"/>
  <c r="L22" i="4"/>
  <c r="D26" i="1"/>
  <c r="D27" i="1"/>
  <c r="D13" i="1"/>
  <c r="D14" i="1" s="1"/>
  <c r="E25" i="1"/>
  <c r="F24" i="1"/>
  <c r="F12" i="1" s="1"/>
  <c r="F23" i="1"/>
  <c r="F11" i="1" s="1"/>
  <c r="K24" i="4" l="1"/>
  <c r="L23" i="4"/>
  <c r="H5" i="1"/>
  <c r="H7" i="1"/>
  <c r="F25" i="1"/>
  <c r="G23" i="1"/>
  <c r="G11" i="1" s="1"/>
  <c r="G24" i="1"/>
  <c r="G12" i="1" s="1"/>
  <c r="G25" i="1" l="1"/>
  <c r="H24" i="1"/>
  <c r="H12" i="1" s="1"/>
  <c r="H23" i="1"/>
  <c r="H11" i="1" s="1"/>
  <c r="H10" i="1" l="1"/>
  <c r="H13" i="1" s="1"/>
  <c r="L11" i="1" s="1"/>
  <c r="L12" i="1" l="1"/>
  <c r="E26" i="1"/>
  <c r="E10" i="1"/>
  <c r="G10" i="1"/>
  <c r="G26" i="1"/>
  <c r="F26" i="1"/>
  <c r="F10" i="1"/>
  <c r="F27" i="1" l="1"/>
  <c r="F13" i="1"/>
  <c r="F14" i="1" s="1"/>
  <c r="E13" i="1"/>
  <c r="E14" i="1" s="1"/>
  <c r="E27" i="1"/>
  <c r="G27" i="1"/>
  <c r="G13" i="1"/>
  <c r="G14" i="1" s="1"/>
  <c r="H14" i="1" l="1"/>
  <c r="L13" i="1" s="1"/>
  <c r="L14" i="1" s="1"/>
  <c r="K20" i="1" s="1"/>
  <c r="K22" i="1" l="1"/>
  <c r="L22" i="1"/>
  <c r="K21" i="1"/>
  <c r="L20" i="1"/>
  <c r="L16" i="1"/>
  <c r="L21" i="1"/>
</calcChain>
</file>

<file path=xl/sharedStrings.xml><?xml version="1.0" encoding="utf-8"?>
<sst xmlns="http://schemas.openxmlformats.org/spreadsheetml/2006/main" count="387" uniqueCount="177">
  <si>
    <t>2006A</t>
  </si>
  <si>
    <t>2007A</t>
  </si>
  <si>
    <t>2008E</t>
  </si>
  <si>
    <t>2009E</t>
  </si>
  <si>
    <t>2010E</t>
  </si>
  <si>
    <t>2011E</t>
  </si>
  <si>
    <t>2012E</t>
  </si>
  <si>
    <t>Revenues</t>
  </si>
  <si>
    <t>COGS</t>
  </si>
  <si>
    <t>Discount Rate</t>
  </si>
  <si>
    <t>Growth</t>
  </si>
  <si>
    <t>COGS/Sales</t>
  </si>
  <si>
    <t>NWC</t>
  </si>
  <si>
    <t>SGA/Sales</t>
  </si>
  <si>
    <t>NWC/Sales</t>
  </si>
  <si>
    <t>NFA/Sales</t>
  </si>
  <si>
    <t>Depr/NFA</t>
  </si>
  <si>
    <t>NFA</t>
  </si>
  <si>
    <t>Depr+Amort</t>
  </si>
  <si>
    <t>EBITDA</t>
  </si>
  <si>
    <t>Net inc (loss)</t>
  </si>
  <si>
    <t>Gross Profit</t>
  </si>
  <si>
    <t>SGA</t>
  </si>
  <si>
    <t>Operating Income</t>
  </si>
  <si>
    <t>NOPAT (Tax = 30%)</t>
  </si>
  <si>
    <t>Assumptions</t>
  </si>
  <si>
    <t>Δ NWC</t>
  </si>
  <si>
    <t>FCF</t>
  </si>
  <si>
    <t>10yr Treasury</t>
  </si>
  <si>
    <t>ERP</t>
  </si>
  <si>
    <t>β</t>
  </si>
  <si>
    <t>Valuation</t>
  </si>
  <si>
    <t>Δ NFA</t>
  </si>
  <si>
    <t>Terminal Value</t>
  </si>
  <si>
    <t>PV of Terminal</t>
  </si>
  <si>
    <t>PV Planning</t>
  </si>
  <si>
    <t>Enterprise Value</t>
  </si>
  <si>
    <t>Shares Outs</t>
  </si>
  <si>
    <t>Share Price</t>
  </si>
  <si>
    <r>
      <t xml:space="preserve">Implied Multiples </t>
    </r>
    <r>
      <rPr>
        <sz val="11"/>
        <color theme="1"/>
        <rFont val="Calibri"/>
        <family val="2"/>
      </rPr>
      <t>(trailing)</t>
    </r>
  </si>
  <si>
    <t>P/E</t>
  </si>
  <si>
    <t>EV/EBITDA</t>
  </si>
  <si>
    <t>EV/Sales</t>
  </si>
  <si>
    <t>On low end of market risk premium</t>
  </si>
  <si>
    <t>add net cash</t>
  </si>
  <si>
    <t>Analyst was somewhat aggressive in terms of growing sales at high end</t>
  </si>
  <si>
    <t>Analyst was somewhat aggressive assuming equity market risk premium on low end of 5.5</t>
  </si>
  <si>
    <t>Less aggressive assumptions</t>
  </si>
  <si>
    <t>change equity risk premium in L5 say to 6.5</t>
  </si>
  <si>
    <t>when consider cash (no debt) and Deprec stock price actually higher</t>
  </si>
  <si>
    <t>Apparel PE</t>
  </si>
  <si>
    <t>Apparel EV/EBITDA</t>
  </si>
  <si>
    <t>CROX 2007 data</t>
  </si>
  <si>
    <t>NI</t>
  </si>
  <si>
    <t>cash &amp; marketable securities</t>
  </si>
  <si>
    <t>debt (near zero)</t>
  </si>
  <si>
    <t># shares</t>
  </si>
  <si>
    <t>CROX EBITDA</t>
  </si>
  <si>
    <t>Add cash and subtract debt</t>
  </si>
  <si>
    <t>CROX EV based on comps</t>
  </si>
  <si>
    <t>CROX market cap based on comps</t>
  </si>
  <si>
    <t>Crox value per share based on comps</t>
  </si>
  <si>
    <t>Footwear PE</t>
  </si>
  <si>
    <t>Footwear EV/EBITDA</t>
  </si>
  <si>
    <t>FIRST APPAREL COMPS</t>
  </si>
  <si>
    <t>Add back net cash of 44.89</t>
  </si>
  <si>
    <t>stock price predicted by Yeung corrected for net cash addition and ever so slightly higher</t>
  </si>
  <si>
    <t>You try assumptions of an analyst who is more the "average" market analyst</t>
  </si>
  <si>
    <t>Market Cap Equity with net cash</t>
  </si>
  <si>
    <t>lower growth n D18 to less aggressive end of guidance, first 60% and then 55%</t>
  </si>
  <si>
    <t>lower growth in H18 say to 4%</t>
  </si>
  <si>
    <t>Moderate to 60% near term and 5% TV</t>
  </si>
  <si>
    <t>Exhibit 4</t>
  </si>
  <si>
    <t>Crocs, Inc.</t>
  </si>
  <si>
    <t>Valuation Data on Comparable Companies</t>
  </si>
  <si>
    <t>Operating Data on Comparable Companies</t>
  </si>
  <si>
    <t>This exhibit presents data on three sets of comparable firms for Crocs, Inc. The numbers in bold are the averages of the</t>
  </si>
  <si>
    <t>column values. The calculations are based on November 2, 2007, stock prices. The table also includes the price change</t>
  </si>
  <si>
    <t>column values. Values in millions of dollars except for percentages.</t>
  </si>
  <si>
    <t>(in %) from October 26, 2007, to November 2, 2007.</t>
  </si>
  <si>
    <t>5-Year</t>
  </si>
  <si>
    <t>COGS to</t>
  </si>
  <si>
    <t>SGA to</t>
  </si>
  <si>
    <t>Price</t>
  </si>
  <si>
    <t xml:space="preserve">Market  </t>
  </si>
  <si>
    <t>Value</t>
  </si>
  <si>
    <t>Price to</t>
  </si>
  <si>
    <t>EV to</t>
  </si>
  <si>
    <t>Recent</t>
  </si>
  <si>
    <t>Company</t>
  </si>
  <si>
    <t>EPS(1)</t>
  </si>
  <si>
    <t>EBITDA(1)</t>
  </si>
  <si>
    <t>Sales(1)</t>
  </si>
  <si>
    <t>CAGR Sales(2)</t>
  </si>
  <si>
    <t>Sales</t>
  </si>
  <si>
    <t>Nov. 2</t>
  </si>
  <si>
    <t>Shares</t>
  </si>
  <si>
    <t>Cap</t>
  </si>
  <si>
    <t>of Debt(1)</t>
  </si>
  <si>
    <t>Earnings</t>
  </si>
  <si>
    <t>Price Change</t>
  </si>
  <si>
    <t>Primarily Footwear</t>
  </si>
  <si>
    <t>Deckers</t>
  </si>
  <si>
    <t>Deckers Outdoor</t>
  </si>
  <si>
    <t>Nike</t>
  </si>
  <si>
    <t>Timberland</t>
  </si>
  <si>
    <t>Primarily Apparel</t>
  </si>
  <si>
    <t>Columbia</t>
  </si>
  <si>
    <t>Columbia Sportswear</t>
  </si>
  <si>
    <t>Lululemon</t>
  </si>
  <si>
    <t>Quiksilver</t>
  </si>
  <si>
    <t>Under Armour</t>
  </si>
  <si>
    <t>VF Corp</t>
  </si>
  <si>
    <t>Volcom</t>
  </si>
  <si>
    <t>Zumiez</t>
  </si>
  <si>
    <t>Established Apparel Brands</t>
  </si>
  <si>
    <t>Liz Claiborne</t>
  </si>
  <si>
    <t>NA</t>
  </si>
  <si>
    <t>Van Heusen</t>
  </si>
  <si>
    <t>Phillips-Van Heusen</t>
  </si>
  <si>
    <t>Jones Apparel</t>
  </si>
  <si>
    <t>Jones Apparel Group</t>
  </si>
  <si>
    <t>Warnaco</t>
  </si>
  <si>
    <t>Warnaco Group</t>
  </si>
  <si>
    <t>(1) Forecast of year ended December 31, 2007, based on estimates as of October 31, 2007.</t>
  </si>
  <si>
    <t>(1) Market value assumed to be book value, estimate for November 2, 2007.</t>
  </si>
  <si>
    <t>(2) Five years ended December 21, 2007, or since IPO if offering is more recent.</t>
  </si>
  <si>
    <t>Data sources: Investex, Onesource, Yahoo! Finance, http://wsj.com, and individual firm 10-K filings.</t>
  </si>
  <si>
    <t>Data sources: Investex, Onesource, Yahoo! Finance, http://wsj.com (accessed July 29, 2009), and individual firm 10-K filings.</t>
  </si>
  <si>
    <t>Current Price</t>
  </si>
  <si>
    <t>Strong buy with 76% upside</t>
  </si>
  <si>
    <t>MRP or equivalently ERP of 6%</t>
  </si>
  <si>
    <t>MRP or equivalently ERP of 6.5% and what if beta going forward is 1.5</t>
  </si>
  <si>
    <t>Upside / Downside</t>
  </si>
  <si>
    <t>Assumes Crocs is like high growth mostly apparel sector</t>
  </si>
  <si>
    <t>Assumes crocs rapidly matures and looks more like Nike</t>
  </si>
  <si>
    <t>sell… get it out of portfolio  … confirms sell</t>
  </si>
  <si>
    <t>Y</t>
  </si>
  <si>
    <t>N</t>
  </si>
  <si>
    <t>Exhibit 5</t>
  </si>
  <si>
    <t>Take average of Footwear 5 year CAGR</t>
  </si>
  <si>
    <t>Remove two Yeung Did not select</t>
  </si>
  <si>
    <t>Take average of Apparel 5 year CAGR</t>
  </si>
  <si>
    <t>Take average of Footwear PE and EV/EBITDA</t>
  </si>
  <si>
    <t>Take average of Apparel PE and EV/EBITDA</t>
  </si>
  <si>
    <t>Share Price Target</t>
  </si>
  <si>
    <t>MIX APPAREL and FOOT COMPS</t>
  </si>
  <si>
    <t>Blend PE</t>
  </si>
  <si>
    <t>Blend EV/EBITDA</t>
  </si>
  <si>
    <t>FOOTWEAR COMPS</t>
  </si>
  <si>
    <t>Confirms strong buy of Bull DCF</t>
  </si>
  <si>
    <t>Maybe a buy / maybe a hold</t>
  </si>
  <si>
    <t>Supports hold or slight overweight thesis</t>
  </si>
  <si>
    <t>Bull PE Value</t>
  </si>
  <si>
    <t>Bull EV/EBITDA Value</t>
  </si>
  <si>
    <t>Equal Weight Average</t>
  </si>
  <si>
    <t>What if we moderate some?</t>
  </si>
  <si>
    <t>Fix 2007A for conference call update:  will be 130%, will not raise</t>
  </si>
  <si>
    <t>Change near term sales growth to 60% and end growth to 5%</t>
  </si>
  <si>
    <t>Raise expected market risk premium to 6%</t>
  </si>
  <si>
    <t>Overall Conclusion of DCF and Comparable Valuation?</t>
  </si>
  <si>
    <t>Moderate to 50% near term and 4% TV</t>
  </si>
  <si>
    <t>Update to today with FactSet</t>
  </si>
  <si>
    <t>Screenshot in the DCF template or templates as instructed</t>
  </si>
  <si>
    <t>ER on the stock market</t>
  </si>
  <si>
    <t>10yr Treasury = risk free</t>
  </si>
  <si>
    <t>Discount Rate = CAPM, WACC = CAPM, Crocs has no debt</t>
  </si>
  <si>
    <t>If you have invested in ncrocs, yopu might hold on. The DCF, even moderated, suggests the stock could hit high 50s.</t>
  </si>
  <si>
    <t>Ifyou don't have crocs, it would have been nice to have bought in sooner, but a bull says you can add it to your small cap portfolio.</t>
  </si>
  <si>
    <t>Δ NFA = capex cost above depreciaton</t>
  </si>
  <si>
    <t>Hold… If you already own this stock, it is about correctly valued. Your not going to suffer a big loss but not a big gain either.</t>
  </si>
  <si>
    <t>If you are running a small cap fund, you might keep cross in line with its weight but don't overweight. Don't add</t>
  </si>
  <si>
    <t>See other side…</t>
  </si>
  <si>
    <t>FROM THE EV OR ENTERPRISE VALUE, ADD CASH WHICH THE STOCKHOLDERS DO OWN, SUBTRACT DEBT</t>
  </si>
  <si>
    <t>If you are a long fund manager, you can sell this stock now for $47 or $48. Do it now. Whether you bought early and have some gains, or late, and have losses, your losses will only mount.</t>
  </si>
  <si>
    <t>If you are a hedge fund manager, this stock is a great candidate for the short side of the protfolio. Borrow the stock from the broker, short it, and but to cover when it hits say $41 or $32.</t>
  </si>
  <si>
    <t>WHICH HAS TO BE PAID OFF FIRST BEFORE STOCKHOLDERS GET 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</si>
</sst>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;#,##0.0_);@_)"/>
    <numFmt numFmtId="165" formatCode="&quot;$&quot;#,##0"/>
    <numFmt numFmtId="166" formatCode="0.0%"/>
    <numFmt numFmtId="167" formatCode="&quot;$&quot;#,##0.00"/>
    <numFmt numFmtId="168" formatCode="_(* #,##0_);_(* \(#,##0\);_(* &quot;-&quot;??_);_(@_)"/>
    <numFmt numFmtId="170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4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5">
    <xf numFmtId="0" fontId="0" fillId="0" borderId="0" xfId="0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3" fontId="0" fillId="0" borderId="0" xfId="0" applyNumberFormat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Fill="1" applyBorder="1"/>
    <xf numFmtId="1" fontId="0" fillId="0" borderId="0" xfId="0" applyNumberFormat="1"/>
    <xf numFmtId="164" fontId="4" fillId="0" borderId="1" xfId="0" applyNumberFormat="1" applyFont="1" applyBorder="1" applyAlignment="1">
      <alignment horizontal="center"/>
    </xf>
    <xf numFmtId="165" fontId="5" fillId="0" borderId="0" xfId="0" applyNumberFormat="1" applyFont="1"/>
    <xf numFmtId="3" fontId="5" fillId="0" borderId="2" xfId="0" applyNumberFormat="1" applyFont="1" applyBorder="1"/>
    <xf numFmtId="3" fontId="5" fillId="0" borderId="0" xfId="0" applyNumberFormat="1" applyFont="1"/>
    <xf numFmtId="0" fontId="5" fillId="0" borderId="0" xfId="0" applyFont="1"/>
    <xf numFmtId="0" fontId="5" fillId="0" borderId="2" xfId="0" applyFont="1" applyBorder="1"/>
    <xf numFmtId="166" fontId="5" fillId="0" borderId="0" xfId="0" applyNumberFormat="1" applyFont="1"/>
    <xf numFmtId="166" fontId="5" fillId="0" borderId="0" xfId="1" applyNumberFormat="1" applyFont="1"/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66" fontId="6" fillId="0" borderId="0" xfId="1" applyNumberFormat="1" applyFont="1"/>
    <xf numFmtId="0" fontId="6" fillId="0" borderId="0" xfId="0" applyFont="1"/>
    <xf numFmtId="3" fontId="6" fillId="0" borderId="0" xfId="0" applyNumberFormat="1" applyFont="1"/>
    <xf numFmtId="1" fontId="6" fillId="0" borderId="0" xfId="0" applyNumberFormat="1" applyFont="1"/>
    <xf numFmtId="2" fontId="2" fillId="0" borderId="1" xfId="0" applyNumberFormat="1" applyFont="1" applyBorder="1" applyAlignment="1">
      <alignment horizontal="centerContinuous"/>
    </xf>
    <xf numFmtId="2" fontId="0" fillId="0" borderId="1" xfId="0" applyNumberFormat="1" applyBorder="1" applyAlignment="1">
      <alignment horizontal="centerContinuous"/>
    </xf>
    <xf numFmtId="0" fontId="3" fillId="0" borderId="0" xfId="0" applyFont="1"/>
    <xf numFmtId="2" fontId="0" fillId="0" borderId="0" xfId="0" applyNumberFormat="1"/>
    <xf numFmtId="1" fontId="3" fillId="0" borderId="0" xfId="0" applyNumberFormat="1" applyFont="1" applyFill="1" applyBorder="1" applyAlignment="1"/>
    <xf numFmtId="1" fontId="3" fillId="0" borderId="0" xfId="0" applyNumberFormat="1" applyFont="1"/>
    <xf numFmtId="0" fontId="0" fillId="0" borderId="3" xfId="0" applyBorder="1"/>
    <xf numFmtId="166" fontId="0" fillId="0" borderId="1" xfId="1" applyNumberFormat="1" applyFont="1" applyBorder="1"/>
    <xf numFmtId="0" fontId="2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" fontId="8" fillId="0" borderId="0" xfId="1" applyNumberFormat="1" applyFont="1" applyAlignment="1">
      <alignment horizontal="center"/>
    </xf>
    <xf numFmtId="4" fontId="0" fillId="0" borderId="0" xfId="0" applyNumberFormat="1"/>
    <xf numFmtId="3" fontId="0" fillId="0" borderId="3" xfId="0" applyNumberFormat="1" applyBorder="1"/>
    <xf numFmtId="10" fontId="9" fillId="0" borderId="0" xfId="0" applyNumberFormat="1" applyFont="1"/>
    <xf numFmtId="166" fontId="9" fillId="0" borderId="0" xfId="0" applyNumberFormat="1" applyFont="1"/>
    <xf numFmtId="3" fontId="2" fillId="0" borderId="0" xfId="0" applyNumberFormat="1" applyFont="1"/>
    <xf numFmtId="0" fontId="10" fillId="0" borderId="0" xfId="0" applyFont="1"/>
    <xf numFmtId="167" fontId="9" fillId="0" borderId="0" xfId="0" applyNumberFormat="1" applyFont="1"/>
    <xf numFmtId="0" fontId="9" fillId="0" borderId="2" xfId="0" applyFont="1" applyBorder="1"/>
    <xf numFmtId="0" fontId="0" fillId="0" borderId="0" xfId="0" applyBorder="1"/>
    <xf numFmtId="3" fontId="0" fillId="0" borderId="0" xfId="0" applyNumberFormat="1" applyBorder="1"/>
    <xf numFmtId="0" fontId="9" fillId="0" borderId="0" xfId="0" applyFont="1" applyFill="1" applyBorder="1"/>
    <xf numFmtId="0" fontId="9" fillId="0" borderId="0" xfId="0" applyFont="1" applyBorder="1"/>
    <xf numFmtId="3" fontId="9" fillId="0" borderId="0" xfId="0" applyNumberFormat="1" applyFont="1" applyBorder="1"/>
    <xf numFmtId="167" fontId="0" fillId="0" borderId="0" xfId="0" applyNumberFormat="1"/>
    <xf numFmtId="0" fontId="2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8" fillId="0" borderId="0" xfId="0" applyFont="1" applyBorder="1"/>
    <xf numFmtId="10" fontId="0" fillId="0" borderId="0" xfId="1" applyNumberFormat="1" applyFont="1"/>
    <xf numFmtId="0" fontId="16" fillId="0" borderId="0" xfId="0" applyFont="1"/>
    <xf numFmtId="0" fontId="12" fillId="2" borderId="0" xfId="2" applyFont="1" applyFill="1"/>
    <xf numFmtId="0" fontId="15" fillId="0" borderId="0" xfId="2" applyFont="1"/>
    <xf numFmtId="0" fontId="14" fillId="2" borderId="0" xfId="2" applyFont="1" applyFill="1"/>
    <xf numFmtId="0" fontId="11" fillId="2" borderId="0" xfId="2" applyFont="1" applyFill="1"/>
    <xf numFmtId="43" fontId="11" fillId="2" borderId="0" xfId="2" applyNumberFormat="1" applyFont="1" applyFill="1" applyAlignment="1">
      <alignment horizontal="center"/>
    </xf>
    <xf numFmtId="0" fontId="11" fillId="2" borderId="0" xfId="2" applyFont="1" applyFill="1" applyAlignment="1">
      <alignment horizontal="right"/>
    </xf>
    <xf numFmtId="0" fontId="13" fillId="2" borderId="0" xfId="2" applyFont="1" applyFill="1"/>
    <xf numFmtId="43" fontId="13" fillId="2" borderId="0" xfId="2" applyNumberFormat="1" applyFont="1" applyFill="1"/>
    <xf numFmtId="166" fontId="11" fillId="2" borderId="0" xfId="3" applyNumberFormat="1" applyFont="1" applyFill="1"/>
    <xf numFmtId="166" fontId="12" fillId="2" borderId="2" xfId="3" applyNumberFormat="1" applyFont="1" applyFill="1" applyBorder="1"/>
    <xf numFmtId="168" fontId="12" fillId="2" borderId="0" xfId="4" applyNumberFormat="1" applyFont="1" applyFill="1" applyAlignment="1">
      <alignment horizontal="right"/>
    </xf>
    <xf numFmtId="43" fontId="12" fillId="2" borderId="0" xfId="4" applyNumberFormat="1" applyFont="1" applyFill="1" applyAlignment="1">
      <alignment horizontal="right"/>
    </xf>
    <xf numFmtId="166" fontId="12" fillId="2" borderId="0" xfId="3" applyNumberFormat="1" applyFont="1" applyFill="1" applyBorder="1"/>
    <xf numFmtId="166" fontId="12" fillId="2" borderId="0" xfId="3" applyNumberFormat="1" applyFont="1" applyFill="1"/>
    <xf numFmtId="0" fontId="11" fillId="2" borderId="0" xfId="2" applyFont="1" applyFill="1" applyAlignment="1">
      <alignment horizontal="center"/>
    </xf>
    <xf numFmtId="0" fontId="11" fillId="2" borderId="2" xfId="2" applyFont="1" applyFill="1" applyBorder="1" applyAlignment="1">
      <alignment horizontal="center"/>
    </xf>
    <xf numFmtId="0" fontId="11" fillId="2" borderId="2" xfId="2" applyFont="1" applyFill="1" applyBorder="1"/>
    <xf numFmtId="0" fontId="17" fillId="0" borderId="0" xfId="2"/>
    <xf numFmtId="0" fontId="14" fillId="2" borderId="0" xfId="2" applyFont="1" applyFill="1" applyAlignment="1">
      <alignment vertical="center"/>
    </xf>
    <xf numFmtId="43" fontId="11" fillId="2" borderId="0" xfId="2" applyNumberFormat="1" applyFont="1" applyFill="1"/>
    <xf numFmtId="166" fontId="12" fillId="2" borderId="0" xfId="3" applyNumberFormat="1" applyFont="1" applyFill="1" applyAlignment="1">
      <alignment horizontal="center"/>
    </xf>
    <xf numFmtId="43" fontId="12" fillId="2" borderId="2" xfId="4" applyFont="1" applyFill="1" applyBorder="1"/>
    <xf numFmtId="168" fontId="12" fillId="2" borderId="0" xfId="4" applyNumberFormat="1" applyFont="1" applyFill="1"/>
    <xf numFmtId="43" fontId="12" fillId="2" borderId="0" xfId="4" applyFont="1" applyFill="1"/>
    <xf numFmtId="0" fontId="12" fillId="2" borderId="0" xfId="2" applyFont="1" applyFill="1" applyBorder="1"/>
    <xf numFmtId="43" fontId="12" fillId="2" borderId="0" xfId="4" applyFont="1" applyFill="1" applyBorder="1"/>
    <xf numFmtId="43" fontId="12" fillId="2" borderId="0" xfId="4" applyFont="1" applyFill="1" applyBorder="1" applyAlignment="1">
      <alignment horizontal="right"/>
    </xf>
    <xf numFmtId="43" fontId="12" fillId="2" borderId="0" xfId="4" applyFont="1" applyFill="1" applyAlignment="1">
      <alignment horizontal="right" vertical="center"/>
    </xf>
    <xf numFmtId="0" fontId="11" fillId="2" borderId="2" xfId="2" quotePrefix="1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1" fillId="2" borderId="0" xfId="2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right"/>
    </xf>
    <xf numFmtId="166" fontId="18" fillId="2" borderId="0" xfId="3" applyNumberFormat="1" applyFont="1" applyFill="1" applyAlignment="1">
      <alignment horizontal="right"/>
    </xf>
    <xf numFmtId="10" fontId="18" fillId="2" borderId="0" xfId="1" applyNumberFormat="1" applyFont="1" applyFill="1" applyAlignment="1">
      <alignment horizontal="right"/>
    </xf>
    <xf numFmtId="165" fontId="0" fillId="3" borderId="0" xfId="0" applyNumberFormat="1" applyFill="1"/>
    <xf numFmtId="3" fontId="0" fillId="3" borderId="0" xfId="0" applyNumberFormat="1" applyFill="1"/>
    <xf numFmtId="10" fontId="0" fillId="3" borderId="0" xfId="1" applyNumberFormat="1" applyFont="1" applyFill="1"/>
    <xf numFmtId="10" fontId="0" fillId="3" borderId="0" xfId="0" applyNumberFormat="1" applyFill="1"/>
    <xf numFmtId="166" fontId="9" fillId="4" borderId="0" xfId="0" applyNumberFormat="1" applyFont="1" applyFill="1"/>
    <xf numFmtId="0" fontId="9" fillId="4" borderId="2" xfId="0" applyFont="1" applyFill="1" applyBorder="1"/>
    <xf numFmtId="0" fontId="9" fillId="3" borderId="0" xfId="0" applyFont="1" applyFill="1" applyBorder="1" applyAlignment="1">
      <alignment horizontal="right"/>
    </xf>
    <xf numFmtId="166" fontId="0" fillId="4" borderId="0" xfId="0" applyNumberFormat="1" applyFill="1"/>
    <xf numFmtId="10" fontId="9" fillId="4" borderId="0" xfId="0" applyNumberFormat="1" applyFont="1" applyFill="1"/>
    <xf numFmtId="0" fontId="0" fillId="4" borderId="0" xfId="0" applyFill="1" applyBorder="1"/>
    <xf numFmtId="2" fontId="0" fillId="4" borderId="0" xfId="0" applyNumberFormat="1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9" fillId="3" borderId="1" xfId="0" applyNumberFormat="1" applyFont="1" applyFill="1" applyBorder="1" applyAlignment="1">
      <alignment horizontal="right"/>
    </xf>
    <xf numFmtId="1" fontId="0" fillId="4" borderId="0" xfId="0" applyNumberFormat="1" applyFill="1"/>
    <xf numFmtId="0" fontId="0" fillId="0" borderId="4" xfId="0" applyBorder="1"/>
    <xf numFmtId="44" fontId="0" fillId="0" borderId="6" xfId="5" applyFont="1" applyBorder="1"/>
    <xf numFmtId="44" fontId="0" fillId="0" borderId="8" xfId="5" applyFont="1" applyBorder="1"/>
    <xf numFmtId="9" fontId="0" fillId="3" borderId="10" xfId="1" applyNumberFormat="1" applyFont="1" applyFill="1" applyBorder="1"/>
    <xf numFmtId="0" fontId="0" fillId="4" borderId="8" xfId="0" applyFill="1" applyBorder="1"/>
    <xf numFmtId="2" fontId="0" fillId="4" borderId="8" xfId="0" applyNumberFormat="1" applyFill="1" applyBorder="1"/>
    <xf numFmtId="0" fontId="9" fillId="3" borderId="8" xfId="0" applyFont="1" applyFill="1" applyBorder="1" applyAlignment="1">
      <alignment horizontal="right"/>
    </xf>
    <xf numFmtId="0" fontId="9" fillId="0" borderId="0" xfId="0" applyFont="1"/>
    <xf numFmtId="166" fontId="5" fillId="5" borderId="0" xfId="0" applyNumberFormat="1" applyFont="1" applyFill="1"/>
    <xf numFmtId="2" fontId="9" fillId="3" borderId="10" xfId="0" applyNumberFormat="1" applyFont="1" applyFill="1" applyBorder="1" applyAlignment="1">
      <alignment horizontal="right"/>
    </xf>
    <xf numFmtId="0" fontId="12" fillId="2" borderId="0" xfId="2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170" fontId="0" fillId="0" borderId="0" xfId="0" applyNumberFormat="1"/>
  </cellXfs>
  <cellStyles count="6">
    <cellStyle name="Comma 2" xfId="4" xr:uid="{00000000-0005-0000-0000-000000000000}"/>
    <cellStyle name="Currency" xfId="5" builtinId="4"/>
    <cellStyle name="Normal" xfId="0" builtinId="0"/>
    <cellStyle name="Normal 2" xfId="2" xr:uid="{00000000-0005-0000-0000-000003000000}"/>
    <cellStyle name="Percent" xfId="1" builtinId="5"/>
    <cellStyle name="Percent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12</xdr:col>
      <xdr:colOff>485775</xdr:colOff>
      <xdr:row>25</xdr:row>
      <xdr:rowOff>79224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592807-B7ED-6A7F-D1C8-40B1D0473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7191375" cy="4079723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4</xdr:row>
      <xdr:rowOff>0</xdr:rowOff>
    </xdr:from>
    <xdr:to>
      <xdr:col>26</xdr:col>
      <xdr:colOff>563981</xdr:colOff>
      <xdr:row>27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324F2-4E0A-BE73-DDB9-FC66A1D4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1" y="762000"/>
          <a:ext cx="7879180" cy="442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showGridLines="0" workbookViewId="0">
      <selection activeCell="L7" sqref="L7"/>
    </sheetView>
  </sheetViews>
  <sheetFormatPr defaultRowHeight="15" x14ac:dyDescent="0.25"/>
  <cols>
    <col min="1" max="1" width="17" customWidth="1"/>
    <col min="2" max="3" width="7.140625" bestFit="1" customWidth="1"/>
    <col min="4" max="7" width="9.140625" customWidth="1"/>
    <col min="8" max="8" width="7.42578125" customWidth="1"/>
    <col min="9" max="9" width="3.7109375" customWidth="1"/>
    <col min="10" max="10" width="20.5703125" bestFit="1" customWidth="1"/>
    <col min="12" max="12" width="9.140625" customWidth="1"/>
  </cols>
  <sheetData>
    <row r="1" spans="1:15" ht="15.75" thickBot="1" x14ac:dyDescent="0.3">
      <c r="A1" s="21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 ht="6.95" customHeight="1" x14ac:dyDescent="0.25">
      <c r="D2" s="28">
        <v>1</v>
      </c>
      <c r="E2" s="28">
        <v>2</v>
      </c>
      <c r="F2" s="28">
        <v>3</v>
      </c>
      <c r="G2" s="28">
        <v>4</v>
      </c>
      <c r="H2" s="28">
        <v>5</v>
      </c>
    </row>
    <row r="3" spans="1:15" ht="15.75" thickBot="1" x14ac:dyDescent="0.3">
      <c r="A3" s="6"/>
      <c r="B3" s="12" t="s">
        <v>0</v>
      </c>
      <c r="C3" s="12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J3" s="20" t="s">
        <v>166</v>
      </c>
      <c r="K3" s="6"/>
      <c r="L3" s="6"/>
    </row>
    <row r="4" spans="1:15" x14ac:dyDescent="0.25">
      <c r="A4" t="s">
        <v>7</v>
      </c>
      <c r="B4" s="13">
        <v>355</v>
      </c>
      <c r="C4" s="13">
        <f t="shared" ref="C4" si="0">B4*(1+C16)</f>
        <v>830</v>
      </c>
      <c r="D4" s="92">
        <f>C4*(1+D16)</f>
        <v>1369.5</v>
      </c>
      <c r="E4" s="92">
        <f t="shared" ref="E4:H4" si="1">D4*(1+E16)</f>
        <v>2057.6737499999999</v>
      </c>
      <c r="F4" s="92">
        <f t="shared" si="1"/>
        <v>2788.1479312500001</v>
      </c>
      <c r="G4" s="92">
        <f t="shared" si="1"/>
        <v>3366.6886269843753</v>
      </c>
      <c r="H4" s="92">
        <f t="shared" si="1"/>
        <v>3568.6899446034381</v>
      </c>
      <c r="J4" t="s">
        <v>165</v>
      </c>
      <c r="L4" s="2">
        <v>4.36E-2</v>
      </c>
      <c r="M4" t="s">
        <v>164</v>
      </c>
    </row>
    <row r="5" spans="1:15" ht="18.75" x14ac:dyDescent="0.3">
      <c r="A5" s="8" t="s">
        <v>8</v>
      </c>
      <c r="B5" s="14">
        <f t="shared" ref="B5:C5" si="2">B4*B17</f>
        <v>154</v>
      </c>
      <c r="C5" s="14">
        <f t="shared" si="2"/>
        <v>342</v>
      </c>
      <c r="D5" s="9">
        <f>D4*D17</f>
        <v>588.88499999999999</v>
      </c>
      <c r="E5" s="9">
        <f t="shared" ref="E5:H5" si="3">E4*E17</f>
        <v>884.79971249999994</v>
      </c>
      <c r="F5" s="9">
        <f t="shared" si="3"/>
        <v>1226.78508975</v>
      </c>
      <c r="G5" s="9">
        <f t="shared" si="3"/>
        <v>1515.009882142969</v>
      </c>
      <c r="H5" s="9">
        <f t="shared" si="3"/>
        <v>1605.9104750715471</v>
      </c>
      <c r="J5" t="s">
        <v>29</v>
      </c>
      <c r="L5" s="100">
        <v>5.5E-2</v>
      </c>
      <c r="M5" s="2">
        <f>L4+1*L5</f>
        <v>9.8599999999999993E-2</v>
      </c>
      <c r="N5" s="124">
        <f>M5-L4</f>
        <v>5.4999999999999993E-2</v>
      </c>
      <c r="O5" t="s">
        <v>43</v>
      </c>
    </row>
    <row r="6" spans="1:15" ht="18.75" x14ac:dyDescent="0.3">
      <c r="A6" t="s">
        <v>21</v>
      </c>
      <c r="B6" s="15">
        <f>B4-B5</f>
        <v>201</v>
      </c>
      <c r="C6" s="15">
        <f t="shared" ref="C6" si="4">C4-C5</f>
        <v>488</v>
      </c>
      <c r="D6" s="93">
        <f>D4-D5</f>
        <v>780.61500000000001</v>
      </c>
      <c r="E6" s="93">
        <f t="shared" ref="E6:H6" si="5">E4-E5</f>
        <v>1172.8740375</v>
      </c>
      <c r="F6" s="93">
        <f t="shared" si="5"/>
        <v>1561.3628415000001</v>
      </c>
      <c r="G6" s="93">
        <f t="shared" si="5"/>
        <v>1851.6787448414063</v>
      </c>
      <c r="H6" s="93">
        <f t="shared" si="5"/>
        <v>1962.779469531891</v>
      </c>
      <c r="J6" s="8" t="s">
        <v>30</v>
      </c>
      <c r="K6" s="8"/>
      <c r="L6" s="97">
        <v>1.2</v>
      </c>
      <c r="M6" s="2"/>
    </row>
    <row r="7" spans="1:15" x14ac:dyDescent="0.25">
      <c r="A7" s="8" t="s">
        <v>22</v>
      </c>
      <c r="B7" s="14">
        <f t="shared" ref="B7:C7" si="6">B4*B18</f>
        <v>105</v>
      </c>
      <c r="C7" s="14">
        <f t="shared" si="6"/>
        <v>251</v>
      </c>
      <c r="D7" s="9">
        <f>D4*D18</f>
        <v>424.54500000000002</v>
      </c>
      <c r="E7" s="9">
        <f t="shared" ref="E7:H7" si="7">E4*E18</f>
        <v>658.4556</v>
      </c>
      <c r="F7" s="9">
        <f t="shared" si="7"/>
        <v>920.08881731250005</v>
      </c>
      <c r="G7" s="9">
        <f t="shared" si="7"/>
        <v>1111.0072469048439</v>
      </c>
      <c r="H7" s="9">
        <f t="shared" si="7"/>
        <v>1177.6676817191346</v>
      </c>
      <c r="J7" t="s">
        <v>9</v>
      </c>
      <c r="L7" s="95">
        <f>L4+L6*L5</f>
        <v>0.1096</v>
      </c>
    </row>
    <row r="8" spans="1:15" ht="18.75" x14ac:dyDescent="0.3">
      <c r="A8" s="10" t="s">
        <v>23</v>
      </c>
      <c r="B8" s="15">
        <f>B6-B7</f>
        <v>96</v>
      </c>
      <c r="C8" s="15">
        <f t="shared" ref="C8" si="8">C6-C7</f>
        <v>237</v>
      </c>
      <c r="D8" s="93">
        <f>D6-D7</f>
        <v>356.07</v>
      </c>
      <c r="E8" s="93">
        <f t="shared" ref="E8:H8" si="9">E6-E7</f>
        <v>514.41843749999998</v>
      </c>
      <c r="F8" s="93">
        <f t="shared" si="9"/>
        <v>641.2740241875</v>
      </c>
      <c r="G8" s="93">
        <f t="shared" si="9"/>
        <v>740.67149793656245</v>
      </c>
      <c r="H8" s="93">
        <f t="shared" si="9"/>
        <v>785.11178781275635</v>
      </c>
      <c r="L8" s="39"/>
    </row>
    <row r="9" spans="1:15" ht="6.95" customHeight="1" x14ac:dyDescent="0.25">
      <c r="B9" s="16"/>
      <c r="C9" s="16"/>
    </row>
    <row r="10" spans="1:15" ht="15.75" thickBot="1" x14ac:dyDescent="0.3">
      <c r="A10" t="s">
        <v>24</v>
      </c>
      <c r="B10" s="16"/>
      <c r="C10" s="16"/>
      <c r="D10" s="11">
        <f>D8*0.7</f>
        <v>249.24899999999997</v>
      </c>
      <c r="E10" s="11">
        <f t="shared" ref="E10:H10" si="10">E8*0.7</f>
        <v>360.09290624999994</v>
      </c>
      <c r="F10" s="11">
        <f t="shared" si="10"/>
        <v>448.89181693124999</v>
      </c>
      <c r="G10" s="11">
        <f t="shared" si="10"/>
        <v>518.47004855559373</v>
      </c>
      <c r="H10" s="11">
        <f t="shared" si="10"/>
        <v>549.57825146892935</v>
      </c>
      <c r="J10" s="21" t="s">
        <v>31</v>
      </c>
      <c r="K10" s="6"/>
      <c r="L10" s="6"/>
    </row>
    <row r="11" spans="1:15" x14ac:dyDescent="0.25">
      <c r="A11" t="s">
        <v>26</v>
      </c>
      <c r="B11" s="16"/>
      <c r="C11" s="16"/>
      <c r="D11" s="5">
        <f>D23-C23</f>
        <v>72.072999999999979</v>
      </c>
      <c r="E11" s="5">
        <f t="shared" ref="E11:H11" si="11">E23-D23</f>
        <v>118.46175000000005</v>
      </c>
      <c r="F11" s="5">
        <f t="shared" si="11"/>
        <v>146.09483624999996</v>
      </c>
      <c r="G11" s="5">
        <f t="shared" si="11"/>
        <v>115.70813914687517</v>
      </c>
      <c r="H11" s="5">
        <f t="shared" si="11"/>
        <v>40.400263523812555</v>
      </c>
      <c r="J11" t="s">
        <v>33</v>
      </c>
      <c r="L11" s="41">
        <f>H13/(L7-H16)</f>
        <v>9858.4245198227909</v>
      </c>
    </row>
    <row r="12" spans="1:15" x14ac:dyDescent="0.25">
      <c r="A12" s="8" t="s">
        <v>32</v>
      </c>
      <c r="B12" s="17"/>
      <c r="C12" s="17"/>
      <c r="D12" s="9">
        <f>D24-C24</f>
        <v>55.427999999999997</v>
      </c>
      <c r="E12" s="9">
        <f t="shared" ref="E12:H12" si="12">E24-D24</f>
        <v>63.339375000000018</v>
      </c>
      <c r="F12" s="9">
        <f t="shared" si="12"/>
        <v>73.047418124999979</v>
      </c>
      <c r="G12" s="9">
        <f t="shared" si="12"/>
        <v>57.854069573437584</v>
      </c>
      <c r="H12" s="9">
        <f t="shared" si="12"/>
        <v>20.200131761906277</v>
      </c>
      <c r="J12" t="s">
        <v>34</v>
      </c>
      <c r="L12" s="5">
        <f>L11/(1+L7)^4</f>
        <v>6503.4188189038932</v>
      </c>
    </row>
    <row r="13" spans="1:15" x14ac:dyDescent="0.25">
      <c r="A13" t="s">
        <v>27</v>
      </c>
      <c r="B13" s="16"/>
      <c r="C13" s="16"/>
      <c r="D13" s="111">
        <f>D10-D11-D12</f>
        <v>121.74799999999999</v>
      </c>
      <c r="E13" s="111">
        <f t="shared" ref="E13:H13" si="13">E10-E11-E12</f>
        <v>178.29178124999987</v>
      </c>
      <c r="F13" s="111">
        <f t="shared" si="13"/>
        <v>229.74956255625005</v>
      </c>
      <c r="G13" s="111">
        <f t="shared" si="13"/>
        <v>344.90783983528098</v>
      </c>
      <c r="H13" s="111">
        <f t="shared" si="13"/>
        <v>488.97785618321052</v>
      </c>
      <c r="I13" s="11"/>
      <c r="J13" s="8" t="s">
        <v>35</v>
      </c>
      <c r="K13" s="8"/>
      <c r="L13" s="9">
        <f>H14</f>
        <v>650.23429351071786</v>
      </c>
    </row>
    <row r="14" spans="1:15" ht="15" customHeight="1" thickBot="1" x14ac:dyDescent="0.3">
      <c r="B14" s="16"/>
      <c r="C14" s="16"/>
      <c r="D14" s="30">
        <f>D13/(1+$L$7)^D2</f>
        <v>109.72242249459265</v>
      </c>
      <c r="E14" s="30">
        <f>E13/(1+$L$7)^E2</f>
        <v>144.80995805791903</v>
      </c>
      <c r="F14" s="30">
        <f>F13/(1+$L$7)^F2</f>
        <v>168.17264275260774</v>
      </c>
      <c r="G14" s="30">
        <f>G13/(1+$L$7)^G2</f>
        <v>227.52927020559838</v>
      </c>
      <c r="H14" s="31">
        <f>SUM(D14:G14)</f>
        <v>650.23429351071786</v>
      </c>
      <c r="J14" s="32" t="s">
        <v>36</v>
      </c>
      <c r="K14" s="32"/>
      <c r="L14" s="38">
        <f>SUM(L12:L13)</f>
        <v>7153.6531124146113</v>
      </c>
    </row>
    <row r="15" spans="1:15" ht="16.5" thickTop="1" thickBot="1" x14ac:dyDescent="0.3">
      <c r="B15" s="16"/>
      <c r="C15" s="16"/>
      <c r="D15" s="26" t="s">
        <v>25</v>
      </c>
      <c r="E15" s="27"/>
      <c r="F15" s="27"/>
      <c r="G15" s="27"/>
      <c r="H15" s="27"/>
      <c r="J15" t="s">
        <v>37</v>
      </c>
      <c r="L15" s="29">
        <v>85</v>
      </c>
    </row>
    <row r="16" spans="1:15" ht="18.75" x14ac:dyDescent="0.3">
      <c r="A16" t="s">
        <v>10</v>
      </c>
      <c r="B16" s="18">
        <v>2.27</v>
      </c>
      <c r="C16" s="120">
        <v>1.3380281690140845</v>
      </c>
      <c r="D16" s="99">
        <v>0.65</v>
      </c>
      <c r="E16" s="99">
        <f>D16-($D$16-$H$16)/4</f>
        <v>0.50249999999999995</v>
      </c>
      <c r="F16" s="99">
        <f t="shared" ref="F16:G16" si="14">E16-($D$16-$H$16)/4</f>
        <v>0.35499999999999993</v>
      </c>
      <c r="G16" s="99">
        <f t="shared" si="14"/>
        <v>0.20749999999999991</v>
      </c>
      <c r="H16" s="96">
        <v>0.06</v>
      </c>
      <c r="J16" t="s">
        <v>145</v>
      </c>
      <c r="L16" s="43">
        <f>L14/L15</f>
        <v>84.160624851936603</v>
      </c>
    </row>
    <row r="17" spans="1:13" x14ac:dyDescent="0.25">
      <c r="A17" t="s">
        <v>11</v>
      </c>
      <c r="B17" s="19">
        <v>0.43380281690140843</v>
      </c>
      <c r="C17" s="19">
        <v>0.41204819277108434</v>
      </c>
      <c r="D17" s="4">
        <v>0.43</v>
      </c>
      <c r="E17" s="3">
        <v>0.43</v>
      </c>
      <c r="F17" s="3">
        <v>0.44</v>
      </c>
      <c r="G17" s="3">
        <v>0.45</v>
      </c>
      <c r="H17" s="4">
        <v>0.45</v>
      </c>
      <c r="M17" s="55"/>
    </row>
    <row r="18" spans="1:13" ht="15.75" thickBot="1" x14ac:dyDescent="0.3">
      <c r="A18" t="s">
        <v>13</v>
      </c>
      <c r="B18" s="19">
        <v>0.29577464788732394</v>
      </c>
      <c r="C18" s="19">
        <v>0.30240963855421688</v>
      </c>
      <c r="D18" s="4">
        <v>0.31</v>
      </c>
      <c r="E18" s="4">
        <v>0.32</v>
      </c>
      <c r="F18" s="4">
        <v>0.33</v>
      </c>
      <c r="G18" s="4">
        <v>0.33</v>
      </c>
      <c r="H18" s="4">
        <v>0.33</v>
      </c>
      <c r="J18" s="34" t="s">
        <v>39</v>
      </c>
      <c r="K18" s="34"/>
      <c r="L18" s="35"/>
    </row>
    <row r="19" spans="1:13" x14ac:dyDescent="0.25">
      <c r="A19" t="s">
        <v>14</v>
      </c>
      <c r="B19" s="19">
        <v>0.41408450704225352</v>
      </c>
      <c r="C19" s="19">
        <v>0.26626506024096386</v>
      </c>
      <c r="D19" s="4">
        <v>0.214</v>
      </c>
      <c r="E19" s="4">
        <v>0.2</v>
      </c>
      <c r="F19" s="4">
        <v>0.2</v>
      </c>
      <c r="G19" s="4">
        <v>0.2</v>
      </c>
      <c r="H19" s="4">
        <v>0.2</v>
      </c>
      <c r="K19" s="36">
        <v>2007</v>
      </c>
      <c r="L19" s="36">
        <v>2008</v>
      </c>
    </row>
    <row r="20" spans="1:13" x14ac:dyDescent="0.25">
      <c r="A20" t="s">
        <v>15</v>
      </c>
      <c r="B20" s="19">
        <v>0.16338028169014085</v>
      </c>
      <c r="C20" s="19">
        <v>0.10481927710843374</v>
      </c>
      <c r="D20" s="22">
        <v>0.104</v>
      </c>
      <c r="E20" s="22">
        <v>0.1</v>
      </c>
      <c r="F20" s="22">
        <v>0.1</v>
      </c>
      <c r="G20" s="22">
        <v>0.1</v>
      </c>
      <c r="H20" s="22">
        <v>0.1</v>
      </c>
      <c r="J20" t="s">
        <v>40</v>
      </c>
      <c r="K20" s="37">
        <f>$L$14/C27</f>
        <v>42.581268526277448</v>
      </c>
      <c r="L20" s="37">
        <f>$L$14/D27</f>
        <v>28.700829742204029</v>
      </c>
    </row>
    <row r="21" spans="1:13" x14ac:dyDescent="0.25">
      <c r="A21" t="s">
        <v>16</v>
      </c>
      <c r="B21" s="19">
        <v>0.13793103448275862</v>
      </c>
      <c r="C21" s="19">
        <v>0.2413793103448276</v>
      </c>
      <c r="D21" s="22">
        <v>0.15</v>
      </c>
      <c r="E21" s="22">
        <v>0.15</v>
      </c>
      <c r="F21" s="22">
        <v>0.15</v>
      </c>
      <c r="G21" s="22">
        <v>0.15</v>
      </c>
      <c r="H21" s="22"/>
      <c r="J21" t="s">
        <v>41</v>
      </c>
      <c r="K21" s="29">
        <f>$L$14/C26</f>
        <v>27.727337645017872</v>
      </c>
      <c r="L21" s="29">
        <f>$L$14/D26</f>
        <v>18.953378131644168</v>
      </c>
    </row>
    <row r="22" spans="1:13" ht="15" customHeight="1" x14ac:dyDescent="0.25">
      <c r="B22" s="16"/>
      <c r="C22" s="16"/>
      <c r="D22" s="23"/>
      <c r="E22" s="23"/>
      <c r="F22" s="23"/>
      <c r="G22" s="23"/>
      <c r="H22" s="23"/>
      <c r="J22" t="s">
        <v>42</v>
      </c>
      <c r="K22" s="37">
        <f>$L$14/C4</f>
        <v>8.6188591715838694</v>
      </c>
      <c r="L22" s="37">
        <f>$L$14/D4</f>
        <v>5.2235510130811331</v>
      </c>
    </row>
    <row r="23" spans="1:13" x14ac:dyDescent="0.25">
      <c r="A23" t="s">
        <v>12</v>
      </c>
      <c r="B23" s="15">
        <f t="shared" ref="B23:H23" si="15">B19*B4</f>
        <v>147</v>
      </c>
      <c r="C23" s="15">
        <f t="shared" si="15"/>
        <v>221</v>
      </c>
      <c r="D23" s="24">
        <f t="shared" si="15"/>
        <v>293.07299999999998</v>
      </c>
      <c r="E23" s="24">
        <f t="shared" si="15"/>
        <v>411.53475000000003</v>
      </c>
      <c r="F23" s="24">
        <f t="shared" si="15"/>
        <v>557.62958624999999</v>
      </c>
      <c r="G23" s="24">
        <f t="shared" si="15"/>
        <v>673.33772539687516</v>
      </c>
      <c r="H23" s="24">
        <f t="shared" si="15"/>
        <v>713.73798892068771</v>
      </c>
    </row>
    <row r="24" spans="1:13" x14ac:dyDescent="0.25">
      <c r="A24" t="s">
        <v>17</v>
      </c>
      <c r="B24" s="15">
        <f t="shared" ref="B24:H24" si="16">B20*B4</f>
        <v>58</v>
      </c>
      <c r="C24" s="15">
        <f t="shared" si="16"/>
        <v>87</v>
      </c>
      <c r="D24" s="24">
        <f t="shared" si="16"/>
        <v>142.428</v>
      </c>
      <c r="E24" s="24">
        <f t="shared" si="16"/>
        <v>205.76737500000002</v>
      </c>
      <c r="F24" s="24">
        <f t="shared" si="16"/>
        <v>278.81479312499999</v>
      </c>
      <c r="G24" s="24">
        <f t="shared" si="16"/>
        <v>336.66886269843758</v>
      </c>
      <c r="H24" s="24">
        <f t="shared" si="16"/>
        <v>356.86899446034386</v>
      </c>
    </row>
    <row r="25" spans="1:13" ht="18.75" x14ac:dyDescent="0.3">
      <c r="A25" t="s">
        <v>18</v>
      </c>
      <c r="B25" s="16">
        <f>B24*B21</f>
        <v>8</v>
      </c>
      <c r="C25" s="16">
        <f t="shared" ref="C25:G25" si="17">C24*C21</f>
        <v>21</v>
      </c>
      <c r="D25" s="25">
        <f t="shared" si="17"/>
        <v>21.3642</v>
      </c>
      <c r="E25" s="25">
        <f t="shared" si="17"/>
        <v>30.86510625</v>
      </c>
      <c r="F25" s="25">
        <f t="shared" si="17"/>
        <v>41.822218968750001</v>
      </c>
      <c r="G25" s="25">
        <f t="shared" si="17"/>
        <v>50.500329404765637</v>
      </c>
      <c r="H25" s="23"/>
      <c r="J25" t="s">
        <v>129</v>
      </c>
      <c r="L25" s="119">
        <v>47.74</v>
      </c>
    </row>
    <row r="26" spans="1:13" x14ac:dyDescent="0.25">
      <c r="A26" t="s">
        <v>19</v>
      </c>
      <c r="B26" s="15">
        <f t="shared" ref="B26:G26" si="18">B8+B25</f>
        <v>104</v>
      </c>
      <c r="C26" s="15">
        <f t="shared" si="18"/>
        <v>258</v>
      </c>
      <c r="D26" s="24">
        <f t="shared" si="18"/>
        <v>377.43419999999998</v>
      </c>
      <c r="E26" s="24">
        <f t="shared" si="18"/>
        <v>545.28354375000004</v>
      </c>
      <c r="F26" s="24">
        <f t="shared" si="18"/>
        <v>683.09624315625001</v>
      </c>
      <c r="G26" s="24">
        <f t="shared" si="18"/>
        <v>791.17182734132803</v>
      </c>
      <c r="H26" s="23"/>
      <c r="J26" t="s">
        <v>133</v>
      </c>
      <c r="L26" s="94">
        <f>(L16-L25)/L25</f>
        <v>0.76289536765682031</v>
      </c>
    </row>
    <row r="27" spans="1:13" x14ac:dyDescent="0.25">
      <c r="A27" t="s">
        <v>20</v>
      </c>
      <c r="B27" s="16">
        <v>64</v>
      </c>
      <c r="C27" s="16">
        <v>168</v>
      </c>
      <c r="D27" s="25">
        <f>D10</f>
        <v>249.24899999999997</v>
      </c>
      <c r="E27" s="25">
        <f t="shared" ref="E27:G27" si="19">E10</f>
        <v>360.09290624999994</v>
      </c>
      <c r="F27" s="25">
        <f t="shared" si="19"/>
        <v>448.89181693124999</v>
      </c>
      <c r="G27" s="25">
        <f t="shared" si="19"/>
        <v>518.47004855559373</v>
      </c>
      <c r="H27" s="23"/>
    </row>
    <row r="28" spans="1:13" ht="6.95" customHeight="1" thickBot="1" x14ac:dyDescent="0.3">
      <c r="A28" s="6"/>
      <c r="B28" s="33"/>
      <c r="C28" s="33"/>
      <c r="D28" s="33"/>
      <c r="E28" s="33"/>
      <c r="F28" s="33"/>
      <c r="G28" s="33"/>
      <c r="H28" s="6"/>
      <c r="I28" s="6"/>
      <c r="J28" s="6"/>
      <c r="K28" s="6"/>
      <c r="L28" s="6"/>
    </row>
    <row r="31" spans="1:13" ht="18.75" x14ac:dyDescent="0.3">
      <c r="A31" s="42" t="s">
        <v>45</v>
      </c>
    </row>
    <row r="32" spans="1:13" ht="18.75" x14ac:dyDescent="0.3">
      <c r="A32" s="42" t="s">
        <v>46</v>
      </c>
    </row>
    <row r="33" spans="1:8" ht="18.75" x14ac:dyDescent="0.3">
      <c r="A33" s="56" t="s">
        <v>130</v>
      </c>
    </row>
    <row r="34" spans="1:8" x14ac:dyDescent="0.25">
      <c r="A34" s="55"/>
    </row>
    <row r="35" spans="1:8" ht="18.75" x14ac:dyDescent="0.3">
      <c r="A35" s="42" t="s">
        <v>156</v>
      </c>
      <c r="C35" s="5"/>
      <c r="D35" s="5"/>
      <c r="E35" s="5"/>
      <c r="F35" s="5"/>
      <c r="G35" s="5"/>
      <c r="H35" s="5"/>
    </row>
    <row r="36" spans="1:8" ht="18.75" x14ac:dyDescent="0.3">
      <c r="A36" s="42" t="s">
        <v>157</v>
      </c>
      <c r="D36" s="5"/>
      <c r="E36" s="5"/>
      <c r="F36" s="5"/>
      <c r="G36" s="5"/>
      <c r="H36" s="5"/>
    </row>
    <row r="37" spans="1:8" ht="18.75" x14ac:dyDescent="0.3">
      <c r="A37" s="42" t="s">
        <v>158</v>
      </c>
    </row>
    <row r="38" spans="1:8" ht="18.75" x14ac:dyDescent="0.3">
      <c r="A38" s="42" t="s">
        <v>159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7"/>
  <sheetViews>
    <sheetView workbookViewId="0">
      <selection activeCell="L15" sqref="L15"/>
    </sheetView>
  </sheetViews>
  <sheetFormatPr defaultRowHeight="15" x14ac:dyDescent="0.25"/>
  <cols>
    <col min="1" max="1" width="44.140625" customWidth="1"/>
    <col min="10" max="10" width="29.85546875" bestFit="1" customWidth="1"/>
    <col min="11" max="11" width="5.5703125" bestFit="1" customWidth="1"/>
  </cols>
  <sheetData>
    <row r="1" spans="1:14" ht="15.75" thickBot="1" x14ac:dyDescent="0.3">
      <c r="A1" s="21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ht="6.95" customHeight="1" x14ac:dyDescent="0.25">
      <c r="D2" s="28">
        <v>1</v>
      </c>
      <c r="E2" s="28">
        <v>2</v>
      </c>
      <c r="F2" s="28">
        <v>3</v>
      </c>
      <c r="G2" s="28">
        <v>4</v>
      </c>
      <c r="H2" s="28">
        <v>5</v>
      </c>
    </row>
    <row r="3" spans="1:14" ht="15.75" thickBot="1" x14ac:dyDescent="0.3">
      <c r="A3" s="6"/>
      <c r="B3" s="12" t="s">
        <v>0</v>
      </c>
      <c r="C3" s="12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J3" s="20" t="s">
        <v>9</v>
      </c>
      <c r="K3" s="6"/>
      <c r="L3" s="6"/>
    </row>
    <row r="4" spans="1:14" x14ac:dyDescent="0.25">
      <c r="A4" t="s">
        <v>7</v>
      </c>
      <c r="B4" s="13">
        <v>355</v>
      </c>
      <c r="C4" s="13">
        <f t="shared" ref="C4:H4" si="0">B4*(1+C18)</f>
        <v>830</v>
      </c>
      <c r="D4" s="1">
        <f t="shared" si="0"/>
        <v>1369.5</v>
      </c>
      <c r="E4" s="1">
        <f t="shared" si="0"/>
        <v>2057.6737499999999</v>
      </c>
      <c r="F4" s="1">
        <f t="shared" si="0"/>
        <v>2788.1479312500001</v>
      </c>
      <c r="G4" s="1">
        <f t="shared" si="0"/>
        <v>3366.6886269843753</v>
      </c>
      <c r="H4" s="1">
        <f t="shared" si="0"/>
        <v>3568.6899446034381</v>
      </c>
      <c r="J4" t="s">
        <v>28</v>
      </c>
      <c r="L4" s="2">
        <v>4.36E-2</v>
      </c>
    </row>
    <row r="5" spans="1:14" ht="18.75" x14ac:dyDescent="0.3">
      <c r="A5" s="8" t="s">
        <v>8</v>
      </c>
      <c r="B5" s="14">
        <f t="shared" ref="B5:H5" si="1">B4*B19</f>
        <v>154</v>
      </c>
      <c r="C5" s="14">
        <f t="shared" si="1"/>
        <v>342</v>
      </c>
      <c r="D5" s="9">
        <f t="shared" si="1"/>
        <v>588.88499999999999</v>
      </c>
      <c r="E5" s="9">
        <f t="shared" si="1"/>
        <v>884.79971249999994</v>
      </c>
      <c r="F5" s="9">
        <f t="shared" si="1"/>
        <v>1226.78508975</v>
      </c>
      <c r="G5" s="9">
        <f t="shared" si="1"/>
        <v>1515.009882142969</v>
      </c>
      <c r="H5" s="9">
        <f t="shared" si="1"/>
        <v>1605.9104750715471</v>
      </c>
      <c r="J5" t="s">
        <v>29</v>
      </c>
      <c r="L5" s="39">
        <v>5.5E-2</v>
      </c>
    </row>
    <row r="6" spans="1:14" ht="18.75" x14ac:dyDescent="0.3">
      <c r="A6" t="s">
        <v>21</v>
      </c>
      <c r="B6" s="15">
        <f>B4-B5</f>
        <v>201</v>
      </c>
      <c r="C6" s="15">
        <f t="shared" ref="C6:H6" si="2">C4-C5</f>
        <v>488</v>
      </c>
      <c r="D6" s="5">
        <f t="shared" si="2"/>
        <v>780.61500000000001</v>
      </c>
      <c r="E6" s="5">
        <f t="shared" si="2"/>
        <v>1172.8740375</v>
      </c>
      <c r="F6" s="5">
        <f t="shared" si="2"/>
        <v>1561.3628415000001</v>
      </c>
      <c r="G6" s="5">
        <f t="shared" si="2"/>
        <v>1851.6787448414063</v>
      </c>
      <c r="H6" s="5">
        <f t="shared" si="2"/>
        <v>1962.779469531891</v>
      </c>
      <c r="J6" s="8" t="s">
        <v>30</v>
      </c>
      <c r="K6" s="8"/>
      <c r="L6" s="44">
        <v>1.2</v>
      </c>
    </row>
    <row r="7" spans="1:14" x14ac:dyDescent="0.25">
      <c r="A7" s="8" t="s">
        <v>22</v>
      </c>
      <c r="B7" s="14">
        <f t="shared" ref="B7:H7" si="3">B4*B20</f>
        <v>105</v>
      </c>
      <c r="C7" s="14">
        <f t="shared" si="3"/>
        <v>251</v>
      </c>
      <c r="D7" s="9">
        <f t="shared" si="3"/>
        <v>424.54500000000002</v>
      </c>
      <c r="E7" s="9">
        <f t="shared" si="3"/>
        <v>658.4556</v>
      </c>
      <c r="F7" s="9">
        <f t="shared" si="3"/>
        <v>920.08881731250005</v>
      </c>
      <c r="G7" s="9">
        <f t="shared" si="3"/>
        <v>1111.0072469048439</v>
      </c>
      <c r="H7" s="9">
        <f t="shared" si="3"/>
        <v>1177.6676817191346</v>
      </c>
      <c r="J7" t="s">
        <v>9</v>
      </c>
      <c r="L7" s="2">
        <f>L4+L5*L6</f>
        <v>0.1096</v>
      </c>
    </row>
    <row r="8" spans="1:14" ht="18.75" x14ac:dyDescent="0.3">
      <c r="A8" s="10" t="s">
        <v>23</v>
      </c>
      <c r="B8" s="15">
        <f>B6-B7</f>
        <v>96</v>
      </c>
      <c r="C8" s="15">
        <f t="shared" ref="C8:H8" si="4">C6-C7</f>
        <v>237</v>
      </c>
      <c r="D8" s="5">
        <f t="shared" si="4"/>
        <v>356.07</v>
      </c>
      <c r="E8" s="5">
        <f t="shared" si="4"/>
        <v>514.41843749999998</v>
      </c>
      <c r="F8" s="5">
        <f t="shared" si="4"/>
        <v>641.2740241875</v>
      </c>
      <c r="G8" s="5">
        <f t="shared" si="4"/>
        <v>740.67149793656245</v>
      </c>
      <c r="H8" s="5">
        <f t="shared" si="4"/>
        <v>785.11178781275635</v>
      </c>
      <c r="L8" s="39"/>
    </row>
    <row r="9" spans="1:14" ht="6.95" customHeight="1" x14ac:dyDescent="0.25">
      <c r="B9" s="16"/>
      <c r="C9" s="16"/>
    </row>
    <row r="10" spans="1:14" ht="15.75" thickBot="1" x14ac:dyDescent="0.3">
      <c r="A10" t="s">
        <v>24</v>
      </c>
      <c r="B10" s="16"/>
      <c r="C10" s="16"/>
      <c r="D10" s="11">
        <f>D8*0.7</f>
        <v>249.24899999999997</v>
      </c>
      <c r="E10" s="11">
        <f t="shared" ref="E10:H10" si="5">E8*0.7</f>
        <v>360.09290624999994</v>
      </c>
      <c r="F10" s="11">
        <f t="shared" si="5"/>
        <v>448.89181693124999</v>
      </c>
      <c r="G10" s="11">
        <f t="shared" si="5"/>
        <v>518.47004855559373</v>
      </c>
      <c r="H10" s="11">
        <f t="shared" si="5"/>
        <v>549.57825146892935</v>
      </c>
      <c r="J10" s="21" t="s">
        <v>31</v>
      </c>
      <c r="K10" s="6"/>
      <c r="L10" s="6"/>
    </row>
    <row r="11" spans="1:14" x14ac:dyDescent="0.25">
      <c r="A11" t="s">
        <v>26</v>
      </c>
      <c r="B11" s="16"/>
      <c r="C11" s="16"/>
      <c r="D11" s="5">
        <f>D25-C25</f>
        <v>72.072999999999979</v>
      </c>
      <c r="E11" s="5">
        <f t="shared" ref="E11:H12" si="6">E25-D25</f>
        <v>118.46175000000005</v>
      </c>
      <c r="F11" s="5">
        <f t="shared" si="6"/>
        <v>146.09483624999996</v>
      </c>
      <c r="G11" s="5">
        <f t="shared" si="6"/>
        <v>115.70813914687517</v>
      </c>
      <c r="H11" s="5">
        <f t="shared" si="6"/>
        <v>40.400263523812555</v>
      </c>
      <c r="J11" t="s">
        <v>33</v>
      </c>
      <c r="L11" s="41">
        <f>H13/(L7-H18)</f>
        <v>9858.4245198227909</v>
      </c>
    </row>
    <row r="12" spans="1:14" x14ac:dyDescent="0.25">
      <c r="A12" s="8" t="s">
        <v>32</v>
      </c>
      <c r="B12" s="17"/>
      <c r="C12" s="17"/>
      <c r="D12" s="9">
        <f>D26-C26</f>
        <v>55.427999999999997</v>
      </c>
      <c r="E12" s="9">
        <f t="shared" si="6"/>
        <v>63.339375000000018</v>
      </c>
      <c r="F12" s="9">
        <f t="shared" si="6"/>
        <v>73.047418124999979</v>
      </c>
      <c r="G12" s="9">
        <f t="shared" si="6"/>
        <v>57.854069573437584</v>
      </c>
      <c r="H12" s="9">
        <f t="shared" si="6"/>
        <v>20.200131761906277</v>
      </c>
      <c r="J12" t="s">
        <v>34</v>
      </c>
      <c r="L12" s="5">
        <f>L11/(1+L7)^4</f>
        <v>6503.4188189038932</v>
      </c>
    </row>
    <row r="13" spans="1:14" x14ac:dyDescent="0.25">
      <c r="A13" t="s">
        <v>27</v>
      </c>
      <c r="B13" s="16"/>
      <c r="C13" s="16"/>
      <c r="D13" s="11">
        <f>D10-D11-D12</f>
        <v>121.74799999999999</v>
      </c>
      <c r="E13" s="11">
        <f t="shared" ref="E13:H13" si="7">E10-E11-E12</f>
        <v>178.29178124999987</v>
      </c>
      <c r="F13" s="11">
        <f t="shared" si="7"/>
        <v>229.74956255625005</v>
      </c>
      <c r="G13" s="11">
        <f t="shared" si="7"/>
        <v>344.90783983528098</v>
      </c>
      <c r="H13" s="11">
        <f t="shared" si="7"/>
        <v>488.97785618321052</v>
      </c>
      <c r="I13" s="11"/>
      <c r="J13" s="8" t="s">
        <v>35</v>
      </c>
      <c r="K13" s="8"/>
      <c r="L13" s="9">
        <f>H14</f>
        <v>650.23429351071786</v>
      </c>
      <c r="N13" t="s">
        <v>65</v>
      </c>
    </row>
    <row r="14" spans="1:14" ht="15" customHeight="1" thickBot="1" x14ac:dyDescent="0.3">
      <c r="B14" s="16"/>
      <c r="C14" s="16"/>
      <c r="D14" s="30">
        <f>D13/(1+$L$7)^D2</f>
        <v>109.72242249459265</v>
      </c>
      <c r="E14" s="30">
        <f>E13/(1+$L$7)^E2</f>
        <v>144.80995805791903</v>
      </c>
      <c r="F14" s="30">
        <f>F13/(1+$L$7)^F2</f>
        <v>168.17264275260774</v>
      </c>
      <c r="G14" s="30">
        <f>G13/(1+$L$7)^G2</f>
        <v>227.52927020559838</v>
      </c>
      <c r="H14" s="31">
        <f>SUM(D14:G14)</f>
        <v>650.23429351071786</v>
      </c>
      <c r="J14" s="32" t="s">
        <v>36</v>
      </c>
      <c r="K14" s="32"/>
      <c r="L14" s="38">
        <f>SUM(L12:L13)</f>
        <v>7153.6531124146113</v>
      </c>
    </row>
    <row r="15" spans="1:14" ht="15" customHeight="1" thickTop="1" x14ac:dyDescent="0.3">
      <c r="B15" s="16"/>
      <c r="C15" s="16"/>
      <c r="D15" s="30"/>
      <c r="E15" s="30"/>
      <c r="F15" s="30"/>
      <c r="G15" s="30"/>
      <c r="H15" s="31"/>
      <c r="J15" s="47" t="s">
        <v>44</v>
      </c>
      <c r="K15" s="48"/>
      <c r="L15" s="49">
        <v>44.89</v>
      </c>
    </row>
    <row r="16" spans="1:14" ht="15" customHeight="1" x14ac:dyDescent="0.25">
      <c r="B16" s="16"/>
      <c r="C16" s="16"/>
      <c r="D16" s="30"/>
      <c r="E16" s="30"/>
      <c r="F16" s="30"/>
      <c r="G16" s="30"/>
      <c r="H16" s="31"/>
      <c r="J16" s="10" t="s">
        <v>68</v>
      </c>
      <c r="K16" s="45"/>
      <c r="L16" s="46">
        <f>L14+L15</f>
        <v>7198.5431124146116</v>
      </c>
    </row>
    <row r="17" spans="1:15" ht="15.75" thickBot="1" x14ac:dyDescent="0.3">
      <c r="B17" s="16"/>
      <c r="C17" s="16"/>
      <c r="D17" s="26" t="s">
        <v>25</v>
      </c>
      <c r="E17" s="27"/>
      <c r="F17" s="27"/>
      <c r="G17" s="27"/>
      <c r="H17" s="27"/>
      <c r="J17" t="s">
        <v>37</v>
      </c>
      <c r="L17" s="29">
        <v>85</v>
      </c>
    </row>
    <row r="18" spans="1:15" ht="18.75" x14ac:dyDescent="0.3">
      <c r="A18" t="s">
        <v>10</v>
      </c>
      <c r="B18" s="18">
        <v>2.27</v>
      </c>
      <c r="C18" s="18">
        <v>1.3380281690140845</v>
      </c>
      <c r="D18" s="3">
        <v>0.65</v>
      </c>
      <c r="E18" s="3">
        <f>D18-($D$18-$H$18)/4</f>
        <v>0.50249999999999995</v>
      </c>
      <c r="F18" s="3">
        <f t="shared" ref="F18:G18" si="8">E18-($D$18-$H$18)/4</f>
        <v>0.35499999999999993</v>
      </c>
      <c r="G18" s="3">
        <f t="shared" si="8"/>
        <v>0.20749999999999991</v>
      </c>
      <c r="H18" s="40">
        <v>0.06</v>
      </c>
      <c r="J18" t="s">
        <v>38</v>
      </c>
      <c r="L18" s="43">
        <f>L16/L17</f>
        <v>84.688742498995424</v>
      </c>
    </row>
    <row r="19" spans="1:15" x14ac:dyDescent="0.25">
      <c r="A19" t="s">
        <v>11</v>
      </c>
      <c r="B19" s="19">
        <v>0.43380281690140843</v>
      </c>
      <c r="C19" s="19">
        <v>0.41204819277108434</v>
      </c>
      <c r="D19" s="4">
        <v>0.43</v>
      </c>
      <c r="E19" s="3">
        <v>0.43</v>
      </c>
      <c r="F19" s="3">
        <v>0.44</v>
      </c>
      <c r="G19" s="3">
        <v>0.45</v>
      </c>
      <c r="H19" s="4">
        <v>0.45</v>
      </c>
    </row>
    <row r="20" spans="1:15" ht="15.75" thickBot="1" x14ac:dyDescent="0.3">
      <c r="A20" t="s">
        <v>13</v>
      </c>
      <c r="B20" s="19">
        <v>0.29577464788732394</v>
      </c>
      <c r="C20" s="19">
        <v>0.30240963855421688</v>
      </c>
      <c r="D20" s="4">
        <v>0.31</v>
      </c>
      <c r="E20" s="4">
        <v>0.32</v>
      </c>
      <c r="F20" s="4">
        <v>0.33</v>
      </c>
      <c r="G20" s="4">
        <v>0.33</v>
      </c>
      <c r="H20" s="4">
        <v>0.33</v>
      </c>
      <c r="J20" s="34" t="s">
        <v>39</v>
      </c>
      <c r="K20" s="34"/>
      <c r="L20" s="35"/>
      <c r="N20" s="50" t="s">
        <v>66</v>
      </c>
      <c r="O20" t="s">
        <v>49</v>
      </c>
    </row>
    <row r="21" spans="1:15" x14ac:dyDescent="0.25">
      <c r="A21" t="s">
        <v>14</v>
      </c>
      <c r="B21" s="19">
        <v>0.41408450704225352</v>
      </c>
      <c r="C21" s="19">
        <v>0.26626506024096386</v>
      </c>
      <c r="D21" s="4">
        <v>0.214</v>
      </c>
      <c r="E21" s="4">
        <v>0.2</v>
      </c>
      <c r="F21" s="4">
        <v>0.2</v>
      </c>
      <c r="G21" s="4">
        <v>0.2</v>
      </c>
      <c r="H21" s="4">
        <v>0.2</v>
      </c>
      <c r="K21" s="36">
        <v>2007</v>
      </c>
      <c r="L21" s="36">
        <v>2008</v>
      </c>
    </row>
    <row r="22" spans="1:15" x14ac:dyDescent="0.25">
      <c r="A22" t="s">
        <v>15</v>
      </c>
      <c r="B22" s="19">
        <v>0.16338028169014085</v>
      </c>
      <c r="C22" s="19">
        <v>0.10481927710843374</v>
      </c>
      <c r="D22" s="22">
        <v>0.104</v>
      </c>
      <c r="E22" s="22">
        <v>0.1</v>
      </c>
      <c r="F22" s="22">
        <v>0.1</v>
      </c>
      <c r="G22" s="22">
        <v>0.1</v>
      </c>
      <c r="H22" s="22">
        <v>0.1</v>
      </c>
      <c r="J22" t="s">
        <v>40</v>
      </c>
      <c r="K22" s="37">
        <f>$L$14/C29</f>
        <v>42.581268526277448</v>
      </c>
      <c r="L22" s="37">
        <f>$L$14/D29</f>
        <v>28.700829742204029</v>
      </c>
    </row>
    <row r="23" spans="1:15" x14ac:dyDescent="0.25">
      <c r="A23" t="s">
        <v>16</v>
      </c>
      <c r="B23" s="19">
        <v>0.13793103448275862</v>
      </c>
      <c r="C23" s="19">
        <v>0.2413793103448276</v>
      </c>
      <c r="D23" s="22">
        <v>0.15</v>
      </c>
      <c r="E23" s="22">
        <v>0.15</v>
      </c>
      <c r="F23" s="22">
        <v>0.15</v>
      </c>
      <c r="G23" s="22">
        <v>0.15</v>
      </c>
      <c r="H23" s="22"/>
      <c r="J23" t="s">
        <v>41</v>
      </c>
      <c r="K23" s="29">
        <f>$L$14/C28</f>
        <v>27.727337645017872</v>
      </c>
      <c r="L23" s="29">
        <f>$L$14/D28</f>
        <v>18.953378131644168</v>
      </c>
    </row>
    <row r="24" spans="1:15" ht="15" customHeight="1" x14ac:dyDescent="0.25">
      <c r="B24" s="16"/>
      <c r="C24" s="16"/>
      <c r="D24" s="23"/>
      <c r="E24" s="23"/>
      <c r="F24" s="23"/>
      <c r="G24" s="23"/>
      <c r="H24" s="23"/>
      <c r="J24" t="s">
        <v>42</v>
      </c>
      <c r="K24" s="37">
        <f>$L$14/C4</f>
        <v>8.6188591715838694</v>
      </c>
      <c r="L24" s="37">
        <f>$L$14/D4</f>
        <v>5.2235510130811331</v>
      </c>
    </row>
    <row r="25" spans="1:15" x14ac:dyDescent="0.25">
      <c r="A25" t="s">
        <v>12</v>
      </c>
      <c r="B25" s="15">
        <f t="shared" ref="B25:H25" si="9">B21*B4</f>
        <v>147</v>
      </c>
      <c r="C25" s="15">
        <f t="shared" si="9"/>
        <v>221</v>
      </c>
      <c r="D25" s="24">
        <f t="shared" si="9"/>
        <v>293.07299999999998</v>
      </c>
      <c r="E25" s="24">
        <f t="shared" si="9"/>
        <v>411.53475000000003</v>
      </c>
      <c r="F25" s="24">
        <f t="shared" si="9"/>
        <v>557.62958624999999</v>
      </c>
      <c r="G25" s="24">
        <f t="shared" si="9"/>
        <v>673.33772539687516</v>
      </c>
      <c r="H25" s="24">
        <f t="shared" si="9"/>
        <v>713.73798892068771</v>
      </c>
    </row>
    <row r="26" spans="1:15" x14ac:dyDescent="0.25">
      <c r="A26" t="s">
        <v>17</v>
      </c>
      <c r="B26" s="15">
        <f t="shared" ref="B26:H26" si="10">B22*B4</f>
        <v>58</v>
      </c>
      <c r="C26" s="15">
        <f t="shared" si="10"/>
        <v>87</v>
      </c>
      <c r="D26" s="24">
        <f t="shared" si="10"/>
        <v>142.428</v>
      </c>
      <c r="E26" s="24">
        <f t="shared" si="10"/>
        <v>205.76737500000002</v>
      </c>
      <c r="F26" s="24">
        <f t="shared" si="10"/>
        <v>278.81479312499999</v>
      </c>
      <c r="G26" s="24">
        <f t="shared" si="10"/>
        <v>336.66886269843758</v>
      </c>
      <c r="H26" s="24">
        <f t="shared" si="10"/>
        <v>356.86899446034386</v>
      </c>
    </row>
    <row r="27" spans="1:15" x14ac:dyDescent="0.25">
      <c r="A27" t="s">
        <v>18</v>
      </c>
      <c r="B27" s="16">
        <f>B26*B23</f>
        <v>8</v>
      </c>
      <c r="C27" s="16">
        <f t="shared" ref="C27:G27" si="11">C26*C23</f>
        <v>21</v>
      </c>
      <c r="D27" s="25">
        <f t="shared" si="11"/>
        <v>21.3642</v>
      </c>
      <c r="E27" s="25">
        <f t="shared" si="11"/>
        <v>30.86510625</v>
      </c>
      <c r="F27" s="25">
        <f t="shared" si="11"/>
        <v>41.822218968750001</v>
      </c>
      <c r="G27" s="25">
        <f t="shared" si="11"/>
        <v>50.500329404765637</v>
      </c>
      <c r="H27" s="23"/>
    </row>
    <row r="28" spans="1:15" x14ac:dyDescent="0.25">
      <c r="A28" t="s">
        <v>19</v>
      </c>
      <c r="B28" s="15">
        <f t="shared" ref="B28:G28" si="12">B8+B27</f>
        <v>104</v>
      </c>
      <c r="C28" s="15">
        <f t="shared" si="12"/>
        <v>258</v>
      </c>
      <c r="D28" s="24">
        <f t="shared" si="12"/>
        <v>377.43419999999998</v>
      </c>
      <c r="E28" s="24">
        <f t="shared" si="12"/>
        <v>545.28354375000004</v>
      </c>
      <c r="F28" s="24">
        <f t="shared" si="12"/>
        <v>683.09624315625001</v>
      </c>
      <c r="G28" s="24">
        <f t="shared" si="12"/>
        <v>791.17182734132803</v>
      </c>
      <c r="H28" s="23"/>
    </row>
    <row r="29" spans="1:15" x14ac:dyDescent="0.25">
      <c r="A29" t="s">
        <v>20</v>
      </c>
      <c r="B29" s="16">
        <v>64</v>
      </c>
      <c r="C29" s="16">
        <v>168</v>
      </c>
      <c r="D29" s="25">
        <f>D10</f>
        <v>249.24899999999997</v>
      </c>
      <c r="E29" s="25">
        <f t="shared" ref="E29:G29" si="13">E10</f>
        <v>360.09290624999994</v>
      </c>
      <c r="F29" s="25">
        <f t="shared" si="13"/>
        <v>448.89181693124999</v>
      </c>
      <c r="G29" s="25">
        <f t="shared" si="13"/>
        <v>518.47004855559373</v>
      </c>
      <c r="H29" s="23"/>
    </row>
    <row r="30" spans="1:15" ht="6.95" customHeight="1" thickBot="1" x14ac:dyDescent="0.3">
      <c r="A30" s="6"/>
      <c r="B30" s="33"/>
      <c r="C30" s="33"/>
      <c r="D30" s="33"/>
      <c r="E30" s="33"/>
      <c r="F30" s="33"/>
      <c r="G30" s="33"/>
      <c r="H30" s="6"/>
      <c r="I30" s="6"/>
      <c r="J30" s="6"/>
      <c r="K30" s="6"/>
      <c r="L30" s="6"/>
    </row>
    <row r="32" spans="1:15" x14ac:dyDescent="0.25">
      <c r="A32" t="s">
        <v>67</v>
      </c>
    </row>
    <row r="33" spans="1:1" ht="18.75" x14ac:dyDescent="0.3">
      <c r="A33" s="42" t="s">
        <v>47</v>
      </c>
    </row>
    <row r="34" spans="1:1" ht="18.75" x14ac:dyDescent="0.3">
      <c r="A34" s="42" t="s">
        <v>48</v>
      </c>
    </row>
    <row r="35" spans="1:1" ht="18.75" x14ac:dyDescent="0.3">
      <c r="A35" s="42" t="s">
        <v>69</v>
      </c>
    </row>
    <row r="36" spans="1:1" ht="18.75" x14ac:dyDescent="0.3">
      <c r="A36" s="42" t="s">
        <v>70</v>
      </c>
    </row>
    <row r="37" spans="1:1" ht="18.75" x14ac:dyDescent="0.3">
      <c r="A3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A28" sqref="A28"/>
    </sheetView>
  </sheetViews>
  <sheetFormatPr defaultRowHeight="15" x14ac:dyDescent="0.25"/>
  <cols>
    <col min="1" max="1" width="44.42578125" customWidth="1"/>
    <col min="2" max="2" width="10.5703125" bestFit="1" customWidth="1"/>
    <col min="3" max="3" width="10.5703125" customWidth="1"/>
    <col min="4" max="4" width="34.42578125" bestFit="1" customWidth="1"/>
    <col min="5" max="5" width="19.5703125" bestFit="1" customWidth="1"/>
  </cols>
  <sheetData>
    <row r="1" spans="1:8" ht="15.75" thickBot="1" x14ac:dyDescent="0.3"/>
    <row r="2" spans="1:8" x14ac:dyDescent="0.25">
      <c r="A2" s="103" t="s">
        <v>64</v>
      </c>
      <c r="B2" s="104" t="s">
        <v>50</v>
      </c>
      <c r="C2" s="105"/>
      <c r="D2" s="105"/>
      <c r="E2" s="106" t="s">
        <v>51</v>
      </c>
    </row>
    <row r="3" spans="1:8" x14ac:dyDescent="0.25">
      <c r="A3" s="107"/>
      <c r="B3" s="101">
        <v>43.59</v>
      </c>
      <c r="C3" s="45"/>
      <c r="D3" s="45"/>
      <c r="E3" s="116">
        <v>22.91</v>
      </c>
    </row>
    <row r="4" spans="1:8" x14ac:dyDescent="0.25">
      <c r="A4" s="107"/>
      <c r="B4" s="45"/>
      <c r="C4" s="45"/>
      <c r="D4" s="45"/>
      <c r="E4" s="108"/>
    </row>
    <row r="5" spans="1:8" x14ac:dyDescent="0.25">
      <c r="A5" s="107" t="s">
        <v>52</v>
      </c>
      <c r="B5" s="45"/>
      <c r="C5" s="45"/>
      <c r="D5" s="45"/>
      <c r="E5" s="108"/>
    </row>
    <row r="6" spans="1:8" x14ac:dyDescent="0.25">
      <c r="A6" s="107" t="s">
        <v>53</v>
      </c>
      <c r="B6" s="45">
        <v>168</v>
      </c>
      <c r="C6" s="45"/>
      <c r="D6" s="45" t="s">
        <v>57</v>
      </c>
      <c r="E6" s="108">
        <v>258</v>
      </c>
    </row>
    <row r="7" spans="1:8" ht="18.75" x14ac:dyDescent="0.3">
      <c r="A7" s="107" t="s">
        <v>60</v>
      </c>
      <c r="B7" s="98">
        <f>B3*B6</f>
        <v>7323.1200000000008</v>
      </c>
      <c r="C7" s="45"/>
      <c r="D7" s="45" t="s">
        <v>59</v>
      </c>
      <c r="E7" s="118">
        <f>E3*E6</f>
        <v>5910.78</v>
      </c>
    </row>
    <row r="8" spans="1:8" ht="18.75" x14ac:dyDescent="0.3">
      <c r="A8" s="107"/>
      <c r="B8" s="53"/>
      <c r="C8" s="45"/>
      <c r="D8" s="45"/>
      <c r="E8" s="108"/>
    </row>
    <row r="9" spans="1:8" ht="18.75" x14ac:dyDescent="0.3">
      <c r="A9" s="107"/>
      <c r="B9" s="53"/>
      <c r="C9" s="45"/>
      <c r="D9" s="54" t="s">
        <v>58</v>
      </c>
      <c r="E9" s="108"/>
    </row>
    <row r="10" spans="1:8" x14ac:dyDescent="0.25">
      <c r="A10" s="107"/>
      <c r="B10" s="45"/>
      <c r="C10" s="45"/>
      <c r="D10" s="45" t="s">
        <v>54</v>
      </c>
      <c r="E10" s="108">
        <v>45.545999999999999</v>
      </c>
    </row>
    <row r="11" spans="1:8" x14ac:dyDescent="0.25">
      <c r="A11" s="107"/>
      <c r="B11" s="45"/>
      <c r="C11" s="45"/>
      <c r="D11" s="45" t="s">
        <v>55</v>
      </c>
      <c r="E11" s="108">
        <v>0.65</v>
      </c>
    </row>
    <row r="12" spans="1:8" ht="18.75" x14ac:dyDescent="0.3">
      <c r="A12" s="107"/>
      <c r="B12" s="45"/>
      <c r="C12" s="45"/>
      <c r="D12" s="45" t="s">
        <v>60</v>
      </c>
      <c r="E12" s="118">
        <f>E7+E10-E11</f>
        <v>5955.6760000000004</v>
      </c>
    </row>
    <row r="13" spans="1:8" x14ac:dyDescent="0.25">
      <c r="A13" s="107" t="s">
        <v>56</v>
      </c>
      <c r="B13" s="45">
        <v>84.19</v>
      </c>
      <c r="C13" s="45"/>
      <c r="D13" s="45" t="s">
        <v>56</v>
      </c>
      <c r="E13" s="108">
        <v>84.19</v>
      </c>
    </row>
    <row r="14" spans="1:8" ht="19.5" thickBot="1" x14ac:dyDescent="0.35">
      <c r="A14" s="109" t="s">
        <v>61</v>
      </c>
      <c r="B14" s="110">
        <f>B7/B13</f>
        <v>86.983252167715889</v>
      </c>
      <c r="C14" s="6"/>
      <c r="D14" s="6" t="s">
        <v>61</v>
      </c>
      <c r="E14" s="121">
        <f>E12/E13</f>
        <v>70.740895593300877</v>
      </c>
      <c r="H14" s="51"/>
    </row>
    <row r="15" spans="1:8" ht="18.75" x14ac:dyDescent="0.3">
      <c r="B15" s="52"/>
    </row>
    <row r="16" spans="1:8" x14ac:dyDescent="0.25">
      <c r="A16" s="45" t="s">
        <v>134</v>
      </c>
      <c r="B16" s="45"/>
      <c r="C16" s="45"/>
      <c r="D16" s="45"/>
      <c r="E16" s="45"/>
    </row>
    <row r="17" spans="1:2" x14ac:dyDescent="0.25">
      <c r="A17" s="10" t="s">
        <v>150</v>
      </c>
    </row>
    <row r="18" spans="1:2" ht="15.75" thickBot="1" x14ac:dyDescent="0.3"/>
    <row r="19" spans="1:2" x14ac:dyDescent="0.25">
      <c r="A19" s="112" t="s">
        <v>153</v>
      </c>
      <c r="B19" s="113">
        <f>B14</f>
        <v>86.983252167715889</v>
      </c>
    </row>
    <row r="20" spans="1:2" x14ac:dyDescent="0.25">
      <c r="A20" s="107" t="s">
        <v>154</v>
      </c>
      <c r="B20" s="114">
        <f>E14</f>
        <v>70.740895593300877</v>
      </c>
    </row>
    <row r="21" spans="1:2" x14ac:dyDescent="0.25">
      <c r="A21" s="107" t="s">
        <v>155</v>
      </c>
      <c r="B21" s="114">
        <f>AVERAGE(B19:B20)</f>
        <v>78.862073880508376</v>
      </c>
    </row>
    <row r="22" spans="1:2" x14ac:dyDescent="0.25">
      <c r="A22" s="107" t="s">
        <v>129</v>
      </c>
      <c r="B22" s="108">
        <v>47.74</v>
      </c>
    </row>
    <row r="23" spans="1:2" ht="15.75" thickBot="1" x14ac:dyDescent="0.3">
      <c r="A23" s="109" t="s">
        <v>133</v>
      </c>
      <c r="B23" s="115">
        <f>(B21-B22)/B22</f>
        <v>0.65190770591764502</v>
      </c>
    </row>
    <row r="25" spans="1:2" ht="18.75" x14ac:dyDescent="0.3">
      <c r="A25" s="119" t="s">
        <v>160</v>
      </c>
    </row>
    <row r="26" spans="1:2" ht="18.75" x14ac:dyDescent="0.3">
      <c r="A26" s="42" t="s">
        <v>167</v>
      </c>
    </row>
    <row r="27" spans="1:2" ht="18.75" x14ac:dyDescent="0.3">
      <c r="A27" s="42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activeCell="L27" sqref="L27"/>
    </sheetView>
  </sheetViews>
  <sheetFormatPr defaultRowHeight="15" x14ac:dyDescent="0.25"/>
  <cols>
    <col min="1" max="1" width="21.28515625" customWidth="1"/>
  </cols>
  <sheetData>
    <row r="1" spans="1:12" ht="15.75" thickBot="1" x14ac:dyDescent="0.3">
      <c r="A1" s="21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D2" s="28">
        <v>1</v>
      </c>
      <c r="E2" s="28">
        <v>2</v>
      </c>
      <c r="F2" s="28">
        <v>3</v>
      </c>
      <c r="G2" s="28">
        <v>4</v>
      </c>
      <c r="H2" s="28">
        <v>5</v>
      </c>
    </row>
    <row r="3" spans="1:12" ht="15.75" thickBot="1" x14ac:dyDescent="0.3">
      <c r="A3" s="6"/>
      <c r="B3" s="12" t="s">
        <v>0</v>
      </c>
      <c r="C3" s="12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J3" s="20" t="s">
        <v>9</v>
      </c>
      <c r="K3" s="6"/>
      <c r="L3" s="6"/>
    </row>
    <row r="4" spans="1:12" x14ac:dyDescent="0.25">
      <c r="A4" t="s">
        <v>7</v>
      </c>
      <c r="B4" s="13">
        <v>355</v>
      </c>
      <c r="C4" s="13">
        <f t="shared" ref="C4" si="0">B4*(1+C16)</f>
        <v>830</v>
      </c>
      <c r="D4" s="92">
        <f>C4*(1+D16)</f>
        <v>1328</v>
      </c>
      <c r="E4" s="92">
        <f t="shared" ref="E4:H4" si="1">D4*(1+E16)</f>
        <v>1940.54</v>
      </c>
      <c r="F4" s="92">
        <f t="shared" si="1"/>
        <v>2566.3641499999999</v>
      </c>
      <c r="G4" s="92">
        <f t="shared" si="1"/>
        <v>3037.9335625624999</v>
      </c>
      <c r="H4" s="92">
        <f t="shared" si="1"/>
        <v>3174.6405728778122</v>
      </c>
      <c r="J4" t="s">
        <v>28</v>
      </c>
      <c r="L4" s="2">
        <v>4.36E-2</v>
      </c>
    </row>
    <row r="5" spans="1:12" ht="18.75" x14ac:dyDescent="0.3">
      <c r="A5" s="8" t="s">
        <v>8</v>
      </c>
      <c r="B5" s="14">
        <f t="shared" ref="B5:C5" si="2">B4*B17</f>
        <v>154</v>
      </c>
      <c r="C5" s="14">
        <f t="shared" si="2"/>
        <v>342</v>
      </c>
      <c r="D5" s="9">
        <f>D4*D17</f>
        <v>571.04</v>
      </c>
      <c r="E5" s="9">
        <f t="shared" ref="E5:H5" si="3">E4*E17</f>
        <v>834.43219999999997</v>
      </c>
      <c r="F5" s="9">
        <f t="shared" si="3"/>
        <v>1129.2002259999999</v>
      </c>
      <c r="G5" s="9">
        <f t="shared" si="3"/>
        <v>1367.070103153125</v>
      </c>
      <c r="H5" s="9">
        <f t="shared" si="3"/>
        <v>1428.5882577950156</v>
      </c>
      <c r="J5" t="s">
        <v>29</v>
      </c>
      <c r="L5" s="100">
        <v>0.06</v>
      </c>
    </row>
    <row r="6" spans="1:12" ht="18.75" x14ac:dyDescent="0.3">
      <c r="A6" t="s">
        <v>21</v>
      </c>
      <c r="B6" s="15">
        <f>B4-B5</f>
        <v>201</v>
      </c>
      <c r="C6" s="15">
        <f t="shared" ref="C6:H6" si="4">C4-C5</f>
        <v>488</v>
      </c>
      <c r="D6" s="93">
        <f t="shared" si="4"/>
        <v>756.96</v>
      </c>
      <c r="E6" s="93">
        <f t="shared" si="4"/>
        <v>1106.1078</v>
      </c>
      <c r="F6" s="93">
        <f t="shared" si="4"/>
        <v>1437.163924</v>
      </c>
      <c r="G6" s="93">
        <f t="shared" si="4"/>
        <v>1670.8634594093749</v>
      </c>
      <c r="H6" s="93">
        <f t="shared" si="4"/>
        <v>1746.0523150827967</v>
      </c>
      <c r="J6" s="8" t="s">
        <v>30</v>
      </c>
      <c r="K6" s="8"/>
      <c r="L6" s="97">
        <v>1.4</v>
      </c>
    </row>
    <row r="7" spans="1:12" x14ac:dyDescent="0.25">
      <c r="A7" s="8" t="s">
        <v>22</v>
      </c>
      <c r="B7" s="14">
        <f t="shared" ref="B7:C7" si="5">B4*B18</f>
        <v>105</v>
      </c>
      <c r="C7" s="14">
        <f t="shared" si="5"/>
        <v>251</v>
      </c>
      <c r="D7" s="9">
        <f>D4*D18</f>
        <v>411.68</v>
      </c>
      <c r="E7" s="9">
        <f t="shared" ref="E7:H7" si="6">E4*E18</f>
        <v>620.97280000000001</v>
      </c>
      <c r="F7" s="9">
        <f t="shared" si="6"/>
        <v>846.90016949999995</v>
      </c>
      <c r="G7" s="9">
        <f t="shared" si="6"/>
        <v>1002.518075645625</v>
      </c>
      <c r="H7" s="9">
        <f t="shared" si="6"/>
        <v>1047.6313890496781</v>
      </c>
      <c r="J7" t="s">
        <v>9</v>
      </c>
      <c r="L7" s="95">
        <f>L4+L5*L6</f>
        <v>0.12759999999999999</v>
      </c>
    </row>
    <row r="8" spans="1:12" ht="18.75" x14ac:dyDescent="0.3">
      <c r="A8" s="10" t="s">
        <v>23</v>
      </c>
      <c r="B8" s="15">
        <f>B6-B7</f>
        <v>96</v>
      </c>
      <c r="C8" s="15">
        <f t="shared" ref="C8:H8" si="7">C6-C7</f>
        <v>237</v>
      </c>
      <c r="D8" s="93">
        <f>D6-D7</f>
        <v>345.28000000000003</v>
      </c>
      <c r="E8" s="93">
        <f t="shared" si="7"/>
        <v>485.13499999999999</v>
      </c>
      <c r="F8" s="93">
        <f t="shared" si="7"/>
        <v>590.2637545</v>
      </c>
      <c r="G8" s="93">
        <f>G6-G7</f>
        <v>668.34538376374985</v>
      </c>
      <c r="H8" s="93">
        <f t="shared" si="7"/>
        <v>698.42092603311858</v>
      </c>
      <c r="L8" s="39"/>
    </row>
    <row r="9" spans="1:12" x14ac:dyDescent="0.25">
      <c r="B9" s="16"/>
      <c r="C9" s="16"/>
    </row>
    <row r="10" spans="1:12" ht="15.75" thickBot="1" x14ac:dyDescent="0.3">
      <c r="A10" t="s">
        <v>24</v>
      </c>
      <c r="B10" s="16"/>
      <c r="C10" s="16"/>
      <c r="D10" s="11">
        <f>D8*0.7</f>
        <v>241.696</v>
      </c>
      <c r="E10" s="11">
        <f t="shared" ref="E10:H10" si="8">E8*0.7</f>
        <v>339.59449999999998</v>
      </c>
      <c r="F10" s="11">
        <f t="shared" si="8"/>
        <v>413.18462814999998</v>
      </c>
      <c r="G10" s="11">
        <f t="shared" si="8"/>
        <v>467.84176863462488</v>
      </c>
      <c r="H10" s="11">
        <f t="shared" si="8"/>
        <v>488.89464822318297</v>
      </c>
      <c r="J10" s="21" t="s">
        <v>31</v>
      </c>
      <c r="K10" s="6"/>
      <c r="L10" s="6"/>
    </row>
    <row r="11" spans="1:12" x14ac:dyDescent="0.25">
      <c r="A11" t="s">
        <v>26</v>
      </c>
      <c r="B11" s="16"/>
      <c r="C11" s="16"/>
      <c r="D11" s="5">
        <f>D23-C23</f>
        <v>63.192000000000007</v>
      </c>
      <c r="E11" s="5">
        <f t="shared" ref="E11:H12" si="9">E23-D23</f>
        <v>103.916</v>
      </c>
      <c r="F11" s="5">
        <f t="shared" si="9"/>
        <v>125.16482999999999</v>
      </c>
      <c r="G11" s="5">
        <f t="shared" si="9"/>
        <v>94.313882512499958</v>
      </c>
      <c r="H11" s="5">
        <f t="shared" si="9"/>
        <v>27.34140206306256</v>
      </c>
      <c r="J11" t="s">
        <v>33</v>
      </c>
      <c r="L11" s="41">
        <f>H13/(L7-H16)</f>
        <v>5422.3068417504746</v>
      </c>
    </row>
    <row r="12" spans="1:12" x14ac:dyDescent="0.25">
      <c r="A12" s="8" t="s">
        <v>169</v>
      </c>
      <c r="B12" s="17"/>
      <c r="C12" s="17"/>
      <c r="D12" s="9">
        <f>D24-C24</f>
        <v>51.111999999999995</v>
      </c>
      <c r="E12" s="9">
        <f t="shared" si="9"/>
        <v>55.942000000000007</v>
      </c>
      <c r="F12" s="9">
        <f t="shared" si="9"/>
        <v>62.582414999999997</v>
      </c>
      <c r="G12" s="9">
        <f t="shared" si="9"/>
        <v>47.156941256249979</v>
      </c>
      <c r="H12" s="9">
        <f t="shared" si="9"/>
        <v>13.67070103153128</v>
      </c>
      <c r="J12" t="s">
        <v>34</v>
      </c>
      <c r="L12" s="5">
        <f>L11/(1+L7)^4</f>
        <v>3354.0058930816122</v>
      </c>
    </row>
    <row r="13" spans="1:12" x14ac:dyDescent="0.25">
      <c r="A13" t="s">
        <v>27</v>
      </c>
      <c r="B13" s="16"/>
      <c r="C13" s="16"/>
      <c r="D13" s="111">
        <f>D10-D11-D12</f>
        <v>127.392</v>
      </c>
      <c r="E13" s="111">
        <f t="shared" ref="E13:H13" si="10">E10-E11-E12</f>
        <v>179.73649999999998</v>
      </c>
      <c r="F13" s="111">
        <f t="shared" si="10"/>
        <v>225.43738314999999</v>
      </c>
      <c r="G13" s="111">
        <f t="shared" si="10"/>
        <v>326.37094486587495</v>
      </c>
      <c r="H13" s="111">
        <f t="shared" si="10"/>
        <v>447.88254512858913</v>
      </c>
      <c r="I13" s="11"/>
      <c r="J13" s="8" t="s">
        <v>35</v>
      </c>
      <c r="K13" s="8"/>
      <c r="L13" s="9">
        <f>H14</f>
        <v>613.45430703971294</v>
      </c>
    </row>
    <row r="14" spans="1:12" ht="15.75" thickBot="1" x14ac:dyDescent="0.3">
      <c r="B14" s="16"/>
      <c r="C14" s="16"/>
      <c r="D14" s="30">
        <f>D13/(1+$L$7)^D2</f>
        <v>112.97623270663357</v>
      </c>
      <c r="E14" s="30">
        <f>E13/(1+$L$7)^E2</f>
        <v>141.35987290922679</v>
      </c>
      <c r="F14" s="30">
        <f>F13/(1+$L$7)^F2</f>
        <v>157.23916647470273</v>
      </c>
      <c r="G14" s="30">
        <f>G13/(1+$L$7)^G2</f>
        <v>201.87903494914985</v>
      </c>
      <c r="H14" s="31">
        <f>SUM(D14:G14)</f>
        <v>613.45430703971294</v>
      </c>
      <c r="J14" s="32" t="s">
        <v>36</v>
      </c>
      <c r="K14" s="32"/>
      <c r="L14" s="38">
        <f>SUM(L12:L13)</f>
        <v>3967.4602001213252</v>
      </c>
    </row>
    <row r="15" spans="1:12" ht="16.5" thickTop="1" thickBot="1" x14ac:dyDescent="0.3">
      <c r="B15" s="16"/>
      <c r="C15" s="16"/>
      <c r="D15" s="26" t="s">
        <v>25</v>
      </c>
      <c r="E15" s="27"/>
      <c r="F15" s="27"/>
      <c r="G15" s="27"/>
      <c r="H15" s="27"/>
      <c r="J15" t="s">
        <v>37</v>
      </c>
      <c r="L15" s="29">
        <v>85</v>
      </c>
    </row>
    <row r="16" spans="1:12" ht="18.75" x14ac:dyDescent="0.3">
      <c r="A16" t="s">
        <v>10</v>
      </c>
      <c r="B16" s="18">
        <v>2.27</v>
      </c>
      <c r="C16" s="120">
        <v>1.3380281690140845</v>
      </c>
      <c r="D16" s="99">
        <v>0.6</v>
      </c>
      <c r="E16" s="99">
        <f>D16-($D$16-$H$16)/4</f>
        <v>0.46124999999999999</v>
      </c>
      <c r="F16" s="99">
        <f t="shared" ref="F16:G16" si="11">E16-($D$16-$H$16)/4</f>
        <v>0.32250000000000001</v>
      </c>
      <c r="G16" s="99">
        <f t="shared" si="11"/>
        <v>0.18375000000000002</v>
      </c>
      <c r="H16" s="96">
        <v>4.4999999999999998E-2</v>
      </c>
      <c r="J16" t="s">
        <v>145</v>
      </c>
      <c r="L16" s="43">
        <f>L14/L15</f>
        <v>46.676002354368535</v>
      </c>
    </row>
    <row r="17" spans="1:13" x14ac:dyDescent="0.25">
      <c r="A17" t="s">
        <v>11</v>
      </c>
      <c r="B17" s="19">
        <v>0.43380281690140843</v>
      </c>
      <c r="C17" s="19">
        <v>0.41204819277108434</v>
      </c>
      <c r="D17" s="4">
        <v>0.43</v>
      </c>
      <c r="E17" s="3">
        <v>0.43</v>
      </c>
      <c r="F17" s="3">
        <v>0.44</v>
      </c>
      <c r="G17" s="3">
        <v>0.45</v>
      </c>
      <c r="H17" s="4">
        <v>0.45</v>
      </c>
      <c r="M17" s="55"/>
    </row>
    <row r="18" spans="1:13" ht="15.75" thickBot="1" x14ac:dyDescent="0.3">
      <c r="A18" t="s">
        <v>13</v>
      </c>
      <c r="B18" s="19">
        <v>0.29577464788732394</v>
      </c>
      <c r="C18" s="19">
        <v>0.30240963855421688</v>
      </c>
      <c r="D18" s="4">
        <v>0.31</v>
      </c>
      <c r="E18" s="4">
        <v>0.32</v>
      </c>
      <c r="F18" s="4">
        <v>0.33</v>
      </c>
      <c r="G18" s="4">
        <v>0.33</v>
      </c>
      <c r="H18" s="4">
        <v>0.33</v>
      </c>
      <c r="J18" s="34" t="s">
        <v>39</v>
      </c>
      <c r="K18" s="34"/>
      <c r="L18" s="35"/>
    </row>
    <row r="19" spans="1:13" x14ac:dyDescent="0.25">
      <c r="A19" t="s">
        <v>14</v>
      </c>
      <c r="B19" s="19">
        <v>0.41408450704225352</v>
      </c>
      <c r="C19" s="19">
        <v>0.26626506024096386</v>
      </c>
      <c r="D19" s="4">
        <v>0.214</v>
      </c>
      <c r="E19" s="4">
        <v>0.2</v>
      </c>
      <c r="F19" s="4">
        <v>0.2</v>
      </c>
      <c r="G19" s="4">
        <v>0.2</v>
      </c>
      <c r="H19" s="4">
        <v>0.2</v>
      </c>
      <c r="K19" s="36">
        <v>2007</v>
      </c>
      <c r="L19" s="36">
        <v>2008</v>
      </c>
    </row>
    <row r="20" spans="1:13" x14ac:dyDescent="0.25">
      <c r="A20" t="s">
        <v>15</v>
      </c>
      <c r="B20" s="19">
        <v>0.16338028169014085</v>
      </c>
      <c r="C20" s="19">
        <v>0.10481927710843374</v>
      </c>
      <c r="D20" s="22">
        <v>0.104</v>
      </c>
      <c r="E20" s="22">
        <v>0.1</v>
      </c>
      <c r="F20" s="22">
        <v>0.1</v>
      </c>
      <c r="G20" s="22">
        <v>0.1</v>
      </c>
      <c r="H20" s="22">
        <v>0.1</v>
      </c>
      <c r="J20" t="s">
        <v>40</v>
      </c>
      <c r="K20" s="37">
        <f>$L$14/C27</f>
        <v>23.615834524531699</v>
      </c>
      <c r="L20" s="37">
        <f>$L$14/D27</f>
        <v>16.415084238553082</v>
      </c>
    </row>
    <row r="21" spans="1:13" x14ac:dyDescent="0.25">
      <c r="A21" t="s">
        <v>16</v>
      </c>
      <c r="B21" s="19">
        <v>0.13793103448275862</v>
      </c>
      <c r="C21" s="19">
        <v>0.2413793103448276</v>
      </c>
      <c r="D21" s="22">
        <v>0.15</v>
      </c>
      <c r="E21" s="22">
        <v>0.15</v>
      </c>
      <c r="F21" s="22">
        <v>0.15</v>
      </c>
      <c r="G21" s="22">
        <v>0.15</v>
      </c>
      <c r="H21" s="22"/>
      <c r="J21" t="s">
        <v>41</v>
      </c>
      <c r="K21" s="29">
        <f>$L$14/C26</f>
        <v>15.377752713648547</v>
      </c>
      <c r="L21" s="29">
        <f>$L$14/D26</f>
        <v>10.840149968855807</v>
      </c>
    </row>
    <row r="22" spans="1:13" x14ac:dyDescent="0.25">
      <c r="B22" s="16"/>
      <c r="C22" s="16"/>
      <c r="D22" s="23"/>
      <c r="E22" s="23"/>
      <c r="F22" s="23"/>
      <c r="G22" s="23"/>
      <c r="H22" s="23"/>
      <c r="J22" t="s">
        <v>42</v>
      </c>
      <c r="K22" s="37">
        <f>$L$14/C4</f>
        <v>4.7800725302666569</v>
      </c>
      <c r="L22" s="37">
        <f>$L$14/D4</f>
        <v>2.9875453314166607</v>
      </c>
    </row>
    <row r="23" spans="1:13" x14ac:dyDescent="0.25">
      <c r="A23" t="s">
        <v>12</v>
      </c>
      <c r="B23" s="15">
        <f t="shared" ref="B23:H23" si="12">B19*B4</f>
        <v>147</v>
      </c>
      <c r="C23" s="15">
        <f t="shared" si="12"/>
        <v>221</v>
      </c>
      <c r="D23" s="24">
        <f t="shared" si="12"/>
        <v>284.19200000000001</v>
      </c>
      <c r="E23" s="24">
        <f t="shared" si="12"/>
        <v>388.108</v>
      </c>
      <c r="F23" s="24">
        <f t="shared" si="12"/>
        <v>513.27283</v>
      </c>
      <c r="G23" s="24">
        <f t="shared" si="12"/>
        <v>607.58671251249996</v>
      </c>
      <c r="H23" s="24">
        <f t="shared" si="12"/>
        <v>634.92811457556252</v>
      </c>
    </row>
    <row r="24" spans="1:13" x14ac:dyDescent="0.25">
      <c r="A24" t="s">
        <v>17</v>
      </c>
      <c r="B24" s="15">
        <f t="shared" ref="B24:H24" si="13">B20*B4</f>
        <v>58</v>
      </c>
      <c r="C24" s="15">
        <f t="shared" si="13"/>
        <v>87</v>
      </c>
      <c r="D24" s="24">
        <f t="shared" si="13"/>
        <v>138.11199999999999</v>
      </c>
      <c r="E24" s="24">
        <f t="shared" si="13"/>
        <v>194.054</v>
      </c>
      <c r="F24" s="24">
        <f t="shared" si="13"/>
        <v>256.636415</v>
      </c>
      <c r="G24" s="24">
        <f t="shared" si="13"/>
        <v>303.79335625624998</v>
      </c>
      <c r="H24" s="24">
        <f t="shared" si="13"/>
        <v>317.46405728778126</v>
      </c>
    </row>
    <row r="25" spans="1:13" x14ac:dyDescent="0.25">
      <c r="A25" t="s">
        <v>18</v>
      </c>
      <c r="B25" s="16">
        <f>B24*B21</f>
        <v>8</v>
      </c>
      <c r="C25" s="16">
        <f t="shared" ref="C25:G25" si="14">C24*C21</f>
        <v>21</v>
      </c>
      <c r="D25" s="25">
        <f t="shared" si="14"/>
        <v>20.716799999999999</v>
      </c>
      <c r="E25" s="25">
        <f t="shared" si="14"/>
        <v>29.1081</v>
      </c>
      <c r="F25" s="25">
        <f t="shared" si="14"/>
        <v>38.495462249999996</v>
      </c>
      <c r="G25" s="25">
        <f t="shared" si="14"/>
        <v>45.569003438437498</v>
      </c>
      <c r="H25" s="23"/>
      <c r="J25" t="s">
        <v>129</v>
      </c>
      <c r="L25">
        <v>47.74</v>
      </c>
    </row>
    <row r="26" spans="1:13" x14ac:dyDescent="0.25">
      <c r="A26" t="s">
        <v>19</v>
      </c>
      <c r="B26" s="15">
        <f t="shared" ref="B26:G26" si="15">B8+B25</f>
        <v>104</v>
      </c>
      <c r="C26" s="15">
        <f t="shared" si="15"/>
        <v>258</v>
      </c>
      <c r="D26" s="24">
        <f t="shared" si="15"/>
        <v>365.99680000000001</v>
      </c>
      <c r="E26" s="24">
        <f t="shared" si="15"/>
        <v>514.24310000000003</v>
      </c>
      <c r="F26" s="24">
        <f t="shared" si="15"/>
        <v>628.75921674999995</v>
      </c>
      <c r="G26" s="24">
        <f t="shared" si="15"/>
        <v>713.9143872021873</v>
      </c>
      <c r="H26" s="23"/>
      <c r="J26" t="s">
        <v>133</v>
      </c>
      <c r="L26" s="94">
        <f>(L16-L25)/L25</f>
        <v>-2.2287340712850167E-2</v>
      </c>
    </row>
    <row r="27" spans="1:13" x14ac:dyDescent="0.25">
      <c r="A27" t="s">
        <v>20</v>
      </c>
      <c r="B27" s="16">
        <v>64</v>
      </c>
      <c r="C27" s="16">
        <v>168</v>
      </c>
      <c r="D27" s="25">
        <f>D10</f>
        <v>241.696</v>
      </c>
      <c r="E27" s="25">
        <f t="shared" ref="E27:G27" si="16">E10</f>
        <v>339.59449999999998</v>
      </c>
      <c r="F27" s="25">
        <f t="shared" si="16"/>
        <v>413.18462814999998</v>
      </c>
      <c r="G27" s="25">
        <f t="shared" si="16"/>
        <v>467.84176863462488</v>
      </c>
      <c r="H27" s="23"/>
    </row>
    <row r="28" spans="1:13" ht="15.75" thickBot="1" x14ac:dyDescent="0.3">
      <c r="A28" s="6"/>
      <c r="B28" s="33"/>
      <c r="C28" s="33"/>
      <c r="D28" s="33"/>
      <c r="E28" s="33"/>
      <c r="F28" s="33"/>
      <c r="G28" s="33"/>
      <c r="H28" s="6"/>
      <c r="I28" s="6"/>
      <c r="J28" s="6"/>
      <c r="K28" s="6"/>
      <c r="L28" s="6"/>
    </row>
    <row r="30" spans="1:13" ht="18.75" x14ac:dyDescent="0.3">
      <c r="A30" s="42" t="s">
        <v>71</v>
      </c>
    </row>
    <row r="31" spans="1:13" ht="18.75" x14ac:dyDescent="0.3">
      <c r="A31" s="42" t="s">
        <v>131</v>
      </c>
    </row>
    <row r="32" spans="1:13" ht="18.75" x14ac:dyDescent="0.3">
      <c r="A32" s="42" t="s">
        <v>170</v>
      </c>
    </row>
    <row r="33" spans="1:1" ht="18.75" x14ac:dyDescent="0.3">
      <c r="A33" s="42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A26" sqref="A26"/>
    </sheetView>
  </sheetViews>
  <sheetFormatPr defaultRowHeight="15" x14ac:dyDescent="0.25"/>
  <cols>
    <col min="1" max="1" width="51.42578125" bestFit="1" customWidth="1"/>
    <col min="4" max="4" width="34.42578125" bestFit="1" customWidth="1"/>
    <col min="5" max="5" width="18.140625" bestFit="1" customWidth="1"/>
  </cols>
  <sheetData>
    <row r="1" spans="1:5" ht="15.75" thickBot="1" x14ac:dyDescent="0.3"/>
    <row r="2" spans="1:5" x14ac:dyDescent="0.25">
      <c r="A2" s="103" t="s">
        <v>146</v>
      </c>
      <c r="B2" s="104" t="s">
        <v>147</v>
      </c>
      <c r="C2" s="105"/>
      <c r="D2" s="105"/>
      <c r="E2" s="106" t="s">
        <v>148</v>
      </c>
    </row>
    <row r="3" spans="1:5" x14ac:dyDescent="0.25">
      <c r="A3" s="107"/>
      <c r="B3" s="102">
        <f>AVERAGE('Bull Comps Val'!B3,'Bear Comps Val'!B3)</f>
        <v>32.585000000000001</v>
      </c>
      <c r="C3" s="45"/>
      <c r="D3" s="45"/>
      <c r="E3" s="117">
        <f>AVERAGE('Bull Comps Val'!E3,'Bear Comps Val'!E3)</f>
        <v>18.115000000000002</v>
      </c>
    </row>
    <row r="4" spans="1:5" x14ac:dyDescent="0.25">
      <c r="A4" s="107"/>
      <c r="B4" s="45"/>
      <c r="C4" s="45"/>
      <c r="D4" s="45"/>
      <c r="E4" s="108"/>
    </row>
    <row r="5" spans="1:5" x14ac:dyDescent="0.25">
      <c r="A5" s="107" t="s">
        <v>52</v>
      </c>
      <c r="B5" s="45"/>
      <c r="C5" s="45"/>
      <c r="D5" s="45"/>
      <c r="E5" s="108"/>
    </row>
    <row r="6" spans="1:5" x14ac:dyDescent="0.25">
      <c r="A6" s="107" t="s">
        <v>53</v>
      </c>
      <c r="B6" s="45">
        <v>168</v>
      </c>
      <c r="C6" s="45"/>
      <c r="D6" s="45" t="s">
        <v>57</v>
      </c>
      <c r="E6" s="108">
        <v>258</v>
      </c>
    </row>
    <row r="7" spans="1:5" ht="18.75" x14ac:dyDescent="0.3">
      <c r="A7" s="107" t="s">
        <v>60</v>
      </c>
      <c r="B7" s="98">
        <f>B3*B6</f>
        <v>5474.28</v>
      </c>
      <c r="C7" s="45"/>
      <c r="D7" s="45" t="s">
        <v>59</v>
      </c>
      <c r="E7" s="118">
        <f>E3*E6</f>
        <v>4673.67</v>
      </c>
    </row>
    <row r="8" spans="1:5" ht="18.75" x14ac:dyDescent="0.3">
      <c r="A8" s="107"/>
      <c r="B8" s="53"/>
      <c r="C8" s="45"/>
      <c r="D8" s="45"/>
      <c r="E8" s="108"/>
    </row>
    <row r="9" spans="1:5" ht="18.75" x14ac:dyDescent="0.3">
      <c r="A9" s="107"/>
      <c r="B9" s="53"/>
      <c r="C9" s="45"/>
      <c r="D9" s="54" t="s">
        <v>58</v>
      </c>
      <c r="E9" s="108"/>
    </row>
    <row r="10" spans="1:5" x14ac:dyDescent="0.25">
      <c r="A10" s="107"/>
      <c r="B10" s="45"/>
      <c r="C10" s="45"/>
      <c r="D10" s="45" t="s">
        <v>54</v>
      </c>
      <c r="E10" s="108">
        <v>45.545999999999999</v>
      </c>
    </row>
    <row r="11" spans="1:5" x14ac:dyDescent="0.25">
      <c r="A11" s="107"/>
      <c r="B11" s="45"/>
      <c r="C11" s="45"/>
      <c r="D11" s="45" t="s">
        <v>55</v>
      </c>
      <c r="E11" s="108">
        <v>0.65</v>
      </c>
    </row>
    <row r="12" spans="1:5" ht="18.75" x14ac:dyDescent="0.3">
      <c r="A12" s="107"/>
      <c r="B12" s="45"/>
      <c r="C12" s="45"/>
      <c r="D12" s="45" t="s">
        <v>60</v>
      </c>
      <c r="E12" s="118">
        <f>E7+E10-E11</f>
        <v>4718.5660000000007</v>
      </c>
    </row>
    <row r="13" spans="1:5" x14ac:dyDescent="0.25">
      <c r="A13" s="107" t="s">
        <v>56</v>
      </c>
      <c r="B13" s="45">
        <v>84.19</v>
      </c>
      <c r="C13" s="45"/>
      <c r="D13" s="45" t="s">
        <v>56</v>
      </c>
      <c r="E13" s="108">
        <v>84.19</v>
      </c>
    </row>
    <row r="14" spans="1:5" ht="19.5" thickBot="1" x14ac:dyDescent="0.35">
      <c r="A14" s="109" t="s">
        <v>61</v>
      </c>
      <c r="B14" s="110">
        <f>B7/B13</f>
        <v>65.022924337807339</v>
      </c>
      <c r="C14" s="6"/>
      <c r="D14" s="6" t="s">
        <v>61</v>
      </c>
      <c r="E14" s="110">
        <f>E12/E13</f>
        <v>56.046632616700329</v>
      </c>
    </row>
    <row r="15" spans="1:5" ht="18.75" x14ac:dyDescent="0.3">
      <c r="B15" s="52"/>
    </row>
    <row r="16" spans="1:5" x14ac:dyDescent="0.25">
      <c r="A16" s="45" t="s">
        <v>151</v>
      </c>
      <c r="B16" s="45"/>
      <c r="C16" s="45"/>
      <c r="D16" s="45"/>
      <c r="E16" s="45"/>
    </row>
    <row r="17" spans="1:2" x14ac:dyDescent="0.25">
      <c r="A17" s="10" t="s">
        <v>152</v>
      </c>
    </row>
    <row r="18" spans="1:2" ht="15.75" thickBot="1" x14ac:dyDescent="0.3"/>
    <row r="19" spans="1:2" x14ac:dyDescent="0.25">
      <c r="A19" s="112" t="s">
        <v>153</v>
      </c>
      <c r="B19" s="113">
        <f>B14</f>
        <v>65.022924337807339</v>
      </c>
    </row>
    <row r="20" spans="1:2" x14ac:dyDescent="0.25">
      <c r="A20" s="107" t="s">
        <v>154</v>
      </c>
      <c r="B20" s="114">
        <f>E14</f>
        <v>56.046632616700329</v>
      </c>
    </row>
    <row r="21" spans="1:2" x14ac:dyDescent="0.25">
      <c r="A21" s="107" t="s">
        <v>155</v>
      </c>
      <c r="B21" s="114">
        <f>AVERAGE(B19:B20)</f>
        <v>60.534778477253838</v>
      </c>
    </row>
    <row r="22" spans="1:2" x14ac:dyDescent="0.25">
      <c r="A22" s="107" t="s">
        <v>129</v>
      </c>
      <c r="B22" s="108">
        <v>47.74</v>
      </c>
    </row>
    <row r="23" spans="1:2" ht="15.75" thickBot="1" x14ac:dyDescent="0.3">
      <c r="A23" s="109" t="s">
        <v>133</v>
      </c>
      <c r="B23" s="115">
        <f>(B21-B22)/B22</f>
        <v>0.26800960362911258</v>
      </c>
    </row>
    <row r="25" spans="1:2" ht="18.75" x14ac:dyDescent="0.3">
      <c r="A25" s="119" t="s">
        <v>160</v>
      </c>
    </row>
    <row r="26" spans="1:2" x14ac:dyDescent="0.25">
      <c r="A26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A32" sqref="A32"/>
    </sheetView>
  </sheetViews>
  <sheetFormatPr defaultRowHeight="15" x14ac:dyDescent="0.25"/>
  <cols>
    <col min="1" max="1" width="34.7109375" customWidth="1"/>
    <col min="12" max="12" width="11.42578125" bestFit="1" customWidth="1"/>
  </cols>
  <sheetData>
    <row r="1" spans="1:12" ht="15.75" thickBot="1" x14ac:dyDescent="0.3">
      <c r="A1" s="21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D2" s="28">
        <v>1</v>
      </c>
      <c r="E2" s="28">
        <v>2</v>
      </c>
      <c r="F2" s="28">
        <v>3</v>
      </c>
      <c r="G2" s="28">
        <v>4</v>
      </c>
      <c r="H2" s="28">
        <v>5</v>
      </c>
    </row>
    <row r="3" spans="1:12" ht="15.75" thickBot="1" x14ac:dyDescent="0.3">
      <c r="A3" s="6"/>
      <c r="B3" s="12" t="s">
        <v>0</v>
      </c>
      <c r="C3" s="12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J3" s="20" t="s">
        <v>9</v>
      </c>
      <c r="K3" s="6"/>
      <c r="L3" s="6"/>
    </row>
    <row r="4" spans="1:12" x14ac:dyDescent="0.25">
      <c r="A4" t="s">
        <v>7</v>
      </c>
      <c r="B4" s="13">
        <v>355</v>
      </c>
      <c r="C4" s="13">
        <f t="shared" ref="C4" si="0">B4*(1+C16)</f>
        <v>816.49999999999989</v>
      </c>
      <c r="D4" s="92">
        <f>C4*(1+D16)</f>
        <v>1224.7499999999998</v>
      </c>
      <c r="E4" s="92">
        <f t="shared" ref="E4:H4" si="1">D4*(1+E16)</f>
        <v>1696.2787499999997</v>
      </c>
      <c r="F4" s="92">
        <f t="shared" si="1"/>
        <v>2154.2740124999996</v>
      </c>
      <c r="G4" s="92">
        <f t="shared" si="1"/>
        <v>2488.1864844374995</v>
      </c>
      <c r="H4" s="92">
        <f t="shared" si="1"/>
        <v>2587.7139438149998</v>
      </c>
      <c r="J4" t="s">
        <v>28</v>
      </c>
      <c r="L4" s="2">
        <v>4.36E-2</v>
      </c>
    </row>
    <row r="5" spans="1:12" ht="18.75" x14ac:dyDescent="0.3">
      <c r="A5" s="8" t="s">
        <v>8</v>
      </c>
      <c r="B5" s="14">
        <f t="shared" ref="B5:C5" si="2">B4*B17</f>
        <v>154</v>
      </c>
      <c r="C5" s="14">
        <f t="shared" si="2"/>
        <v>336.43734939759031</v>
      </c>
      <c r="D5" s="9">
        <f>D4*D17</f>
        <v>526.64249999999993</v>
      </c>
      <c r="E5" s="9">
        <f t="shared" ref="E5:H5" si="3">E4*E17</f>
        <v>729.39986249999981</v>
      </c>
      <c r="F5" s="9">
        <f t="shared" si="3"/>
        <v>947.88056549999976</v>
      </c>
      <c r="G5" s="9">
        <f t="shared" si="3"/>
        <v>1119.6839179968749</v>
      </c>
      <c r="H5" s="9">
        <f t="shared" si="3"/>
        <v>1164.47127471675</v>
      </c>
      <c r="J5" t="s">
        <v>29</v>
      </c>
      <c r="L5" s="100">
        <v>6.5000000000000002E-2</v>
      </c>
    </row>
    <row r="6" spans="1:12" ht="18.75" x14ac:dyDescent="0.3">
      <c r="A6" t="s">
        <v>21</v>
      </c>
      <c r="B6" s="15">
        <f>B4-B5</f>
        <v>201</v>
      </c>
      <c r="C6" s="15">
        <f t="shared" ref="C6:H6" si="4">C4-C5</f>
        <v>480.06265060240958</v>
      </c>
      <c r="D6" s="93">
        <f t="shared" si="4"/>
        <v>698.10749999999985</v>
      </c>
      <c r="E6" s="93">
        <f t="shared" si="4"/>
        <v>966.87888749999991</v>
      </c>
      <c r="F6" s="93">
        <f t="shared" si="4"/>
        <v>1206.3934469999999</v>
      </c>
      <c r="G6" s="93">
        <f t="shared" si="4"/>
        <v>1368.5025664406246</v>
      </c>
      <c r="H6" s="93">
        <f t="shared" si="4"/>
        <v>1423.2426690982497</v>
      </c>
      <c r="J6" s="8" t="s">
        <v>30</v>
      </c>
      <c r="K6" s="8"/>
      <c r="L6" s="97">
        <v>1.5</v>
      </c>
    </row>
    <row r="7" spans="1:12" x14ac:dyDescent="0.25">
      <c r="A7" s="8" t="s">
        <v>22</v>
      </c>
      <c r="B7" s="14">
        <f t="shared" ref="B7:C7" si="5">B4*B18</f>
        <v>105</v>
      </c>
      <c r="C7" s="14">
        <f t="shared" si="5"/>
        <v>246.91746987951805</v>
      </c>
      <c r="D7" s="9">
        <f>D4*D18</f>
        <v>379.6724999999999</v>
      </c>
      <c r="E7" s="9">
        <f t="shared" ref="E7:H7" si="6">E4*E18</f>
        <v>542.80919999999992</v>
      </c>
      <c r="F7" s="9">
        <f t="shared" si="6"/>
        <v>710.91042412499985</v>
      </c>
      <c r="G7" s="9">
        <f t="shared" si="6"/>
        <v>821.1015398643749</v>
      </c>
      <c r="H7" s="9">
        <f t="shared" si="6"/>
        <v>853.94560145894991</v>
      </c>
      <c r="J7" t="s">
        <v>9</v>
      </c>
      <c r="L7" s="95">
        <f>L4+L5*L6</f>
        <v>0.1411</v>
      </c>
    </row>
    <row r="8" spans="1:12" ht="18.75" x14ac:dyDescent="0.3">
      <c r="A8" s="10" t="s">
        <v>23</v>
      </c>
      <c r="B8" s="15">
        <f>B6-B7</f>
        <v>96</v>
      </c>
      <c r="C8" s="15">
        <f t="shared" ref="C8:H8" si="7">C6-C7</f>
        <v>233.14518072289152</v>
      </c>
      <c r="D8" s="93">
        <f>D6-D7</f>
        <v>318.43499999999995</v>
      </c>
      <c r="E8" s="93">
        <f t="shared" si="7"/>
        <v>424.06968749999999</v>
      </c>
      <c r="F8" s="93">
        <f t="shared" si="7"/>
        <v>495.48302287500007</v>
      </c>
      <c r="G8" s="93">
        <f>G6-G7</f>
        <v>547.40102657624971</v>
      </c>
      <c r="H8" s="93">
        <f t="shared" si="7"/>
        <v>569.29706763929983</v>
      </c>
      <c r="L8" s="39"/>
    </row>
    <row r="9" spans="1:12" x14ac:dyDescent="0.25">
      <c r="B9" s="16"/>
      <c r="C9" s="16"/>
    </row>
    <row r="10" spans="1:12" ht="15.75" thickBot="1" x14ac:dyDescent="0.3">
      <c r="A10" t="s">
        <v>24</v>
      </c>
      <c r="B10" s="16"/>
      <c r="C10" s="16"/>
      <c r="D10" s="11">
        <f>D8*0.7</f>
        <v>222.90449999999996</v>
      </c>
      <c r="E10" s="11">
        <f t="shared" ref="E10:H10" si="8">E8*0.7</f>
        <v>296.84878124999994</v>
      </c>
      <c r="F10" s="11">
        <f t="shared" si="8"/>
        <v>346.83811601250005</v>
      </c>
      <c r="G10" s="11">
        <f t="shared" si="8"/>
        <v>383.18071860337477</v>
      </c>
      <c r="H10" s="11">
        <f t="shared" si="8"/>
        <v>398.50794734750986</v>
      </c>
      <c r="J10" s="21" t="s">
        <v>31</v>
      </c>
      <c r="K10" s="6"/>
      <c r="L10" s="6"/>
    </row>
    <row r="11" spans="1:12" x14ac:dyDescent="0.25">
      <c r="A11" t="s">
        <v>26</v>
      </c>
      <c r="B11" s="16"/>
      <c r="C11" s="16"/>
      <c r="D11" s="5">
        <f>D23-C23</f>
        <v>44.691078313252973</v>
      </c>
      <c r="E11" s="5">
        <f t="shared" ref="E11:H12" si="9">E23-D23</f>
        <v>77.159250000000043</v>
      </c>
      <c r="F11" s="5">
        <f t="shared" si="9"/>
        <v>91.599052499999971</v>
      </c>
      <c r="G11" s="5">
        <f t="shared" si="9"/>
        <v>66.78249438749998</v>
      </c>
      <c r="H11" s="5">
        <f t="shared" si="9"/>
        <v>19.905491875500047</v>
      </c>
      <c r="J11" t="s">
        <v>33</v>
      </c>
      <c r="L11" s="41">
        <f>H13/(L7-H16)</f>
        <v>3646.3868401014815</v>
      </c>
    </row>
    <row r="12" spans="1:12" x14ac:dyDescent="0.25">
      <c r="A12" s="8" t="s">
        <v>32</v>
      </c>
      <c r="B12" s="17"/>
      <c r="C12" s="17"/>
      <c r="D12" s="9">
        <f>D24-C24</f>
        <v>41.789060240963835</v>
      </c>
      <c r="E12" s="9">
        <f t="shared" si="9"/>
        <v>42.253875000000022</v>
      </c>
      <c r="F12" s="9">
        <f t="shared" si="9"/>
        <v>45.799526249999985</v>
      </c>
      <c r="G12" s="9">
        <f t="shared" si="9"/>
        <v>33.39124719374999</v>
      </c>
      <c r="H12" s="9">
        <f t="shared" si="9"/>
        <v>9.9527459377500236</v>
      </c>
      <c r="J12" t="s">
        <v>34</v>
      </c>
      <c r="L12" s="5">
        <f>L11/(1+L7)^4</f>
        <v>2150.6409901454731</v>
      </c>
    </row>
    <row r="13" spans="1:12" x14ac:dyDescent="0.25">
      <c r="A13" t="s">
        <v>27</v>
      </c>
      <c r="B13" s="16"/>
      <c r="C13" s="16"/>
      <c r="D13" s="111">
        <f>D10-D11-D12</f>
        <v>136.42436144578315</v>
      </c>
      <c r="E13" s="111">
        <f t="shared" ref="E13:H13" si="10">E10-E11-E12</f>
        <v>177.43565624999988</v>
      </c>
      <c r="F13" s="111">
        <f t="shared" si="10"/>
        <v>209.4395372625001</v>
      </c>
      <c r="G13" s="111">
        <f t="shared" si="10"/>
        <v>283.00697702212483</v>
      </c>
      <c r="H13" s="111">
        <f t="shared" si="10"/>
        <v>368.64970953425978</v>
      </c>
      <c r="I13" s="11"/>
      <c r="J13" s="8" t="s">
        <v>35</v>
      </c>
      <c r="K13" s="8"/>
      <c r="L13" s="9">
        <f>H14</f>
        <v>563.69797484014816</v>
      </c>
    </row>
    <row r="14" spans="1:12" ht="15.75" thickBot="1" x14ac:dyDescent="0.3">
      <c r="B14" s="16"/>
      <c r="C14" s="16"/>
      <c r="D14" s="30">
        <f>D13/(1+$L$7)^D2</f>
        <v>119.5551322809422</v>
      </c>
      <c r="E14" s="30">
        <f>E13/(1+$L$7)^E2</f>
        <v>136.26787591034693</v>
      </c>
      <c r="F14" s="30">
        <f>F13/(1+$L$7)^F2</f>
        <v>140.9572939029799</v>
      </c>
      <c r="G14" s="30">
        <f>G13/(1+$L$7)^G2</f>
        <v>166.9176727458792</v>
      </c>
      <c r="H14" s="31">
        <f>SUM(D14:G14)</f>
        <v>563.69797484014816</v>
      </c>
      <c r="J14" s="32" t="s">
        <v>36</v>
      </c>
      <c r="K14" s="32"/>
      <c r="L14" s="38">
        <f>SUM(L12:L13)</f>
        <v>2714.3389649856213</v>
      </c>
    </row>
    <row r="15" spans="1:12" ht="16.5" thickTop="1" thickBot="1" x14ac:dyDescent="0.3">
      <c r="B15" s="16"/>
      <c r="C15" s="16"/>
      <c r="D15" s="26" t="s">
        <v>25</v>
      </c>
      <c r="E15" s="27"/>
      <c r="F15" s="27"/>
      <c r="G15" s="27"/>
      <c r="H15" s="27"/>
      <c r="J15" t="s">
        <v>37</v>
      </c>
      <c r="L15" s="29">
        <v>85</v>
      </c>
    </row>
    <row r="16" spans="1:12" ht="18.75" x14ac:dyDescent="0.3">
      <c r="A16" t="s">
        <v>10</v>
      </c>
      <c r="B16" s="18">
        <v>2.27</v>
      </c>
      <c r="C16" s="120">
        <v>1.3</v>
      </c>
      <c r="D16" s="99">
        <v>0.5</v>
      </c>
      <c r="E16" s="99">
        <f>D16-($D$16-$H$16)/4</f>
        <v>0.38500000000000001</v>
      </c>
      <c r="F16" s="99">
        <f t="shared" ref="F16:G16" si="11">E16-($D$16-$H$16)/4</f>
        <v>0.27</v>
      </c>
      <c r="G16" s="99">
        <f t="shared" si="11"/>
        <v>0.15500000000000003</v>
      </c>
      <c r="H16" s="96">
        <v>0.04</v>
      </c>
      <c r="J16" t="s">
        <v>145</v>
      </c>
      <c r="L16" s="43">
        <f>L14/L15</f>
        <v>31.933399588066134</v>
      </c>
    </row>
    <row r="17" spans="1:13" x14ac:dyDescent="0.25">
      <c r="A17" t="s">
        <v>11</v>
      </c>
      <c r="B17" s="19">
        <v>0.43380281690140843</v>
      </c>
      <c r="C17" s="19">
        <v>0.41204819277108434</v>
      </c>
      <c r="D17" s="4">
        <v>0.43</v>
      </c>
      <c r="E17" s="3">
        <v>0.43</v>
      </c>
      <c r="F17" s="3">
        <v>0.44</v>
      </c>
      <c r="G17" s="3">
        <v>0.45</v>
      </c>
      <c r="H17" s="4">
        <v>0.45</v>
      </c>
      <c r="M17" s="55"/>
    </row>
    <row r="18" spans="1:13" ht="15.75" thickBot="1" x14ac:dyDescent="0.3">
      <c r="A18" t="s">
        <v>13</v>
      </c>
      <c r="B18" s="19">
        <v>0.29577464788732394</v>
      </c>
      <c r="C18" s="19">
        <v>0.30240963855421688</v>
      </c>
      <c r="D18" s="4">
        <v>0.31</v>
      </c>
      <c r="E18" s="4">
        <v>0.32</v>
      </c>
      <c r="F18" s="4">
        <v>0.33</v>
      </c>
      <c r="G18" s="4">
        <v>0.33</v>
      </c>
      <c r="H18" s="4">
        <v>0.33</v>
      </c>
      <c r="J18" s="34" t="s">
        <v>39</v>
      </c>
      <c r="K18" s="34"/>
      <c r="L18" s="35"/>
    </row>
    <row r="19" spans="1:13" x14ac:dyDescent="0.25">
      <c r="A19" t="s">
        <v>14</v>
      </c>
      <c r="B19" s="19">
        <v>0.41408450704225352</v>
      </c>
      <c r="C19" s="19">
        <v>0.26626506024096386</v>
      </c>
      <c r="D19" s="4">
        <v>0.214</v>
      </c>
      <c r="E19" s="4">
        <v>0.2</v>
      </c>
      <c r="F19" s="4">
        <v>0.2</v>
      </c>
      <c r="G19" s="4">
        <v>0.2</v>
      </c>
      <c r="H19" s="4">
        <v>0.2</v>
      </c>
      <c r="K19" s="36">
        <v>2007</v>
      </c>
      <c r="L19" s="36">
        <v>2008</v>
      </c>
    </row>
    <row r="20" spans="1:13" x14ac:dyDescent="0.25">
      <c r="A20" t="s">
        <v>15</v>
      </c>
      <c r="B20" s="19">
        <v>0.16338028169014085</v>
      </c>
      <c r="C20" s="19">
        <v>0.10481927710843374</v>
      </c>
      <c r="D20" s="22">
        <v>0.104</v>
      </c>
      <c r="E20" s="22">
        <v>0.1</v>
      </c>
      <c r="F20" s="22">
        <v>0.1</v>
      </c>
      <c r="G20" s="22">
        <v>0.1</v>
      </c>
      <c r="H20" s="22">
        <v>0.1</v>
      </c>
      <c r="J20" t="s">
        <v>40</v>
      </c>
      <c r="K20" s="37">
        <f>$L$14/C27</f>
        <v>16.15677955348584</v>
      </c>
      <c r="L20" s="37">
        <f>$L$14/D27</f>
        <v>12.177138483007843</v>
      </c>
    </row>
    <row r="21" spans="1:13" x14ac:dyDescent="0.25">
      <c r="A21" t="s">
        <v>16</v>
      </c>
      <c r="B21" s="19">
        <v>0.13793103448275862</v>
      </c>
      <c r="C21" s="19">
        <v>0.2413793103448276</v>
      </c>
      <c r="D21" s="22">
        <v>0.15</v>
      </c>
      <c r="E21" s="22">
        <v>0.15</v>
      </c>
      <c r="F21" s="22">
        <v>0.15</v>
      </c>
      <c r="G21" s="22">
        <v>0.15</v>
      </c>
      <c r="H21" s="22"/>
      <c r="J21" t="s">
        <v>41</v>
      </c>
      <c r="K21" s="29">
        <f>$L$14/C26</f>
        <v>10.6946426700184</v>
      </c>
      <c r="L21" s="29">
        <f>$L$14/D26</f>
        <v>8.0415065453825392</v>
      </c>
    </row>
    <row r="22" spans="1:13" x14ac:dyDescent="0.25">
      <c r="B22" s="16"/>
      <c r="C22" s="16"/>
      <c r="D22" s="23"/>
      <c r="E22" s="23"/>
      <c r="F22" s="23"/>
      <c r="G22" s="23"/>
      <c r="H22" s="23"/>
      <c r="J22" t="s">
        <v>42</v>
      </c>
      <c r="K22" s="37">
        <f>$L$14/C4</f>
        <v>3.3243588058611411</v>
      </c>
      <c r="L22" s="37">
        <f>$L$14/D4</f>
        <v>2.2162392039074272</v>
      </c>
    </row>
    <row r="23" spans="1:13" x14ac:dyDescent="0.25">
      <c r="A23" t="s">
        <v>12</v>
      </c>
      <c r="B23" s="15">
        <f t="shared" ref="B23:H23" si="12">B19*B4</f>
        <v>147</v>
      </c>
      <c r="C23" s="15">
        <f t="shared" si="12"/>
        <v>217.40542168674696</v>
      </c>
      <c r="D23" s="24">
        <f t="shared" si="12"/>
        <v>262.09649999999993</v>
      </c>
      <c r="E23" s="24">
        <f t="shared" si="12"/>
        <v>339.25574999999998</v>
      </c>
      <c r="F23" s="24">
        <f t="shared" si="12"/>
        <v>430.85480249999995</v>
      </c>
      <c r="G23" s="24">
        <f t="shared" si="12"/>
        <v>497.63729688749993</v>
      </c>
      <c r="H23" s="24">
        <f t="shared" si="12"/>
        <v>517.54278876299998</v>
      </c>
    </row>
    <row r="24" spans="1:13" x14ac:dyDescent="0.25">
      <c r="A24" t="s">
        <v>17</v>
      </c>
      <c r="B24" s="15">
        <f t="shared" ref="B24:H24" si="13">B20*B4</f>
        <v>58</v>
      </c>
      <c r="C24" s="15">
        <f t="shared" si="13"/>
        <v>85.584939759036132</v>
      </c>
      <c r="D24" s="24">
        <f t="shared" si="13"/>
        <v>127.37399999999997</v>
      </c>
      <c r="E24" s="24">
        <f t="shared" si="13"/>
        <v>169.62787499999999</v>
      </c>
      <c r="F24" s="24">
        <f t="shared" si="13"/>
        <v>215.42740124999997</v>
      </c>
      <c r="G24" s="24">
        <f t="shared" si="13"/>
        <v>248.81864844374996</v>
      </c>
      <c r="H24" s="24">
        <f t="shared" si="13"/>
        <v>258.77139438149999</v>
      </c>
    </row>
    <row r="25" spans="1:13" x14ac:dyDescent="0.25">
      <c r="A25" t="s">
        <v>18</v>
      </c>
      <c r="B25" s="16">
        <f>B24*B21</f>
        <v>8</v>
      </c>
      <c r="C25" s="16">
        <f t="shared" ref="C25:G25" si="14">C24*C21</f>
        <v>20.658433734939756</v>
      </c>
      <c r="D25" s="25">
        <f t="shared" si="14"/>
        <v>19.106099999999994</v>
      </c>
      <c r="E25" s="25">
        <f t="shared" si="14"/>
        <v>25.444181249999996</v>
      </c>
      <c r="F25" s="25">
        <f t="shared" si="14"/>
        <v>32.314110187499992</v>
      </c>
      <c r="G25" s="25">
        <f t="shared" si="14"/>
        <v>37.322797266562496</v>
      </c>
      <c r="H25" s="23"/>
      <c r="J25" t="s">
        <v>129</v>
      </c>
      <c r="L25">
        <v>47.74</v>
      </c>
    </row>
    <row r="26" spans="1:13" x14ac:dyDescent="0.25">
      <c r="A26" t="s">
        <v>19</v>
      </c>
      <c r="B26" s="15">
        <f t="shared" ref="B26:G26" si="15">B8+B25</f>
        <v>104</v>
      </c>
      <c r="C26" s="15">
        <f t="shared" si="15"/>
        <v>253.80361445783129</v>
      </c>
      <c r="D26" s="24">
        <f t="shared" si="15"/>
        <v>337.54109999999991</v>
      </c>
      <c r="E26" s="24">
        <f t="shared" si="15"/>
        <v>449.51386874999997</v>
      </c>
      <c r="F26" s="24">
        <f t="shared" si="15"/>
        <v>527.79713306250005</v>
      </c>
      <c r="G26" s="24">
        <f t="shared" si="15"/>
        <v>584.72382384281218</v>
      </c>
      <c r="H26" s="23"/>
      <c r="J26" t="s">
        <v>133</v>
      </c>
      <c r="L26" s="94">
        <f>(L16-L25)/L25</f>
        <v>-0.33109762069404836</v>
      </c>
    </row>
    <row r="27" spans="1:13" x14ac:dyDescent="0.25">
      <c r="A27" t="s">
        <v>20</v>
      </c>
      <c r="B27" s="16">
        <v>64</v>
      </c>
      <c r="C27" s="16">
        <v>168</v>
      </c>
      <c r="D27" s="25">
        <f>D10</f>
        <v>222.90449999999996</v>
      </c>
      <c r="E27" s="25">
        <f t="shared" ref="E27:G27" si="16">E10</f>
        <v>296.84878124999994</v>
      </c>
      <c r="F27" s="25">
        <f t="shared" si="16"/>
        <v>346.83811601250005</v>
      </c>
      <c r="G27" s="25">
        <f t="shared" si="16"/>
        <v>383.18071860337477</v>
      </c>
      <c r="H27" s="23"/>
    </row>
    <row r="28" spans="1:13" ht="15.75" thickBot="1" x14ac:dyDescent="0.3">
      <c r="A28" s="6"/>
      <c r="B28" s="33"/>
      <c r="C28" s="33"/>
      <c r="D28" s="33"/>
      <c r="E28" s="33"/>
      <c r="F28" s="33"/>
      <c r="G28" s="33"/>
      <c r="H28" s="6"/>
      <c r="I28" s="6"/>
      <c r="J28" s="6"/>
      <c r="K28" s="6"/>
      <c r="L28" s="6"/>
    </row>
    <row r="30" spans="1:13" ht="18.75" x14ac:dyDescent="0.3">
      <c r="A30" s="42" t="s">
        <v>161</v>
      </c>
    </row>
    <row r="31" spans="1:13" ht="18.75" x14ac:dyDescent="0.3">
      <c r="A31" s="42" t="s">
        <v>132</v>
      </c>
    </row>
    <row r="32" spans="1:13" ht="18.75" x14ac:dyDescent="0.3">
      <c r="A3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workbookViewId="0">
      <selection activeCell="D18" sqref="D18"/>
    </sheetView>
  </sheetViews>
  <sheetFormatPr defaultRowHeight="15" x14ac:dyDescent="0.25"/>
  <cols>
    <col min="1" max="1" width="51.7109375" bestFit="1" customWidth="1"/>
    <col min="4" max="4" width="34.42578125" bestFit="1" customWidth="1"/>
    <col min="5" max="5" width="19.5703125" customWidth="1"/>
  </cols>
  <sheetData>
    <row r="1" spans="1:5" ht="15.75" thickBot="1" x14ac:dyDescent="0.3"/>
    <row r="2" spans="1:5" x14ac:dyDescent="0.25">
      <c r="A2" s="103" t="s">
        <v>149</v>
      </c>
      <c r="B2" s="104" t="s">
        <v>62</v>
      </c>
      <c r="C2" s="105"/>
      <c r="D2" s="105"/>
      <c r="E2" s="106" t="s">
        <v>63</v>
      </c>
    </row>
    <row r="3" spans="1:5" x14ac:dyDescent="0.25">
      <c r="A3" s="107"/>
      <c r="B3" s="102">
        <v>21.58</v>
      </c>
      <c r="C3" s="45"/>
      <c r="D3" s="45"/>
      <c r="E3" s="116">
        <v>13.32</v>
      </c>
    </row>
    <row r="4" spans="1:5" x14ac:dyDescent="0.25">
      <c r="A4" s="107"/>
      <c r="B4" s="45"/>
      <c r="C4" s="45"/>
      <c r="D4" s="45"/>
      <c r="E4" s="108"/>
    </row>
    <row r="5" spans="1:5" x14ac:dyDescent="0.25">
      <c r="A5" s="107" t="s">
        <v>52</v>
      </c>
      <c r="B5" s="45"/>
      <c r="C5" s="45"/>
      <c r="D5" s="45"/>
      <c r="E5" s="108"/>
    </row>
    <row r="6" spans="1:5" x14ac:dyDescent="0.25">
      <c r="A6" s="107" t="s">
        <v>53</v>
      </c>
      <c r="B6" s="45">
        <v>168</v>
      </c>
      <c r="C6" s="45"/>
      <c r="D6" s="45" t="s">
        <v>57</v>
      </c>
      <c r="E6" s="108">
        <v>258</v>
      </c>
    </row>
    <row r="7" spans="1:5" ht="18.75" x14ac:dyDescent="0.3">
      <c r="A7" s="107" t="s">
        <v>60</v>
      </c>
      <c r="B7" s="98">
        <f>B3*B6</f>
        <v>3625.4399999999996</v>
      </c>
      <c r="C7" s="45"/>
      <c r="D7" s="45" t="s">
        <v>59</v>
      </c>
      <c r="E7" s="118">
        <f>E3*E6</f>
        <v>3436.56</v>
      </c>
    </row>
    <row r="8" spans="1:5" ht="18.75" x14ac:dyDescent="0.3">
      <c r="A8" s="107"/>
      <c r="B8" s="53"/>
      <c r="C8" s="45"/>
      <c r="D8" s="45"/>
      <c r="E8" s="108"/>
    </row>
    <row r="9" spans="1:5" ht="18.75" x14ac:dyDescent="0.3">
      <c r="A9" s="107"/>
      <c r="B9" s="53"/>
      <c r="C9" s="45"/>
      <c r="D9" s="54" t="s">
        <v>58</v>
      </c>
      <c r="E9" s="108"/>
    </row>
    <row r="10" spans="1:5" x14ac:dyDescent="0.25">
      <c r="A10" s="107"/>
      <c r="B10" s="45"/>
      <c r="C10" s="45"/>
      <c r="D10" s="45" t="s">
        <v>54</v>
      </c>
      <c r="E10" s="108">
        <v>45.545999999999999</v>
      </c>
    </row>
    <row r="11" spans="1:5" x14ac:dyDescent="0.25">
      <c r="A11" s="107"/>
      <c r="B11" s="45"/>
      <c r="C11" s="45"/>
      <c r="D11" s="45" t="s">
        <v>55</v>
      </c>
      <c r="E11" s="108">
        <v>0.65</v>
      </c>
    </row>
    <row r="12" spans="1:5" ht="18.75" x14ac:dyDescent="0.3">
      <c r="A12" s="107"/>
      <c r="B12" s="45"/>
      <c r="C12" s="45"/>
      <c r="D12" s="45" t="s">
        <v>60</v>
      </c>
      <c r="E12" s="118">
        <f>E7+E10-E11</f>
        <v>3481.4559999999997</v>
      </c>
    </row>
    <row r="13" spans="1:5" x14ac:dyDescent="0.25">
      <c r="A13" s="107" t="s">
        <v>56</v>
      </c>
      <c r="B13" s="45">
        <v>84.19</v>
      </c>
      <c r="C13" s="45"/>
      <c r="D13" s="45" t="s">
        <v>56</v>
      </c>
      <c r="E13" s="108">
        <v>84.19</v>
      </c>
    </row>
    <row r="14" spans="1:5" ht="19.5" thickBot="1" x14ac:dyDescent="0.35">
      <c r="A14" s="109" t="s">
        <v>61</v>
      </c>
      <c r="B14" s="110">
        <f>B7/B13</f>
        <v>43.062596507898796</v>
      </c>
      <c r="C14" s="6"/>
      <c r="D14" s="6" t="s">
        <v>61</v>
      </c>
      <c r="E14" s="121">
        <f>E12/E13</f>
        <v>41.352369640099774</v>
      </c>
    </row>
    <row r="16" spans="1:5" ht="18.75" x14ac:dyDescent="0.3">
      <c r="A16" s="42" t="s">
        <v>135</v>
      </c>
      <c r="D16" t="s">
        <v>173</v>
      </c>
    </row>
    <row r="17" spans="1:4" ht="18.75" x14ac:dyDescent="0.3">
      <c r="A17" s="42" t="s">
        <v>136</v>
      </c>
      <c r="D17" t="s">
        <v>176</v>
      </c>
    </row>
    <row r="18" spans="1:4" ht="15.75" thickBot="1" x14ac:dyDescent="0.3"/>
    <row r="19" spans="1:4" x14ac:dyDescent="0.25">
      <c r="A19" s="112" t="s">
        <v>153</v>
      </c>
      <c r="B19" s="113">
        <f>B14</f>
        <v>43.062596507898796</v>
      </c>
    </row>
    <row r="20" spans="1:4" x14ac:dyDescent="0.25">
      <c r="A20" s="107" t="s">
        <v>154</v>
      </c>
      <c r="B20" s="114">
        <f>E14</f>
        <v>41.352369640099774</v>
      </c>
    </row>
    <row r="21" spans="1:4" x14ac:dyDescent="0.25">
      <c r="A21" s="107" t="s">
        <v>155</v>
      </c>
      <c r="B21" s="114">
        <f>AVERAGE(B19:B20)</f>
        <v>42.207483073999285</v>
      </c>
    </row>
    <row r="22" spans="1:4" x14ac:dyDescent="0.25">
      <c r="A22" s="107" t="s">
        <v>129</v>
      </c>
      <c r="B22" s="108">
        <v>47.74</v>
      </c>
    </row>
    <row r="23" spans="1:4" ht="15.75" thickBot="1" x14ac:dyDescent="0.3">
      <c r="A23" s="109" t="s">
        <v>133</v>
      </c>
      <c r="B23" s="115">
        <f>(B21-B22)/B22</f>
        <v>-0.11588849865942014</v>
      </c>
    </row>
    <row r="25" spans="1:4" ht="18.75" x14ac:dyDescent="0.3">
      <c r="A25" s="119" t="s">
        <v>160</v>
      </c>
    </row>
    <row r="26" spans="1:4" x14ac:dyDescent="0.25">
      <c r="A26" t="s">
        <v>174</v>
      </c>
    </row>
    <row r="27" spans="1:4" x14ac:dyDescent="0.25">
      <c r="A27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tabSelected="1" workbookViewId="0">
      <selection activeCell="AC25" sqref="AC25"/>
    </sheetView>
  </sheetViews>
  <sheetFormatPr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"/>
  <sheetViews>
    <sheetView workbookViewId="0">
      <selection activeCell="E16" sqref="E16"/>
    </sheetView>
  </sheetViews>
  <sheetFormatPr defaultRowHeight="15" x14ac:dyDescent="0.25"/>
  <cols>
    <col min="5" max="5" width="16" bestFit="1" customWidth="1"/>
  </cols>
  <sheetData>
    <row r="1" spans="1:15" ht="15.75" x14ac:dyDescent="0.25">
      <c r="A1" s="122" t="s">
        <v>72</v>
      </c>
      <c r="B1" s="122"/>
      <c r="C1" s="122"/>
      <c r="D1" s="122"/>
      <c r="E1" s="122"/>
      <c r="F1" s="122"/>
      <c r="G1" s="122"/>
      <c r="H1" s="57"/>
      <c r="I1" s="57"/>
      <c r="J1" s="57"/>
      <c r="K1" s="57"/>
      <c r="L1" s="57"/>
      <c r="M1" s="57"/>
      <c r="N1" s="57"/>
      <c r="O1" s="57"/>
    </row>
    <row r="2" spans="1:15" ht="15.75" x14ac:dyDescent="0.25">
      <c r="A2" s="123" t="s">
        <v>73</v>
      </c>
      <c r="B2" s="123"/>
      <c r="C2" s="123"/>
      <c r="D2" s="123"/>
      <c r="E2" s="123"/>
      <c r="F2" s="123"/>
      <c r="G2" s="123"/>
      <c r="H2" s="57"/>
      <c r="I2" s="57"/>
      <c r="J2" s="57"/>
      <c r="K2" s="57"/>
      <c r="L2" s="57"/>
      <c r="M2" s="57"/>
      <c r="N2" s="57"/>
      <c r="O2" s="57"/>
    </row>
    <row r="3" spans="1:15" ht="15.75" x14ac:dyDescent="0.25">
      <c r="A3" s="122" t="s">
        <v>75</v>
      </c>
      <c r="B3" s="122"/>
      <c r="C3" s="122"/>
      <c r="D3" s="122"/>
      <c r="E3" s="122"/>
      <c r="F3" s="122"/>
      <c r="G3" s="122"/>
      <c r="H3" s="57"/>
      <c r="I3" s="57"/>
      <c r="J3" s="57"/>
      <c r="K3" s="57"/>
      <c r="L3" s="57"/>
      <c r="M3" s="57"/>
      <c r="N3" s="57"/>
      <c r="O3" s="57"/>
    </row>
    <row r="4" spans="1:15" ht="15.75" x14ac:dyDescent="0.25">
      <c r="A4" s="71"/>
      <c r="B4" s="71"/>
      <c r="C4" s="71"/>
      <c r="D4" s="71"/>
      <c r="E4" s="71"/>
      <c r="F4" s="71"/>
      <c r="G4" s="71"/>
      <c r="H4" s="57"/>
      <c r="I4" s="57"/>
      <c r="J4" s="57"/>
      <c r="K4" s="57"/>
      <c r="L4" s="57"/>
      <c r="M4" s="57"/>
      <c r="N4" s="57"/>
      <c r="O4" s="57"/>
    </row>
    <row r="5" spans="1:15" ht="15.75" x14ac:dyDescent="0.25">
      <c r="A5" s="57" t="s">
        <v>76</v>
      </c>
      <c r="B5" s="71"/>
      <c r="C5" s="71"/>
      <c r="D5" s="71"/>
      <c r="E5" s="71"/>
      <c r="F5" s="71"/>
      <c r="G5" s="71"/>
      <c r="H5" s="57"/>
      <c r="I5" s="57"/>
      <c r="J5" s="57"/>
      <c r="K5" s="57"/>
      <c r="L5" s="57"/>
      <c r="M5" s="57"/>
      <c r="N5" s="57"/>
      <c r="O5" s="57"/>
    </row>
    <row r="6" spans="1:15" ht="15.75" x14ac:dyDescent="0.25">
      <c r="A6" s="57" t="s">
        <v>78</v>
      </c>
      <c r="B6" s="71"/>
      <c r="C6" s="74"/>
      <c r="D6" s="71"/>
      <c r="E6" s="71"/>
      <c r="F6" s="71"/>
      <c r="G6" s="71"/>
      <c r="H6" s="57"/>
      <c r="I6" s="57"/>
      <c r="J6" s="57"/>
      <c r="K6" s="57"/>
      <c r="L6" s="57"/>
      <c r="M6" s="57"/>
      <c r="N6" s="57"/>
      <c r="O6" s="57"/>
    </row>
    <row r="7" spans="1:15" ht="15.75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8" spans="1:15" ht="15.75" x14ac:dyDescent="0.25">
      <c r="A8" s="60"/>
      <c r="B8" s="60"/>
      <c r="C8" s="60"/>
      <c r="D8" s="60"/>
      <c r="E8" s="71" t="s">
        <v>80</v>
      </c>
      <c r="F8" s="71" t="s">
        <v>81</v>
      </c>
      <c r="G8" s="71" t="s">
        <v>82</v>
      </c>
      <c r="H8" s="60"/>
      <c r="I8" s="60"/>
      <c r="J8" s="60"/>
      <c r="K8" s="60"/>
      <c r="L8" s="60"/>
      <c r="M8" s="60"/>
      <c r="N8" s="60"/>
      <c r="O8" s="60"/>
    </row>
    <row r="9" spans="1:15" ht="15.75" x14ac:dyDescent="0.25">
      <c r="A9" s="73" t="s">
        <v>89</v>
      </c>
      <c r="B9" s="72" t="s">
        <v>90</v>
      </c>
      <c r="C9" s="72" t="s">
        <v>91</v>
      </c>
      <c r="D9" s="72" t="s">
        <v>92</v>
      </c>
      <c r="E9" s="72" t="s">
        <v>93</v>
      </c>
      <c r="F9" s="72" t="s">
        <v>94</v>
      </c>
      <c r="G9" s="72" t="s">
        <v>94</v>
      </c>
      <c r="H9" s="60"/>
      <c r="I9" s="60"/>
      <c r="J9" s="60"/>
      <c r="K9" s="60"/>
      <c r="L9" s="60"/>
      <c r="M9" s="60"/>
      <c r="N9" s="60"/>
      <c r="O9" s="60"/>
    </row>
    <row r="10" spans="1:15" ht="15.75" x14ac:dyDescent="0.25">
      <c r="A10" s="60" t="s">
        <v>101</v>
      </c>
      <c r="B10" s="71"/>
      <c r="C10" s="71"/>
      <c r="D10" s="71"/>
      <c r="E10" s="71"/>
      <c r="F10" s="71"/>
      <c r="G10" s="71"/>
      <c r="H10" s="60"/>
      <c r="I10" s="60"/>
      <c r="J10" s="60"/>
      <c r="K10" s="60"/>
      <c r="L10" s="60"/>
      <c r="M10" s="60"/>
      <c r="N10" s="60"/>
      <c r="O10" s="60"/>
    </row>
    <row r="11" spans="1:15" ht="15.75" x14ac:dyDescent="0.25">
      <c r="A11" s="57" t="s">
        <v>102</v>
      </c>
      <c r="B11" s="68">
        <v>4.5238095238095237</v>
      </c>
      <c r="C11" s="67">
        <v>89.879310945027171</v>
      </c>
      <c r="D11" s="67">
        <v>400.17693206476378</v>
      </c>
      <c r="E11" s="70">
        <v>0.32</v>
      </c>
      <c r="F11" s="70">
        <v>0.57199999999999995</v>
      </c>
      <c r="G11" s="70">
        <v>0.26200000000000001</v>
      </c>
      <c r="H11" s="60"/>
      <c r="I11" s="60"/>
      <c r="J11" s="60"/>
      <c r="K11" s="60"/>
      <c r="L11" s="60"/>
      <c r="M11" s="60"/>
      <c r="N11" s="60"/>
      <c r="O11" s="60"/>
    </row>
    <row r="12" spans="1:15" ht="15.75" x14ac:dyDescent="0.25">
      <c r="A12" s="57" t="s">
        <v>104</v>
      </c>
      <c r="B12" s="68">
        <v>3.3184615384615386</v>
      </c>
      <c r="C12" s="67">
        <v>2541.8303856917023</v>
      </c>
      <c r="D12" s="67">
        <v>17643.293265389468</v>
      </c>
      <c r="E12" s="70">
        <v>0.111</v>
      </c>
      <c r="F12" s="70">
        <v>0.56899999999999995</v>
      </c>
      <c r="G12" s="70">
        <v>0.30099999999999999</v>
      </c>
      <c r="H12" s="60"/>
      <c r="I12" s="60"/>
      <c r="J12" s="60"/>
      <c r="K12" s="60"/>
      <c r="L12" s="60"/>
      <c r="M12" s="60"/>
      <c r="N12" s="60"/>
      <c r="O12" s="60"/>
    </row>
    <row r="13" spans="1:15" ht="15.75" x14ac:dyDescent="0.25">
      <c r="A13" s="57" t="s">
        <v>105</v>
      </c>
      <c r="B13" s="68">
        <v>0.93160919540229881</v>
      </c>
      <c r="C13" s="67">
        <v>116.23451783895308</v>
      </c>
      <c r="D13" s="67">
        <v>1311.7895584681849</v>
      </c>
      <c r="E13" s="66">
        <v>7.0999999999999994E-2</v>
      </c>
      <c r="F13" s="66">
        <v>0.52500000000000002</v>
      </c>
      <c r="G13" s="66">
        <v>0.33900000000000002</v>
      </c>
      <c r="H13" s="60"/>
      <c r="I13" s="60"/>
      <c r="J13" s="60"/>
      <c r="K13" s="60"/>
      <c r="L13" s="60"/>
      <c r="M13" s="60"/>
      <c r="N13" s="60"/>
      <c r="O13" s="60"/>
    </row>
    <row r="14" spans="1:15" ht="18.75" x14ac:dyDescent="0.3">
      <c r="A14" s="60"/>
      <c r="B14" s="68"/>
      <c r="C14" s="67"/>
      <c r="D14" s="67"/>
      <c r="E14" s="90">
        <f>AVERAGE(E11:E13)</f>
        <v>0.16733333333333333</v>
      </c>
      <c r="F14" s="65">
        <f>AVERAGE(F11:F13)</f>
        <v>0.55533333333333335</v>
      </c>
      <c r="G14" s="65">
        <f>AVERAGE(G11:G13)</f>
        <v>0.30066666666666664</v>
      </c>
      <c r="H14" s="60"/>
      <c r="I14" s="60"/>
      <c r="J14" s="60" t="s">
        <v>140</v>
      </c>
      <c r="K14" s="60"/>
      <c r="L14" s="60"/>
      <c r="M14" s="60"/>
      <c r="N14" s="60"/>
      <c r="O14" s="60"/>
    </row>
    <row r="15" spans="1:15" ht="15.75" x14ac:dyDescent="0.25">
      <c r="A15" s="60" t="s">
        <v>106</v>
      </c>
      <c r="B15" s="68"/>
      <c r="C15" s="67"/>
      <c r="D15" s="67"/>
      <c r="E15" s="70"/>
      <c r="F15" s="70"/>
      <c r="G15" s="70"/>
      <c r="H15" s="60"/>
      <c r="I15" s="60"/>
      <c r="J15" s="60"/>
      <c r="K15" s="60"/>
      <c r="L15" s="60"/>
      <c r="M15" s="60"/>
      <c r="N15" s="60"/>
      <c r="O15" s="60"/>
    </row>
    <row r="16" spans="1:15" ht="15.75" x14ac:dyDescent="0.25">
      <c r="A16" s="57" t="s">
        <v>107</v>
      </c>
      <c r="B16" s="68">
        <v>3.7030534351145041</v>
      </c>
      <c r="C16" s="67">
        <v>204.76357588357587</v>
      </c>
      <c r="D16" s="67">
        <v>1262.708717948718</v>
      </c>
      <c r="E16" s="70">
        <v>0.121</v>
      </c>
      <c r="F16" s="70">
        <v>0.55200000000000005</v>
      </c>
      <c r="G16" s="70">
        <v>0.27100000000000002</v>
      </c>
      <c r="H16" s="60" t="s">
        <v>138</v>
      </c>
      <c r="I16" s="60"/>
      <c r="J16" s="60"/>
      <c r="K16" s="60"/>
      <c r="L16" s="60"/>
      <c r="M16" s="60"/>
      <c r="N16" s="60"/>
      <c r="O16" s="60"/>
    </row>
    <row r="17" spans="1:15" ht="15.75" x14ac:dyDescent="0.25">
      <c r="A17" s="57" t="s">
        <v>109</v>
      </c>
      <c r="B17" s="68">
        <v>0.41006910167818361</v>
      </c>
      <c r="C17" s="67">
        <v>57.229067909658902</v>
      </c>
      <c r="D17" s="67">
        <v>250.92745160388907</v>
      </c>
      <c r="E17" s="70">
        <v>1.018</v>
      </c>
      <c r="F17" s="70">
        <v>0.48299999999999998</v>
      </c>
      <c r="G17" s="70">
        <v>0.46500000000000002</v>
      </c>
      <c r="H17" s="60" t="s">
        <v>137</v>
      </c>
      <c r="I17" s="60"/>
      <c r="J17" s="60"/>
      <c r="K17" s="60"/>
      <c r="L17" s="60"/>
      <c r="M17" s="60"/>
      <c r="N17" s="60"/>
      <c r="O17" s="60"/>
    </row>
    <row r="18" spans="1:15" ht="15.75" x14ac:dyDescent="0.25">
      <c r="A18" s="57" t="s">
        <v>110</v>
      </c>
      <c r="B18" s="68">
        <v>0.6011049723756906</v>
      </c>
      <c r="C18" s="67">
        <v>198.51072124756334</v>
      </c>
      <c r="D18" s="67">
        <v>2095.3909465020574</v>
      </c>
      <c r="E18" s="70">
        <v>0.20300000000000001</v>
      </c>
      <c r="F18" s="70">
        <v>0.53800000000000003</v>
      </c>
      <c r="G18" s="70">
        <v>0.36099999999999999</v>
      </c>
      <c r="H18" s="60" t="s">
        <v>137</v>
      </c>
      <c r="I18" s="60"/>
      <c r="J18" s="60"/>
      <c r="K18" s="60"/>
      <c r="L18" s="60"/>
      <c r="M18" s="60"/>
      <c r="N18" s="60"/>
      <c r="O18" s="60"/>
    </row>
    <row r="19" spans="1:15" ht="15.75" x14ac:dyDescent="0.25">
      <c r="A19" s="57" t="s">
        <v>111</v>
      </c>
      <c r="B19" s="68">
        <v>1.0190677966101696</v>
      </c>
      <c r="C19" s="67">
        <v>97.747810915794332</v>
      </c>
      <c r="D19" s="67">
        <v>611.55040675522605</v>
      </c>
      <c r="E19" s="70">
        <v>0.71699999999999997</v>
      </c>
      <c r="F19" s="70">
        <v>0.52900000000000003</v>
      </c>
      <c r="G19" s="70">
        <v>0.36</v>
      </c>
      <c r="H19" s="60" t="s">
        <v>137</v>
      </c>
      <c r="I19" s="60"/>
      <c r="J19" s="60"/>
      <c r="K19" s="60"/>
      <c r="L19" s="60"/>
      <c r="M19" s="60"/>
      <c r="N19" s="60"/>
      <c r="O19" s="60"/>
    </row>
    <row r="20" spans="1:15" ht="15.75" x14ac:dyDescent="0.25">
      <c r="A20" s="57" t="s">
        <v>112</v>
      </c>
      <c r="B20" s="68">
        <v>5.3215827338129493</v>
      </c>
      <c r="C20" s="67">
        <v>1015.4822032344324</v>
      </c>
      <c r="D20" s="67">
        <v>6795.9193601073539</v>
      </c>
      <c r="E20" s="70">
        <v>5.0999999999999997E-2</v>
      </c>
      <c r="F20" s="70">
        <v>0.59599999999999997</v>
      </c>
      <c r="G20" s="70">
        <v>0.27600000000000002</v>
      </c>
      <c r="H20" s="60" t="s">
        <v>138</v>
      </c>
      <c r="I20" s="60"/>
      <c r="J20" s="60"/>
      <c r="K20" s="60"/>
      <c r="L20" s="60"/>
      <c r="M20" s="60"/>
      <c r="N20" s="60"/>
      <c r="O20" s="60"/>
    </row>
    <row r="21" spans="1:15" ht="15.75" x14ac:dyDescent="0.25">
      <c r="A21" s="57" t="s">
        <v>113</v>
      </c>
      <c r="B21" s="68">
        <v>1.3884816753926701</v>
      </c>
      <c r="C21" s="67">
        <v>53.683809523809522</v>
      </c>
      <c r="D21" s="67">
        <v>268.4190476190476</v>
      </c>
      <c r="E21" s="70">
        <v>0.377</v>
      </c>
      <c r="F21" s="70">
        <v>0.51400000000000001</v>
      </c>
      <c r="G21" s="70">
        <v>0.28799999999999998</v>
      </c>
      <c r="H21" s="60" t="s">
        <v>137</v>
      </c>
      <c r="I21" s="60"/>
      <c r="J21" s="60"/>
      <c r="K21" s="60"/>
      <c r="L21" s="60"/>
      <c r="M21" s="60"/>
      <c r="N21" s="60"/>
      <c r="O21" s="60"/>
    </row>
    <row r="22" spans="1:15" ht="15.75" x14ac:dyDescent="0.25">
      <c r="A22" s="57" t="s">
        <v>114</v>
      </c>
      <c r="B22" s="68">
        <v>0.94097222222222232</v>
      </c>
      <c r="C22" s="67">
        <v>56.418441686389109</v>
      </c>
      <c r="D22" s="67">
        <v>383.05152513390505</v>
      </c>
      <c r="E22" s="66">
        <v>0.36199999999999999</v>
      </c>
      <c r="F22" s="66">
        <v>0.66100000000000003</v>
      </c>
      <c r="G22" s="66">
        <v>0.251</v>
      </c>
      <c r="H22" s="60" t="s">
        <v>137</v>
      </c>
      <c r="I22" s="60"/>
      <c r="J22" s="60" t="s">
        <v>141</v>
      </c>
      <c r="K22" s="60"/>
      <c r="L22" s="60"/>
      <c r="M22" s="60"/>
      <c r="N22" s="60"/>
      <c r="O22" s="60"/>
    </row>
    <row r="23" spans="1:15" ht="18.75" x14ac:dyDescent="0.3">
      <c r="A23" s="57"/>
      <c r="B23" s="68"/>
      <c r="C23" s="67"/>
      <c r="D23" s="67"/>
      <c r="E23" s="91">
        <f>AVERAGE(E17:E19,E21:E22)</f>
        <v>0.5354000000000001</v>
      </c>
      <c r="F23" s="65">
        <f>AVERAGE(F16:F22)</f>
        <v>0.55328571428571438</v>
      </c>
      <c r="G23" s="65">
        <f>AVERAGE(G16:G22)</f>
        <v>0.32457142857142857</v>
      </c>
      <c r="H23" s="57"/>
      <c r="I23" s="57"/>
      <c r="J23" s="60" t="s">
        <v>142</v>
      </c>
      <c r="K23" s="57"/>
      <c r="L23" s="57"/>
      <c r="M23" s="57"/>
      <c r="N23" s="57"/>
      <c r="O23" s="57"/>
    </row>
    <row r="24" spans="1:15" ht="15.75" x14ac:dyDescent="0.25">
      <c r="A24" s="60" t="s">
        <v>115</v>
      </c>
      <c r="B24" s="68"/>
      <c r="C24" s="67"/>
      <c r="D24" s="67"/>
      <c r="E24" s="65"/>
      <c r="F24" s="65"/>
      <c r="G24" s="65"/>
      <c r="H24" s="60"/>
      <c r="I24" s="60"/>
      <c r="J24" s="60"/>
      <c r="K24" s="60"/>
      <c r="L24" s="60"/>
      <c r="M24" s="60"/>
      <c r="N24" s="60"/>
      <c r="O24" s="60"/>
    </row>
    <row r="25" spans="1:15" ht="15.75" x14ac:dyDescent="0.25">
      <c r="A25" s="57" t="s">
        <v>116</v>
      </c>
      <c r="B25" s="68">
        <v>-3.9058376438298321</v>
      </c>
      <c r="C25" s="67">
        <v>-263</v>
      </c>
      <c r="D25" s="67">
        <v>4521.2509765625</v>
      </c>
      <c r="E25" s="70">
        <v>4.2500000000000003E-2</v>
      </c>
      <c r="F25" s="70">
        <v>0.53</v>
      </c>
      <c r="G25" s="70">
        <v>0.38500000000000001</v>
      </c>
      <c r="H25" s="60"/>
      <c r="I25" s="60"/>
      <c r="J25" s="60"/>
      <c r="K25" s="60"/>
      <c r="L25" s="60"/>
      <c r="M25" s="60"/>
      <c r="N25" s="60"/>
      <c r="O25" s="60"/>
    </row>
    <row r="26" spans="1:15" ht="15.75" x14ac:dyDescent="0.25">
      <c r="A26" s="57" t="s">
        <v>118</v>
      </c>
      <c r="B26" s="68">
        <v>3.102836879432624</v>
      </c>
      <c r="C26" s="67">
        <v>348</v>
      </c>
      <c r="D26" s="67">
        <v>2010</v>
      </c>
      <c r="E26" s="69">
        <v>0.107</v>
      </c>
      <c r="F26" s="69">
        <v>0.56000000000000005</v>
      </c>
      <c r="G26" s="69">
        <v>0.36299999999999999</v>
      </c>
      <c r="H26" s="60"/>
      <c r="I26" s="60"/>
      <c r="J26" s="60"/>
      <c r="K26" s="60"/>
      <c r="L26" s="60"/>
      <c r="M26" s="60"/>
      <c r="N26" s="60"/>
      <c r="O26" s="60"/>
    </row>
    <row r="27" spans="1:15" ht="15.75" x14ac:dyDescent="0.25">
      <c r="A27" s="57" t="s">
        <v>120</v>
      </c>
      <c r="B27" s="68">
        <v>1.25</v>
      </c>
      <c r="C27" s="67">
        <v>-27</v>
      </c>
      <c r="D27" s="67">
        <v>3840</v>
      </c>
      <c r="E27" s="69">
        <v>-2.3E-2</v>
      </c>
      <c r="F27" s="69">
        <v>0.63900000000000001</v>
      </c>
      <c r="G27" s="69">
        <v>0.26200000000000001</v>
      </c>
      <c r="H27" s="60"/>
      <c r="I27" s="60"/>
      <c r="J27" s="60"/>
      <c r="K27" s="60"/>
      <c r="L27" s="60"/>
      <c r="M27" s="60"/>
      <c r="N27" s="60"/>
      <c r="O27" s="60"/>
    </row>
    <row r="28" spans="1:15" ht="15.75" x14ac:dyDescent="0.25">
      <c r="A28" s="57" t="s">
        <v>122</v>
      </c>
      <c r="B28" s="68">
        <v>1.7</v>
      </c>
      <c r="C28" s="67">
        <v>231</v>
      </c>
      <c r="D28" s="67">
        <v>1825</v>
      </c>
      <c r="E28" s="66">
        <v>4.4999999999999998E-2</v>
      </c>
      <c r="F28" s="66">
        <v>0.64</v>
      </c>
      <c r="G28" s="66">
        <v>0.28399999999999997</v>
      </c>
      <c r="H28" s="60"/>
      <c r="I28" s="60"/>
      <c r="J28" s="60"/>
      <c r="K28" s="60"/>
      <c r="L28" s="60"/>
      <c r="M28" s="60"/>
      <c r="N28" s="60"/>
      <c r="O28" s="60"/>
    </row>
    <row r="29" spans="1:15" ht="15.75" x14ac:dyDescent="0.25">
      <c r="A29" s="57"/>
      <c r="B29" s="60"/>
      <c r="C29" s="60"/>
      <c r="D29" s="60"/>
      <c r="E29" s="65">
        <f>AVERAGE(E25:E28)</f>
        <v>4.2874999999999996E-2</v>
      </c>
      <c r="F29" s="65">
        <f>AVERAGE(F25:F28)</f>
        <v>0.59225000000000005</v>
      </c>
      <c r="G29" s="65">
        <f>AVERAGE(G25:G28)</f>
        <v>0.32350000000000001</v>
      </c>
      <c r="H29" s="60"/>
      <c r="I29" s="60"/>
      <c r="J29" s="60"/>
      <c r="K29" s="60"/>
      <c r="L29" s="60"/>
      <c r="M29" s="60"/>
      <c r="N29" s="60"/>
      <c r="O29" s="60"/>
    </row>
    <row r="30" spans="1:15" ht="15.75" x14ac:dyDescent="0.25">
      <c r="A30" s="57"/>
      <c r="B30" s="60"/>
      <c r="C30" s="64"/>
      <c r="D30" s="63"/>
      <c r="E30" s="62"/>
      <c r="F30" s="61"/>
      <c r="G30" s="61"/>
      <c r="H30" s="60"/>
      <c r="I30" s="60"/>
      <c r="J30" s="60"/>
      <c r="K30" s="60"/>
      <c r="L30" s="60"/>
      <c r="M30" s="60"/>
      <c r="N30" s="60"/>
      <c r="O30" s="60"/>
    </row>
    <row r="31" spans="1:15" ht="15.75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5" ht="15.75" x14ac:dyDescent="0.25">
      <c r="A32" s="59" t="s">
        <v>124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15.75" x14ac:dyDescent="0.25">
      <c r="A33" s="59" t="s">
        <v>126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15.75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15.75" x14ac:dyDescent="0.25">
      <c r="A35" s="58" t="s">
        <v>128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5"/>
  <sheetViews>
    <sheetView workbookViewId="0">
      <selection activeCell="F24" sqref="F24"/>
    </sheetView>
  </sheetViews>
  <sheetFormatPr defaultRowHeight="15" x14ac:dyDescent="0.25"/>
  <cols>
    <col min="1" max="1" width="34.5703125" customWidth="1"/>
    <col min="6" max="6" width="9.5703125" bestFit="1" customWidth="1"/>
  </cols>
  <sheetData>
    <row r="1" spans="1:19" ht="15.75" x14ac:dyDescent="0.25">
      <c r="A1" s="122" t="s">
        <v>139</v>
      </c>
      <c r="B1" s="122"/>
      <c r="C1" s="122"/>
      <c r="D1" s="122"/>
      <c r="E1" s="122"/>
      <c r="F1" s="122"/>
      <c r="G1" s="122"/>
      <c r="H1" s="122"/>
      <c r="I1" s="71"/>
      <c r="J1" s="71"/>
      <c r="K1" s="57"/>
      <c r="L1" s="57"/>
      <c r="M1" s="57"/>
      <c r="N1" s="57"/>
      <c r="O1" s="57"/>
      <c r="P1" s="57"/>
      <c r="Q1" s="57"/>
      <c r="R1" s="57"/>
      <c r="S1" s="57"/>
    </row>
    <row r="2" spans="1:19" ht="15.75" x14ac:dyDescent="0.25">
      <c r="A2" s="123" t="s">
        <v>73</v>
      </c>
      <c r="B2" s="123"/>
      <c r="C2" s="123"/>
      <c r="D2" s="123"/>
      <c r="E2" s="123"/>
      <c r="F2" s="123"/>
      <c r="G2" s="123"/>
      <c r="H2" s="123"/>
      <c r="I2" s="71"/>
      <c r="J2" s="71"/>
      <c r="K2" s="57"/>
      <c r="L2" s="57"/>
      <c r="M2" s="57"/>
      <c r="N2" s="57"/>
      <c r="O2" s="57"/>
      <c r="P2" s="57"/>
      <c r="Q2" s="57"/>
      <c r="R2" s="57"/>
      <c r="S2" s="57"/>
    </row>
    <row r="3" spans="1:19" ht="15.75" x14ac:dyDescent="0.25">
      <c r="A3" s="122" t="s">
        <v>74</v>
      </c>
      <c r="B3" s="122"/>
      <c r="C3" s="122"/>
      <c r="D3" s="122"/>
      <c r="E3" s="122"/>
      <c r="F3" s="122"/>
      <c r="G3" s="122"/>
      <c r="H3" s="122"/>
      <c r="I3" s="71"/>
      <c r="J3" s="71"/>
      <c r="K3" s="57"/>
      <c r="L3" s="57"/>
      <c r="M3" s="57"/>
      <c r="N3" s="57"/>
      <c r="O3" s="57"/>
      <c r="P3" s="57"/>
      <c r="Q3" s="57"/>
      <c r="R3" s="57"/>
      <c r="S3" s="57"/>
    </row>
    <row r="4" spans="1:19" ht="15.75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57"/>
      <c r="L4" s="57"/>
      <c r="M4" s="57"/>
      <c r="N4" s="57"/>
      <c r="O4" s="57"/>
      <c r="P4" s="57"/>
      <c r="Q4" s="57"/>
      <c r="R4" s="57"/>
      <c r="S4" s="57"/>
    </row>
    <row r="5" spans="1:19" ht="15.75" x14ac:dyDescent="0.25">
      <c r="A5" s="57" t="s">
        <v>76</v>
      </c>
      <c r="B5" s="71"/>
      <c r="C5" s="71"/>
      <c r="D5" s="71"/>
      <c r="E5" s="71"/>
      <c r="F5" s="71"/>
      <c r="G5" s="71"/>
      <c r="H5" s="71"/>
      <c r="I5" s="71"/>
      <c r="J5" s="71"/>
      <c r="K5" s="57"/>
      <c r="L5" s="57"/>
      <c r="M5" s="57"/>
      <c r="N5" s="57"/>
      <c r="O5" s="57"/>
      <c r="P5" s="57"/>
      <c r="Q5" s="57"/>
      <c r="R5" s="57"/>
      <c r="S5" s="57"/>
    </row>
    <row r="6" spans="1:19" ht="15.75" x14ac:dyDescent="0.25">
      <c r="A6" s="57" t="s">
        <v>77</v>
      </c>
      <c r="B6" s="71"/>
      <c r="C6" s="57"/>
      <c r="D6" s="57"/>
      <c r="E6" s="57"/>
      <c r="F6" s="71"/>
      <c r="G6" s="71"/>
      <c r="H6" s="71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15.75" x14ac:dyDescent="0.25">
      <c r="A7" s="57" t="s">
        <v>79</v>
      </c>
      <c r="B7" s="71"/>
      <c r="C7" s="57"/>
      <c r="D7" s="57"/>
      <c r="E7" s="57"/>
      <c r="F7" s="71"/>
      <c r="G7" s="71"/>
      <c r="H7" s="7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15.75" x14ac:dyDescent="0.25">
      <c r="A8" s="57"/>
      <c r="B8" s="57"/>
      <c r="C8" s="71"/>
      <c r="D8" s="57"/>
      <c r="E8" s="71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</row>
    <row r="9" spans="1:19" ht="15.75" x14ac:dyDescent="0.25">
      <c r="A9" s="60"/>
      <c r="B9" s="88" t="s">
        <v>83</v>
      </c>
      <c r="C9" s="71"/>
      <c r="D9" s="71" t="s">
        <v>84</v>
      </c>
      <c r="E9" s="71" t="s">
        <v>85</v>
      </c>
      <c r="F9" s="71" t="s">
        <v>86</v>
      </c>
      <c r="G9" s="71" t="s">
        <v>87</v>
      </c>
      <c r="H9" s="71" t="s">
        <v>87</v>
      </c>
      <c r="I9" s="88" t="s">
        <v>88</v>
      </c>
      <c r="J9" s="60"/>
      <c r="K9" s="60"/>
      <c r="L9" s="60"/>
      <c r="M9" s="60"/>
      <c r="N9" s="60"/>
      <c r="O9" s="60"/>
      <c r="P9" s="60"/>
      <c r="Q9" s="60"/>
      <c r="R9" s="60"/>
      <c r="S9" s="60"/>
    </row>
    <row r="10" spans="1:19" ht="15.75" x14ac:dyDescent="0.25">
      <c r="A10" s="87" t="s">
        <v>89</v>
      </c>
      <c r="B10" s="85" t="s">
        <v>95</v>
      </c>
      <c r="C10" s="86" t="s">
        <v>96</v>
      </c>
      <c r="D10" s="86" t="s">
        <v>97</v>
      </c>
      <c r="E10" s="86" t="s">
        <v>98</v>
      </c>
      <c r="F10" s="86" t="s">
        <v>99</v>
      </c>
      <c r="G10" s="86" t="s">
        <v>19</v>
      </c>
      <c r="H10" s="86" t="s">
        <v>94</v>
      </c>
      <c r="I10" s="85" t="s">
        <v>100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</row>
    <row r="11" spans="1:19" ht="15.75" x14ac:dyDescent="0.25">
      <c r="A11" s="60" t="s">
        <v>101</v>
      </c>
      <c r="B11" s="71"/>
      <c r="C11" s="60"/>
      <c r="D11" s="71"/>
      <c r="E11" s="71"/>
      <c r="F11" s="71"/>
      <c r="G11" s="71"/>
      <c r="H11" s="71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</row>
    <row r="12" spans="1:19" ht="15.75" x14ac:dyDescent="0.25">
      <c r="A12" s="57" t="s">
        <v>103</v>
      </c>
      <c r="B12" s="81">
        <v>127.05</v>
      </c>
      <c r="C12" s="80">
        <v>12.996491228070175</v>
      </c>
      <c r="D12" s="79">
        <f>C12*B12</f>
        <v>1651.2042105263156</v>
      </c>
      <c r="E12" s="79">
        <v>0</v>
      </c>
      <c r="F12" s="80" t="e">
        <f>B12/#REF!</f>
        <v>#REF!</v>
      </c>
      <c r="G12" s="80" t="e">
        <f>(D12+E12)/#REF!</f>
        <v>#REF!</v>
      </c>
      <c r="H12" s="80" t="e">
        <f>(D12+E12)/#REF!</f>
        <v>#REF!</v>
      </c>
      <c r="I12" s="77">
        <v>-9.1136705057586309E-2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</row>
    <row r="13" spans="1:19" ht="15.75" x14ac:dyDescent="0.25">
      <c r="A13" s="57" t="s">
        <v>104</v>
      </c>
      <c r="B13" s="81">
        <v>61.85</v>
      </c>
      <c r="C13" s="80">
        <v>498.73280791222379</v>
      </c>
      <c r="D13" s="79">
        <f>C13*B13</f>
        <v>30846.624169371044</v>
      </c>
      <c r="E13" s="79">
        <v>441</v>
      </c>
      <c r="F13" s="80" t="e">
        <f>B13/#REF!</f>
        <v>#REF!</v>
      </c>
      <c r="G13" s="80" t="e">
        <f>(D13+E13)/#REF!</f>
        <v>#REF!</v>
      </c>
      <c r="H13" s="80" t="e">
        <f>(D13+E13)/#REF!</f>
        <v>#REF!</v>
      </c>
      <c r="I13" s="77">
        <v>-6.6555991548445603E-2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</row>
    <row r="14" spans="1:19" ht="15.75" x14ac:dyDescent="0.25">
      <c r="A14" s="57" t="s">
        <v>105</v>
      </c>
      <c r="B14" s="81">
        <v>16.79</v>
      </c>
      <c r="C14" s="80">
        <v>61.875385564466384</v>
      </c>
      <c r="D14" s="79">
        <f>C14*B14</f>
        <v>1038.8877236273906</v>
      </c>
      <c r="E14" s="79">
        <v>41</v>
      </c>
      <c r="F14" s="78" t="e">
        <f>B14/#REF!</f>
        <v>#REF!</v>
      </c>
      <c r="G14" s="78" t="e">
        <f>(D14+E14)/#REF!</f>
        <v>#REF!</v>
      </c>
      <c r="H14" s="78" t="e">
        <f>(D14+E14)/#REF!</f>
        <v>#REF!</v>
      </c>
      <c r="I14" s="77">
        <v>-0.13941568426447981</v>
      </c>
      <c r="J14" s="60"/>
      <c r="K14" s="60"/>
      <c r="L14" s="60" t="s">
        <v>143</v>
      </c>
      <c r="M14" s="60"/>
      <c r="N14" s="60"/>
      <c r="O14" s="60"/>
      <c r="P14" s="60"/>
      <c r="Q14" s="60"/>
      <c r="R14" s="60"/>
      <c r="S14" s="60"/>
    </row>
    <row r="15" spans="1:19" ht="15.75" x14ac:dyDescent="0.25">
      <c r="A15" s="60"/>
      <c r="B15" s="71"/>
      <c r="C15" s="80"/>
      <c r="D15" s="71"/>
      <c r="E15" s="62"/>
      <c r="F15" s="89" t="e">
        <f>AVERAGE(F12:F14)</f>
        <v>#REF!</v>
      </c>
      <c r="G15" s="89" t="e">
        <f>AVERAGE(G12:G14)</f>
        <v>#REF!</v>
      </c>
      <c r="H15" s="61" t="e">
        <f>AVERAGE(H12:H14)</f>
        <v>#REF!</v>
      </c>
      <c r="I15" s="77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spans="1:19" ht="15.75" x14ac:dyDescent="0.25">
      <c r="A16" s="60" t="s">
        <v>106</v>
      </c>
      <c r="B16" s="71"/>
      <c r="C16" s="80"/>
      <c r="D16" s="71"/>
      <c r="E16" s="71"/>
      <c r="F16" s="71"/>
      <c r="G16" s="71"/>
      <c r="H16" s="71"/>
      <c r="I16" s="77"/>
      <c r="J16" s="60"/>
      <c r="K16" s="60"/>
      <c r="L16" s="60"/>
      <c r="M16" s="60"/>
      <c r="N16" s="60"/>
      <c r="O16" s="60"/>
      <c r="P16" s="60"/>
      <c r="Q16" s="60"/>
      <c r="R16" s="60"/>
      <c r="S16" s="60"/>
    </row>
    <row r="17" spans="1:19" ht="15.75" x14ac:dyDescent="0.25">
      <c r="A17" s="57" t="s">
        <v>108</v>
      </c>
      <c r="B17" s="81">
        <v>48.38</v>
      </c>
      <c r="C17" s="80">
        <v>36.446093588950731</v>
      </c>
      <c r="D17" s="79">
        <f t="shared" ref="D17:D23" si="0">C17*B17</f>
        <v>1763.2620078334364</v>
      </c>
      <c r="E17" s="79">
        <v>19</v>
      </c>
      <c r="F17" s="80" t="e">
        <f>B17/#REF!</f>
        <v>#REF!</v>
      </c>
      <c r="G17" s="80" t="e">
        <f>(D17+E17)/#REF!</f>
        <v>#REF!</v>
      </c>
      <c r="H17" s="80" t="e">
        <f>(D17+E17)/#REF!</f>
        <v>#REF!</v>
      </c>
      <c r="I17" s="77">
        <v>-7.5897435897435139E-3</v>
      </c>
      <c r="J17" s="60" t="s">
        <v>138</v>
      </c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.75" x14ac:dyDescent="0.25">
      <c r="A18" s="57" t="s">
        <v>109</v>
      </c>
      <c r="B18" s="81">
        <v>41.5</v>
      </c>
      <c r="C18" s="80">
        <v>71.689937409725573</v>
      </c>
      <c r="D18" s="79">
        <f t="shared" si="0"/>
        <v>2975.1324025036115</v>
      </c>
      <c r="E18" s="79">
        <v>0</v>
      </c>
      <c r="F18" s="80" t="e">
        <f>B18/#REF!</f>
        <v>#REF!</v>
      </c>
      <c r="G18" s="80" t="e">
        <f>(D18+E18)/#REF!</f>
        <v>#REF!</v>
      </c>
      <c r="H18" s="80" t="e">
        <f>(D18+E18)/#REF!</f>
        <v>#REF!</v>
      </c>
      <c r="I18" s="77">
        <v>-0.22021796317173992</v>
      </c>
      <c r="J18" s="60" t="s">
        <v>137</v>
      </c>
      <c r="K18" s="60"/>
      <c r="L18" s="60"/>
      <c r="M18" s="60"/>
      <c r="N18" s="60"/>
      <c r="O18" s="60"/>
      <c r="P18" s="60"/>
      <c r="Q18" s="60"/>
      <c r="R18" s="60"/>
      <c r="S18" s="60"/>
    </row>
    <row r="19" spans="1:19" ht="15.75" x14ac:dyDescent="0.25">
      <c r="A19" s="57" t="s">
        <v>110</v>
      </c>
      <c r="B19" s="81">
        <v>11.9</v>
      </c>
      <c r="C19" s="80">
        <v>125.18382352941177</v>
      </c>
      <c r="D19" s="79">
        <f t="shared" si="0"/>
        <v>1489.6875</v>
      </c>
      <c r="E19" s="79">
        <v>725</v>
      </c>
      <c r="F19" s="80" t="e">
        <f>B19/#REF!</f>
        <v>#REF!</v>
      </c>
      <c r="G19" s="80" t="e">
        <f>(D19+E19)/#REF!</f>
        <v>#REF!</v>
      </c>
      <c r="H19" s="80" t="e">
        <f>(D19+E19)/#REF!</f>
        <v>#REF!</v>
      </c>
      <c r="I19" s="77">
        <v>-0.11851851851851847</v>
      </c>
      <c r="J19" s="60" t="s">
        <v>137</v>
      </c>
      <c r="K19" s="60"/>
      <c r="L19" s="60"/>
      <c r="M19" s="60"/>
      <c r="N19" s="60"/>
      <c r="O19" s="60"/>
      <c r="P19" s="60"/>
      <c r="Q19" s="60"/>
      <c r="R19" s="60"/>
      <c r="S19" s="60"/>
    </row>
    <row r="20" spans="1:19" ht="15.75" x14ac:dyDescent="0.25">
      <c r="A20" s="57" t="s">
        <v>111</v>
      </c>
      <c r="B20" s="81">
        <v>50.4</v>
      </c>
      <c r="C20" s="80">
        <v>50.083160083160081</v>
      </c>
      <c r="D20" s="79">
        <f t="shared" si="0"/>
        <v>2524.1912681912681</v>
      </c>
      <c r="E20" s="79">
        <v>10</v>
      </c>
      <c r="F20" s="80" t="e">
        <f>B20/#REF!</f>
        <v>#REF!</v>
      </c>
      <c r="G20" s="80" t="e">
        <f>(D20+E20)/#REF!</f>
        <v>#REF!</v>
      </c>
      <c r="H20" s="80" t="e">
        <f>(D20+E20)/#REF!</f>
        <v>#REF!</v>
      </c>
      <c r="I20" s="77">
        <v>-0.19036144578313252</v>
      </c>
      <c r="J20" s="60" t="s">
        <v>137</v>
      </c>
      <c r="K20" s="60"/>
      <c r="L20" s="60"/>
      <c r="M20" s="60"/>
      <c r="N20" s="60"/>
      <c r="O20" s="60"/>
      <c r="P20" s="60"/>
      <c r="Q20" s="60"/>
      <c r="R20" s="60"/>
      <c r="S20" s="60"/>
    </row>
    <row r="21" spans="1:19" ht="15.75" x14ac:dyDescent="0.25">
      <c r="A21" s="57" t="s">
        <v>112</v>
      </c>
      <c r="B21" s="81">
        <v>75.5</v>
      </c>
      <c r="C21" s="80">
        <v>109.99053670406921</v>
      </c>
      <c r="D21" s="79">
        <f t="shared" si="0"/>
        <v>8304.285521157226</v>
      </c>
      <c r="E21" s="79">
        <v>1145</v>
      </c>
      <c r="F21" s="80" t="e">
        <f>B21/#REF!</f>
        <v>#REF!</v>
      </c>
      <c r="G21" s="80" t="e">
        <f>(D21+E21)/#REF!</f>
        <v>#REF!</v>
      </c>
      <c r="H21" s="80" t="e">
        <f>(D21+E21)/#REF!</f>
        <v>#REF!</v>
      </c>
      <c r="I21" s="77">
        <v>-0.13347870997360267</v>
      </c>
      <c r="J21" s="60" t="s">
        <v>138</v>
      </c>
      <c r="K21" s="60"/>
      <c r="L21" s="60"/>
      <c r="M21" s="60"/>
      <c r="N21" s="60"/>
      <c r="O21" s="60"/>
      <c r="P21" s="60"/>
      <c r="Q21" s="60"/>
      <c r="R21" s="60"/>
      <c r="S21" s="60"/>
    </row>
    <row r="22" spans="1:19" ht="15.75" x14ac:dyDescent="0.25">
      <c r="A22" s="57" t="s">
        <v>113</v>
      </c>
      <c r="B22" s="81">
        <v>25.07</v>
      </c>
      <c r="C22" s="80">
        <v>24.434389140271495</v>
      </c>
      <c r="D22" s="79">
        <f t="shared" si="0"/>
        <v>612.57013574660641</v>
      </c>
      <c r="E22" s="79">
        <v>0</v>
      </c>
      <c r="F22" s="80" t="e">
        <f>B22/#REF!</f>
        <v>#REF!</v>
      </c>
      <c r="G22" s="80" t="e">
        <f>(D22+E22)/#REF!</f>
        <v>#REF!</v>
      </c>
      <c r="H22" s="80" t="e">
        <f>(D22+E22)/#REF!</f>
        <v>#REF!</v>
      </c>
      <c r="I22" s="77">
        <v>-0.14290598290598289</v>
      </c>
      <c r="J22" s="60" t="s">
        <v>137</v>
      </c>
      <c r="K22" s="60"/>
      <c r="L22" s="60" t="s">
        <v>141</v>
      </c>
      <c r="M22" s="60"/>
      <c r="N22" s="60"/>
      <c r="O22" s="60"/>
      <c r="P22" s="60"/>
      <c r="Q22" s="60"/>
      <c r="R22" s="60"/>
      <c r="S22" s="60"/>
    </row>
    <row r="23" spans="1:19" ht="15.75" x14ac:dyDescent="0.25">
      <c r="A23" s="57" t="s">
        <v>114</v>
      </c>
      <c r="B23" s="81">
        <v>27.72</v>
      </c>
      <c r="C23" s="80">
        <v>28.671586715867154</v>
      </c>
      <c r="D23" s="79">
        <f t="shared" si="0"/>
        <v>794.77638376383743</v>
      </c>
      <c r="E23" s="79">
        <v>0</v>
      </c>
      <c r="F23" s="78" t="e">
        <f>B23/#REF!</f>
        <v>#REF!</v>
      </c>
      <c r="G23" s="78" t="e">
        <f>(D23+E23)/#REF!</f>
        <v>#REF!</v>
      </c>
      <c r="H23" s="78" t="e">
        <f>(D23+E23)/#REF!</f>
        <v>#REF!</v>
      </c>
      <c r="I23" s="77">
        <v>-0.33779264214046822</v>
      </c>
      <c r="J23" s="60" t="s">
        <v>137</v>
      </c>
      <c r="K23" s="60"/>
      <c r="L23" s="60" t="s">
        <v>144</v>
      </c>
      <c r="M23" s="57"/>
      <c r="N23" s="57"/>
      <c r="O23" s="57"/>
      <c r="P23" s="57"/>
      <c r="Q23" s="60"/>
      <c r="R23" s="60"/>
      <c r="S23" s="60"/>
    </row>
    <row r="24" spans="1:19" ht="15.75" x14ac:dyDescent="0.25">
      <c r="A24" s="57"/>
      <c r="B24" s="57"/>
      <c r="C24" s="80"/>
      <c r="D24" s="57"/>
      <c r="E24" s="62"/>
      <c r="F24" s="89" t="e">
        <f>AVERAGE(F18:F20,F22:F23)</f>
        <v>#REF!</v>
      </c>
      <c r="G24" s="89" t="e">
        <f>AVERAGE(G18:G20,G22:G23)</f>
        <v>#REF!</v>
      </c>
      <c r="H24" s="76" t="e">
        <f>AVERAGE(H17:H23)</f>
        <v>#REF!</v>
      </c>
      <c r="I24" s="7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1:19" ht="15.75" x14ac:dyDescent="0.25">
      <c r="A25" s="60" t="s">
        <v>115</v>
      </c>
      <c r="B25" s="60"/>
      <c r="C25" s="80"/>
      <c r="D25" s="60"/>
      <c r="E25" s="60"/>
      <c r="F25" s="76"/>
      <c r="G25" s="60"/>
      <c r="H25" s="60"/>
      <c r="I25" s="77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19" ht="15.75" x14ac:dyDescent="0.25">
      <c r="A26" s="57" t="s">
        <v>116</v>
      </c>
      <c r="B26" s="81">
        <v>25.48</v>
      </c>
      <c r="C26" s="80">
        <v>94.73</v>
      </c>
      <c r="D26" s="79">
        <f>C26*B26</f>
        <v>2413.7204000000002</v>
      </c>
      <c r="E26" s="79">
        <v>520.74900000000002</v>
      </c>
      <c r="F26" s="84" t="s">
        <v>117</v>
      </c>
      <c r="G26" s="84" t="s">
        <v>117</v>
      </c>
      <c r="H26" s="80" t="e">
        <f>(D26+E26)/#REF!</f>
        <v>#REF!</v>
      </c>
      <c r="I26" s="77">
        <v>-7.7813970322113568E-2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spans="1:19" ht="15.75" x14ac:dyDescent="0.25">
      <c r="A27" s="57" t="s">
        <v>119</v>
      </c>
      <c r="B27" s="81">
        <v>41.96</v>
      </c>
      <c r="C27" s="80">
        <v>56.400000000000006</v>
      </c>
      <c r="D27" s="79">
        <f>C27*B27</f>
        <v>2366.5440000000003</v>
      </c>
      <c r="E27" s="79">
        <v>400</v>
      </c>
      <c r="F27" s="82" t="e">
        <f>B27/#REF!</f>
        <v>#REF!</v>
      </c>
      <c r="G27" s="82" t="e">
        <f>(D27+E27)/#REF!</f>
        <v>#REF!</v>
      </c>
      <c r="H27" s="82" t="e">
        <f>(D27+E27)/#REF!</f>
        <v>#REF!</v>
      </c>
      <c r="I27" s="77">
        <v>-0.11532785157073577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 spans="1:19" ht="15.75" x14ac:dyDescent="0.25">
      <c r="A28" s="57" t="s">
        <v>121</v>
      </c>
      <c r="B28" s="81">
        <v>18.13</v>
      </c>
      <c r="C28" s="80">
        <v>85.3</v>
      </c>
      <c r="D28" s="79">
        <v>1513.2219999999998</v>
      </c>
      <c r="E28" s="79">
        <v>777</v>
      </c>
      <c r="F28" s="82" t="e">
        <f>B28/#REF!</f>
        <v>#REF!</v>
      </c>
      <c r="G28" s="83" t="s">
        <v>117</v>
      </c>
      <c r="H28" s="82" t="e">
        <f>(D28+E28)/#REF!</f>
        <v>#REF!</v>
      </c>
      <c r="I28" s="77">
        <v>2.1984216459977501E-2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spans="1:19" ht="15.75" x14ac:dyDescent="0.25">
      <c r="A29" s="57" t="s">
        <v>123</v>
      </c>
      <c r="B29" s="81">
        <v>38.340000000000003</v>
      </c>
      <c r="C29" s="80">
        <v>44.4</v>
      </c>
      <c r="D29" s="79">
        <v>1748.9159999999999</v>
      </c>
      <c r="E29" s="79">
        <v>310</v>
      </c>
      <c r="F29" s="78" t="e">
        <f>B29/#REF!</f>
        <v>#REF!</v>
      </c>
      <c r="G29" s="78" t="e">
        <f>(D29+E29)/#REF!</f>
        <v>#REF!</v>
      </c>
      <c r="H29" s="78" t="e">
        <f>(D29+E29)/#REF!</f>
        <v>#REF!</v>
      </c>
      <c r="I29" s="77">
        <v>-2.6656511805026595E-2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spans="1:19" ht="15.75" x14ac:dyDescent="0.25">
      <c r="A30" s="57"/>
      <c r="B30" s="57"/>
      <c r="C30" s="60"/>
      <c r="D30" s="60"/>
      <c r="E30" s="60"/>
      <c r="F30" s="61" t="e">
        <f>AVERAGE(F26:F29)</f>
        <v>#REF!</v>
      </c>
      <c r="G30" s="61" t="e">
        <f>AVERAGE(G26:G29)</f>
        <v>#REF!</v>
      </c>
      <c r="H30" s="61" t="e">
        <f>AVERAGE(H26:H29)</f>
        <v>#REF!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spans="1:19" ht="15.75" x14ac:dyDescent="0.25">
      <c r="A31" s="57"/>
      <c r="B31" s="60"/>
      <c r="C31" s="64"/>
      <c r="D31" s="64"/>
      <c r="E31" s="64"/>
      <c r="F31" s="63"/>
      <c r="G31" s="62"/>
      <c r="H31" s="62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 spans="1:19" ht="15.75" x14ac:dyDescent="0.25">
      <c r="A32" s="57"/>
      <c r="B32" s="57"/>
      <c r="C32" s="57"/>
      <c r="D32" s="57"/>
      <c r="E32" s="57"/>
      <c r="F32" s="62"/>
      <c r="G32" s="62"/>
      <c r="H32" s="62"/>
      <c r="I32" s="76"/>
      <c r="J32" s="76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15.75" x14ac:dyDescent="0.25">
      <c r="A33" s="75" t="s">
        <v>125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15.75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15.75" x14ac:dyDescent="0.25">
      <c r="A35" s="58" t="s">
        <v>127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Bull Thesis Buy DCF</vt:lpstr>
      <vt:lpstr>Bull Comps Val</vt:lpstr>
      <vt:lpstr>Hold Thesis DCF</vt:lpstr>
      <vt:lpstr>Hold Comps Val</vt:lpstr>
      <vt:lpstr>Bear Thesis Sell DCF</vt:lpstr>
      <vt:lpstr>Bear Comps Val</vt:lpstr>
      <vt:lpstr>FactSet Screenshot</vt:lpstr>
      <vt:lpstr>Exhibit 4 Extra</vt:lpstr>
      <vt:lpstr>Exhibit 5 Extra</vt:lpstr>
      <vt:lpstr>AnalystDCF net cash n change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Pickard</dc:creator>
  <cp:lastModifiedBy>Angati, Jahnavi</cp:lastModifiedBy>
  <cp:lastPrinted>2011-02-01T13:37:46Z</cp:lastPrinted>
  <dcterms:created xsi:type="dcterms:W3CDTF">2011-01-25T16:06:06Z</dcterms:created>
  <dcterms:modified xsi:type="dcterms:W3CDTF">2023-11-15T16:51:12Z</dcterms:modified>
</cp:coreProperties>
</file>